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s" sheetId="1" r:id="rId3"/>
    <sheet state="visible" name="Archived Groups" sheetId="2" r:id="rId4"/>
    <sheet state="visible" name="Assignments" sheetId="3" r:id="rId5"/>
    <sheet state="visible" name="Baseline" sheetId="4" r:id="rId6"/>
    <sheet state="visible" name="Comprehensive" sheetId="5" r:id="rId7"/>
    <sheet state="visible" name="Actionability" sheetId="6" r:id="rId8"/>
    <sheet state="visible" name="Gene" sheetId="7" r:id="rId9"/>
    <sheet state="visible" name="Variant" sheetId="8" r:id="rId10"/>
    <sheet state="visible" name="Dosage" sheetId="9" r:id="rId11"/>
    <sheet state="visible" name="Somatic" sheetId="10" r:id="rId12"/>
    <sheet state="visible" name="Surveys" sheetId="11" r:id="rId13"/>
    <sheet state="visible" name="Volunteer Survey" sheetId="12" r:id="rId14"/>
    <sheet state="visible" name="Gene Attestations" sheetId="13" r:id="rId15"/>
    <sheet state="visible" name="Dosage Attestations" sheetId="14" r:id="rId16"/>
    <sheet state="visible" name="Somatic Attestation" sheetId="15" r:id="rId17"/>
    <sheet state="visible" name="Variant Attestations" sheetId="16" r:id="rId18"/>
    <sheet state="visible" name="Actionability Attestations" sheetId="17" r:id="rId19"/>
    <sheet state="visible" name="Steps" sheetId="18" r:id="rId20"/>
    <sheet state="visible" name="Status Change Survey" sheetId="19" r:id="rId21"/>
    <sheet state="visible" name="Aggragate for Import " sheetId="20" r:id="rId22"/>
  </sheets>
  <definedNames>
    <definedName hidden="1" localSheetId="6" name="_xlnm._FilterDatabase">Gene!$A$1:$G$72</definedName>
    <definedName hidden="1" localSheetId="10" name="Z_92FC8F5B_B28D_44A5_A4F9_DCD79C803992_.wvu.FilterData">Surveys!$A$1:$L$123</definedName>
    <definedName hidden="1" localSheetId="10" name="Z_C2DF8EBB_69CE_4C4C_87E3_DACEA79B4060_.wvu.FilterData">Surveys!$A$1:$L$533</definedName>
  </definedNames>
  <calcPr/>
  <customWorkbookViews>
    <customWorkbookView activeSheetId="0" maximized="1" tabRatio="600" windowHeight="0" windowWidth="0" guid="{92FC8F5B-B28D-44A5-A4F9-DCD79C803992}" name="Filter 2"/>
    <customWorkbookView activeSheetId="0" maximized="1" tabRatio="600" windowHeight="0" windowWidth="0" guid="{C2DF8EBB-69CE-4C4C-87E3-DACEA79B4060}" name="Filter 1"/>
  </customWorkbookViews>
</workbook>
</file>

<file path=xl/sharedStrings.xml><?xml version="1.0" encoding="utf-8"?>
<sst xmlns="http://schemas.openxmlformats.org/spreadsheetml/2006/main" count="10501" uniqueCount="3259">
  <si>
    <t xml:space="preserve">Status </t>
  </si>
  <si>
    <t>Date group began accepting</t>
  </si>
  <si>
    <t>Status Changes (Dates, can add multiple)</t>
  </si>
  <si>
    <t>WG/EP Name</t>
  </si>
  <si>
    <t xml:space="preserve">Curation Effort </t>
  </si>
  <si>
    <t xml:space="preserve">CDWG </t>
  </si>
  <si>
    <t>Coordinator</t>
  </si>
  <si>
    <t>Grant</t>
  </si>
  <si>
    <t>Co-chair(s)</t>
  </si>
  <si>
    <t>VolunteerType</t>
  </si>
  <si>
    <t xml:space="preserve">day &amp; time of regular calls </t>
  </si>
  <si>
    <t>Request and requirements</t>
  </si>
  <si>
    <t>Volunteer status</t>
  </si>
  <si>
    <t>Currently Not Accepting Volunteers</t>
  </si>
  <si>
    <t>Initial group</t>
  </si>
  <si>
    <t>TP53 VCEP</t>
  </si>
  <si>
    <t>Variant</t>
  </si>
  <si>
    <t>Hereditary Cancer</t>
  </si>
  <si>
    <t>Deb Ritter</t>
  </si>
  <si>
    <t>Stanford/Baylor</t>
  </si>
  <si>
    <t xml:space="preserve">Sharon Savage </t>
  </si>
  <si>
    <t xml:space="preserve">comprehensive </t>
  </si>
  <si>
    <t>This group will need curators for TP53 variants, to curate a set of variants with the EP rules.</t>
  </si>
  <si>
    <t>Currently Accepting Volunteers</t>
  </si>
  <si>
    <t>Follow- Up Survey Date</t>
  </si>
  <si>
    <t>Volunteer Information</t>
  </si>
  <si>
    <t>Actionability WG</t>
  </si>
  <si>
    <t>Actionability</t>
  </si>
  <si>
    <t>Christine Pak</t>
  </si>
  <si>
    <t>ECEI</t>
  </si>
  <si>
    <t>Katrina Goddard, Bradford Powell, Adam Buchanan</t>
  </si>
  <si>
    <t>baseline or comprehensive</t>
  </si>
  <si>
    <t>Currently Accepting with Conditions</t>
  </si>
  <si>
    <t>Dosage Sensitivity WG</t>
  </si>
  <si>
    <t>Dosage</t>
  </si>
  <si>
    <t>N/A</t>
  </si>
  <si>
    <t>Erin Riggs/Kelly Toner</t>
  </si>
  <si>
    <t>Harvard/Geisinger</t>
  </si>
  <si>
    <t>Erica Anderson, Erik Thorland</t>
  </si>
  <si>
    <t>2nd Thurs @ 2pm</t>
  </si>
  <si>
    <t>background in cytogenetics</t>
  </si>
  <si>
    <t>Currently NOT Accepting Volunteers</t>
  </si>
  <si>
    <r>
      <rPr>
        <b/>
      </rPr>
      <t>Update  8-30-19</t>
    </r>
    <r>
      <t>: Not Accepting Volunteers(CT)</t>
    </r>
  </si>
  <si>
    <t>Aminoacidopathy</t>
  </si>
  <si>
    <t>Gene</t>
  </si>
  <si>
    <t>Inborn Errors of Metabolism</t>
  </si>
  <si>
    <t>Meredith Weaver</t>
  </si>
  <si>
    <t>Bill Craigen</t>
  </si>
  <si>
    <t xml:space="preserve">baseline or comprehensive  </t>
  </si>
  <si>
    <r>
      <rPr>
        <b/>
      </rPr>
      <t>Update 10-09-19</t>
    </r>
    <r>
      <t>: Accepting volunteers, Update 8/28/19: No longer accepting volunteers</t>
    </r>
  </si>
  <si>
    <t>Intellectual Disability and Autism</t>
  </si>
  <si>
    <t>Neurodevelopmental</t>
  </si>
  <si>
    <t>David Miller, Christian Schaaf</t>
  </si>
  <si>
    <t>Preferred C3 effort and/or biocurator type</t>
  </si>
  <si>
    <t>1st &amp; 3rd Wed. @ 2 pm</t>
  </si>
  <si>
    <t>Preferred ClinGen curation effort</t>
  </si>
  <si>
    <t>any</t>
  </si>
  <si>
    <t>Expert Panels / Working Groups requested</t>
  </si>
  <si>
    <r>
      <t xml:space="preserve">Update 02-11-20: </t>
    </r>
    <r>
      <rPr/>
      <t>Updated Coordinator</t>
    </r>
  </si>
  <si>
    <t>Brain Malformations</t>
  </si>
  <si>
    <t>Devon McKnight</t>
  </si>
  <si>
    <t>NICHD U25</t>
  </si>
  <si>
    <t>Ann Poduri, Tim Yu</t>
  </si>
  <si>
    <t>Comprehensive</t>
  </si>
  <si>
    <t>Experienced curators preferred or experience with brain malformation and/or somatic variants</t>
  </si>
  <si>
    <t>Timestamp</t>
  </si>
  <si>
    <t>Newly forming (May 9 2019)</t>
  </si>
  <si>
    <t>Charcot-Marie-Tooth</t>
  </si>
  <si>
    <t>Neuromuscular</t>
  </si>
  <si>
    <t>Dana Bis-Brewer</t>
  </si>
  <si>
    <t>Stefan Zuchner</t>
  </si>
  <si>
    <t>TBD</t>
  </si>
  <si>
    <t>a familiarity with the different forms of inherited neuropathies either at the clinical or molecular genetic level</t>
  </si>
  <si>
    <t xml:space="preserve">Date Assigned </t>
  </si>
  <si>
    <t xml:space="preserve">Training Date </t>
  </si>
  <si>
    <t>Training Attended</t>
  </si>
  <si>
    <t>Newly forming in May 9 2019</t>
  </si>
  <si>
    <r>
      <t xml:space="preserve">Update 8-21-19: </t>
    </r>
    <r>
      <rPr/>
      <t>Accepting 1-2 volunteers</t>
    </r>
  </si>
  <si>
    <t>Congenital Myopathies</t>
  </si>
  <si>
    <t>Liz Kearns</t>
  </si>
  <si>
    <t>Ozge Birsoy, Carsten Bonnemann</t>
  </si>
  <si>
    <t>2nd &amp; 4th Monday @ 9 am</t>
  </si>
  <si>
    <t>some prior experience in human genetics would be important and some experience related to variant review/interpretation in research or clinical setting would be desired.Prior knowledge of NMD would be beneficial but not required</t>
  </si>
  <si>
    <t>Attestation signed</t>
  </si>
  <si>
    <t>Curation Effort</t>
  </si>
  <si>
    <t>WG /EP</t>
  </si>
  <si>
    <t>Number of Curation Activities Participating</t>
  </si>
  <si>
    <t>Three Month Survey</t>
  </si>
  <si>
    <t>Six Month Survey</t>
  </si>
  <si>
    <t>Name</t>
  </si>
  <si>
    <t>Email address</t>
  </si>
  <si>
    <t>Role</t>
  </si>
  <si>
    <t>Volunteer Type</t>
  </si>
  <si>
    <r>
      <rPr>
        <b/>
      </rPr>
      <t>Update 08-28-19</t>
    </r>
    <r>
      <t>: No longer accepting volunteers.</t>
    </r>
  </si>
  <si>
    <t xml:space="preserve">First Choice </t>
  </si>
  <si>
    <t>Second Choice</t>
  </si>
  <si>
    <t>Third Choice</t>
  </si>
  <si>
    <t>Dilated Cardiomyopathy</t>
  </si>
  <si>
    <t xml:space="preserve">Fourth Choice </t>
  </si>
  <si>
    <t xml:space="preserve">Fifth Choice </t>
  </si>
  <si>
    <t>Cardiovascular</t>
  </si>
  <si>
    <t>Experience</t>
  </si>
  <si>
    <t>more than 1?</t>
  </si>
  <si>
    <t>Ray Hershberger</t>
  </si>
  <si>
    <t>Other WGs/EPs if preference not available</t>
  </si>
  <si>
    <t>Notes</t>
  </si>
  <si>
    <r>
      <rPr>
        <b/>
      </rPr>
      <t>Update 08-28-19</t>
    </r>
    <r>
      <t>: No longer accepting volunteers.</t>
    </r>
  </si>
  <si>
    <t>Epilepsy</t>
  </si>
  <si>
    <t>Erin Riggs</t>
  </si>
  <si>
    <t>Ingo Helbig, Heather Mefford</t>
  </si>
  <si>
    <t>1st &amp; 3rd Tues. @ 12 pm</t>
  </si>
  <si>
    <t>Newly forming in December 2019</t>
  </si>
  <si>
    <t>Glaucoma</t>
  </si>
  <si>
    <t>Ocular</t>
  </si>
  <si>
    <t>Emmanuelle Souzeau</t>
  </si>
  <si>
    <t>Hemostasis Thrombosis</t>
  </si>
  <si>
    <t>Hemostasis/Thrombosis</t>
  </si>
  <si>
    <t>Kristy Lee</t>
  </si>
  <si>
    <t>Kathleen Freson/Michele Lambert</t>
  </si>
  <si>
    <t>comprehensive</t>
  </si>
  <si>
    <r>
      <rPr>
        <b/>
      </rPr>
      <t>Update 05-09-19</t>
    </r>
    <r>
      <t>: Added conditions</t>
    </r>
  </si>
  <si>
    <t>Xi Luo</t>
  </si>
  <si>
    <t>Sharon Plon</t>
  </si>
  <si>
    <t>Prior curation experience preferable and a PhD</t>
  </si>
  <si>
    <t>(Inherited Retinal Diseases)</t>
  </si>
  <si>
    <t>Newly forming (May 2019)</t>
  </si>
  <si>
    <t>Limb Girdle Muscular Dystrophy</t>
  </si>
  <si>
    <t>C. Chris Weihl</t>
  </si>
  <si>
    <t>2nd &amp; 4th Tuesdays @2-3pm</t>
  </si>
  <si>
    <r>
      <rPr>
        <b/>
      </rPr>
      <t>Update 12-20-19</t>
    </r>
    <r>
      <t>: No Longer Accepting Volunteers (Survey)</t>
    </r>
  </si>
  <si>
    <t>Mitochondrial Diseases</t>
  </si>
  <si>
    <t xml:space="preserve">Gene </t>
  </si>
  <si>
    <t>Elizabeth McCormick</t>
  </si>
  <si>
    <t>NICHD U24</t>
  </si>
  <si>
    <t>Marni Falk, Xiaowu Gai</t>
  </si>
  <si>
    <t>Monogenic Diabetes</t>
  </si>
  <si>
    <t>Rhea Cosentino</t>
  </si>
  <si>
    <t>Toni Pollin</t>
  </si>
  <si>
    <t>Gene curation experience is preferred</t>
  </si>
  <si>
    <t>Newly Forming in January 2020</t>
  </si>
  <si>
    <t>(Pulmonary Hypertension)</t>
  </si>
  <si>
    <t>Carrie Welch</t>
  </si>
  <si>
    <r>
      <t>Update 01-23-20:</t>
    </r>
    <r>
      <rPr/>
      <t xml:space="preserve"> Not Accepting Volunteers.</t>
    </r>
  </si>
  <si>
    <t>RASopathy GCEP</t>
  </si>
  <si>
    <t>RASopathy</t>
  </si>
  <si>
    <t>Danielle Azzariti</t>
  </si>
  <si>
    <t>Bruce Gelb and Lisa Vincent</t>
  </si>
  <si>
    <t>Newly forming (May 9, 2019)</t>
  </si>
  <si>
    <t>Genitourinary tract cancers</t>
  </si>
  <si>
    <t>Somatic</t>
  </si>
  <si>
    <t>Somatic Cancer</t>
  </si>
  <si>
    <t>Shruti Rao</t>
  </si>
  <si>
    <t>ECEI, Baylor/Stanford</t>
  </si>
  <si>
    <t>Removed newly forming (May 9 2019)</t>
  </si>
  <si>
    <t>Pancreatic Cancer WG - Somatic</t>
  </si>
  <si>
    <t>Matthew McCoy, Gagandeep Brar</t>
  </si>
  <si>
    <t>Curators with any level of expertise will be accepted to curate in CIViC. Experienced curators prefered to create Assertions in CIViC</t>
  </si>
  <si>
    <t>Pediatric Cancer WG</t>
  </si>
  <si>
    <t>Deb Ritter / Shruti Rao</t>
  </si>
  <si>
    <t>ECEI, Stanford/Baylor</t>
  </si>
  <si>
    <t>Gordana Raca, Angshumoy Roy</t>
  </si>
  <si>
    <t>baseline or comprehensive (has different meaning for somatic cancer, see description in request/requirements)</t>
  </si>
  <si>
    <t>This is somatic cancer. We will be using CIViC to curate. Volunteers can be either baseline or comprehensive. For somatic, baseline would be adding Evidence items to CIViC occasionally, while comprehensive would be participating in creating Assertions within CIViC.</t>
  </si>
  <si>
    <t>Subha Madhavan, Shashi Kulkarni</t>
  </si>
  <si>
    <t>3rd Mon. @ 3</t>
  </si>
  <si>
    <t>Initial group (newly forming/accepting)</t>
  </si>
  <si>
    <r>
      <rPr>
        <b/>
      </rPr>
      <t>Update 03-19</t>
    </r>
    <r>
      <t>: NOT Accepting (due to reorganization)</t>
    </r>
  </si>
  <si>
    <t>Somatic Nonsmall cell lung cancer</t>
  </si>
  <si>
    <t>Shruti Rao, Deb ritter</t>
  </si>
  <si>
    <t>Initial Group (accepting)</t>
  </si>
  <si>
    <r>
      <rPr>
        <b/>
      </rPr>
      <t>Update 03-19</t>
    </r>
    <r>
      <t>: NOT Accepting (due to reorganization)</t>
    </r>
  </si>
  <si>
    <t>Somatic TP53</t>
  </si>
  <si>
    <r>
      <t xml:space="preserve">Update 8-30-19:  </t>
    </r>
    <r>
      <rPr/>
      <t>Accepting with conditions (variant curation experience). Update 05-19: Changed name from FAO VCEP to ACADVL VCEP, added hyperlink to page.</t>
    </r>
  </si>
  <si>
    <t>ACADVL</t>
  </si>
  <si>
    <t>Rong Mao, Heather Beaudet</t>
  </si>
  <si>
    <t>Requires variant curation experience as of 8-30-19</t>
  </si>
  <si>
    <t>Catherine Shain/Abbe Lai</t>
  </si>
  <si>
    <t>Cardiomyopathy</t>
  </si>
  <si>
    <t>Declined</t>
  </si>
  <si>
    <t>Lisa Kurtz</t>
  </si>
  <si>
    <t>Birgit Funke</t>
  </si>
  <si>
    <t>experience with variant analysis required; mol dx lab directors preferred</t>
  </si>
  <si>
    <t>No</t>
  </si>
  <si>
    <r>
      <rPr>
        <b/>
      </rPr>
      <t>Update 8-26-19:</t>
    </r>
    <r>
      <t xml:space="preserve"> Accepting with conditions ("high level candidate" presumed to require prior knowledge with CDH1 curation and variant curation). Update 05-09-19: Added conditions.</t>
    </r>
  </si>
  <si>
    <t>CDH1</t>
  </si>
  <si>
    <t>Pediatric cancer</t>
  </si>
  <si>
    <t>Rachid Karam/Intan Schrader</t>
  </si>
  <si>
    <t>3rd Mon. @ 4 pm</t>
  </si>
  <si>
    <t>Prior variant curationi experience and PhD</t>
  </si>
  <si>
    <t>Only</t>
  </si>
  <si>
    <r>
      <t>Update 8-10-19:</t>
    </r>
    <r>
      <rPr/>
      <t xml:space="preserve"> Requires variant curation experience</t>
    </r>
  </si>
  <si>
    <t>Cerebral Creatine Deficiency Syndromes</t>
  </si>
  <si>
    <t>Baseline and Comprehensive</t>
  </si>
  <si>
    <t>variant curation experience and need to attend calls</t>
  </si>
  <si>
    <r>
      <t>Update 8-21-19:</t>
    </r>
    <r>
      <rPr/>
      <t xml:space="preserve"> Can accept 2-3 more volunteers</t>
    </r>
  </si>
  <si>
    <t>Coagulation Factor Deficiency</t>
  </si>
  <si>
    <t>variant curation experience and some background or interest in disease</t>
  </si>
  <si>
    <t>Colon Cancer</t>
  </si>
  <si>
    <t xml:space="preserve">Deb Ritter </t>
  </si>
  <si>
    <t xml:space="preserve">WG </t>
  </si>
  <si>
    <t>Marc Greenblat, Matt Ferber</t>
  </si>
  <si>
    <t xml:space="preserve">this group is still in the very early stages of transition to Expert Panel from gene curation. </t>
  </si>
  <si>
    <t>Newly forming August 2019</t>
  </si>
  <si>
    <t>Update 8-21-19: Accepting volunteers</t>
  </si>
  <si>
    <t>Forming Group as of 8-30-19</t>
  </si>
  <si>
    <t>DICER1 and miRNA-Processing Gene</t>
  </si>
  <si>
    <t>Megan Frone</t>
  </si>
  <si>
    <r>
      <t xml:space="preserve">Priori knowledge or interest in the DICER1 gene and or syndrome preferred. Review of </t>
    </r>
    <r>
      <rPr>
        <b/>
      </rPr>
      <t>CV required</t>
    </r>
    <r>
      <t xml:space="preserve"> before entry</t>
    </r>
  </si>
  <si>
    <t>Familial Hypercholesterolemia</t>
  </si>
  <si>
    <t>Hannah Wand</t>
  </si>
  <si>
    <t>Malfalda Bourbon and Joshua Knowles</t>
  </si>
  <si>
    <t>FBN1</t>
  </si>
  <si>
    <t>Julie De Backer</t>
  </si>
  <si>
    <t>Hearing Loss</t>
  </si>
  <si>
    <t>Andrea Oza</t>
  </si>
  <si>
    <t>Ahmad Abou Tayoun, Sami Amr, Heidi Rehm</t>
  </si>
  <si>
    <t>2nd &amp; 4th Wed. @ 8 am</t>
  </si>
  <si>
    <t>need variant curation experience</t>
  </si>
  <si>
    <r>
      <rPr>
        <b/>
      </rPr>
      <t>Update 03-28-19:</t>
    </r>
    <r>
      <t xml:space="preserve"> Not Accepting Volunteers(CT).</t>
    </r>
  </si>
  <si>
    <t>Hereditary Breast, Ovarian and Pancreatic Cancer</t>
  </si>
  <si>
    <t>Marcy Richardson</t>
  </si>
  <si>
    <t>Fergus Couch</t>
  </si>
  <si>
    <r>
      <rPr>
        <b/>
      </rPr>
      <t>Update 02-13-20</t>
    </r>
    <r>
      <t>: Not Accepting Volunteers.</t>
    </r>
  </si>
  <si>
    <t>KCNQ1</t>
  </si>
  <si>
    <t>Accepted 1 curator in June 2019</t>
  </si>
  <si>
    <r>
      <rPr>
        <b/>
      </rPr>
      <t>Update 08-21-19</t>
    </r>
    <r>
      <t>: Not Accepting Volunteers.</t>
    </r>
  </si>
  <si>
    <t>Maliginant Hyperthermia Susceptibility</t>
  </si>
  <si>
    <t>Jennifer Johnston</t>
  </si>
  <si>
    <t>Broad/Geisinger</t>
  </si>
  <si>
    <r>
      <rPr>
        <b/>
      </rPr>
      <t>Updated 10-24-19</t>
    </r>
    <r>
      <t>: No longer Accepting Volunteers(LK).</t>
    </r>
  </si>
  <si>
    <t>Variant curation experience is preferred</t>
  </si>
  <si>
    <r>
      <rPr>
        <b/>
      </rPr>
      <t>Update 11-11-19</t>
    </r>
    <r>
      <t>: No longer accepting volunteers. Update 8-26-19: Only accepting "high level canddiates" presuming they need priori variant curation experinece as well as knowledge of myeloid malignancies. Update 05-09-19: Added conditions.</t>
    </r>
  </si>
  <si>
    <t>Myeloid Malignancy</t>
  </si>
  <si>
    <t>Stanford/Baylor (ASH)</t>
  </si>
  <si>
    <t>Lucy Godley, David Wu</t>
  </si>
  <si>
    <t xml:space="preserve">2nd Wed. @ 4 pm and 4th Wed @ 12 pm </t>
  </si>
  <si>
    <t>Prior variant curation experience and a PhD</t>
  </si>
  <si>
    <t>(OTC)</t>
  </si>
  <si>
    <t>Metabolism</t>
  </si>
  <si>
    <t>UNC/ Baylor</t>
  </si>
  <si>
    <t>Bill Craigen, Rong Mao</t>
  </si>
  <si>
    <t>requires variant curation experience only.</t>
  </si>
  <si>
    <t>Newly forming (May 14, 2019)</t>
  </si>
  <si>
    <t>Peroxisomal Disorders</t>
  </si>
  <si>
    <t>Variant curation experience preferred</t>
  </si>
  <si>
    <t>Phenyketonuria</t>
  </si>
  <si>
    <t>n/a</t>
  </si>
  <si>
    <r>
      <t>Update 8-21-19:</t>
    </r>
    <r>
      <rPr/>
      <t xml:space="preserve"> Can accept 2-3 more volunteers</t>
    </r>
  </si>
  <si>
    <t>Platelet Disorder</t>
  </si>
  <si>
    <t>Jorge DiPaola, Wolfgang Bergmeier</t>
  </si>
  <si>
    <t>Experienced curators or experience in Glanzmann disease</t>
  </si>
  <si>
    <t>PTEN</t>
  </si>
  <si>
    <t>Jessi Mester</t>
  </si>
  <si>
    <t>Charis Eng, Madhuri Hegde</t>
  </si>
  <si>
    <t>For now, only experienced clinical laboratory curators considered. After training process up and running, glad to have others who complete the training process.</t>
  </si>
  <si>
    <r>
      <t xml:space="preserve">Update 01-23-20: </t>
    </r>
    <r>
      <rPr/>
      <t>Not accepting volunteers. Update 8-22-19: Accepting 1-2 volunteers with experience in RASopathy</t>
    </r>
  </si>
  <si>
    <t>Bruce Gelb, Lisa Vincent</t>
  </si>
  <si>
    <t>Experienced curators preferred or experiences with RASopathies</t>
  </si>
  <si>
    <t>Germline/Somatic Variant Subcommittee</t>
  </si>
  <si>
    <t>Sharon Plon, Mike Walsh</t>
  </si>
  <si>
    <t>Lysosomal Storage Disorders</t>
  </si>
  <si>
    <t>Catherine Rehder, Jenny Goldstein</t>
  </si>
  <si>
    <t>2nd &amp; 4th Tues @ 2 pm</t>
  </si>
  <si>
    <r>
      <rPr>
        <b/>
      </rPr>
      <t>Update 01-27-20</t>
    </r>
    <r>
      <t>: No longer accepting volunteers (CT). Solicited KL for info on 3-28-19(CT), leaving as accepting for now. Update: Accepting volunteers that have expertise in TP53.</t>
    </r>
  </si>
  <si>
    <t>TP53</t>
  </si>
  <si>
    <t>this group will need curators for TP53 variants, to curate a set of variants with the EP rules</t>
  </si>
  <si>
    <r>
      <rPr>
        <b/>
      </rPr>
      <t>Update 01-22-20</t>
    </r>
    <r>
      <t>: Accepting Volunteers.</t>
    </r>
  </si>
  <si>
    <t>VHL</t>
  </si>
  <si>
    <t>Raymond Kim</t>
  </si>
  <si>
    <t>1st Tues. @ 12 pm EST</t>
  </si>
  <si>
    <t xml:space="preserve">particularly interested in expertise for functional analysis of VHL </t>
  </si>
  <si>
    <r>
      <rPr>
        <b/>
      </rPr>
      <t>Update 12-20-19</t>
    </r>
    <r>
      <t>: Accepting Volunteers (Survey).</t>
    </r>
  </si>
  <si>
    <t>von Willebrand Disease</t>
  </si>
  <si>
    <t>David Lillicrap, Jill Johnsen, and Dan Hampshire</t>
  </si>
  <si>
    <t>Unresponsive</t>
  </si>
  <si>
    <t>Contacted</t>
  </si>
  <si>
    <t>Baseline</t>
  </si>
  <si>
    <t>Yes</t>
  </si>
  <si>
    <t>Gene Disease Validity</t>
  </si>
  <si>
    <t>ID Autism</t>
  </si>
  <si>
    <t>On original volunteer doc, assigned in the first draft, Reported to be no longer part of the group on the coordinator 6-month survey</t>
  </si>
  <si>
    <t>On original volunteer doc, assigned in the first draft. Reported to no longer be part of the group on the 6 month coordinator survey</t>
  </si>
  <si>
    <t>Assigned</t>
  </si>
  <si>
    <t>Dosage Sensitivity</t>
  </si>
  <si>
    <t>Recurrent CNVs</t>
  </si>
  <si>
    <t>First</t>
  </si>
  <si>
    <t>Somatic WG</t>
  </si>
  <si>
    <t>-</t>
  </si>
  <si>
    <t>Variant Pathogenicity</t>
  </si>
  <si>
    <t>On original volunteer doc, assigned in the first draft</t>
  </si>
  <si>
    <t>ID/Autism</t>
  </si>
  <si>
    <t>Hemo/Thrombo</t>
  </si>
  <si>
    <t>In contact with ID autism group, Liz took the survey</t>
  </si>
  <si>
    <t>Mitochondrial GCEP</t>
  </si>
  <si>
    <t>unknown</t>
  </si>
  <si>
    <t>Trained before C3</t>
  </si>
  <si>
    <t>Switched from Baseline to Comprehensive once contacted by Gene</t>
  </si>
  <si>
    <t>Epilepsy GCEP</t>
  </si>
  <si>
    <t>Reported to no longer be part of the group on the 6 month coordinator survey</t>
  </si>
  <si>
    <t xml:space="preserve">Epilepsy </t>
  </si>
  <si>
    <t>assigned to Epilepsy but never completed training</t>
  </si>
  <si>
    <t>NA</t>
  </si>
  <si>
    <r>
      <t xml:space="preserve">11/07/18
</t>
    </r>
    <r>
      <rPr>
        <b/>
      </rPr>
      <t>REcontacted June 2019 and responsive, changed status</t>
    </r>
  </si>
  <si>
    <t>Was assigned to Gene on 11/26 then became unresponsive. Reached out in March 2019 and was sent the follow up email</t>
  </si>
  <si>
    <t>Reported to be no longer part of the group on the 6 month coordinator survey</t>
  </si>
  <si>
    <t>pancreatic cancer taskforce</t>
  </si>
  <si>
    <t>pediatric cancer taskforce</t>
  </si>
  <si>
    <t>Reported to have become unresponsive after joining a group on the 6 month coordinator survey</t>
  </si>
  <si>
    <t>pediatric and pancreatic cancer taskforces</t>
  </si>
  <si>
    <t>Storage Disease</t>
  </si>
  <si>
    <t>Mito</t>
  </si>
  <si>
    <t>Out on maternity leave - will contact once back at work</t>
  </si>
  <si>
    <r>
      <t xml:space="preserve">01/09/18
</t>
    </r>
    <r>
      <rPr>
        <b/>
      </rPr>
      <t>Unresponsive as of 7-7-19</t>
    </r>
  </si>
  <si>
    <r>
      <t xml:space="preserve">Note: </t>
    </r>
    <r>
      <rPr/>
      <t xml:space="preserve"> email address given was exu@fulgentgenetics.com, however as of July 9, 2019, this is no longer a contact email and no forwarding email provided.</t>
    </r>
  </si>
  <si>
    <t>Actively curating for the acitonability WG</t>
  </si>
  <si>
    <t>October 2019: Seemed interested, but never finished the training</t>
  </si>
  <si>
    <t>11/22/2019: Actively curating for the actionability WG</t>
  </si>
  <si>
    <t>Completed AWG training and assigned first topics to curate in March 2019, but she never finished the first curations</t>
  </si>
  <si>
    <t>Reported to have become unresponsive after joining a group on the 6 month coordinator survey; 11/22/2019: Actively curating on AWG</t>
  </si>
  <si>
    <t>Follow up email</t>
  </si>
  <si>
    <t>12/18/18 (assigned)
declined(5-2-19)
Renewed interest 8/12/19</t>
  </si>
  <si>
    <t>Attended training, but never completed the other training activities or the attestation</t>
  </si>
  <si>
    <t>Pediatric cancer taskforce</t>
  </si>
  <si>
    <t>Pancreatic cancer taskforce</t>
  </si>
  <si>
    <t>Originally chose Baseline, changed to comprehensive after trained for Somatic</t>
  </si>
  <si>
    <t xml:space="preserve">              </t>
  </si>
  <si>
    <t>PAH</t>
  </si>
  <si>
    <t>8/12/19, 12/20/19</t>
  </si>
  <si>
    <t>7-9-19 (status changed to unresponsive)</t>
  </si>
  <si>
    <t>Attestation Signed</t>
  </si>
  <si>
    <t>Curation Effort Assigned To</t>
  </si>
  <si>
    <t xml:space="preserve">Name </t>
  </si>
  <si>
    <t xml:space="preserve">e-mail </t>
  </si>
  <si>
    <t xml:space="preserve">Baseline v. Comprehensive </t>
  </si>
  <si>
    <t>WG/EP Preference</t>
  </si>
  <si>
    <t>Platelet Disorders</t>
  </si>
  <si>
    <t>Originally choose Comprehensive curation, however they are an undergraduate and it is unclear the level of genetics knowledge. Moved to Baseline on April 16, 2019 (intialled by: CLT)</t>
  </si>
  <si>
    <t>RYR1</t>
  </si>
  <si>
    <t>Originally choose  Baseline curation, however they state they are interested in the RUR1 group and are part of Les Biesecker's lab. Moved to Comprehensive 4-29-19 CT</t>
  </si>
  <si>
    <r>
      <t>Note:</t>
    </r>
    <r>
      <rPr/>
      <t xml:space="preserve"> email address returned a change to runquist@alumni.bcm.edu as of 7-9-19 CLT. Updated.</t>
    </r>
  </si>
  <si>
    <t>Unassigned</t>
  </si>
  <si>
    <t>Switched from Baseline to Comprehensive (prior to any Baseline training) on 10/08/19</t>
  </si>
  <si>
    <t>Second</t>
  </si>
  <si>
    <t>Already in a GCEP, duplicate volunteer</t>
  </si>
  <si>
    <t xml:space="preserve">She attended the Variant training on 05/23/19 but decided that she wanted to do Baseline. </t>
  </si>
  <si>
    <t>Training for VCEP, would like to add GCEP, duplicate volunteer</t>
  </si>
  <si>
    <t>Already a member of the Aminoacidopathy GCEP</t>
  </si>
  <si>
    <t>Recontact Later</t>
  </si>
  <si>
    <t>Notes specifc to this page</t>
  </si>
  <si>
    <t>Trained before C3 started</t>
  </si>
  <si>
    <t>Changed from "Unresponsive" to "Unassigned" after attending the VCI live training.</t>
  </si>
  <si>
    <t>ORiginally choose Comprehensive, however they are a high school student, so we will start with Baseline, per CLT 6-17-19. Was trained by Somatic on 9/11/19 then decided on 10/17/19 to switch to Baseline Curation -LK</t>
  </si>
  <si>
    <r>
      <t xml:space="preserve">Originally choose Comprehensive, however they may be best suited for Baseline with a focus on genes/variants in which they are suspected to have (patient) </t>
    </r>
    <r>
      <rPr>
        <b/>
      </rPr>
      <t>CLT 7-2-19</t>
    </r>
  </si>
  <si>
    <t>hematological cancer taskforce</t>
  </si>
  <si>
    <t>Pediatric cancer and Hematological cancer taskforce</t>
  </si>
  <si>
    <t>Genitourinary cancer taskforce</t>
  </si>
  <si>
    <t>Declined in an email on 10/7/19 - will reach back out in December 2020 to curate when she has a less busy schedule. Change to Comprehensive curation on 12/4/19</t>
  </si>
  <si>
    <t>Hematological Cancer taskforce</t>
  </si>
  <si>
    <t>Switched from Baseline to Comprehensive on 10/09/19</t>
  </si>
  <si>
    <t>Third</t>
  </si>
  <si>
    <t>11/19/2019: Prefers gene or variant curation instead of actionability. AWG coordinator forwarded email to Courtney for follow up</t>
  </si>
  <si>
    <t>Switched from Baseline to Comprehensive on 10/8/19</t>
  </si>
  <si>
    <t>duplicate record</t>
  </si>
  <si>
    <t>Email</t>
  </si>
  <si>
    <t>Status</t>
  </si>
  <si>
    <t>Training Date</t>
  </si>
  <si>
    <t>WG/EP</t>
  </si>
  <si>
    <t>3 months post training</t>
  </si>
  <si>
    <t>3 Month Survey Sent</t>
  </si>
  <si>
    <t>6 Months Post Training</t>
  </si>
  <si>
    <t>6 Month Survey Sent</t>
  </si>
  <si>
    <t>Name (First and Last)</t>
  </si>
  <si>
    <t xml:space="preserve">Institution </t>
  </si>
  <si>
    <t>Address</t>
  </si>
  <si>
    <t>E-mail Address</t>
  </si>
  <si>
    <t>I am a... (choose one that most accurately describes yourself)</t>
  </si>
  <si>
    <t>How did you find out about the ClinGen volunteer efforts?</t>
  </si>
  <si>
    <t>How would you describe the amount of time you are able to commit to ClinGen curation activities?</t>
  </si>
  <si>
    <t>If you are interested in becoming an active member of a curation group, which of the following ClinGen curation activities are you interested in? Please only put checks next to the  the curation efforts that you are willing to participate in. Leave all others blank. Note that each activity will have its own training session(s).  Learn more about each activity here: https://www.clinicalgenome.org/curation-activities/ A description of Somatic Cancer curation can be found here: https://www.clinicalgenome.org/working-groups/somatic/   [First Choice ]</t>
  </si>
  <si>
    <t>If you are interested in becoming an active member of a curation group, which of the following ClinGen curation activities are you interested in? Please only put checks next to the  the curation efforts that you are willing to participate in. Leave all others blank. Note that each activity will have its own training session(s).  Learn more about each activity here: https://www.clinicalgenome.org/curation-activities/ A description of Somatic Cancer curation can be found here: https://www.clinicalgenome.org/working-groups/somatic/   [Second Choice]</t>
  </si>
  <si>
    <t>If you are interested in becoming an active member of a curation group, which of the following ClinGen curation activities are you interested in? Please only put checks next to the  the curation efforts that you are willing to participate in. Leave all others blank. Note that each activity will have its own training session(s).  Learn more about each activity here: https://www.clinicalgenome.org/curation-activities/ A description of Somatic Cancer curation can be found here: https://www.clinicalgenome.org/working-groups/somatic/   [Third Choice]</t>
  </si>
  <si>
    <t>If you are interested in becoming an active member of a curation group, which of the following ClinGen curation activities are you interested in? Please only put checks next to the  the curation efforts that you are willing to participate in. Leave all others blank. Note that each activity will have its own training session(s).  Learn more about each activity here: https://www.clinicalgenome.org/curation-activities/ A description of Somatic Cancer curation can be found here: https://www.clinicalgenome.org/working-groups/somatic/   [Fourth Choice ]</t>
  </si>
  <si>
    <t>If you are interested in becoming an active member of a curation group, which of the following ClinGen curation activities are you interested in? Please only put checks next to the  the curation efforts that you are willing to participate in. Leave all others blank. Note that each activity will have its own training session(s).  Learn more about each activity here: https://www.clinicalgenome.org/curation-activities/ A description of Somatic Cancer curation can be found here: https://www.clinicalgenome.org/working-groups/somatic/   [Fifth Choice]</t>
  </si>
  <si>
    <t>Do you have any previous experience with the type of curation activity you selected for the previous question?  If yes, please describe briefly.</t>
  </si>
  <si>
    <t>Are you interested/able to work on more than one curation activity? Please note that this would likely increase your time commitment.</t>
  </si>
  <si>
    <t xml:space="preserve">Are you interested in a particular ClinGen Expert Panel/Working Group?  A current list of Expert Panels/Working Groups can be found here: https://clinicalgenome.org/working-groups/community-curation-committee-c3/. Note that we will take your request into consideration, however, groups' status on accepting volunteers may change . </t>
  </si>
  <si>
    <t/>
  </si>
  <si>
    <t>If you indicated a preference for a certain expert panel, or to work within a certain disease area (e.g. cancer, neurodevelopmental disorders, cardiovascular diseases, etc.), would you still be willing to volunteer if there were no available opportunities in this area?</t>
  </si>
  <si>
    <t>What would you like to accomplish by volunteering with ClinGen?</t>
  </si>
  <si>
    <t>Are there any genes and/or disease areas you are particularly interested in?</t>
  </si>
  <si>
    <t>What motivated you to volunteer in ClinGen curation efforts?</t>
  </si>
  <si>
    <t>What is your highest level of education?</t>
  </si>
  <si>
    <t>If you have an advanced genetic certification or fellowship (i.e. CGC or FACMG), please indicate:</t>
  </si>
  <si>
    <t>What timezone are you in? Please refer to this link for options: https://www.timeanddate.com/</t>
  </si>
  <si>
    <t>Suneeta Mandava</t>
  </si>
  <si>
    <t>Personalis</t>
  </si>
  <si>
    <t>suneeta.mandava@gmail.com</t>
  </si>
  <si>
    <t>Variant Analyst/Scientist</t>
  </si>
  <si>
    <t>Interested to curate genes for somatic cancer; would like to start slow and expand over time</t>
  </si>
  <si>
    <t>Gene-Disease Validity</t>
  </si>
  <si>
    <t>Clinical Actionability</t>
  </si>
  <si>
    <t>I am clinical genomics variant scientist in somatic cancers for the last almost 5 years</t>
  </si>
  <si>
    <t>Possibly</t>
  </si>
  <si>
    <t>somatic cancer TP53</t>
  </si>
  <si>
    <t>Maybe -- please contact me with other options, and I will decide based on what is available</t>
  </si>
  <si>
    <t>Edwin Kim</t>
  </si>
  <si>
    <t>University of Pennsylvania</t>
  </si>
  <si>
    <t>20701 N Scottsdale Rd #107 Scottsdale AZ 85255</t>
  </si>
  <si>
    <t>Edwinkimmd@gmail.com</t>
  </si>
  <si>
    <t>Physician (Non-geneticist)</t>
  </si>
  <si>
    <t>Before medical school, I worked in microbial genomics at the Joint Genome Institute. My work involved curating output from bioinformatics algorithms and curating information into public genomic databases. My work culminated in building an education module to promote genomics in undergraduate classes. Many years later, I find myself completing a clinical fellowship I  Addiction Psychiatry. I foresee an increasing interest in the genomics of substance use disorders and addiction. This will require building a robust database, then to train a generation of clinicians/researchers adept at querying the database. I would like to be one to train these first cohorts.</t>
  </si>
  <si>
    <t>Working with Bioinformaticians and microbial researchers at the Lawrence Berkeley/Livermore DOE Joint Genome Institute and curating in-house data for output to public research databases.</t>
  </si>
  <si>
    <t>Possibly after gaining some more exposure and increasing experience.</t>
  </si>
  <si>
    <t>Julyann Pérez Mayoral</t>
  </si>
  <si>
    <t>University of Puerto Rico Comprehensive Cancer Center</t>
  </si>
  <si>
    <t>Centro Medico Rio Piedras Lab #9 San Juan, P.R. 00936</t>
  </si>
  <si>
    <t>julyann.perez@upr.edu</t>
  </si>
  <si>
    <t>Post Doc/Resident/Fellow (MD and/or PhD)</t>
  </si>
  <si>
    <t>I am interested in Variant Classification, especially for cancers such as Colorectal and Breast Cancer, as well as, hereditary cancers.</t>
  </si>
  <si>
    <t>Variant Curation Panel</t>
  </si>
  <si>
    <t>Xiaodong Wang</t>
  </si>
  <si>
    <t>Cipher Gene, Ltd</t>
  </si>
  <si>
    <t>xdwang@ciphergene.com</t>
  </si>
  <si>
    <t>I used to be wormbase biocurator. I am familiar with curation process. I was trained as molecular geneticist. I am now leading my own variant interpretation group in a genetic testing startup company. We do lots of genetic testing on neurodevelopmental disorder patients, particularly with epilepsy, seizures, ID/DD.</t>
  </si>
  <si>
    <t xml:space="preserve">I am familiar with ACMG for variant classification, which I do daily. </t>
  </si>
  <si>
    <t>Epilepsy group</t>
  </si>
  <si>
    <t>Jun Shen</t>
  </si>
  <si>
    <t>BWH</t>
  </si>
  <si>
    <t>221 Longwood Ave., Boston, MA 02115</t>
  </si>
  <si>
    <t>jshen5@bwh.harvard.edu</t>
  </si>
  <si>
    <t>Clinical laboratory geneticist</t>
  </si>
  <si>
    <t>I am a member of the hearing loss working group.</t>
  </si>
  <si>
    <t>I work on the HL-EP</t>
  </si>
  <si>
    <t>I'm already on the HL-EP</t>
  </si>
  <si>
    <t>Jennifer Howe</t>
  </si>
  <si>
    <t>The Hospital for Sick Children</t>
  </si>
  <si>
    <t>Toronto, Canada</t>
  </si>
  <si>
    <t>jhowe@sickkids.ca</t>
  </si>
  <si>
    <t>Senior Project Manager</t>
  </si>
  <si>
    <t>From the ASD Gene list meeting held in Toronto in Sept 2018 - I would like to assist in curating genes for ASD</t>
  </si>
  <si>
    <t>Autism and Intellectual Disability</t>
  </si>
  <si>
    <t>No - I am only interested in the group(s) I previously indicated</t>
  </si>
  <si>
    <t>Kalpana Panneerselvam</t>
  </si>
  <si>
    <t xml:space="preserve">Excelra knowledge solutions </t>
  </si>
  <si>
    <t>India</t>
  </si>
  <si>
    <t>kalpanarpanneerselvam@gmail.com</t>
  </si>
  <si>
    <t>Biocurator</t>
  </si>
  <si>
    <t>While browsing about institutions that are involved in curating genetic variants, I got to know about ClinGen. I would like to explore how I can work towards bringing more clarity on gene-disease and gene-drug relationship; I am open to work with any disease or gene</t>
  </si>
  <si>
    <t xml:space="preserve">I have worked as curator for Ingenuity Variant Analysis product by Qiagen </t>
  </si>
  <si>
    <t xml:space="preserve">Mitochondrial diseases </t>
  </si>
  <si>
    <t>Yes- I am willing to volunteer with any available ClinGen group</t>
  </si>
  <si>
    <t>Justin Schleede Phd</t>
  </si>
  <si>
    <t>LabCorp</t>
  </si>
  <si>
    <t>schleej@labcorp.com</t>
  </si>
  <si>
    <t>I have access to a huge database and feel my input would be of value to the group.</t>
  </si>
  <si>
    <t>Yes, I review literature and classify genes as part of my daily workflow</t>
  </si>
  <si>
    <t xml:space="preserve">Juan Carlos Diaz </t>
  </si>
  <si>
    <t xml:space="preserve">looking for a postdoc </t>
  </si>
  <si>
    <t>80 Behr apt 301 San Francisco, CA. Zip 94131</t>
  </si>
  <si>
    <t xml:space="preserve">cuallijuan@hotmail.com </t>
  </si>
  <si>
    <t>Scientific Researcher</t>
  </si>
  <si>
    <t xml:space="preserve">I have a PhD from Rice University in Biosciences. I found new missense mutations in the gene Vkorc1 in rodents, Mus musculus, in the USA that I am working to publish. I am really interested to work in ClinGen because I would like to keep myself updated and learning. I think I can participate in the curation for anticoagulants resistant if is a plan to do that, I understand well the system and the genes involved but I don't mind helping in other gene systems. I am interested in the genes associated with obesity as well. </t>
  </si>
  <si>
    <t xml:space="preserve">No </t>
  </si>
  <si>
    <t>Gene Curation Expert Panels</t>
  </si>
  <si>
    <t>Indu Raja</t>
  </si>
  <si>
    <t>Sidra Medicine</t>
  </si>
  <si>
    <t>indudraja@gmail.com</t>
  </si>
  <si>
    <t>laboratory technologist</t>
  </si>
  <si>
    <t>ClinGen Genome Dosage resources are used by our lab for microarray data analysis. As there is an explosion of big data with newer technologies and research, it is imperative that this information be translated into a clinical setting in a meaningful way, hence I would be interested in doing my part in curation and making the data publicly available. Neurodevelopmental disorders/ASD/leukemia's are some of my areas of interest.</t>
  </si>
  <si>
    <t>Tomohiko Ai</t>
  </si>
  <si>
    <t>Ohio State University</t>
  </si>
  <si>
    <t>336 BRT W. 12 Ave. Columbus, Ohio 43210</t>
  </si>
  <si>
    <t>Tomohiko.Ai@osumc.edu</t>
  </si>
  <si>
    <t>I have been adjudicating variants of DCM at Ohio State University. I have been performing translational research in cardiovascular medicine. I am interested in underling molecular mechanisms of cardiomayopathy and arrhythmias.</t>
  </si>
  <si>
    <t>I have experiences with variant pathogenicity.</t>
  </si>
  <si>
    <t>Rajavarman Kittu</t>
  </si>
  <si>
    <t>kokilaben dhirubhai ambani hospital and medical research centre</t>
  </si>
  <si>
    <t>Four Bungalows, Andheri West, Mumbai, Maharashtra, India 400053</t>
  </si>
  <si>
    <t>rajavarman21@gmail.com</t>
  </si>
  <si>
    <t>when i attended the webinar meeting realised there are bunch of interesting people working behind clingen. My passion is to work in clinical genomics space.Also, I strongly believe   my contributing  to ClinGen would  help the clingen database to improve better at the same time, my knowledge and understanding over the variant interpretation skills will also get improve.So considering the mutual benefits i would like to be active member of the ClinGen team and contributing as much as i can.</t>
  </si>
  <si>
    <t>Yea being variant analyst I'm doing curation in and out before reporting any patient observed in patient</t>
  </si>
  <si>
    <t>As mentioned above in the table( ranking) i prefer to contribute. if that is not possible i would like to be any ClinGen Expert Panel/Working Group where there is need for help.</t>
  </si>
  <si>
    <t>Rhea Vallente</t>
  </si>
  <si>
    <t>Fulgent Genetics</t>
  </si>
  <si>
    <t>rvallente@fulgentgenetics.com</t>
  </si>
  <si>
    <t>I would like to help out in curating variants related to hearing loss because I managed a next-gen hearing loss panel when I worked as a Human Molecular Geneticist at PreventionGenetics. I am now working as a Genomic Curation Scientist at FulgentGenetics.</t>
  </si>
  <si>
    <t>Yes. I have been curating variants for five years, starting at PreventionGenetics, then I moved to EGL Genetics, and now I'm working for Fulgent Genetics.</t>
  </si>
  <si>
    <t>Hearing loss</t>
  </si>
  <si>
    <t>Caitlin Hale</t>
  </si>
  <si>
    <t>Lucile Packard Children's Hospital Stanford</t>
  </si>
  <si>
    <t>CHale@stanfordchildrens.org</t>
  </si>
  <si>
    <t>Genetic counselor</t>
  </si>
  <si>
    <t>I heard about ClinGen from a colleague. As a clinical genetic counselor, I am often in the frustrating position of discussing results of unknown significance. I appreciate ClinGen's efforts to standardize and improve variant interpretation. I am particularly interested in genes associated with syndromic forms of intellectual disability.</t>
  </si>
  <si>
    <t>I have 3.5 years of experience as a pediatric genetic counselor. In this position, I have gained significant experience in interpreting lab results and conducting curation activity via literature searches, database searches, etc. to ensure that our clinical interpretation is in agreement with the lab's interpretation.</t>
  </si>
  <si>
    <t>I would be most interested in areas related to pediatric medical genetics (autism, ID, neurodevelopmental disorders), but I am open to  any group that is accepting volunteers.</t>
  </si>
  <si>
    <t>Melissa Murfin</t>
  </si>
  <si>
    <t>Elon University</t>
  </si>
  <si>
    <t>Department of Physician Assistant Studies
2087 Campus Box</t>
  </si>
  <si>
    <t>mmurfin@elon.edu</t>
  </si>
  <si>
    <t>Pharmacist/PA-C, PA program director</t>
  </si>
  <si>
    <t xml:space="preserve">I am interested in being part of bringing personalized medicine to prescribers and patients to improve outcomes and care. I found you on the NHGRI website. I would love to see everyone get a PGx profile so that we as providers can make more informed treatment choices for our patients. I'm most interested in clinically actionable pharmacogenetic areas. </t>
  </si>
  <si>
    <t>I am open to any opportunity</t>
  </si>
  <si>
    <t>Ana León</t>
  </si>
  <si>
    <t>Universidad Politécnica de Valencia</t>
  </si>
  <si>
    <t>aleon@pros.upv.es</t>
  </si>
  <si>
    <t>PhD Student</t>
  </si>
  <si>
    <t>I am finishing my PhD in Computer Science. The topic of my thesis is the development of a method to build Genomic Information Systems to support the identification of relevant variants involved in the development of diseases. I am working with experts in the identification of variants associated to epilepsy, breast cancer, migraine, Alzheimer and Crohn's disease. I would like to get involved in the curation process of Clingen to improve my skills and identify new areas were Information Systems could be useful to automate and support the work of the clinicians and geneticists.</t>
  </si>
  <si>
    <t>During my research I worked in the identification of variants and genes associated with the studied diseases.</t>
  </si>
  <si>
    <t>Catalina Betancur</t>
  </si>
  <si>
    <t>France</t>
  </si>
  <si>
    <t>Catalina.Betancur@inserm.fr</t>
  </si>
  <si>
    <t>Casey Brew</t>
  </si>
  <si>
    <t>Ann &amp; Robert H. Lurie Children's Hospital</t>
  </si>
  <si>
    <t>426 W. Belmont Ave Apt 1408, Chicago, IL, 60657</t>
  </si>
  <si>
    <t>cbrew@luriechildrens.org</t>
  </si>
  <si>
    <t xml:space="preserve">I started working as a laboratory genetic counseling doing variant interpretation about 6 months ago, mainly specializing in connective tissue disorders and cardiomyopathy. ClinGen and ClinVar have been regular resources for me in this position. I am interested in continuing to learn more about the process of gene/variant curation as well as to continue building my expertise in the connective tissue/cardiology areas. </t>
  </si>
  <si>
    <t xml:space="preserve">I have experience in sequence variant interpretation and report writing for clinical cases through our in-house molecular diagnostics lab. </t>
  </si>
  <si>
    <t>I would be most interested in the Inherited Cardiomyopathy Variant Curation Expert Panel, but I am open to just about anything.</t>
  </si>
  <si>
    <t>Shulin Zhang</t>
  </si>
  <si>
    <t>University of Kentucky, UKHealthCare</t>
  </si>
  <si>
    <t>800 Rose Street, MS117, Lexington KY, 40536</t>
  </si>
  <si>
    <t>shulin.zhang@uky.edu</t>
  </si>
  <si>
    <t xml:space="preserve">ClinGen curation expert panel's guidelines/recommendations play an indispensable role in the variant curation process in my laboratory. My lab at University of Kentucky offers genetic testing for both somatic and inherited conditions. Since I joined this laboratory in June 2018, my main goals focus on the developing genetic testing for cardiovascular conditions, mitochondrial/metabolic conditions, ophthalmological conditions, neonatal WES, cancer predispositions and pediatric cancers. Currently, I am particularly interested in joining the curation expert panel  for 1) dosage sensitive genes 2) mitochondrial conditions 3) cardiovascular conditions. </t>
  </si>
  <si>
    <t>1) Dosage sensitivity working group expert panel (inherited cancers) 2) Colorectal cancer 3) mitochondrial diseases</t>
  </si>
  <si>
    <t>Marwan Shinawi</t>
  </si>
  <si>
    <t>Washington University School of Medicine</t>
  </si>
  <si>
    <t>One Childrens Place, Northwest Tower, 9132</t>
  </si>
  <si>
    <t>mshinawi@wustl.edu</t>
  </si>
  <si>
    <t>Clinical Medical Geneticist</t>
  </si>
  <si>
    <t xml:space="preserve">I am a clinical geneticist and have special interest in genomic medicine and disease gene discovery. I lead the effort to establish an exome clinic five years ago at Washington University School of Medicine. I have good experience in interpretation of exome results, exploring genotype phenotype correlation, and using in silico tools for variant classification. I hear about ClinGen through scientific conferences and colleagues in the field of medical genetics.   </t>
  </si>
  <si>
    <t>To some extent</t>
  </si>
  <si>
    <t>Autism and Intellectual Disability Gene Curation Expert Panel</t>
  </si>
  <si>
    <t>Adam Coovadia</t>
  </si>
  <si>
    <t>Saint Petersburg College</t>
  </si>
  <si>
    <t>1201 Fairway Ave South</t>
  </si>
  <si>
    <t>coovadiaa@gmail.com</t>
  </si>
  <si>
    <t>Former Lab Operations Director/Molecular Genetics Lab Supervisor and College Professor of Bioinformatics, Genetics, Cell Biology, Biotechnology</t>
  </si>
  <si>
    <t xml:space="preserve">I have been involved with variant science for 13 years both as the Supervisor of the clinical molecular genetics lab at Johns Hopkins Medicine/All Children's Hospital and the Director of Lab Operations at EvolveGene/Cooper Genomics. In addition, I have been an active CAP lab inspector of molecular labs for 10 years now. I have contributed to HGMD, ClinVar and other databases. I am interested in assisting with this project so as to help resolve and or reduce variant discrepancies and learn something along the way! While my experience is in germ line variants for genes typically associated with carrier tests and or esoteric tests, I am open to assisting with any gene and or disease, as needed.  </t>
  </si>
  <si>
    <t>Volkan Okur</t>
  </si>
  <si>
    <t>Baylor college of Medicine</t>
  </si>
  <si>
    <t>Houston, Texas</t>
  </si>
  <si>
    <t>vokur@bcm.edu</t>
  </si>
  <si>
    <t>Clinical medical geneticist/Clinical laboratory geneticist/Post Doc/Resident/Fellow (MD and/or Phd)/Scientific Researcher/Variant Analyst/Scientist</t>
  </si>
  <si>
    <t>any expert panel of hereditary cancer and/or inborn errors of metabolism domains. ClinVar experts can decide where I would be of the most help.</t>
  </si>
  <si>
    <r>
      <t>NOTE:</t>
    </r>
    <r>
      <rPr/>
      <t xml:space="preserve"> Changed address and email. Originally from Columbia University NY </t>
    </r>
    <r>
      <t>CLT 7-8-19</t>
    </r>
  </si>
  <si>
    <t>Mythily Ganapathi</t>
  </si>
  <si>
    <t>Columbia University Medical Center</t>
  </si>
  <si>
    <t>New York CIty</t>
  </si>
  <si>
    <t>mg3560@cumc.columbia.edu</t>
  </si>
  <si>
    <t>Cardiovascular Dilated Cardiomyopathy Gene Curation Expert Panel (In progress) Cardiovascular Familial Hypercholesterolemia Variant Curation Expert Panel (In progress) Cardiovascular KCNQ1 Variant Curation Expert Panel (In progress) Cardiovascular LQTS Gene Curation Expert Panel (In progress) Cardiovascular KCNQ1 Variant Curation Expert Panel</t>
  </si>
  <si>
    <t>Leslie Oldfield</t>
  </si>
  <si>
    <t>UHN</t>
  </si>
  <si>
    <t>leslie.oldfield@gmail.com</t>
  </si>
  <si>
    <t>Research Associate</t>
  </si>
  <si>
    <t>Breast and Ovarian Cancer Gene Curation Expert Panel, Colon Cancer and Polyposis Gene Curation Expert Panel, and the Hereditary Cancer Gene Curation Expert Panel</t>
  </si>
  <si>
    <t>Breast and Ovarian Cancer Gene Curation Expert Panel, Colon Cancer and Polyposis Gene Curation Expert Panel, and the Hereditary Cancer Gene Curation Expert Pane</t>
  </si>
  <si>
    <t>John Shoffner</t>
  </si>
  <si>
    <t>Georgia</t>
  </si>
  <si>
    <t>jmsiv9903@icloud.com</t>
  </si>
  <si>
    <t>Clinical medical geneticist/Clinical laboratory geneticist and Neurology, Biochemical and Molecular Genetics</t>
  </si>
  <si>
    <t>Mitochondrial disease gene and variant expert curation panel; Dilated cardiomyopathy; Fatty acid oxidation; Neuromuscular disease</t>
  </si>
  <si>
    <t>Isabelle Thiffault</t>
  </si>
  <si>
    <t>Children's Mercy Hospital</t>
  </si>
  <si>
    <t>Kansas CIty, MO</t>
  </si>
  <si>
    <t>ithiffault@cmh.edu</t>
  </si>
  <si>
    <t>Undergraduate</t>
  </si>
  <si>
    <t>Mitochondrial or ASD/ID</t>
  </si>
  <si>
    <t>Ye Cao</t>
  </si>
  <si>
    <t>ye.cao@bcm.edu</t>
  </si>
  <si>
    <t>Clinical laboratory geneticist and Post Doc/Resident/Fellow (MD and/or PhD)</t>
  </si>
  <si>
    <t>Hereditary Cancer Gene Curation Expert Panel</t>
  </si>
  <si>
    <t>Samar Khalefa</t>
  </si>
  <si>
    <t>Egypt</t>
  </si>
  <si>
    <t>samarkhalifa@hotmail.com</t>
  </si>
  <si>
    <t>High School Student</t>
  </si>
  <si>
    <t>Autism and Intellectual Disability Gene Curation Expert Panel. I hope to involve in all Expert Panels/Working Groups related to brain genome.</t>
  </si>
  <si>
    <t>Colin Ellis</t>
  </si>
  <si>
    <t>PA</t>
  </si>
  <si>
    <t>colin.ellis@uphs.upenn.edu</t>
  </si>
  <si>
    <t>Epilepsy WG</t>
  </si>
  <si>
    <t>Mansour Zamanpoor</t>
  </si>
  <si>
    <t>WRGL</t>
  </si>
  <si>
    <t>New Zealand</t>
  </si>
  <si>
    <t>mansour.zamanpoor@ccdhb.org.nz</t>
  </si>
  <si>
    <t>Clinical laboratory genetist, PhD candidate</t>
  </si>
  <si>
    <t>Hereditary cancer and neuro-developmental disorders</t>
  </si>
  <si>
    <t>Benjamin Kang</t>
  </si>
  <si>
    <t>EGL Genetics/Emory University SOM</t>
  </si>
  <si>
    <t>GA</t>
  </si>
  <si>
    <t>bekang@emory.edu</t>
  </si>
  <si>
    <t>I am interested in a couple of ClinGen Expert Panel/Working Group, 1)Cardiovascular Dilated Cardiomyopathy Gene Curation Expert Panel, 2) Rett Angelman Variant Curation Expert Panel. However, if there is any other expert panel/working group needs my help, I am more than happy to participate in it.</t>
  </si>
  <si>
    <t>Ljubica Caldovic</t>
  </si>
  <si>
    <t>Children's National Medical Center</t>
  </si>
  <si>
    <t>Washington, DC</t>
  </si>
  <si>
    <t>lcaldovic@childrensnational.org</t>
  </si>
  <si>
    <t>Scientific Researcher, Variant Analyst/Scientist</t>
  </si>
  <si>
    <t>Aminoacidopathy working group/expert panel; Metabolism expert panel</t>
  </si>
  <si>
    <t>John Millichap</t>
  </si>
  <si>
    <t>Ann &amp; Robert H. Lurie Children's Hospital of Chicago</t>
  </si>
  <si>
    <t>Chicago, IL</t>
  </si>
  <si>
    <t>jmillichap@luriechildrens.org</t>
  </si>
  <si>
    <t>Epilepsy WG/EP</t>
  </si>
  <si>
    <t>Vladimir Lialine</t>
  </si>
  <si>
    <t>Twixsoft LLC</t>
  </si>
  <si>
    <t>Connecticut</t>
  </si>
  <si>
    <t>vlad@twixsoft.com</t>
  </si>
  <si>
    <t>Scientific Researcher, Graduate Student, Citizen Scientist/Patient Advocate</t>
  </si>
  <si>
    <t>Excelra Knowledge Solutions</t>
  </si>
  <si>
    <t>Biocurator, Variant Analyst/Scientist</t>
  </si>
  <si>
    <t>Somatic/Germline Variant Curation Group; Hereditary Cancer Gene Curation Expert Panel</t>
  </si>
  <si>
    <t>Vaidehi Jobanputra</t>
  </si>
  <si>
    <t>New York Genome Center</t>
  </si>
  <si>
    <t xml:space="preserve">New York  </t>
  </si>
  <si>
    <t>vjobanputra@nygenome.org</t>
  </si>
  <si>
    <t>Khushnooda Ramzan</t>
  </si>
  <si>
    <t>King Faisal Specialist Hospital and Research Centre</t>
  </si>
  <si>
    <t>Saudi Arabia</t>
  </si>
  <si>
    <t>khushnooda@gmail.com</t>
  </si>
  <si>
    <t>Scientific Research/ Variant Analyst</t>
  </si>
  <si>
    <t>Experience with Mendelian disorders, not noted for curation. Hearing Loss (most experience with pubs), Cardiovascular KCNQ1 Variant
Storage Diseases Variant Curation Expert Panel</t>
  </si>
  <si>
    <t>Erik Thorland</t>
  </si>
  <si>
    <t xml:space="preserve">Mayo Clinic </t>
  </si>
  <si>
    <t>MN</t>
  </si>
  <si>
    <t>thorland.erik@mayo.edu</t>
  </si>
  <si>
    <t>I'm specifically interested in the epilespy gene curation group.  I'm already involved in the dosage sensitivity working group.</t>
  </si>
  <si>
    <t>Olivia Rennie</t>
  </si>
  <si>
    <t>olivia.rennie@sickkids.ca</t>
  </si>
  <si>
    <t>ID/Autism Gene Curation Expert Panel</t>
  </si>
  <si>
    <t>Kira Dies</t>
  </si>
  <si>
    <t>Boston Children's Hospital</t>
  </si>
  <si>
    <t>Boston, MA</t>
  </si>
  <si>
    <t>Kira.Dies@childrens.harvard.edu</t>
  </si>
  <si>
    <t>ASD/NDD</t>
  </si>
  <si>
    <t>ID/Autism Expert Panel</t>
  </si>
  <si>
    <t>Ny Hoang</t>
  </si>
  <si>
    <t>ny.hoang@sickkids.ca</t>
  </si>
  <si>
    <t>Autism and ID working group</t>
  </si>
  <si>
    <t>Jacob Vorstman</t>
  </si>
  <si>
    <t>jacob.vorstman@sickkids.ca</t>
  </si>
  <si>
    <t>Post Doc/Resident/Fellow (MD and/or Phd), Scientific Researcher, Physician (non-geneticist)</t>
  </si>
  <si>
    <t>Autism Spectrum Disorder - see previous and ongoing discussions following the Toronto ASD gene list meeting this fall</t>
  </si>
  <si>
    <t>Sainan Wei</t>
  </si>
  <si>
    <t>University of Kentucky</t>
  </si>
  <si>
    <t>Kentucky</t>
  </si>
  <si>
    <t xml:space="preserve">sainan.wei@uky.edu </t>
  </si>
  <si>
    <t>Hereditary cancer gene Acinoacidopathy gene fatty acid oxidation gene</t>
  </si>
  <si>
    <t>Hereditary cancer gene Aminoacidopathy gene fatty acid oxidation gene</t>
  </si>
  <si>
    <t>Preti Jain</t>
  </si>
  <si>
    <t>Yale University</t>
  </si>
  <si>
    <t>preti.jain@yale.edu</t>
  </si>
  <si>
    <t>cardiomyopathy, Somatic/Germline Variant Curation, Hereditary Cancer</t>
  </si>
  <si>
    <t>Andrea Vaags</t>
  </si>
  <si>
    <t>Trillium Health Partners - Credit Valley Hospital</t>
  </si>
  <si>
    <t>Canada</t>
  </si>
  <si>
    <t>andrea.vaags@thp.ca</t>
  </si>
  <si>
    <t>Somatic/Germline Variant Curation Group (In progress); Breast and Ovarian Cancer Gene Curation Expert Panel; Hereditary Cancer Gene Curation Expert Panel (In progress); Somatic/Germline Variant Curation Group (In progress)</t>
  </si>
  <si>
    <t>George Burghel</t>
  </si>
  <si>
    <t>Manchester Centre for Genomic Medicine</t>
  </si>
  <si>
    <t>Manchester, UK</t>
  </si>
  <si>
    <t>george.burghel@mft.nhs.uk</t>
  </si>
  <si>
    <t xml:space="preserve">Experience with Dosage sensitivity but not curation. </t>
  </si>
  <si>
    <t xml:space="preserve">Experience with Dosage sensistivy but not curation. </t>
  </si>
  <si>
    <t>Coumarane Mani</t>
  </si>
  <si>
    <t>ARUP Laboratories</t>
  </si>
  <si>
    <t>SLC, Utah</t>
  </si>
  <si>
    <t>coumarane.mani@aruplab.com</t>
  </si>
  <si>
    <t>1. Somatic/Germline Variant Curation Group 2. Myeloid Malignancy Variant Curation Expert Panel</t>
  </si>
  <si>
    <t>Mahesh Iddawela</t>
  </si>
  <si>
    <t>Monash University</t>
  </si>
  <si>
    <t>Victoria, Australia</t>
  </si>
  <si>
    <t>mahesh.iddawela@monash.edu</t>
  </si>
  <si>
    <t>Clinician Scientist Medical Oncology</t>
  </si>
  <si>
    <t>Somatic Cancer (TP53), Breast/Ovarian cancer</t>
  </si>
  <si>
    <t>Diogo Ventura Lovato</t>
  </si>
  <si>
    <t>Tismoo Biotech</t>
  </si>
  <si>
    <t>Brazil</t>
  </si>
  <si>
    <t>diogo.v.lovato@gmail.com</t>
  </si>
  <si>
    <t>Clinical laboratory geneticist, Scientific Researcher, Biocurator, Variant Analyst/Scientist</t>
  </si>
  <si>
    <t>Autism and Intellectual Disability, Epilepsy</t>
  </si>
  <si>
    <t>Rhonda N.T. Lassiter, PhD</t>
  </si>
  <si>
    <t>Ambry Genetics</t>
  </si>
  <si>
    <t>15 Argonaut, CA</t>
  </si>
  <si>
    <t>rlassiter@ambrygen.com</t>
  </si>
  <si>
    <t>I currently use ClinGen as a significant resource and would like to contribute to the progress of gene and variant curation. I am interested in Neurogenetics.</t>
  </si>
  <si>
    <t xml:space="preserve">Yes, I am employed as a Variant Scientist. I work on variant and gene curation for neurology panels and exome. </t>
  </si>
  <si>
    <t>Autism and ID, Epilepsy, RASopathy, Pediatric, Neurodevelopmental</t>
  </si>
  <si>
    <t>Sameeha Shirwadkar</t>
  </si>
  <si>
    <t>sameeha9@gmail.com</t>
  </si>
  <si>
    <t>Biocurator and Variant Analyst Scientist</t>
  </si>
  <si>
    <t>yes</t>
  </si>
  <si>
    <t>Somatic/Germline Variant Curation Group and TP53 Variant Curation Expert Panel</t>
  </si>
  <si>
    <t>Heather Williams</t>
  </si>
  <si>
    <t>King's College Hospital</t>
  </si>
  <si>
    <t>London, UK</t>
  </si>
  <si>
    <t>heather.williams30@nhs.net</t>
  </si>
  <si>
    <t>Myeloid Malignancy Variant Curation Expert Panel Somatic/Germline Variant Curation Group</t>
  </si>
  <si>
    <t>Laura Richards</t>
  </si>
  <si>
    <t>University of Toronto / Princess Margaret Cancer Centre</t>
  </si>
  <si>
    <t>lauram.richards@mail.utoronto.ca</t>
  </si>
  <si>
    <t>Graduate Student</t>
  </si>
  <si>
    <t>All expert panels in Hereditary Cancer CDWG</t>
  </si>
  <si>
    <t>Aysegul Ozanturk</t>
  </si>
  <si>
    <t>Invitae</t>
  </si>
  <si>
    <t>MA</t>
  </si>
  <si>
    <t>aozanturk@gmail.com</t>
  </si>
  <si>
    <t>I would say mostly rare disorders. I have an expertise on ciliary disorders/ Syndromic IDs/ inborn error of metabolic disorders. Happy to share my resume.</t>
  </si>
  <si>
    <t>Kaylee Barber</t>
  </si>
  <si>
    <t>GenPath/BioReference</t>
  </si>
  <si>
    <t>NJ</t>
  </si>
  <si>
    <t>kbarber@bioreference.com</t>
  </si>
  <si>
    <t>Somatic Cancer Working Group, Somatic/Germline Variant Curation Group</t>
  </si>
  <si>
    <t>Wan-Hsin Lin</t>
  </si>
  <si>
    <t>Mayo Clinic</t>
  </si>
  <si>
    <t>Jacksonville, FL</t>
  </si>
  <si>
    <t>lin.wanhsin@mayo.edu</t>
  </si>
  <si>
    <t>no</t>
  </si>
  <si>
    <t>The Expert Panels/Working Groups that I am interested in are listed below. 1. "Clinical Domain Working Groups"-Hereditary Cancer CDWG: Hereditary Cancer Gene Curation Expert Panel, Myeloid Malignancy Variant Curation Expert Panel, Somatic/Germline Variant Curation Group. 2. Gene Curation Working Group 3. Somatic Cancer Working Group</t>
  </si>
  <si>
    <t>Stefan Rentas</t>
  </si>
  <si>
    <t>The Children's Hospital of Philadelphia</t>
  </si>
  <si>
    <t>rentass@email.chop.edu</t>
  </si>
  <si>
    <t>As a current trainee in laboratory genomics I think it would be a fantastic experience to get involved in the ClinGen community. I have interest in assisting and volunteering with the Hereditary Cancer Gene Curation Expert Panel, Somatic/Germline Variant Curation Group, Myeloid Malignancy Variant Curation Expert Panel, or the Dosage Sensitivity Curation team.</t>
  </si>
  <si>
    <t>Willonie Mendonca</t>
  </si>
  <si>
    <t>Genedx/BioReference Labs</t>
  </si>
  <si>
    <t>Seattle, WA</t>
  </si>
  <si>
    <t>willonie@gmail.com</t>
  </si>
  <si>
    <t>Somatic cancer working groupHereditary cancer working group</t>
  </si>
  <si>
    <t>Iman Haroun</t>
  </si>
  <si>
    <t>Reading Hospital</t>
  </si>
  <si>
    <t>iman.haroun@readinghealth.org</t>
  </si>
  <si>
    <t>Somatic Cancer, Pancreatic</t>
  </si>
  <si>
    <t>Daniel Bellissimo</t>
  </si>
  <si>
    <t xml:space="preserve">University of Pittsburgh  </t>
  </si>
  <si>
    <t>BELLISSIMOD@MAIL.MAGEE.EDU</t>
  </si>
  <si>
    <t>I was told work groups were being formed for Platelet/Bleeding Disorders and VWD. I would be interested in those work groups.</t>
  </si>
  <si>
    <t xml:space="preserve">Alexa Dickson </t>
  </si>
  <si>
    <t>MO</t>
  </si>
  <si>
    <t>alexa.dickson@aruplab.com</t>
  </si>
  <si>
    <t>retinal disease working group</t>
  </si>
  <si>
    <t>Luke Drury</t>
  </si>
  <si>
    <t>Prevention Genetics</t>
  </si>
  <si>
    <t>WI</t>
  </si>
  <si>
    <t>luke.drury@preventiongenetics.com</t>
  </si>
  <si>
    <t>any WG</t>
  </si>
  <si>
    <t>Lynne Rosenblum</t>
  </si>
  <si>
    <t>Integrated Genetics/LabCorp</t>
  </si>
  <si>
    <t>lynne.rosenblum@integratedgenetics.com</t>
  </si>
  <si>
    <t>storage disease and somatic/germline working groups, but am open to other opportunities.</t>
  </si>
  <si>
    <t>Yang Wang</t>
  </si>
  <si>
    <t>PerkinElmer Genomics</t>
  </si>
  <si>
    <t>yangwangcmg@gmail.com</t>
  </si>
  <si>
    <t>hereditary cancer panel and inborn error of metabolism, if not a Baseline Biocurator</t>
  </si>
  <si>
    <t xml:space="preserve">Elaine Spector </t>
  </si>
  <si>
    <t>Univ of Colorado, Children's Hospital</t>
  </si>
  <si>
    <t>CO</t>
  </si>
  <si>
    <t>elaine.spector@childrenscolorado.org</t>
  </si>
  <si>
    <t>Inborn Errors of Metabolism Clinical Domain Working Group . Amino Acid and Fatty Acid Working Groups.</t>
  </si>
  <si>
    <t>Samya Chakravorty</t>
  </si>
  <si>
    <t>Emory University School of Medicine, Department of Human Genetics</t>
  </si>
  <si>
    <t>samya.chakravorty@emory.edu</t>
  </si>
  <si>
    <t>1. Storage Diseases Variant Curation Expert Panel 2. Epilepsy Gene Curation Expert Panel 3. Cardiovascular Dilated Cardiomyopathy Gene Curation Expert Panel</t>
  </si>
  <si>
    <t>Marco Leung</t>
  </si>
  <si>
    <t>Center for Applied Genomics - Children's Hospital of Philadelphia</t>
  </si>
  <si>
    <t>leungm@email.chop.edu</t>
  </si>
  <si>
    <t>Hereditary cancers; neurodevelopmental disorders; polivy making</t>
  </si>
  <si>
    <t>Emily Groopman</t>
  </si>
  <si>
    <t>NY</t>
  </si>
  <si>
    <t>ee.groopman@gmail.com</t>
  </si>
  <si>
    <t>Aminoacidopathy Gene Curation Expert Panel, Storage Diseases Variant Curation Expert Panel, and Hereditary Cancer Gene Curation Expert Pane</t>
  </si>
  <si>
    <t xml:space="preserve">Rhonda Lassiter </t>
  </si>
  <si>
    <t>CA</t>
  </si>
  <si>
    <t>I am interested in any of the Neurodevelopmental Disorders CDWG's. I am happy to help wherever there is a need.</t>
  </si>
  <si>
    <t xml:space="preserve">Emma Reble </t>
  </si>
  <si>
    <t>St. Michael's Hospital</t>
  </si>
  <si>
    <t>reblee@smh.ca</t>
  </si>
  <si>
    <t>I am interest in the neurodevelopmental disorder CDWG, particularly the Autism and ID group.</t>
  </si>
  <si>
    <t>Bryony Thompson</t>
  </si>
  <si>
    <t>Department of Pathology, Royal Melbourne Hospital</t>
  </si>
  <si>
    <t>Bryony.Thompson@mh.org.au</t>
  </si>
  <si>
    <t>CDH1 Variant Curation Expert Panel</t>
  </si>
  <si>
    <t>Qiliang Ding</t>
  </si>
  <si>
    <t xml:space="preserve">Cornell University </t>
  </si>
  <si>
    <t>qd29@cornell.edu</t>
  </si>
  <si>
    <t>I am interested in all working groups.</t>
  </si>
  <si>
    <t>Amy Donahue</t>
  </si>
  <si>
    <t>Froedtert &amp; The Medical College of Wisconsin</t>
  </si>
  <si>
    <t>adonahue@mcw.edu</t>
  </si>
  <si>
    <t>Any of the cardiac or neuro as well as the mitochondrial and monogenetic diabetes groups would fit within my clinical specialties. If there is the potential to start an ophthalmology/eye disorders group, I would love to be involved there. Thank you for the opportunity!</t>
  </si>
  <si>
    <t>Dave Ferguson</t>
  </si>
  <si>
    <t>UCI</t>
  </si>
  <si>
    <t>Irvine, CA</t>
  </si>
  <si>
    <t>dferguso@uci.edu</t>
  </si>
  <si>
    <t>Mitochondrial Disease Variant Curation Expert Panel (In progress) Autism and Intellectual Disability Gene Curation Expert Panel</t>
  </si>
  <si>
    <t>Santhi Ramachandran</t>
  </si>
  <si>
    <t>Kerala, India</t>
  </si>
  <si>
    <t>santhialways4u@gmail.com</t>
  </si>
  <si>
    <t>I would like to work with variant curation expert panel or gene curation expert panel</t>
  </si>
  <si>
    <t>Megan Nathan</t>
  </si>
  <si>
    <t>Providence Alaska Medical Center</t>
  </si>
  <si>
    <t>Anchorage, AK</t>
  </si>
  <si>
    <t>mlnathan.genetics@gmail.com</t>
  </si>
  <si>
    <t>I would be most interested in the following groups (1 = top choice; 5 = last choice) 1. Breast/Ovarian Cancer (newly forming) 2. Colorectal Cancer (newly forming) 3. PTEN* 4. CDH1 5. VHL (Von Hippel-Lindau)*</t>
  </si>
  <si>
    <t>Ellen Xu</t>
  </si>
  <si>
    <t xml:space="preserve">CA </t>
  </si>
  <si>
    <t>Dosage sensitivity, hereditary cancer</t>
  </si>
  <si>
    <r>
      <t xml:space="preserve">Note: </t>
    </r>
    <r>
      <rPr/>
      <t xml:space="preserve"> email address given was exu@fulgentgenetics.com, however as of July 9, 2019, this is no longer a contact email and no forwarding email provided.</t>
    </r>
  </si>
  <si>
    <t>Alisdair Philp</t>
  </si>
  <si>
    <t>University of Kansas Hospitals System</t>
  </si>
  <si>
    <t>Kansas City, MO</t>
  </si>
  <si>
    <t>arphilp@gmail.com</t>
  </si>
  <si>
    <t>Cnv</t>
  </si>
  <si>
    <t>Jenna Guiltinan</t>
  </si>
  <si>
    <t>jenna.guiltinan@invitae.com</t>
  </si>
  <si>
    <t>Dosage- Hereditary Cancer sounds the most interesting to me, but any of the dosage sensitivity working groups would be great!</t>
  </si>
  <si>
    <t>Ron Agatep</t>
  </si>
  <si>
    <t>Shared Health Manitoba</t>
  </si>
  <si>
    <t xml:space="preserve">820 Sherbrook St.  </t>
  </si>
  <si>
    <t>ragatep@sharedhealthmb.ca</t>
  </si>
  <si>
    <t>I am a molecular geneticist interested in curation.  I have a specific interest in cancer with a PhD in melanoma genetics (CDK4, CDKN2A) and would be interested in contributing to these genes.  As a resident to Manitoba with several founder specific mutations I would also be interested in leading working on rare diseases specific to our region (possibly working with local experts).  Our centre has long history of performing HBOC.</t>
  </si>
  <si>
    <t>Gene-Disease Validity, Somatic Cancer</t>
  </si>
  <si>
    <t>Hereditary Breast and Ovarian Cancer</t>
  </si>
  <si>
    <t>Danielle Croucher</t>
  </si>
  <si>
    <t>University of Toronto</t>
  </si>
  <si>
    <t>d.croucher@mail.utoronto.ca</t>
  </si>
  <si>
    <t>Myeloid Malignancy Variant Curation Expert Panel, Somatic/Germline Variant Curation Group, TP53 Variant Curation Expert Panel, Hereditary Cancer Gene Curation Expert Panel, Breast and Ovarian Cancer Gene Curation Expert Panel</t>
  </si>
  <si>
    <t>Fadel Alyaquob</t>
  </si>
  <si>
    <t>falyaqoub1@yahoo.com</t>
  </si>
  <si>
    <t>Hilary Racher</t>
  </si>
  <si>
    <t>Impact Genetics</t>
  </si>
  <si>
    <t>racherh@dynacare.ca</t>
  </si>
  <si>
    <t>Somatic/Germline Variant Curation Group Hereditary Cancer Gene Curation Expert Panel Sequence Variant Interpretation</t>
  </si>
  <si>
    <t>Juan Dong</t>
  </si>
  <si>
    <t>juan.dong@preventiongenetics.com</t>
  </si>
  <si>
    <t>Familial Thoracic Aortic Aneurysm and Dissection Gene Curation Expert Pane</t>
  </si>
  <si>
    <t>Julie Kaylor</t>
  </si>
  <si>
    <t>InformedDNA</t>
  </si>
  <si>
    <t>Arkansas</t>
  </si>
  <si>
    <t>jkaylor@informeddna.com</t>
  </si>
  <si>
    <t>David Ng</t>
  </si>
  <si>
    <t>NIH</t>
  </si>
  <si>
    <t>MD</t>
  </si>
  <si>
    <t>davidng@mail.nih.gov</t>
  </si>
  <si>
    <t>Clinical medical geneticist/Variant Analyst/Scientist</t>
  </si>
  <si>
    <t>Cardiology.</t>
  </si>
  <si>
    <t>Nan Jiang</t>
  </si>
  <si>
    <t>University of California, San Diego</t>
  </si>
  <si>
    <t>naj018@ucsd.edu</t>
  </si>
  <si>
    <t xml:space="preserve">I heard about ClinGen from some published papers.I would like to contribute to the community with my experience and knowledge at the same time learn more about how to interpret genetic variants in a comprehensive way. I am particularly interested in neural tube defect. </t>
  </si>
  <si>
    <t xml:space="preserve">Yes. I work in a clinical genetics research lab identifying disease genes in pediatric neurological disorders using whole exome and whole genome sequencing. I do variants pathogenicity curation in daily bases. </t>
  </si>
  <si>
    <t xml:space="preserve">I am particularly interested in the variant and gene curation expert panels under dosage sensitivity working group. </t>
  </si>
  <si>
    <t>Michelle Green</t>
  </si>
  <si>
    <t>NC</t>
  </si>
  <si>
    <t>Michelle.green@n-of-one.com</t>
  </si>
  <si>
    <t>Mahsa</t>
  </si>
  <si>
    <t>New Mexico State University</t>
  </si>
  <si>
    <t>New Mexico</t>
  </si>
  <si>
    <t>mahsash@nmsu.edu</t>
  </si>
  <si>
    <t>mfgreen14@gmail.com</t>
  </si>
  <si>
    <t>Xinkun "Sequen" Wang</t>
  </si>
  <si>
    <t>Northwestern University</t>
  </si>
  <si>
    <t>xinkun.wang@northwestern.edu</t>
  </si>
  <si>
    <t>Epilepsy Gene Curation Expert Panel Autism and Intellectual Disability Gene Curation Expert Panel</t>
  </si>
  <si>
    <t>Siddharth Banka</t>
  </si>
  <si>
    <t>Siddharth.Banka@manchester.ac.uk</t>
  </si>
  <si>
    <t>Neurodevelopmental Disorders, experience with curating CNVs (potentially Dosage)</t>
  </si>
  <si>
    <t>Anna Tanska</t>
  </si>
  <si>
    <t>Peter mac</t>
  </si>
  <si>
    <t>"anna.tanska@petermac.org "</t>
  </si>
  <si>
    <t>Somatic cancer WG</t>
  </si>
  <si>
    <t>Amanda Fortier</t>
  </si>
  <si>
    <t>ACL Laboratories</t>
  </si>
  <si>
    <t>IL</t>
  </si>
  <si>
    <t>amanda.fortier@advocatehealth.com</t>
  </si>
  <si>
    <t>Yes, if needed. I am open to considering this type of activity.</t>
  </si>
  <si>
    <t>Qiuxiang Ou</t>
  </si>
  <si>
    <t>University of Alberta</t>
  </si>
  <si>
    <t>dorothy.ou@gmail.com</t>
  </si>
  <si>
    <t xml:space="preserve">My academic background is oncology. I learnt this opportunity from the website of ClinGen when I was searching for resources I needed. </t>
  </si>
  <si>
    <t>Somatic Cancer Working Group</t>
  </si>
  <si>
    <t>Kylin Boehler</t>
  </si>
  <si>
    <t>Quest Diagnostics</t>
  </si>
  <si>
    <t>OH</t>
  </si>
  <si>
    <t>kylin.y.boehler@questdiagnostics.com</t>
  </si>
  <si>
    <t>I am mainly interested in the Hereditary Cancer Gene Dosage Sensitivity Curation group.</t>
  </si>
  <si>
    <t>Lisa Diller</t>
  </si>
  <si>
    <t>Dana-Farber Cancer Institute</t>
  </si>
  <si>
    <t>lisa_diller@dfci.harvard.edu</t>
  </si>
  <si>
    <t>Nharimann Azima</t>
  </si>
  <si>
    <t>naa3f@gwu.edu</t>
  </si>
  <si>
    <t>Analyst</t>
  </si>
  <si>
    <t>I am flexible</t>
  </si>
  <si>
    <t>Krzysztof Szczaluba</t>
  </si>
  <si>
    <t>Dept of Medical Genetics. Warsaw Medical University</t>
  </si>
  <si>
    <t>Warsaw, Poland</t>
  </si>
  <si>
    <t>krzysztof.szczaluba@gmail.com</t>
  </si>
  <si>
    <t>autism/ID, epi, brovca</t>
  </si>
  <si>
    <t>Robin Bennett</t>
  </si>
  <si>
    <t>University of Washington</t>
  </si>
  <si>
    <t>robinb@uw.edu</t>
  </si>
  <si>
    <t>Variant curation expert panels: PTEN, VHL, CDH1, Colorectal cancer, breast-ovarian</t>
  </si>
  <si>
    <t>Fiona Curtis</t>
  </si>
  <si>
    <t>Eastern Health/Memorial University of NL</t>
  </si>
  <si>
    <t>NL, Canada</t>
  </si>
  <si>
    <t>fionakatherinecurtis@yahoo.ca</t>
  </si>
  <si>
    <t>inherited cardiomyopathy or other CV diseases</t>
  </si>
  <si>
    <t>Jennifer Marie Lee</t>
  </si>
  <si>
    <t>National Cancer Institute</t>
  </si>
  <si>
    <t>Jennifer.Lee2@nih.gov</t>
  </si>
  <si>
    <t>Laura Fuqua</t>
  </si>
  <si>
    <t>laura.fuqua@gmail.com</t>
  </si>
  <si>
    <t>Morgan Similuk</t>
  </si>
  <si>
    <t>NIAID/NIH</t>
  </si>
  <si>
    <t>Bethesda, MD</t>
  </si>
  <si>
    <t>Morgan.similuk@nih.gov</t>
  </si>
  <si>
    <t>Sandra P Smieszek</t>
  </si>
  <si>
    <t>DC</t>
  </si>
  <si>
    <t>sps92@case.edu</t>
  </si>
  <si>
    <t>Autism</t>
  </si>
  <si>
    <t>Can Ding</t>
  </si>
  <si>
    <t>Institut für Humangenetik</t>
  </si>
  <si>
    <t>Langenbeckstr. 1, 55131 Mainz, Germany</t>
  </si>
  <si>
    <t>can.ding@unimedizin-mainz.de</t>
  </si>
  <si>
    <t xml:space="preserve">I am a medical clinical genetist in training. Previously I was a neurologist in training and during my PhD I conducted reaserch in muscular disorders. Thus, neurogenetist is my special interest. </t>
  </si>
  <si>
    <t>I have over two years experiences in variant classification.</t>
  </si>
  <si>
    <t>I would be interested in a muscular disorder group.</t>
  </si>
  <si>
    <t>Milda Auglyte</t>
  </si>
  <si>
    <t>Hospital Universitario Puerta de Hierro Majadahonda</t>
  </si>
  <si>
    <t>Spain</t>
  </si>
  <si>
    <t>mildaaug@gmail.com</t>
  </si>
  <si>
    <t>I found Clinical Genome website by an accident by searching genetic variants for my work. This curation community intrigue me by variety of different working groups and at the same time by theirs topics.</t>
  </si>
  <si>
    <t>During my master's I performed NSCLC solid and liquid biopsies testing by target NGS. Nowadays, I'm still continuing this path, but additionally I am working with hereditary breast and ovarian cancer clinical testing.</t>
  </si>
  <si>
    <t>I would be interested in newly forming groups: Breast/Ovarian Cancer, Nonsmall cell lung cancer and Somatic TP53.</t>
  </si>
  <si>
    <t>I would like to get more knowledge of how to work in the international scientific community and also I would like to know how big genetic data is curated. At the same time, how to get the best of it and how to improve clinical testing.</t>
  </si>
  <si>
    <t>Particulary I am interest in opportunities of somatic and hereditary cancers testing in clinical laboratories. At the same time, I am interest in pathogenesis of NSCLC, breast and ovarian cancer at molecular level. Furthermore, interested in TP53 gene mutations and pathogenesis.</t>
  </si>
  <si>
    <t>Andres Ressia</t>
  </si>
  <si>
    <t>TRIO Oncology</t>
  </si>
  <si>
    <t>Dr. Emilio Frugoni 906 apto 301</t>
  </si>
  <si>
    <t>andresressiacolino@gmail.com</t>
  </si>
  <si>
    <t>Post-Bachelors</t>
  </si>
  <si>
    <t>I knew about ClinGen for my work in a national program on Familial Hypercholesterolaemia  in Uruguay. My interest comes from the interest in linking clinic and genetics.</t>
  </si>
  <si>
    <t>Breast/Ovarian Cancer (newly forming)</t>
  </si>
  <si>
    <t>I'd like to be updated and somehow related to the development of precision medicine.</t>
  </si>
  <si>
    <t>Breast Cancer, as I work in an organization now that deals with this disease.</t>
  </si>
  <si>
    <t>Parisa Lotfi</t>
  </si>
  <si>
    <t>TX</t>
  </si>
  <si>
    <t>Parisa_Lotfi@yahoo.com</t>
  </si>
  <si>
    <t>Post Doc/Resident/Fellow (MD and/or Phd), Scientific Researcher</t>
  </si>
  <si>
    <t>intellectual disability/autism group</t>
  </si>
  <si>
    <t>Huei San Leong</t>
  </si>
  <si>
    <t>PETER MACCALLUM CANCER CENTRE</t>
  </si>
  <si>
    <t>hueisan.leong@petermac.org</t>
  </si>
  <si>
    <t>1) Breast/Ovarian Cancer 2) Colorectal Cancer 3) CDH1</t>
  </si>
  <si>
    <t>Pandurang Kolekar</t>
  </si>
  <si>
    <t>Thermo Fisher Scientific</t>
  </si>
  <si>
    <t>pandurang.kolekar@gmail.com</t>
  </si>
  <si>
    <t>"Scientific Researcher, Biocurator, Variant Analyst/Scientist, Other (please specify): Bioinformatics Engineer"</t>
  </si>
  <si>
    <t>Samata Singhi</t>
  </si>
  <si>
    <t>Kennedy Krieger Institute/ Johns Hopkins Hospital</t>
  </si>
  <si>
    <t>1204 Linden Green, Baltimore, MD 21217</t>
  </si>
  <si>
    <t>samata.singhi@gmail.com</t>
  </si>
  <si>
    <t>I am interested in epilepsy genetics and heard about ClinGen from Ann Poduri</t>
  </si>
  <si>
    <t>Learn about epilepsy genetics and use that knowledge to help my patients</t>
  </si>
  <si>
    <t>Szabolcs Szelinger</t>
  </si>
  <si>
    <t>Translational Genomics Research Institute</t>
  </si>
  <si>
    <t>445 N. 5th St Phoenix AZ 85004</t>
  </si>
  <si>
    <t>sszelinger@tgen.org</t>
  </si>
  <si>
    <t xml:space="preserve">I am an ACMG Candidate Fellow working in a CLIA/CAP clinical laboratory and also in basic research. Joining ClinGen curation team would allow me to learn best practices in the assessment of genetic variants, potentially could guide interpretation workflow and variant/gene reporting in the clinical laboratory, and it would assist with in my research interest of rare, pediatric disease gene identification. </t>
  </si>
  <si>
    <t xml:space="preserve">As an ACMG fellow at UCLA, and at the CLIA lab I work, we routinely assess variants for pathogenicity and disease-gene validity. In addition, I have experience in curating somatic mutations for actionability. In the research laboratory we sequenced and interpreted hundreds of trio exomes in rare pediatric disease. </t>
  </si>
  <si>
    <t>There are many interesting groups such as the mitochondrial disease, inherited cardiomyopathy, Epilepsy and Somatic TP53 group.</t>
  </si>
  <si>
    <t>I would like to learn best practices for variant/gene assessment and contribute to better understanding of gene/variant-phenotype association. In addition, would like to interface with other scientists/clinicians.</t>
  </si>
  <si>
    <t>Congenital Myasthenic Syndrome and GFPT1 gene. Beta-propeller Protein-Associated Neurodegeneration (BPAN) and WDR45 gene. Also interested in hereditary cancer predisposition syndromes.</t>
  </si>
  <si>
    <t>Jianhong Zhou</t>
  </si>
  <si>
    <t>jhzhou2008@hotmail.com</t>
  </si>
  <si>
    <t>Post Doc/Resident/Fellow (MD and/or Phd), Scientific Researcher, Focus on bioinformatics and computational biology</t>
  </si>
  <si>
    <t>Somatic Cancer WG</t>
  </si>
  <si>
    <t>Ramesh Vaidyanathan</t>
  </si>
  <si>
    <t>Not Applicable</t>
  </si>
  <si>
    <t>2 Windhaven Circle</t>
  </si>
  <si>
    <t>vaid@rocketmail.com</t>
  </si>
  <si>
    <t>Biotech Professional with Biochemistry and Genomics background and a Citizen Scientist</t>
  </si>
  <si>
    <t xml:space="preserve">I came to know about ClinGen curation through the All of Us Research Program (NIH).  Given my background, I understand that in order to take full advantage of the technological advancements in Genomics we need more data and I am excited about this initiative by NIH.  The UK BioBank released genomics data of 500,000 Britons and within a couple of days scientists doubled the number of  genetic markers linked to diseases and traits.   </t>
  </si>
  <si>
    <t>I am learning open source programing tools (Python) to handle genomics data and want to use this knowledge to help with ClinGen  curation.</t>
  </si>
  <si>
    <t>While I have a very broad interest, I am intrigued by reports that highlight  the role that microbiomes in health.</t>
  </si>
  <si>
    <t>Ranjit Shetty</t>
  </si>
  <si>
    <t>Novartis</t>
  </si>
  <si>
    <t>Cambridge MA</t>
  </si>
  <si>
    <t>ranjit.shetty@novartis.com</t>
  </si>
  <si>
    <t>I work in a Precision Medicine group at Novartis. I have previously used various sources (COSMIC etc) for evaluating my NGS data</t>
  </si>
  <si>
    <t>Evaluating TP53 and NF2 variants from NGS data</t>
  </si>
  <si>
    <t>Further my understanding and help in the curation</t>
  </si>
  <si>
    <t>TP53/Breast Cancer</t>
  </si>
  <si>
    <t>Brooke H. Miller</t>
  </si>
  <si>
    <t>Self/University of Florida</t>
  </si>
  <si>
    <t>4171 San Marino Blvd, Apt. 208, West Palm Beach, FL 33409</t>
  </si>
  <si>
    <t>brooke.h.miller@gmail.com</t>
  </si>
  <si>
    <t>Helped a friend interpret a Genomind report, got sucked down rabbit hole of PGX, eventually came across ClinGen via the FDA website</t>
  </si>
  <si>
    <t>Yes--used inbred strain haplotype mapping, gene expression analysis, and re-sequencing to identify SNPs associated with behavioral despair and antidepressant efficacy in mice. Research profile available: https://www.researchgate.net/profile/Brooke_Miller3</t>
  </si>
  <si>
    <t>Not at the moment, but wouldn't rule out future involvement</t>
  </si>
  <si>
    <t>Stay current with data and best practices of PGX</t>
  </si>
  <si>
    <t>Psychiatry (main), circadian rhythms, sleep, general neuroscience</t>
  </si>
  <si>
    <t>Elizabeth Spiteri</t>
  </si>
  <si>
    <t>Stanford Medicine</t>
  </si>
  <si>
    <t>901 Varian Way</t>
  </si>
  <si>
    <t>espiteri@gmail.com</t>
  </si>
  <si>
    <t>I utilize the ClinGen Dosage Map and noticed there were additional groups being formed</t>
  </si>
  <si>
    <t>I have participated in a Clinical Genomics Consortium for Copy Number Variants</t>
  </si>
  <si>
    <t xml:space="preserve">In addition to the somatic panel curation I would also be interested in Breast/Ovarian or Colon Cancer Expert panels </t>
  </si>
  <si>
    <t xml:space="preserve">I would like to provide my input and experience and learn from others. </t>
  </si>
  <si>
    <t>Inherited and somatic cancer as well as copy number variants</t>
  </si>
  <si>
    <t>Yasser Sullcahuaman</t>
  </si>
  <si>
    <t>Instituto Nacional de Enfermedades Neoplasicas</t>
  </si>
  <si>
    <t>Av. Angamos Este  F- 53, Urb. Juan XXII, Distrito de San Borja, LIMA- Peru</t>
  </si>
  <si>
    <t>ysullcahuaman@gmail.com</t>
  </si>
  <si>
    <t>I am interested because I am a geneticist and every year I treat more than 500 patients with suspected hereditary cancer and many times the results of the genetic test are not clear and the relation of the genotype to the phenotype is still to be determined.I found clingen online while looking for how to classify genetic variants of Peruvian population</t>
  </si>
  <si>
    <t>improve my abilities to classify genetic variants and establish the relationship with hereditary cancer</t>
  </si>
  <si>
    <t>Hereditary Cancer, Breast cancer</t>
  </si>
  <si>
    <t>HUILING XU</t>
  </si>
  <si>
    <t>Peter MacCallum Cancer Centre</t>
  </si>
  <si>
    <t>305 Grattan Street
Melbourne VIC 3000
Australia</t>
  </si>
  <si>
    <t>huiling.xu@petermac.org</t>
  </si>
  <si>
    <t>Variant Analyst/Scientist - Academic</t>
  </si>
  <si>
    <t>The clinicalgenome.org website</t>
  </si>
  <si>
    <t>I am a senior clinical genomic analyst/scientist in the Molecular Pathology Section of the Department of Pathology, Peter MacCallum Cancer Centre, Australia. I have been involved in interpreting and reporting cancer genomic alterations to guide targeted therapy in multiple government-funded prospective precision oncology programs for the past four years. I have extensive knowledge of clinical laboratory practise, cancer biology, targeted therapy, and clinical care. 
I am also a researcher with 20 years cancer research experience and have a strong track record in cancer research. I have a career total of 54 publications including a number of papers in the highly influential clinical and scientific journals.</t>
  </si>
  <si>
    <t>Somatic cancer working groups</t>
  </si>
  <si>
    <t>Contribute to this global effort to maintain standards for interpreting variants and to help resolve differences in interpretation and combine evidence to clarify the significance of variants</t>
  </si>
  <si>
    <t>Solid tumours</t>
  </si>
  <si>
    <t>I want to contribute as a measure to promote precision medicine standards.</t>
  </si>
  <si>
    <t>Ph.D.</t>
  </si>
  <si>
    <t>Nilufar Inamdar</t>
  </si>
  <si>
    <t>Cairo Diagnostics (Part time project)</t>
  </si>
  <si>
    <t>43-23 Colden St, Flushing, NY 11355</t>
  </si>
  <si>
    <t>inamdar555@yahoo.com</t>
  </si>
  <si>
    <t>Mitochondrial or Aminoaciopathy</t>
  </si>
  <si>
    <t>Work towards ClinGen's goals</t>
  </si>
  <si>
    <t>Open</t>
  </si>
  <si>
    <t>I want to be involved with ClinGen.</t>
  </si>
  <si>
    <t>Not yet. Will take ABMGG Cert Exam 2019</t>
  </si>
  <si>
    <t>Michael McLachlan</t>
  </si>
  <si>
    <t>Fujifilm Cellular Dynamics, Inc</t>
  </si>
  <si>
    <t>1102 Feather Edge Dr</t>
  </si>
  <si>
    <t>mikejmclachlan@gmail.com</t>
  </si>
  <si>
    <t>No curation experience but professional experience with genome analysis and disease models</t>
  </si>
  <si>
    <t>Contribute to better analysis of genomic information</t>
  </si>
  <si>
    <t>Cardiovascular, neurodegeneration</t>
  </si>
  <si>
    <t>Anand Narayanan</t>
  </si>
  <si>
    <t>100 YORK ST
3B</t>
  </si>
  <si>
    <t>anandnpillai@gmail.com</t>
  </si>
  <si>
    <t>Networking</t>
  </si>
  <si>
    <t xml:space="preserve">I have served as a liaison of groups comprising clinicians, genetic counselors, researchers and bioinformatic staff. I am involved in the novel gene discovery and characterization </t>
  </si>
  <si>
    <t>Would like to volunteer and get familiar with the Clinical and Molecular lab techniques</t>
  </si>
  <si>
    <t>Genes involved in cardiovascular and metabolic diseases</t>
  </si>
  <si>
    <t>I was encouraged by a mentor.</t>
  </si>
  <si>
    <t>None</t>
  </si>
  <si>
    <t>Rebekah Waikel</t>
  </si>
  <si>
    <t xml:space="preserve">University of Kentucky </t>
  </si>
  <si>
    <t>rebekah.waikel@uky.edu</t>
  </si>
  <si>
    <t>ClinGen conference advertisements (i.e. booth, workshop, presentation)</t>
  </si>
  <si>
    <t>Inherited cardiopathy</t>
  </si>
  <si>
    <t>Learn and contribute</t>
  </si>
  <si>
    <t>BAG3 or cardiovascular disease</t>
  </si>
  <si>
    <t>I want to contribute to promote enhanced patient care.</t>
  </si>
  <si>
    <t>Soon to be GC (June 2019)</t>
  </si>
  <si>
    <t>Urjit Patel</t>
  </si>
  <si>
    <t>Quest Diagnostics, Marlborough</t>
  </si>
  <si>
    <t>177 Crescent St Apt 21</t>
  </si>
  <si>
    <t>urjit.x.patel@questdiagnostics.com</t>
  </si>
  <si>
    <t>Variant Analyst/Scientist - Industry</t>
  </si>
  <si>
    <t>Networking, The clinicalgenome.org website, Dr. Marina DiStefano</t>
  </si>
  <si>
    <t>Gene curation and experience with dosage sensitivity of genes.</t>
  </si>
  <si>
    <t>Epilepsy, neurodevelopmental disorders.</t>
  </si>
  <si>
    <t>Almost done with my Master's degree in Biotechnology.</t>
  </si>
  <si>
    <t>Lesley Northrop</t>
  </si>
  <si>
    <t>Celmatix</t>
  </si>
  <si>
    <t>165 E66th Street
Apt. 12H</t>
  </si>
  <si>
    <t>lesleyenorthrop@gmail.com</t>
  </si>
  <si>
    <t>ClinGen affiliated emails and/or newsletters</t>
  </si>
  <si>
    <t>within my own institution designing a panel following ClinGen guidelines</t>
  </si>
  <si>
    <t>Gene Curation - Epilepsy or Autism &amp; ID</t>
  </si>
  <si>
    <t>gaining knowledge and keeping up-to-date with the guidelines</t>
  </si>
  <si>
    <t>FACMG</t>
  </si>
  <si>
    <t>Hafsa Amtul</t>
  </si>
  <si>
    <t>Rush University</t>
  </si>
  <si>
    <t>9029 federal ct apt 1h</t>
  </si>
  <si>
    <t>hafsa.amtul2502@gmail.com</t>
  </si>
  <si>
    <t>ClinGen website</t>
  </si>
  <si>
    <t>drug toxicity associated with tpmt genetic variants *1, *2, *3A, *3B</t>
  </si>
  <si>
    <t xml:space="preserve">Dosage- Neurodevelopemental, Pediatric, Nonsmall cell lung cancer, 
Somatic TP53 </t>
  </si>
  <si>
    <t>Deeper understanding of the advancement in clinical genomics</t>
  </si>
  <si>
    <t xml:space="preserve">CYP450 enzyme coding genes, TPMT gene, VKORC </t>
  </si>
  <si>
    <t>Master’s degree</t>
  </si>
  <si>
    <t>Manya Warrier</t>
  </si>
  <si>
    <t>769 Franklin Tree Drive, Concord, NC 28027</t>
  </si>
  <si>
    <t>manyawarrier@gmail.com</t>
  </si>
  <si>
    <t xml:space="preserve">I would like to get experience in this area as it will be a good addition to my career as a Variant Scientist. </t>
  </si>
  <si>
    <t>Fatty Acid Oxidation/Breast/Ovarian Cancer/Inherited Cardiomyopathy/Mitochondrial diseases</t>
  </si>
  <si>
    <t>I want to gain curation experience/improve my resume.</t>
  </si>
  <si>
    <t>Angela Pickart</t>
  </si>
  <si>
    <t>Rochester, MN</t>
  </si>
  <si>
    <t>pickart.angela@mayo.edu</t>
  </si>
  <si>
    <t>Colleagues</t>
  </si>
  <si>
    <t>I work for a clinical laboratory and both assess gene-disease validity and provide variant annotation for a variety of molecular tests, including large epilepsy panels</t>
  </si>
  <si>
    <t>Both contribute to the efforts of ClinGen and learn from experts in the field</t>
  </si>
  <si>
    <t>CGC</t>
  </si>
  <si>
    <t>Jing Xie</t>
  </si>
  <si>
    <t>jingxiegene@gmail.com</t>
  </si>
  <si>
    <t xml:space="preserve">Yes, as a clinical laboratory director, I have been heavily involved in variant pathogenicity evaluation myself and variant analyst training. Meanwhile, I also worked on gene-disease curation periodically for our interpretation pipeline. </t>
  </si>
  <si>
    <t>Gene Curation Panel: Hereditary Cancer; Storage Diseases. Variant Curation Panel: Breast/Ovarian Cancer; Colorectal Cancer; Fatty Acid Oxidation; Cerebral Creatine Deficiency Syndrome</t>
  </si>
  <si>
    <t>Contribute my personal experience with molecular laboratory genetics to establish gene and variants curation standards for our community.</t>
  </si>
  <si>
    <t>Hereditary cancer; Muscular dystrophy; Metabolic disease.</t>
  </si>
  <si>
    <t>Jianli Dong</t>
  </si>
  <si>
    <t>The University of Texas Medical Branch</t>
  </si>
  <si>
    <t>301 University Blvd, Galveston, TX 77555</t>
  </si>
  <si>
    <t>jidong@utmb.edu</t>
  </si>
  <si>
    <t>Breast/Ovarian Cancer (newly forming), Dosage- Hereditary Cancer (newly forming)*, Colorectal Cancer (newly forming), Somatic Cancer</t>
  </si>
  <si>
    <t>Support and participate in ClinGen efforts</t>
  </si>
  <si>
    <t>cancer related genes</t>
  </si>
  <si>
    <t>Kathryn Kronquist</t>
  </si>
  <si>
    <t>University of Colorado Department of Pediatrics</t>
  </si>
  <si>
    <t>13123East 16th Avenue, B120, Aurora CO 80045</t>
  </si>
  <si>
    <t>Kathryn.Kronquist@childrenscolorado.org</t>
  </si>
  <si>
    <t>applying ACMG Guidelines for variant curation in daily work</t>
  </si>
  <si>
    <t>epilepsy, RASopathy</t>
  </si>
  <si>
    <t>challenging work with colleagues</t>
  </si>
  <si>
    <t>Germline genetics in general</t>
  </si>
  <si>
    <t>Kristen L Deak</t>
  </si>
  <si>
    <t>Duke University</t>
  </si>
  <si>
    <t xml:space="preserve">2531 Erwin Road, Wadsworth Building 0213c, Durham, NC 27705 </t>
  </si>
  <si>
    <t>kristen.deak@duke.edu</t>
  </si>
  <si>
    <t>Not other than evaluation and signout of patient reports</t>
  </si>
  <si>
    <t xml:space="preserve">Help the community, advance variant knowledge, connect with colleagues </t>
  </si>
  <si>
    <t>ALPL, any glycogen storage disorder, somatic (solid and myeloid)</t>
  </si>
  <si>
    <t>I want to help out the community.</t>
  </si>
  <si>
    <t>FACMG , Cytogenetics, Molecular</t>
  </si>
  <si>
    <t>Venkataswamy Eswarachari</t>
  </si>
  <si>
    <t>MedGenome Labs Limited</t>
  </si>
  <si>
    <t>3rd Floor, Narayana Netralaya Building, Narayana Health City, 258/A Hosur Road, Bommasandra, Bangalore, Karnataka, India - 560099</t>
  </si>
  <si>
    <t>venkataswamy@medgenome.com</t>
  </si>
  <si>
    <t xml:space="preserve">Not professionally but for clinical reporting I have done some curation. </t>
  </si>
  <si>
    <t xml:space="preserve">I have a great passion for genetics and its application in clinical diagnosis. I strongly believe in genetic databases curated from the publications as potential source for correct diagnosis in a clinical setup. So volunteering with ClinGen, I think I can contribute to the society indirectly.  </t>
  </si>
  <si>
    <t xml:space="preserve">I am interested in all. </t>
  </si>
  <si>
    <t>I do not have these certifications</t>
  </si>
  <si>
    <t>Tyler Parris</t>
  </si>
  <si>
    <t>Massachusetts General Hospital</t>
  </si>
  <si>
    <t>25 Morrissey Blvd, Apt 1236, Boston MA 02125</t>
  </si>
  <si>
    <t>tylerchristianparrismd@gmail.com</t>
  </si>
  <si>
    <t>GeneDx testing results packet of a patient</t>
  </si>
  <si>
    <t>Learn more and help solidify renal genetics.</t>
  </si>
  <si>
    <t>Renal</t>
  </si>
  <si>
    <t>M.D.</t>
  </si>
  <si>
    <t>Edward Shadiack</t>
  </si>
  <si>
    <t>VA</t>
  </si>
  <si>
    <t>1200 NE Central Ave, Seaside Park, NJ 08752</t>
  </si>
  <si>
    <t>shadiaec@gmail.com</t>
  </si>
  <si>
    <t>No experience whatsoever</t>
  </si>
  <si>
    <t>Improve my understanding of genetics and contribute something</t>
  </si>
  <si>
    <t>Areas of interest include adult neurologic and rheumatic disorders</t>
  </si>
  <si>
    <t>D.O.</t>
  </si>
  <si>
    <t>Barbara Vona</t>
  </si>
  <si>
    <t>University of Tuebingen, Dept. of Otolaryngology, Hearing Research Centre</t>
  </si>
  <si>
    <t>Elfriede-Aulhorn-Str. 5</t>
  </si>
  <si>
    <t>barbara.vona@uni-tuebingen.de</t>
  </si>
  <si>
    <t>Half variant analyst, half scientific researcher</t>
  </si>
  <si>
    <t>Networking, Colleagues, Twitter</t>
  </si>
  <si>
    <t>LOVD3 variant curation for several hearing loss genes (STRC, GRHL2, CEACAM16, S1PR2)</t>
  </si>
  <si>
    <t>Hearing Loss Variant and Gene Curation Expert Panels</t>
  </si>
  <si>
    <t>Contributing to the massive efforts for variant and gene annotation and curation, dynamic networking and pooling of variants and clinical info for improved variant prioritization and gene-disease validation</t>
  </si>
  <si>
    <t>Viridiana Murillo</t>
  </si>
  <si>
    <t>Keck Graduate Institute</t>
  </si>
  <si>
    <t>725 N. Mountain Ave</t>
  </si>
  <si>
    <t>vmurillo18@students.kgi.edu</t>
  </si>
  <si>
    <t>Diane Zastrow</t>
  </si>
  <si>
    <t xml:space="preserve">We have had some introduction to variant curation using the ACMG guidelines in my Human Genomics course and a training we attended on variant curation. </t>
  </si>
  <si>
    <t>Metabolism (PAH) workgroup and/or  Epilepsy work group</t>
  </si>
  <si>
    <t xml:space="preserve">I would like to complement my education and prepare for a potential career 
 relating to variant interpretation or as a variant curator. I believe this would be an excellent opportunity. </t>
  </si>
  <si>
    <t xml:space="preserve">Metabolism (PAH) and Epilepsy </t>
  </si>
  <si>
    <t>I want to gain curation experience and help the community</t>
  </si>
  <si>
    <t>Current M.S. Human Genetics and Genomic Data Analytics student</t>
  </si>
  <si>
    <t>Sharon Suchy</t>
  </si>
  <si>
    <t xml:space="preserve">GeneDx </t>
  </si>
  <si>
    <t>207 Perry Parkway, Gaithersburg, MD</t>
  </si>
  <si>
    <t>ssuchy@genedx.com</t>
  </si>
  <si>
    <t>yes, assessing variant pathogenicity /clinical actionability issues</t>
  </si>
  <si>
    <t>lysosomal storage, inborn errors of metabolism</t>
  </si>
  <si>
    <t>Help in the effort to standardize the classification of variants</t>
  </si>
  <si>
    <t>Lysosomal storage disorders, fatty acid oxidation, newborn screen inborn errors of metabolism, creatine def., congen disorders of glycosylation</t>
  </si>
  <si>
    <t>GIFTY BHAT</t>
  </si>
  <si>
    <t>University of Illinois at Chicago</t>
  </si>
  <si>
    <t>41 E 8th st apt 3202 chicago IL 60605</t>
  </si>
  <si>
    <t>drgiftybhat@gmail.com</t>
  </si>
  <si>
    <t>ACMG Conference 2019, ClinGen conference advertisements (i.e. booth, workshop, presentation)</t>
  </si>
  <si>
    <t>Research activity for 6 months for neurodevelopmental disorders in consanguineous population</t>
  </si>
  <si>
    <t>Neurodevelopmental/intellectual disability, Rett-Angelman syndrome, PTEN related disorders</t>
  </si>
  <si>
    <t>Improve phentyping of patients with neurogenetic disorders</t>
  </si>
  <si>
    <t>Neurogenetic disorder; intellectual disability, Rett-Angelman syndrome</t>
  </si>
  <si>
    <t>Theodore E. Wilson</t>
  </si>
  <si>
    <t>Indiana University / Riley Children’s Hospital</t>
  </si>
  <si>
    <t>974 West Walnut, Indianapolis, IN 46202</t>
  </si>
  <si>
    <t>theowils@iu.edu</t>
  </si>
  <si>
    <t>ACMG Conference 2019, Colleagues, Suggestion from mentor</t>
  </si>
  <si>
    <t>During my fellowship I worked closely with ARUP Molecular geneticists to call variant pathogenicity based on the 2015 criteria.</t>
  </si>
  <si>
    <t>cardiomyopathy</t>
  </si>
  <si>
    <t xml:space="preserve">Be involved in the process that directly affects my patients. </t>
  </si>
  <si>
    <t xml:space="preserve">Pediatrics </t>
  </si>
  <si>
    <t>FAAP &amp; FACMGG</t>
  </si>
  <si>
    <t>Christina Y Hung</t>
  </si>
  <si>
    <t>3 Blackfan Circle, Boston, MA 02115</t>
  </si>
  <si>
    <t>christina.hung@childrens.harvard.edu</t>
  </si>
  <si>
    <t>ACMG Conference 2019, Colleagues</t>
  </si>
  <si>
    <t>ABMGG training/fellowships</t>
  </si>
  <si>
    <t>Inborn error of Metabolism, Lysosomal Storage Disorders, Aminoacidopathy; have talked to Meredith Weaver regarding options of joining Metabolism Workgroup</t>
  </si>
  <si>
    <t>contribute and stay up to date with classification standards in the field and the evolving disease knowledge</t>
  </si>
  <si>
    <t>Inborn errors of metabolism (e.g. lysosomal), Kabuki Syndrome, CENPT</t>
  </si>
  <si>
    <t>FACMG (Clinical Molecular and Clinical Biochem)</t>
  </si>
  <si>
    <t>Alka Chaubey</t>
  </si>
  <si>
    <t xml:space="preserve">Perkin Elmer Genomics </t>
  </si>
  <si>
    <t>103 Lauren circle , Greenwood 29649</t>
  </si>
  <si>
    <t>ACMG Conference 2019</t>
  </si>
  <si>
    <t>Participated in pilot dosage sensitivity effort of analyzing and curating CNVs</t>
  </si>
  <si>
    <t xml:space="preserve">Dosage sensitivity and somatic cancer </t>
  </si>
  <si>
    <t xml:space="preserve">Contribute to dosage sensitivity workgroup </t>
  </si>
  <si>
    <t>Dosage sensitive genes</t>
  </si>
  <si>
    <r>
      <t>Note:</t>
    </r>
    <r>
      <rPr/>
      <t xml:space="preserve"> on 7-9-19 the email of alka.chaubey@perkinelmer.con returned undeliverable. No update to email given.</t>
    </r>
  </si>
  <si>
    <t>Junyu Zhang</t>
  </si>
  <si>
    <t>IPMCH, Shanghai Jiao Tong University</t>
  </si>
  <si>
    <t>junyuzhang@hotmail.com</t>
  </si>
  <si>
    <t xml:space="preserve">Curate more than 1000 variants in Chinese patients </t>
  </si>
  <si>
    <t>Yes. Brain Malformations</t>
  </si>
  <si>
    <t>Gain experience and promote enhanced patient care in China</t>
  </si>
  <si>
    <t>reproductive diseases/ brain malformations/ F8 and F9/ Actionability WG/ hearing loss</t>
  </si>
  <si>
    <t>Chinese Genetic Counselor</t>
  </si>
  <si>
    <t>Jing Zhang</t>
  </si>
  <si>
    <t>WuXi NextCODE</t>
  </si>
  <si>
    <t>jzhang@wuxinextcode.com</t>
  </si>
  <si>
    <t>ACMG Conference 2019, ClinGen affiliated emails and/or newsletters, The clinicalgenome.org website</t>
  </si>
  <si>
    <t xml:space="preserve">As the director of clinical genomic interpretation division of WuXi NextCODE, I do gene/variant curation on daily basis. </t>
  </si>
  <si>
    <t>Contribute to high standard gene/variant curation effort</t>
  </si>
  <si>
    <t>Neurological disorders related genes/variants</t>
  </si>
  <si>
    <t>Mary-Alice Abbott</t>
  </si>
  <si>
    <t>Baystate Medical Center</t>
  </si>
  <si>
    <t>50 Wason Ave Springfield, MA</t>
  </si>
  <si>
    <t>Maryalice.abbott@baystatehealth.org</t>
  </si>
  <si>
    <t xml:space="preserve">As clinical geneticist I regularly interpret clinical significance of gene variants for my patients but do not have formal variant interpretation experience </t>
  </si>
  <si>
    <t>LSD, ID, actionability</t>
  </si>
  <si>
    <t>Contribute to improvement of the clinical value and utility of genetic testing results, collaborate with peers, experts</t>
  </si>
  <si>
    <t>ID, LSD esp pompe, newborn screening, Anomalies and dysmorphisms, general clinical genetics adult and pedi</t>
  </si>
  <si>
    <t>MD PhD</t>
  </si>
  <si>
    <t>Emily Higgs</t>
  </si>
  <si>
    <t>Stanford University</t>
  </si>
  <si>
    <t>ehiggs@stanford.edu</t>
  </si>
  <si>
    <t xml:space="preserve">For the past year I have been doing variant interpretation for 'healthy exomes' in the research setting and supervising Master of Genetic Counseling students' variant interpretation rotations.  </t>
  </si>
  <si>
    <t xml:space="preserve">Dosage- Neurodevelopemental; Gene curation - Intellectual Disability and Autism,
Epilepsy, Hereditary Cancer, Mitochondrial Diseases, Brain Malformations, Monogenic Diabetes; Variant curation - VHL, CDH1, Brain Malformations, Monogenic Diabetes, Colorectal Cancer </t>
  </si>
  <si>
    <t xml:space="preserve">ClinGen is an invaluable resource that I use often in my role as a variant curator. I appreciate how collaboration and resources like ClinGen can continue to improve the variant curation process for everyone in the field of genomics and I would love to contribute to this. </t>
  </si>
  <si>
    <t xml:space="preserve">I previously worked in clinical neurology and hereditary cancer, now I work in genomics research analyzing 'healthy exomes'. I am passionate about all of these areas. </t>
  </si>
  <si>
    <t xml:space="preserve">Fellow of the Human Genetics Society of Australasia (certified Genetic Counselor in Australia, now working in USA) </t>
  </si>
  <si>
    <t>Matt Wright</t>
  </si>
  <si>
    <t xml:space="preserve">Stanford University </t>
  </si>
  <si>
    <t>wrightmw@stanford.edu</t>
  </si>
  <si>
    <t>I’m already a part of ClinGen</t>
  </si>
  <si>
    <t>Most of my experience is gene-level curation but I’m especially interested in the variant curator’s experience</t>
  </si>
  <si>
    <t xml:space="preserve">Hearing Loss or Brain Malformations or Cardiomyopathy </t>
  </si>
  <si>
    <t>Getting to know the travails of a ClinGen curator from a first-hand perspective.</t>
  </si>
  <si>
    <t>Opsin genes, but I know color blindness is not even remotely on your radar right now :-)</t>
  </si>
  <si>
    <t>Samantha Chill</t>
  </si>
  <si>
    <t>George Mason University</t>
  </si>
  <si>
    <t>4923 Americana Dr, Annandale VA 22003</t>
  </si>
  <si>
    <t>slsevilla@gmail.com</t>
  </si>
  <si>
    <t>I would like to continue to explore various aspects of genetics by contributing my expertise to the field, and to learn additional skills.</t>
  </si>
  <si>
    <t>Kristin Maloney</t>
  </si>
  <si>
    <t>University of Maryland School of Medicine</t>
  </si>
  <si>
    <t>685 W. Baltimore St, MSTF 3-14H, Baltimore, MD  21201</t>
  </si>
  <si>
    <t>kmaloney1@som.umaryland.edu</t>
  </si>
  <si>
    <t>I don't have much experience with somatic variant interpretation, but am a biocurator on the monogenic diabetes expert panel.</t>
  </si>
  <si>
    <t>Somatic cancer (am already on the monogenic diabetes expert panel)</t>
  </si>
  <si>
    <t>I would like to learn more about somatic variant interpretation</t>
  </si>
  <si>
    <t>Somatic cancer</t>
  </si>
  <si>
    <t>HECTOR RODRIGO MENDEZ</t>
  </si>
  <si>
    <t>National Medical Genetics Centre</t>
  </si>
  <si>
    <t>Las Heras 2670</t>
  </si>
  <si>
    <t>rodrigomendezh@gmail.com</t>
  </si>
  <si>
    <t>My Master´s thesis project was about the utility of whole Exome sequencing in some patient in the NICU.</t>
  </si>
  <si>
    <t>Intellectual Disability and Autism, RASopathy</t>
  </si>
  <si>
    <t>I would like to get a deep insight into clinical bioinformatics and clinical genetics fields in order to understand the genotype-phenotype correlation.</t>
  </si>
  <si>
    <t>Mendelian disorders in general. I would like to know more about rasopathies.</t>
  </si>
  <si>
    <t>M.I. anwar</t>
  </si>
  <si>
    <t>lahore leads university</t>
  </si>
  <si>
    <t>pakistan</t>
  </si>
  <si>
    <t>mimtiazanwar@gmail.com</t>
  </si>
  <si>
    <t>YES I AM</t>
  </si>
  <si>
    <t>I want to contribute due to personal experience with genetic disorders.</t>
  </si>
  <si>
    <t>Bachelor’s degree</t>
  </si>
  <si>
    <t>Karen Hanson</t>
  </si>
  <si>
    <t xml:space="preserve">ICF international, </t>
  </si>
  <si>
    <t>12256 CARROLL MILL RD</t>
  </si>
  <si>
    <t>krhms3@gmail.com</t>
  </si>
  <si>
    <t>brain malformations, cancer</t>
  </si>
  <si>
    <t>better understanding of variant curation, contribute to the effort to better understand genetic variation</t>
  </si>
  <si>
    <t>not in particular</t>
  </si>
  <si>
    <t>MS, MBA</t>
  </si>
  <si>
    <t>Daniel Reich</t>
  </si>
  <si>
    <t>500 Chipeta Way, Salt Lake City, UT 84108</t>
  </si>
  <si>
    <t>daniel.reich@aruplab.com</t>
  </si>
  <si>
    <t>As a variant scientist, I have been doing variant classification for clinical genetics tests for ~10 months. I have been involved in discussing gene-disease validity, though only for the last 1-2 months.</t>
  </si>
  <si>
    <t>Contribute to the clinical genetics field and meet others in this community.</t>
  </si>
  <si>
    <t>Carnitine deficiencies, cardiomyopathy, epilepsy</t>
  </si>
  <si>
    <t>Christine Preston</t>
  </si>
  <si>
    <t>Stanford</t>
  </si>
  <si>
    <t>christip@stanford.edu</t>
  </si>
  <si>
    <t>Dosage Sensitivity Working Group</t>
  </si>
  <si>
    <t>Learn more about the biocuration process and contribute to the ClinGen curation efforts</t>
  </si>
  <si>
    <t>Gene Dosage Curation</t>
  </si>
  <si>
    <t>Julie Hathaway</t>
  </si>
  <si>
    <t>Blueprint Genetics</t>
  </si>
  <si>
    <t>1623 East 2nd Avenue
Apt. 403</t>
  </si>
  <si>
    <t>julie.hathaway@blueprintgenetics.com</t>
  </si>
  <si>
    <t xml:space="preserve">I have worked in the clinic and now in a commercial laboratory. In the clinic, we performed our own internal variant classifications and also, part of this included thoroughly researching gene-disease associations. In the laboratory, I have a clinical support role, contributing to gene panel curation/creation. </t>
  </si>
  <si>
    <t xml:space="preserve">Cardiomyopathy (or arrhythmias if available- I tried to be involved in the KCNQ1 variant curation group but I understand their group is now full) </t>
  </si>
  <si>
    <t xml:space="preserve">I have worked in cardiac genetics (arrhythmias and cardiomyopathies) for the last 8 years- I saw and experienced how the lack of variant interpretation standards AND the inclusion of genes with limited evidence led to reclassification of variants and "back-peddling" with patients and families. I would hope to contribute to educating the genetics and non-genetics community about gene-disease associations, ensuring industry is providing the most clinically relevant tests, improving the community's ability to interpret genetic test results by providing evidence based standards. </t>
  </si>
  <si>
    <t xml:space="preserve">Cardiomyopathies and arrhythmias. I would be happy to work on any gene in this area. </t>
  </si>
  <si>
    <t>Jose Maria Urbano</t>
  </si>
  <si>
    <t>University of Cambridge</t>
  </si>
  <si>
    <t>jmu22@cam.ac.uk</t>
  </si>
  <si>
    <t>Biocuration conference 2019</t>
  </si>
  <si>
    <t>I am a Drosophila biocurator. I've been working for FlyBase for 4 years</t>
  </si>
  <si>
    <t>Alexander Ing</t>
  </si>
  <si>
    <t>225 E. Chicago Ave Box 82 Chicago IL 60611</t>
  </si>
  <si>
    <t>aing@luriechildrens.org</t>
  </si>
  <si>
    <t>ACMG Conference 2019, ClinGen conference advertisements (i.e. booth, workshop, presentation), Colleagues, Suggestion from mentor</t>
  </si>
  <si>
    <t>I am a laboratory genetic counselor and my responsibilities are centered around variant interpretation and test reporting. I have served in this role for 4 years. I have some gene curation experience.</t>
  </si>
  <si>
    <t>epilepsy</t>
  </si>
  <si>
    <t xml:space="preserve">Increase knowledge of disease area and curation, collaboration on projects </t>
  </si>
  <si>
    <t>Primary Ciliary Dyskinesia, Epilepsy, Primary Immunodeficiency</t>
  </si>
  <si>
    <t>Jun Liao</t>
  </si>
  <si>
    <t>3959 Broadway, CHC-Room 406C, New York, NY 10032</t>
  </si>
  <si>
    <t>jl5098@cumc.columbia.edu</t>
  </si>
  <si>
    <t>As a laboratory director, I sign out WES, NGS panel, and microarray cases daily. So I am very familiar with curation activities for variant pathogenicity, gene-disease validity, and dosage sensitivity.</t>
  </si>
  <si>
    <t>1. Lysosomal Storage Disorders VCEP; 2. ID/Autism GCEP</t>
  </si>
  <si>
    <t>contribute to the community and learn from other experts</t>
  </si>
  <si>
    <t>HEXA, HEXB, GBA</t>
  </si>
  <si>
    <t>Maki Kaneko</t>
  </si>
  <si>
    <t>Children's Hospital Los Angeles</t>
  </si>
  <si>
    <t>4650 Sunset Blvd, #173, Los Angeles, CA 90027</t>
  </si>
  <si>
    <t>mkaneko@chla.usc.edu</t>
  </si>
  <si>
    <t>Gene-Disease Validity Curation for epilepsy</t>
  </si>
  <si>
    <t>Emma Leach</t>
  </si>
  <si>
    <t>BC Inherited Arrhythmia Program</t>
  </si>
  <si>
    <t>211-1033 Davie St., Vancouver, BC V6E 1M7</t>
  </si>
  <si>
    <t>eleach@providencehealth.bc.ca</t>
  </si>
  <si>
    <t>ClinGen conference advertisements (i.e. booth, workshop, presentation), Colleagues, The clinicalgenome.org website</t>
  </si>
  <si>
    <t>previously published systematic literature review</t>
  </si>
  <si>
    <t>Cardiovascular, particular inherited arrhythmias and arrhythmogenic cardiomyopathies. I'm currently interested in TTN</t>
  </si>
  <si>
    <t>Megan Lynch</t>
  </si>
  <si>
    <t>University of Maryland Baltimore</t>
  </si>
  <si>
    <t>807 West Barre St. Baltimore, MD 21230</t>
  </si>
  <si>
    <t>megan.lynch@umaryland.edu</t>
  </si>
  <si>
    <t>any of the cardiovascular working groups</t>
  </si>
  <si>
    <t>background and knowledge surrounding the rules of annotation in cardio variants</t>
  </si>
  <si>
    <t>Suvina To</t>
  </si>
  <si>
    <t>ActX, Inc.</t>
  </si>
  <si>
    <t>suvina@gmail.com</t>
  </si>
  <si>
    <t>ACMG Conference 2019, Monogenic Diabetes Group</t>
  </si>
  <si>
    <t>I am a variant curation specialist in my company</t>
  </si>
  <si>
    <t>monogenic diabetes</t>
  </si>
  <si>
    <t>Keep up and refine my skills while helping to improve public resources</t>
  </si>
  <si>
    <t>Lemuel Racacho</t>
  </si>
  <si>
    <t>Newborn Screening Ontario</t>
  </si>
  <si>
    <t>lracacho@cheo.on.ca</t>
  </si>
  <si>
    <t>ClinGen conference advertisements (i.e. booth, workshop, presentation), Networking, Colleagues, ClinGen affiliated emails and/or newsletters, The clinicalgenome.org website</t>
  </si>
  <si>
    <t>Yes, I currently interpret variants for mitochondrial based disorders</t>
  </si>
  <si>
    <t>Inborn errors of metabolism; Low penetrance/risk allele</t>
  </si>
  <si>
    <t>Bo Yuan</t>
  </si>
  <si>
    <t>Baylor College of Medicine</t>
  </si>
  <si>
    <t>2450 Holcombe Blvd, Suite 200F, Houston, TX 77021</t>
  </si>
  <si>
    <t>by2@bcm.edu</t>
  </si>
  <si>
    <t>I have been involved in some gene curation using ClinGen format. Variant curation is part of my routine practice.</t>
  </si>
  <si>
    <t>Improve the understanding of gene-disease relationship.</t>
  </si>
  <si>
    <t>I volunteered in the gene/variant curation for the MTOR-PI3K-AKT pathway.</t>
  </si>
  <si>
    <t>Dual board eligible Clinical Molecular Genetics, Clinical Cytogenetics</t>
  </si>
  <si>
    <t>Avinash Dharmadhikari</t>
  </si>
  <si>
    <t>Columbia University</t>
  </si>
  <si>
    <t>630 W. 168th St., New York, NY 10032</t>
  </si>
  <si>
    <t>avd2129@cumc.columbia.edu</t>
  </si>
  <si>
    <t>Previously variant analyst/curator at Baylor Genetics and Natera; currently LGG fellow at Columbia University</t>
  </si>
  <si>
    <t>Hearing Loss VCEP &amp; GCEP or Dosage Sensitivity WG or ID/Autism GCEP</t>
  </si>
  <si>
    <t>Get involved in improving gene/variant curation efforts; networking</t>
  </si>
  <si>
    <t>Currently 1st year LGG fellow</t>
  </si>
  <si>
    <t>Sara Fitzgerald-Butt</t>
  </si>
  <si>
    <t>Indiana University School of Medicine</t>
  </si>
  <si>
    <t>975 W. Walnut IB-130 Indianapolis IN 46202</t>
  </si>
  <si>
    <t>sfitzge@iu.edu</t>
  </si>
  <si>
    <t>I was part of a research team that reinterpreted the variants seen in our pediatric arrhythmia patients following the release of the 2015 ACMG/AMP guidelines.  Also, as a genetic counselor, I an evaluating the interpretation of the clinical laboratory.</t>
  </si>
  <si>
    <t>Cardiovascular, cardiomyopathy, Long QT syndrome, FBN1</t>
  </si>
  <si>
    <t>cardiomyopathy, congenital heart disease</t>
  </si>
  <si>
    <t>Emory University</t>
  </si>
  <si>
    <t>615 Michael Street NE
Whitehead Building Level 3, Suite 301</t>
  </si>
  <si>
    <t>ACMG Conference 2019, ClinGen conference advertisements (i.e. booth, workshop, presentation), Networking, Colleagues</t>
  </si>
  <si>
    <t xml:space="preserve">I do have experience in classifying variants based on my functional data and submitting in Clinvar, other databases, and understanding variant annotation and classification based on 2015 ACMG-AMP guidelines. I also have experience in understanding the disease causality of variants and genes in correlation with clinical data. Though most of my experiences are in clinical research setting, but I do work closely with CLIA labs, organizations, and board-certified clinical geneticists. </t>
  </si>
  <si>
    <t>Lysosomal Storage Disorders, Epilepsy</t>
  </si>
  <si>
    <t xml:space="preserve">Being working on clinical genetics in a research lab setting and reporting back research reports to patients/physicians, I want to use my knowledge and be part of the effort of the community for gene/variant curation with so much large scale sequencing efforts worldwide in both disease and health. This will make the diagnostic journey efficient for patients. Also, as everyday we keep learning new cases, some of which challenges the common paradigm, I want to learn and enhance my expertise in careful assessment of gene/variant annotation going forward which will help in my clinical research as well. </t>
  </si>
  <si>
    <t xml:space="preserve">I work on neuromuscular disease area broadly, focusing on limb girdle muscular dystrophy (including DMD/BMD, GNE myopathy), and Pompe disease mostly and also started collaborative project in epilepsy. I work regularly for molecular diagnostics (clinical part), and do clinical research (research part) on mapping pheno-genotype correlation using functional genomic tools related to genes associated with muscular dystrophy and epilepsy. </t>
  </si>
  <si>
    <t>Not yet, but my research is based on clinical genetics</t>
  </si>
  <si>
    <t>Fareed Al Qusous</t>
  </si>
  <si>
    <t>Mr</t>
  </si>
  <si>
    <t>2 Garstand road canterbury halls</t>
  </si>
  <si>
    <t>Fareedh.al.qusous@hotmail.com</t>
  </si>
  <si>
    <t>Undergraduate Student</t>
  </si>
  <si>
    <t>google</t>
  </si>
  <si>
    <t>I'd like to contribute to research by uploading my genome and hopefully be able to verify that I have made a contribution to genetic research</t>
  </si>
  <si>
    <t>Baldness, androgenic alopecia</t>
  </si>
  <si>
    <t xml:space="preserve">currently a 2nd year medical student </t>
  </si>
  <si>
    <t>Mi-Ae Jang</t>
  </si>
  <si>
    <t>Soonchunhyang University Hospital</t>
  </si>
  <si>
    <t>170 Jomaru-ro, Wonmi-gu, Bucheon, Gyenggido, South Korea</t>
  </si>
  <si>
    <t>miaeyaho@gmail.com</t>
  </si>
  <si>
    <t>Variant curation expert panel for myeloid malignancy and brain malformation</t>
  </si>
  <si>
    <t>I'd like to expand my experience for gene and/or variant curation of various genetic diseases.</t>
  </si>
  <si>
    <t>I'm particularly interested in genes associated with epilepsy and/or hematologic malignancy.</t>
  </si>
  <si>
    <t>Alison Bright</t>
  </si>
  <si>
    <t>200 Forest St, Marlborough, MA</t>
  </si>
  <si>
    <t>alison.r.bright@questdiagnostics.com</t>
  </si>
  <si>
    <t>Networking, Heard abt it from Marina DiStefano (Clinical Molecular Genetics Fellow)</t>
  </si>
  <si>
    <t>6 years as a variant scientist: past 2 years focused on CNVs identified by microarray. Prior to that was focused on SNVs identified by single gene and panel tests.</t>
  </si>
  <si>
    <t>My goals are 2-fold: increase the coverage of the ClinGen Dosage Sensitivity Map (a tool I am constantly using/benefiting from) and learn more abt the field.</t>
  </si>
  <si>
    <t>Dosage sensitivity of any gene covered by constitutional chromosomal microarray analysis</t>
  </si>
  <si>
    <t>Chloe Whitten</t>
  </si>
  <si>
    <t>cwhitten@ambrygen.com</t>
  </si>
  <si>
    <t>Recent graduate, can help with more admin tasks</t>
  </si>
  <si>
    <t>I don’t have experience with curation but I am eager to learn and have experience with more administrative/tedious tasks. I’d love to be involved but I understand that I do not have an clinical degrees</t>
  </si>
  <si>
    <t>FBN1, PKU or LSD</t>
  </si>
  <si>
    <t xml:space="preserve">I’d like to diversify my experience. As a current clinical assistant in the industry side, I’d love to get more involved in research efforts to progress the field. </t>
  </si>
  <si>
    <t>I’m interested in neurology as a field, but I’m open to any field</t>
  </si>
  <si>
    <t>Jaclyn Murry</t>
  </si>
  <si>
    <t>UCLA</t>
  </si>
  <si>
    <t>1400 Kelton ave, apt 111</t>
  </si>
  <si>
    <t>jmurry@mednet.ucla.edu</t>
  </si>
  <si>
    <t>Colleagues, ClinGen affiliated emails and/or newsletters</t>
  </si>
  <si>
    <t>Currently review CMA cases on service</t>
  </si>
  <si>
    <t>Interest in CNVs</t>
  </si>
  <si>
    <t xml:space="preserve">Be current with emerging CNV resources. </t>
  </si>
  <si>
    <t>Current LGG fellow</t>
  </si>
  <si>
    <t>Ying Zou</t>
  </si>
  <si>
    <t>University of Maryland</t>
  </si>
  <si>
    <t>655 W. Baltimore st., BRB-7-025, Baltimore, MD 21201</t>
  </si>
  <si>
    <t xml:space="preserve"> yzou19@jhmi.edu</t>
  </si>
  <si>
    <t>somatic cancer</t>
  </si>
  <si>
    <t>variant curation and help train others</t>
  </si>
  <si>
    <t>cancer mutations</t>
  </si>
  <si>
    <t>MD., PHD</t>
  </si>
  <si>
    <t>JIXIA LIU</t>
  </si>
  <si>
    <t>Sema4 Genomics</t>
  </si>
  <si>
    <t>72 E 97th st
Unit 13</t>
  </si>
  <si>
    <t>jixialiu@gmail.com</t>
  </si>
  <si>
    <t>Clinical Variant Curator</t>
  </si>
  <si>
    <t>I have had one year working experience with variant pathogenicity  in carrier testing. I have some knowledge about Gene-Disease Validity and Somatic Cancer curation by attending seminars and working on research project.</t>
  </si>
  <si>
    <t>I am in Variant Curation for Lysosomal Storage Disorders now, and would be interested in any gene curation group as well.</t>
  </si>
  <si>
    <t xml:space="preserve">Familiar myself with ACMG guideline and specific gene curation guideline for certain disease, gain experiences in gene curation and somatic cancer </t>
  </si>
  <si>
    <t>GAA, PAH ... metabolic diseases; somatic cancer</t>
  </si>
  <si>
    <t>Catherine Driscoll</t>
  </si>
  <si>
    <t>NHGRI, NIH</t>
  </si>
  <si>
    <t>50 South Dr., room 5142, Bethesda, MD 20814</t>
  </si>
  <si>
    <t>kate.driscoll@nih.gov</t>
  </si>
  <si>
    <t>Suggestion from mentor</t>
  </si>
  <si>
    <t>Yes, my main task at work is annotation of variants in Dr. Biesecker's lab</t>
  </si>
  <si>
    <t>Yes, RYR1 MHS</t>
  </si>
  <si>
    <t>Contribute to the RYR1 working group</t>
  </si>
  <si>
    <t>ABMGG Clinical Molecular Genetics Fellow</t>
  </si>
  <si>
    <t>Sara King</t>
  </si>
  <si>
    <t>UMUC</t>
  </si>
  <si>
    <t>sking127@student.umuc.edu</t>
  </si>
  <si>
    <t>Gifty Bhat</t>
  </si>
  <si>
    <t>Intellectual disability and autism</t>
  </si>
  <si>
    <t>Ashley Marsh</t>
  </si>
  <si>
    <t>9500 Gilman Dr, La Jolla, CA 92093</t>
  </si>
  <si>
    <t>amarsh@ucsd.edu</t>
  </si>
  <si>
    <t>Variant Pathogenicity – I gained extensive sequence variant interpretation experience through my undergraduate and graduate research projects. I assessed the pathogenicity of variants associated with inherited cardiomyopathies during my undergraduate degree and undertook similar assessments during my graduate studies, focused on neurodevelopment and novel disease gene discovery. I published a Nature Genetics paper in 2017 describing the first genetic cause of isolated agenesis of the corpus callosum. I subsequently created and maintain a LOVD for the disease gene (DCC), where I use ACMG and other criteria (in silico, conversation, population databases, etc.) to assess the pathogenicity of reported variants.
Gene-Disease Validity – My PhD dissertation focused on novel disease gene discovery. Throughout my candidature, I utilized modern genomic technologies (including exome and targeted resequencing) to identify and characterize novel disease genes associated with neurodevelopmental disorders such as agenesis of the corpus callosum and focal cortical dysplasia.</t>
  </si>
  <si>
    <t>•	Brain Malformations Variant Curation Expert Panel
•	Brain Malformations Gene Curation Expert Panel</t>
  </si>
  <si>
    <t xml:space="preserve">I would like to improve my ability to evaluate and assess the clinical validity of gene-disease associations as well as the pathogenicity of DNA sequence variants following ACMG/AMP and custom guidelines. In addition, I would like to participate in the development of classification guidelines, including specific guidelines for genes associated with neurodevelopmental disorders, as well as tools and databases for variant assessment. Overall, I want to improve my human genetics knowledge and skills as a clinical geneticist so I can make a greater impact towards improving patient health in my future career. </t>
  </si>
  <si>
    <t>•	Neurodevelopmental disorders
•	Disorders of axon guidance
•	Inherited cardiomyopathies</t>
  </si>
  <si>
    <t>Kevin Colclough</t>
  </si>
  <si>
    <t>Royal Devon &amp; Exeter NHS Trust</t>
  </si>
  <si>
    <t>Barrack Road, Exeter, Devon, UK EX2 5DW</t>
  </si>
  <si>
    <t>kevin.colclough@nhs.net</t>
  </si>
  <si>
    <t>I routinely perform variant pathogenicity classification and gene-disease validity as part of my routine diagnostic laboratory work.</t>
  </si>
  <si>
    <t>I am a member of the variant curation and gene curation expert panels for monogenic diabetes.</t>
  </si>
  <si>
    <t>Improve quality of genetic testing and reporting for monogenic diabetes</t>
  </si>
  <si>
    <t>All genes associated with monogenic diabetes</t>
  </si>
  <si>
    <t>I want to improve the quality of genetic testing and reporting for monogenic diabetes in laboratories across the world.</t>
  </si>
  <si>
    <t>Erin Sybouts</t>
  </si>
  <si>
    <t>UT Health San Antonio</t>
  </si>
  <si>
    <t>sybouts@livemail.uthscsa.edu</t>
  </si>
  <si>
    <t>ACMG Conference 2019, The clinicalgenome.org website</t>
  </si>
  <si>
    <t>Gain more experience with clinical variant curation and classification.</t>
  </si>
  <si>
    <t>I have experience analyzing variants related to DNA repair and replication in cancer, but I would be willing to participate in other areas too.</t>
  </si>
  <si>
    <t>Jimena Murguia</t>
  </si>
  <si>
    <t>Laboratoire National de Santé</t>
  </si>
  <si>
    <t>jimena887@yahoo.es</t>
  </si>
  <si>
    <t>Robert Lewis</t>
  </si>
  <si>
    <t>University of California, Irvine School of Medicine</t>
  </si>
  <si>
    <t>350 Sprague Hall Irvine CA 92617</t>
  </si>
  <si>
    <t>rglewis@uci.edu</t>
  </si>
  <si>
    <t>Networking, Suggestion from mentor</t>
  </si>
  <si>
    <t>Learn how it is determined that particular genes are associated with diseases</t>
  </si>
  <si>
    <t>Dopamine and acetylcholine receptors  / Neurological and Psychiatry Diseases</t>
  </si>
  <si>
    <t>FEN GUO</t>
  </si>
  <si>
    <t>Wisconsin State Laboratory of Hygiene</t>
  </si>
  <si>
    <t xml:space="preserve">	465 Henry Mall   Madison, WI 53706</t>
  </si>
  <si>
    <t>fguo34@wisc.edu</t>
  </si>
  <si>
    <t>ACMG Conference 2019, Networking, Colleagues</t>
  </si>
  <si>
    <t>Gene Curation Expert Panels-Hereditary Cancer</t>
  </si>
  <si>
    <t>help to contribute the curation of gene/variants</t>
  </si>
  <si>
    <t>Hereditary cancer, no matter which genes</t>
  </si>
  <si>
    <t>LGG fellow</t>
  </si>
  <si>
    <t>Elizabeth Palmer</t>
  </si>
  <si>
    <t>Genetics of Learning Disability</t>
  </si>
  <si>
    <t>Sydney, Australia</t>
  </si>
  <si>
    <t>elizabeth.palmer1@health.nsw.gov.au</t>
  </si>
  <si>
    <t xml:space="preserve">member of AUSTRALIAN FUNCTIONAL GENOMICS CLINICAL REVIEW PANEL. Variant curation as part of my PhD and clinical research practice. </t>
  </si>
  <si>
    <t>epilepsy / ID and autism</t>
  </si>
  <si>
    <t xml:space="preserve">participate in international effort to bring up standards of care for variant curation and thus improve patient care. </t>
  </si>
  <si>
    <t>epilepsy/ intellectual disability and autism</t>
  </si>
  <si>
    <t>FRACP (HGSA)</t>
  </si>
  <si>
    <t>Vira Lamtieva</t>
  </si>
  <si>
    <t>Clinic of Reproductive Medicine "Nadiya"</t>
  </si>
  <si>
    <t>Kyiv, Ukraine</t>
  </si>
  <si>
    <t>lamteva.vera@gmail.com</t>
  </si>
  <si>
    <t xml:space="preserve">I don't have curation experience but I have been learning variant analysis and interpretation since 2016. Our lab has been offering WES interpretation for some time, and it is currently my working responsibility. Yet I have analysed up to 10 cases so far. </t>
  </si>
  <si>
    <t>Brain malformations, Lysosomal storage diseases, Mitochondrial diseases, Intellectual Disability/Autism</t>
  </si>
  <si>
    <t>I'm willing to further expand my expertise in variant interpretation and, armed with genetic knowledge, make a contribution to genomic medicine</t>
  </si>
  <si>
    <t>Neurodevelopmental disorders</t>
  </si>
  <si>
    <t>Lisa Dyer</t>
  </si>
  <si>
    <t>Lisa.Dyer@cchmc.org</t>
  </si>
  <si>
    <t>Andrea Hallberg</t>
  </si>
  <si>
    <t>University of Iowa</t>
  </si>
  <si>
    <t>1422 Aber Ave, Iowa City, IA</t>
  </si>
  <si>
    <t>hallberg.andrea@gmail.com</t>
  </si>
  <si>
    <t xml:space="preserve">I would like to gain experience in variant curation to be able to pursue a career in variant curation. </t>
  </si>
  <si>
    <t>Bianca Tesi</t>
  </si>
  <si>
    <t>Karolinska University Hospital</t>
  </si>
  <si>
    <t>Department of Clinical Genetics L3:04 Karolinska University Hospital 17176 Stockholm</t>
  </si>
  <si>
    <t>bianca.tesi@sll.se</t>
  </si>
  <si>
    <t>ClinGen conference advertisements (i.e. booth, workshop, presentation), The clinicalgenome.org website</t>
  </si>
  <si>
    <t>Experienced with reading literature, evaluating results in the clinical setting.</t>
  </si>
  <si>
    <t>myeloid neoplasm, hereditary cancer</t>
  </si>
  <si>
    <t>I would like to learn more about ClinGen policies for curation of gene/variants for clinical use</t>
  </si>
  <si>
    <t>hereditary cancer, myeloid neoplasm</t>
  </si>
  <si>
    <t>Lisa Chen</t>
  </si>
  <si>
    <t>BGI</t>
  </si>
  <si>
    <t>lisa498484901@gmail.com</t>
  </si>
  <si>
    <t>I have been doing variant classification for 4 years.</t>
  </si>
  <si>
    <t>I want to gain curation experience.</t>
  </si>
  <si>
    <t>Ingrid Paine</t>
  </si>
  <si>
    <t>1 Baylor plaza, Houston, Tx 77030 USA</t>
  </si>
  <si>
    <t>runquist@alumni.bcm.edu</t>
  </si>
  <si>
    <t>I heard about the working groups at a lecture by Heidi Rehm at the Jackson Lab Short Course</t>
  </si>
  <si>
    <t>Epilepsy genes and neurodevelopmental</t>
  </si>
  <si>
    <t>I’d like to contribute and learn from my colleagues in the field to variant curation</t>
  </si>
  <si>
    <t>MD or PhD (Not sure - Liz)</t>
  </si>
  <si>
    <t>Note: updated email address due to return of email 7-9-19 CLT</t>
  </si>
  <si>
    <t>Michelle Paczosa</t>
  </si>
  <si>
    <t>Michelle.K.Paczosa@questdiagnostics.com</t>
  </si>
  <si>
    <t>1. Recurrent 2. Neurodevelopmental 3. Cancer 4. Mitochondrial 5.Hereditary Cancer 6. Monogenic Diabetes</t>
  </si>
  <si>
    <t>555 University Ave., Toronto, Ontario, M5G 1X8</t>
  </si>
  <si>
    <t>Networking, Colleagues, Suggestion from mentor, Educational coursework, ClinGen affiliated emails and/or newsletters, The clinicalgenome.org website</t>
  </si>
  <si>
    <t>As noted above, I am currently a gene-disease curator with the ID &amp; ASD EP.</t>
  </si>
  <si>
    <t xml:space="preserve">I am open to any variant curation EPs that are currently looking for volunteers. </t>
  </si>
  <si>
    <t>I am currently a gene curator with the ID &amp; ASD EP, and am interested in becoming involved with variant curation, as well as explore another disease area (in addition to continue volunteering as a gene curator with the ID &amp; ASD EP). It has been a fantastic experience to see how ClinGen's work is building a more solid understanding of genetics for various disease entities, and I would love to contribute in a greater capacity to its curation efforts.</t>
  </si>
  <si>
    <t>I am quite open and interested in exploring any of the disease areas ClinGen is currently investigating.</t>
  </si>
  <si>
    <t>Aleš Maver</t>
  </si>
  <si>
    <t>Clinical institute od Medical Genetics, Ljubljana, Slovenia</t>
  </si>
  <si>
    <t>Slajmerjeva 3</t>
  </si>
  <si>
    <t>ales.maver@kclj.si</t>
  </si>
  <si>
    <t>ClinGen conference advertisements (i.e. booth, workshop, presentation), Networking, Colleagues, ClinGen affiliated emails and/or newsletters, The clinicalgenome.org website, Collaborating in the variant discrepancy resolution project</t>
  </si>
  <si>
    <t xml:space="preserve">Not extensive, but I am the responsible person for ClinVar deposits and data sharing at our institution. I also participate in the Variant discrepancy resolution project led by Steven Harrison. </t>
  </si>
  <si>
    <t>Variant Curation Expert Panels and Gene Curation Expert Panels</t>
  </si>
  <si>
    <t xml:space="preserve">Annually, I participate in interpretation of exome/genome sequencing in about 1000 patients. In the process, I commonly perform extensive research on a variety of variant-gene-phenotype associations and would like to contribute and share some of this effort to improve genome data interpretation for others. </t>
  </si>
  <si>
    <t xml:space="preserve">Rare genetic syndromes, intellectual disability, neuromuscular disorders (paticularly myopathies), cardiomyopathy, hearing loss and eye disorders. </t>
  </si>
  <si>
    <t>Léon Tshilolo</t>
  </si>
  <si>
    <t>Centre Hospitalier Monkole/CEFA  (Centre de Formation et d'Appui Sanitaire</t>
  </si>
  <si>
    <t>Avenue Ngafani; 4804, Mont Ngafula. Kinshasa</t>
  </si>
  <si>
    <t>leon.tshilolo2012@gmail.com</t>
  </si>
  <si>
    <t>hematologist, expert of SCD</t>
  </si>
  <si>
    <t>hemoglobinopathies</t>
  </si>
  <si>
    <t>To know more on the hemoglobinopathies and to share our experience</t>
  </si>
  <si>
    <t>Sickle cell disease</t>
  </si>
  <si>
    <t>Non</t>
  </si>
  <si>
    <t>Danielle Mouhlas</t>
  </si>
  <si>
    <t xml:space="preserve">Nationwide Children's Hospital </t>
  </si>
  <si>
    <t>700 Children's Dr. Columbus Ohio 43205</t>
  </si>
  <si>
    <t>danielle.mouhlas@nationwidechildrens.org</t>
  </si>
  <si>
    <t xml:space="preserve">I have performed some variant interpretation for clinical report writing. </t>
  </si>
  <si>
    <t xml:space="preserve">I would like become more proficient in variant interpretation, broaden my skills, and help contribute to the curation database to contribute to patient case. </t>
  </si>
  <si>
    <t xml:space="preserve">Most of my experience has been with RASopathies but I am open to any area. </t>
  </si>
  <si>
    <t>Emma Reble</t>
  </si>
  <si>
    <t xml:space="preserve">This is my second time filing out this survey. I am doing the variant curation training and have re-filled out this survey to participate in the gene curation training in the future. </t>
  </si>
  <si>
    <t xml:space="preserve">I would like to contribute to the genetics/research community and gain more knowledge from genetics experts. </t>
  </si>
  <si>
    <t>Robert Butler</t>
  </si>
  <si>
    <t>NorthShore University HealthSystem</t>
  </si>
  <si>
    <t>1001 University Place, Evanston, IL, 60201</t>
  </si>
  <si>
    <t>rbutler@northshore.org</t>
  </si>
  <si>
    <t>ClinVar Website</t>
  </si>
  <si>
    <t xml:space="preserve">I have some experience with variant interpretation and classification. My primary role in my job at NorthShore is research on our hospital cohort of variant data. I also authored a software tool, Clinotator, to examine variant evidence in ClinVar. My secondary job position is with the UChicago Department of Psychiatry and Behavioral Neuroscience and deals with neurodegenerative conditions (mainly AD). </t>
  </si>
  <si>
    <t xml:space="preserve">Ideally a working group regarding my experience, like Sequence Variant Discrepancy Resolution or Interpretation. Alternately, I have a growing interest (but much less knowledge) in the three areas of dosage sensitivity working groups, coming from a computational perspective (equal interest in all three). </t>
  </si>
  <si>
    <t>I would like to participate in interesting research and gain expertise in clinical variant interpretation.</t>
  </si>
  <si>
    <t>I am primarily interested in computational challenges surrounding variant interpretation.</t>
  </si>
  <si>
    <t>111 Michigan AVe NW; Washington DC 20010</t>
  </si>
  <si>
    <t>Networking, Colleagues</t>
  </si>
  <si>
    <t>I am currently a member of the aminoacidopathy expert panel and curator for the NAGS gene. Because of my expertise in molecular biology, biochemistry, genetics and genomics I am really interested in variant curation</t>
  </si>
  <si>
    <t>I am a member of the aminoacidopathy expert panel</t>
  </si>
  <si>
    <t>Become familiar with criteria for evaluating gene-disease associations and variant pathogenicity</t>
  </si>
  <si>
    <t>All urea cycle disorders</t>
  </si>
  <si>
    <t>Joy Goffena</t>
  </si>
  <si>
    <t>Roundup Memorial Healthcare</t>
  </si>
  <si>
    <t>324 3rd St W Roundup, MT 59072</t>
  </si>
  <si>
    <t>joy.goffena@gmail.com</t>
  </si>
  <si>
    <t xml:space="preserve">I would like gain genetic curation experience while contributing to the goals of ClinGen. </t>
  </si>
  <si>
    <t>Hereditary cancer, hearing loss, dementia, autism</t>
  </si>
  <si>
    <t>Amruta Phatak</t>
  </si>
  <si>
    <t>Indiana University</t>
  </si>
  <si>
    <t>arphatak@iu.edu</t>
  </si>
  <si>
    <t>This is an excellent way to support an important cause and also an invaluable learning opportunity.</t>
  </si>
  <si>
    <t>Cardiomyopathies</t>
  </si>
  <si>
    <t>Marcela Dias Hanna</t>
  </si>
  <si>
    <t>SQNW 107 Bloco D apt 407</t>
  </si>
  <si>
    <t>marcelahanna8@gmail.com</t>
  </si>
  <si>
    <t>2018 NSGC</t>
  </si>
  <si>
    <t>No.</t>
  </si>
  <si>
    <t>In order of preference: Gene curations: brain malformations; Variant: platelet disorder, TP53, VHL, brain malformations; Somatic: prediatric</t>
  </si>
  <si>
    <t>Gain experience with curation and improve my resume for my applications to the genetic counseling programs.</t>
  </si>
  <si>
    <t>Cath Tyner</t>
  </si>
  <si>
    <t>1127 N BRANCIFORTE AVE, SANTA CRUZ CA 95062</t>
  </si>
  <si>
    <t>cathtyner@gmail.com</t>
  </si>
  <si>
    <t>Software QA Engineer at Invitae</t>
  </si>
  <si>
    <t>Youtube</t>
  </si>
  <si>
    <t>QA software which is used in gene curation for Invitae</t>
  </si>
  <si>
    <t>Community contribution and professional experience</t>
  </si>
  <si>
    <t>Myalgic encephalomyelitis/chronic fatigue syndrome (ME/CFS)</t>
  </si>
  <si>
    <t xml:space="preserve">Abdelazeem Elhabyan </t>
  </si>
  <si>
    <t>Tanta university Faculty of Medicine</t>
  </si>
  <si>
    <t>Tanta , Ali Dawood street from Kafr Essam street Dr.Abdelhameed Elhabyan house</t>
  </si>
  <si>
    <t>Abdelazeem_abdelhameed2015505@yahoo.com</t>
  </si>
  <si>
    <t>Twitter</t>
  </si>
  <si>
    <t xml:space="preserve">I have received training In mapping,  variant calling using galaxy project and received many online courses in genomics </t>
  </si>
  <si>
    <t xml:space="preserve">Hereditary cancer </t>
  </si>
  <si>
    <t xml:space="preserve">Gian more insights into clinical genomics ,networking with other specialists, join research groups </t>
  </si>
  <si>
    <t xml:space="preserve">Cancer Genomics and hereditary disorders </t>
  </si>
  <si>
    <t xml:space="preserve">International leaders in Genomic medicine program by NHS England /Trainer @galaxyproject.org for middle east / more than 30 online courses </t>
  </si>
  <si>
    <t>Claudia Gonzaga-Jauregui</t>
  </si>
  <si>
    <t>Regeneron Genetics Center</t>
  </si>
  <si>
    <t>777 Old Saw Mill River Road</t>
  </si>
  <si>
    <t>cgonzagaj@gmail.com</t>
  </si>
  <si>
    <t>Yes, I have analyzed more than 5,000 probands and families segregating Mendelian and yet uncharacterized rare genetic disorders and identified and published more than 20 novel disease gene associations, as well as characterized pathogenic variants in known disease genes to enable diagnoses in patients with suspected genetic disorders. I have also analyzed and curated pathogenic and likely pathogenic variation in large population cohorts such as the Gesinger DiscovEHR collaboration and the UK Bionbank to assess clinical actionability of pathogenic variation and prevalence of disease in unascertained populations.</t>
  </si>
  <si>
    <t>Intellectual Disability and Autism, Brain Malformations, Charcot-Marie-Tooth Disease</t>
  </si>
  <si>
    <t>Contribute to the curation of genomic variants of clinical significance that can aid in accurate patient diagnosis.</t>
  </si>
  <si>
    <t>Neurodevelopmental disorders are of great interest but have worked in a variaty of rare and Mendelian genetic disorders</t>
  </si>
  <si>
    <t>Altovise Ewing</t>
  </si>
  <si>
    <t>23andMe</t>
  </si>
  <si>
    <t>1520 Southwest Expressway</t>
  </si>
  <si>
    <t>altovisee@gmail.com</t>
  </si>
  <si>
    <t>Genetic counselor and health equity scientist</t>
  </si>
  <si>
    <t>CCG 2019</t>
  </si>
  <si>
    <t>Hereditary cancer</t>
  </si>
  <si>
    <t>Ensure that the topics of health equity and representation of underserved populations are seriously considered in the variant interpretation process.</t>
  </si>
  <si>
    <t>I want to ensure to genomic health equity.</t>
  </si>
  <si>
    <t xml:space="preserve">Postdoctoral fellowship </t>
  </si>
  <si>
    <t>CGC/ LCGC</t>
  </si>
  <si>
    <t>Laura Sack</t>
  </si>
  <si>
    <t>GeneDx</t>
  </si>
  <si>
    <t>laura@sack.io</t>
  </si>
  <si>
    <t>Yes, in interpreting CNVs in clinical cases, I assess dosage sensitivity and gene-disease associations in order to determine variant pathogenicity</t>
  </si>
  <si>
    <t>Dosage-Recurrent Regions, Dosage- Neurodevelopemental, Hereditary Cancer, Intellectual Disability and Autism, Epilepsy</t>
  </si>
  <si>
    <t>Enhance our collective understanding of the clinical genome to provide better information to patients, and gain further experience working on gene/disease curation</t>
  </si>
  <si>
    <t>CNVs, cancer, neurodevelopmental</t>
  </si>
  <si>
    <t>EST</t>
  </si>
  <si>
    <t>Janel Case</t>
  </si>
  <si>
    <t>Scripps Health</t>
  </si>
  <si>
    <t>janelcase@live.com</t>
  </si>
  <si>
    <t>NSGC</t>
  </si>
  <si>
    <t xml:space="preserve">Variant curation internship at Illumina </t>
  </si>
  <si>
    <t xml:space="preserve">Any hereditary cancer related groups </t>
  </si>
  <si>
    <t xml:space="preserve">Build skills, networking </t>
  </si>
  <si>
    <t>Cancer related genes</t>
  </si>
  <si>
    <t>LCGC</t>
  </si>
  <si>
    <t>PST</t>
  </si>
  <si>
    <t>Carolina Bustamante</t>
  </si>
  <si>
    <t>Richet</t>
  </si>
  <si>
    <t>Av. das Américas, 13331. Recreio, Rio de Janeiro, Brazil</t>
  </si>
  <si>
    <t>carolina.bustamante@gmail.com</t>
  </si>
  <si>
    <t>Yes, I worked as bioinformatician performing NGS analyses and variant interpretation in a genetic diagnostic lab that sequenced cerca 600 samples a month.</t>
  </si>
  <si>
    <t xml:space="preserve">Cancer, Hereditary Cancer, Colorectal Cancer, Genitourinary Tract Cancers, TP53, PTEN, CDH1, FBN1. </t>
  </si>
  <si>
    <t>More expertise</t>
  </si>
  <si>
    <t>Hereditary Breast and Ovarian Cancer, Lung Cancer, Colorectal Cancer</t>
  </si>
  <si>
    <t xml:space="preserve">BRT (UTC -3) </t>
  </si>
  <si>
    <t>Natalie Hollister</t>
  </si>
  <si>
    <t>UNC Chapel Hill</t>
  </si>
  <si>
    <t>nsh10@alumni.duke.edu</t>
  </si>
  <si>
    <t>I want to further my own scientific knowledge to enhance my career in research</t>
  </si>
  <si>
    <t>Autism/ASD</t>
  </si>
  <si>
    <t>Jean Davidson</t>
  </si>
  <si>
    <t>Cal Poly, San Luis Obispo</t>
  </si>
  <si>
    <t>1180 Vista del Lago</t>
  </si>
  <si>
    <t>jdavid06@calpoly.edu</t>
  </si>
  <si>
    <t xml:space="preserve">I was a member of the Undiagnosed Disease Network at Stanford University as a genomics coordinator, as well as a member of the ENCODE coordination center at Stanford.  </t>
  </si>
  <si>
    <t xml:space="preserve">mitochondrial diseases, dilated cardiomyopathy, </t>
  </si>
  <si>
    <t xml:space="preserve">Improving outreach, community engagement, incorporating variant curation into my genetics/bioinformatics college courses. </t>
  </si>
  <si>
    <t>mutations in regulatory regions, non-coding variants</t>
  </si>
  <si>
    <t>PDT</t>
  </si>
  <si>
    <t>Timo Dereani</t>
  </si>
  <si>
    <t>bio.logis Center for Human Genetics</t>
  </si>
  <si>
    <t>Altenhöferallee 3, 60438 Frankfurt am Main</t>
  </si>
  <si>
    <t>dereani@biologis.diagnosticum.eu</t>
  </si>
  <si>
    <t>I've already curated hundreds of variants during my work as a clinical laboratory geneticist. Additionally I've used various classification guidelines (internal, ACMG etc.) and I'm constantly trying to implement new ideas. I am currently also participatig in the ClinGen low penetrance working group. Additionally I've helped to create various virtual panels for the routine diagnostics at our center.</t>
  </si>
  <si>
    <t>Monogenic Diabetes, Hereditary Cancer</t>
  </si>
  <si>
    <t>enhance genetic diagnostics</t>
  </si>
  <si>
    <t>MODY, CFTR, Hereditary Cancer Syndromes in general</t>
  </si>
  <si>
    <t>CET</t>
  </si>
  <si>
    <t>Konstantinos Varvagiannis</t>
  </si>
  <si>
    <t>Currently working in private practice (will possibly move to academic hospital again)</t>
  </si>
  <si>
    <t>Athens - Greece</t>
  </si>
  <si>
    <t>knsvarv@ath.forthnet.gr</t>
  </si>
  <si>
    <t>ClinGen conference advertisements (i.e. booth, workshop, presentation), The clinicalgenome.org website, Twitter</t>
  </si>
  <si>
    <t>Genomics England PanelApp - ID/epilepsy panels - (reviews available after filtering the respective panels' activity / : https://panelapp.genomicsengland.co.uk/panels/activity/?panel=285  -  https://panelapp.genomicsengland.co.uk/panels/activity/?panel=402 )</t>
  </si>
  <si>
    <t>Intellectual Disability and Autism / Epilepsy</t>
  </si>
  <si>
    <t>Contribute to the development of evidence-based reference panels</t>
  </si>
  <si>
    <t>Intellectual disability and autism / epilepsy</t>
  </si>
  <si>
    <t>Most of the above (get involved, network, help the community, improve my resume). Arbitrary selection of genes in current gene panels (usually 1000 up to 2500 genes tested for ID).</t>
  </si>
  <si>
    <t>FMH - Swiss Board Certification in Clinical Genetics</t>
  </si>
  <si>
    <t>GMT+3</t>
  </si>
  <si>
    <t>Jennifer Bullard</t>
  </si>
  <si>
    <t>University of South Alabama</t>
  </si>
  <si>
    <t>jenniferluja@gmail.com</t>
  </si>
  <si>
    <t>Contribute to the molecular genetic community and gain more knowledge in the process.</t>
  </si>
  <si>
    <t>I am interested in mitochrondrial diseases</t>
  </si>
  <si>
    <t>Currently working on DrPH</t>
  </si>
  <si>
    <t>CDT CENTRAL TIME ZONE</t>
  </si>
  <si>
    <t>Greg Lennon</t>
  </si>
  <si>
    <t>SNPedia</t>
  </si>
  <si>
    <t>9812 Falls Rd #114-237, Potomac MD 20854</t>
  </si>
  <si>
    <t>greg.lennon@gmail.com</t>
  </si>
  <si>
    <t>Curation of SNPedia (since 2006)</t>
  </si>
  <si>
    <t>Actionability Working Group</t>
  </si>
  <si>
    <t>Increase amount of publicly accessible curated information</t>
  </si>
  <si>
    <t>Actionable genes/disease areas</t>
  </si>
  <si>
    <t>EDT (UTC/GMT -4 hours)</t>
  </si>
  <si>
    <t>Pamela</t>
  </si>
  <si>
    <t>Versiti Blood Research Institute</t>
  </si>
  <si>
    <t>8727 Watertown Plank Rd.</t>
  </si>
  <si>
    <t>pchristopherson@versiti.org</t>
  </si>
  <si>
    <t>Submission of variants to LOVD</t>
  </si>
  <si>
    <t>Already on VWD working group</t>
  </si>
  <si>
    <t>Curate variants</t>
  </si>
  <si>
    <t>VWD</t>
  </si>
  <si>
    <t>CDT</t>
  </si>
  <si>
    <t>Ernie Hobbs</t>
  </si>
  <si>
    <t>Congenica</t>
  </si>
  <si>
    <t>4452 Lochurst Drive, Pfafftown, NC 27040</t>
  </si>
  <si>
    <t>ernie.hobbs@congenica.com</t>
  </si>
  <si>
    <t>Citizen Scientist/Patient Advocate</t>
  </si>
  <si>
    <t>No (but have worked for several companies that offered genomic analysis software)</t>
  </si>
  <si>
    <t>to learn more about variant curation, and to eventually be proficient in interpreting results</t>
  </si>
  <si>
    <t>whole genome or exome. No particular region, but focus on rare disease</t>
  </si>
  <si>
    <t>I was encouraged by someone affiliated with ClinGen.</t>
  </si>
  <si>
    <t>Sandy Au</t>
  </si>
  <si>
    <t>The University of Hong Kong</t>
  </si>
  <si>
    <t>30 Hospital Road, Sai Ying Pun</t>
  </si>
  <si>
    <t>alkuen@hku.hk</t>
  </si>
  <si>
    <t xml:space="preserve">I am working in a prenatal diagnostic laboratory and perform WES for prenatal cases. We have experience in variant classification and clinical reporting. </t>
  </si>
  <si>
    <t>Variant Curation Expert Panels</t>
  </si>
  <si>
    <t xml:space="preserve">Broaden my knowledge in variant classification, explore my career interest in clinical genetics, able to interact with diversify group of medical and scientific experts who contribute to better patient care through precision medicine </t>
  </si>
  <si>
    <t>Prenatal diagnostics</t>
  </si>
  <si>
    <t>nil</t>
  </si>
  <si>
    <t>HKT</t>
  </si>
  <si>
    <t>Generoso</t>
  </si>
  <si>
    <t>Dante Labs</t>
  </si>
  <si>
    <t xml:space="preserve">Corso Federico II 72 B </t>
  </si>
  <si>
    <t>generoso@dantelabs.com</t>
  </si>
  <si>
    <t>Yes, I have curated few variants for people who receive WES data.</t>
  </si>
  <si>
    <t>I would like to partecipate in the standardization efforts to validate clinical variants</t>
  </si>
  <si>
    <t>Not a gene in particular. Mostly interested in drug effect genes</t>
  </si>
  <si>
    <t>I do not have a certification but I am going to get the italian license to provide counseling</t>
  </si>
  <si>
    <t xml:space="preserve">Hemantkumar Nemade </t>
  </si>
  <si>
    <t>Basavatarakam Indo American Cancer Hospital and Research Institute Hyderabad India</t>
  </si>
  <si>
    <t>Department of Surgical Oncology, Basavatarakam Indo American Cancer Hospital and Research Institute, Road number 10, Banjara Hills Hyderabad India 500034</t>
  </si>
  <si>
    <t>drhemantnemade@gmail.com</t>
  </si>
  <si>
    <t>Educational coursework, Youtube</t>
  </si>
  <si>
    <t xml:space="preserve">Not genetic but I have collected and analyzed cancer database. Trained in statistics </t>
  </si>
  <si>
    <t>To further my knowledge, hone statistical skills,  learn analysis of genomic data</t>
  </si>
  <si>
    <t>Head neck cancer, p53 NOTCH, RET and RAS, Rb</t>
  </si>
  <si>
    <t>IST UTC/ GMT +5.30</t>
  </si>
  <si>
    <t>Christina Bridges</t>
  </si>
  <si>
    <t>Fullerton Genetics &amp; UNC</t>
  </si>
  <si>
    <t>9 Vanderbilt Park Dr, Asheville NC 28801</t>
  </si>
  <si>
    <t>c.bridges@med.unc.edu</t>
  </si>
  <si>
    <t>Some experience as part of my work in clinical genetics laboratory, as well as pursuit on my own of additional educational opportunities, such as those provided through ClinGen (thank you!) as well as other resources (professional clinical group featured presentations, publications from ACMG/AMP, etc.).</t>
  </si>
  <si>
    <t xml:space="preserve">I do not feel that I am qualified, at this time, for any Expert Panels, but I have indicated some preferences for Working Group involvement.  However, I would be interested to learn which areas represent ClinGen's greatest needs, currently, and I would consider if it seems I could offer value in such an area. </t>
  </si>
  <si>
    <t xml:space="preserve">Contribution toward knowledgebase that empowers better patient diagnoses and care, plus fuels medical research and therapeutic advances--while also learning from leading experts in the field and improving my own skills.  </t>
  </si>
  <si>
    <t>Interest in all areas but most particularly cancers.</t>
  </si>
  <si>
    <t>All of the above except having been encouraged by a mentor or someone affiliated with ClinGen!</t>
  </si>
  <si>
    <t>EDT (UTC-5)</t>
  </si>
  <si>
    <t>Laetitia Meyrueix</t>
  </si>
  <si>
    <t>University of North Carolina at Chapel Hill</t>
  </si>
  <si>
    <t>509 Stonehill Road Chapel Hill NC 27516</t>
  </si>
  <si>
    <t>lmeyruei@email.unc.edu</t>
  </si>
  <si>
    <t>Networking, Co-director of UNC Clinical Fellowship</t>
  </si>
  <si>
    <t>I do not per se have experience. I am familiar with the topics.</t>
  </si>
  <si>
    <t xml:space="preserve">Learn more about the clinical implications of genetic research and promote precision medicine. </t>
  </si>
  <si>
    <t>Previous work with NPC1 and Cav1. Particularly interested in epigenetics and diseases relating to inborn errors in metabolism -- I am a Nutrition PhD student.</t>
  </si>
  <si>
    <t>Eastern Standard Time</t>
  </si>
  <si>
    <t>Malak Ashraf</t>
  </si>
  <si>
    <t>El Qalyubia STEM School.</t>
  </si>
  <si>
    <t xml:space="preserve">10 Ali el shazly st. Dar el salaam, Cairo, Egypt. </t>
  </si>
  <si>
    <t>malak.2118144@stemkalubya.moe.edu.eg</t>
  </si>
  <si>
    <t>I did not have the opportunity to have a sufficient experiences, but i think passion will make me do it. i am a reader in pathology and virology, so, i think am a good candidate to be a member in one of these great working groups.</t>
  </si>
  <si>
    <t>yes, i am interested in joining Somatic Cancer working group!</t>
  </si>
  <si>
    <t xml:space="preserve">By being a volunteer in such a great community of biologists, curators, and experts like ClinGen definitely is a great opportunity for any person. But for me, it will not be just a volunteering work experience. i am willing with all passion and pleasure for being a curator, find solutions for those great challenges named with "Diseases", and discover cures for them. 
And for being an inspired person, who is only inspires by her passion, i will accomplish what i have always needed to accomplish by being a volunteer in ClinGen's curation groups.  </t>
  </si>
  <si>
    <t>I am interested in Cancer diseases and Virologist infections.</t>
  </si>
  <si>
    <t>Some high school education</t>
  </si>
  <si>
    <t>No, I do not have.</t>
  </si>
  <si>
    <t>GMT+2</t>
  </si>
  <si>
    <r>
      <t xml:space="preserve">originally choose Comprehensive, howeve rchanged to Baseline based on skill level. </t>
    </r>
    <r>
      <rPr>
        <b/>
      </rPr>
      <t>CLT 6-17-19</t>
    </r>
  </si>
  <si>
    <t>Abul Kalam Azad</t>
  </si>
  <si>
    <t>Montefiore Medical Center</t>
  </si>
  <si>
    <t>1641 Metropolitan Ave
Apt 3A</t>
  </si>
  <si>
    <t>azadak@gmail.com</t>
  </si>
  <si>
    <t>Gaining in-depth knowledge of variant curation and disease phenotype</t>
  </si>
  <si>
    <t>1044 West Walnut Street
R4-W204
IUPUI, Indianapolis</t>
  </si>
  <si>
    <t>Learning opportunities</t>
  </si>
  <si>
    <t>Cardiovascular/Cardiomyopathy</t>
  </si>
  <si>
    <t>EDT</t>
  </si>
  <si>
    <t>Priyabrata Panigrahi</t>
  </si>
  <si>
    <t>Innoplexus Pvt Ltd</t>
  </si>
  <si>
    <t>Midas Tower, Phase1, Hinjawadi</t>
  </si>
  <si>
    <t>pb.panigrahi86@gmail.com</t>
  </si>
  <si>
    <t>I have experience of performing somatic cancer variant detection NGS based pipelines, downstream variant annotation methods and have good exposure to databases like dbsnp etc.</t>
  </si>
  <si>
    <t>Dont know</t>
  </si>
  <si>
    <t>It is a good platform for me to learn how "how quality clingen data is curated" and also through this volunteer activity, I may get chance to interact with many other volunteers, peers, PIs. Overall a fruitful experience.</t>
  </si>
  <si>
    <t>IST</t>
  </si>
  <si>
    <t>José Patricio Miranda Marín</t>
  </si>
  <si>
    <t>Pontificia Universidad Católica de Chile</t>
  </si>
  <si>
    <t>Avda. Libertador Bernardo O'Higgins 340</t>
  </si>
  <si>
    <t>jose.miranda@uc.cl</t>
  </si>
  <si>
    <t>yes, I am the Lab Director of the Medical Genomic Unit at the Pontificia Universidad Católica de Chile, and we regularly send submissions to ClinVar (https://www.ncbi.nlm.nih.gov/clinvar/submitters/506969/)</t>
  </si>
  <si>
    <t>Monogenic Diabetes Variant Curation Expert Panel or Mitochondrial Disease Variant Curation Expert Panel</t>
  </si>
  <si>
    <t>As a ClinGen volunteer, I would like to collaborate in strengthening this database for clinical use, thus collaborating in an advance in the implementation of genomic medicine.</t>
  </si>
  <si>
    <t>Genes related to monogenic diabetes and those related to mitochondrial diabetes/diseases</t>
  </si>
  <si>
    <t>Chile Standard Time UTC-4</t>
  </si>
  <si>
    <t>Helen O'Shea</t>
  </si>
  <si>
    <t>Department of Clinical Genetics, Children's Health Ireland</t>
  </si>
  <si>
    <t>Children's Health Ireland at Crumlin D12 N512</t>
  </si>
  <si>
    <t>helen.oshea@olchc.ie</t>
  </si>
  <si>
    <t>I am involved in neurodevelopmental disorders research using exome sequencing and variant assessment.</t>
  </si>
  <si>
    <t>Neurodevelopmental disorders, cardiovascular diseases and cancer</t>
  </si>
  <si>
    <t>To further expand my variant assessment skills and contribute to curated data</t>
  </si>
  <si>
    <t>I am involved in variant assessment and wish to expand this skill</t>
  </si>
  <si>
    <t>IST (Irish Standard Time)</t>
  </si>
  <si>
    <t>Panos Sergouniotis</t>
  </si>
  <si>
    <t>University of Manchester, UK</t>
  </si>
  <si>
    <t>Manchester Centre for Genomic Medicine, St Mary's Hospital, Oxford Road, Manchester M13 9WL, UK</t>
  </si>
  <si>
    <t>panagiotis.sergouniotis@manchester.ac.uk</t>
  </si>
  <si>
    <t>I am a qualified Ophthalmologist (FEBO, FRCOphth) with an interest in Ophtalmic Genetics</t>
  </si>
  <si>
    <t>Yes. I have worked as a curator for PanelApp (https://panelapp.genomicsengland.co.uk/) and I have significantly contributed to HPO and Orphanet (e.g. https://www.ncbi.nlm.nih.gov/pubmed/30626441)</t>
  </si>
  <si>
    <t>Dosage Sensitivity Curation</t>
  </si>
  <si>
    <t>To improve the quality of curation of the genes realted to inherited ophthalmic disorders</t>
  </si>
  <si>
    <t>Monogenic ophthalmic disorders, both syndromic and nonsyndromic (e.g. retinitis pigmentosa)</t>
  </si>
  <si>
    <t>(M.D., Ph.D.)</t>
  </si>
  <si>
    <t>My PhD was on Ophthalmic Genetics</t>
  </si>
  <si>
    <t>BST (London)</t>
  </si>
  <si>
    <t>Marc Lataillade</t>
  </si>
  <si>
    <t>Rutgers University</t>
  </si>
  <si>
    <t>23 William Street</t>
  </si>
  <si>
    <t>marclataillade258@gmail.com</t>
  </si>
  <si>
    <t>I isolated genes with PCR and screened exons for a local variant of ebidermolysis bullosa.</t>
  </si>
  <si>
    <t>Of the panels listed I am interested in the aminoacidopathy and VHL group.</t>
  </si>
  <si>
    <t>Gain experience analyzing genetic variants</t>
  </si>
  <si>
    <t>Skin or hair diseases, hypertrichosis</t>
  </si>
  <si>
    <t xml:space="preserve">Sarah Payne </t>
  </si>
  <si>
    <t xml:space="preserve">12228 SW 7th Circle </t>
  </si>
  <si>
    <t>sarahhale79@gmail.com</t>
  </si>
  <si>
    <t xml:space="preserve">Female family with unknown genetic disorder </t>
  </si>
  <si>
    <t>Facebook</t>
  </si>
  <si>
    <t xml:space="preserve">I've been in medical trials </t>
  </si>
  <si>
    <t xml:space="preserve">Myself &amp; two daughters have an unknown genetic disorder it's affecting our daily lives. No one in our state does genetic testing </t>
  </si>
  <si>
    <t xml:space="preserve">We've been told we may have ehlers danlos, marfans, or loeys Dietz </t>
  </si>
  <si>
    <t>Central</t>
  </si>
  <si>
    <r>
      <t xml:space="preserve">Originally choose Comprehensive, however Baseline may best suit them, and we can direct it towards Loeys-Dietz, marfan, of EDS genes/variants. </t>
    </r>
    <r>
      <rPr>
        <b/>
      </rPr>
      <t>CLT 7-2-19</t>
    </r>
  </si>
  <si>
    <t>Lori Millner</t>
  </si>
  <si>
    <t>Bluewater Diagnostic Lab</t>
  </si>
  <si>
    <t>3410 Hardwood Forest Dr.</t>
  </si>
  <si>
    <t>lorimillner77@gmail.com</t>
  </si>
  <si>
    <t>Clinical Lab Director</t>
  </si>
  <si>
    <t>Yes, I performed NGS somatic mutation panels on single cells.</t>
  </si>
  <si>
    <t xml:space="preserve">Experience and to help the field of precision medicine. </t>
  </si>
  <si>
    <t>Oncology</t>
  </si>
  <si>
    <t>Agnes Sebastian</t>
  </si>
  <si>
    <t>agnes.sebastian@mail.utoronto.ca</t>
  </si>
  <si>
    <t>Someone's profile on LinkedIn</t>
  </si>
  <si>
    <t>No - any group related to cancer or hearing loss is preferable</t>
  </si>
  <si>
    <t>Contribute to a world-renowned resource for genotype-phenotype associations, and learn about the process for curating genes</t>
  </si>
  <si>
    <t>Cancer including hereditary cancer, hearing loss, TP53</t>
  </si>
  <si>
    <t>I do variant analysis adjacent to my laboratory work and would like to contribute to enhancing the databases used for variant analysis, which will ultimately improve precision medicine and enhance patient care</t>
  </si>
  <si>
    <t>Eastern Standard Time (EST)</t>
  </si>
  <si>
    <t>Xiangqiang Shao</t>
  </si>
  <si>
    <t>University of Wisconsin-Madison</t>
  </si>
  <si>
    <t>465 Henry Mall, Room 345, Madison, WI, 53706</t>
  </si>
  <si>
    <t>xshao5@wisc.edu</t>
  </si>
  <si>
    <t>I currently do microarray analysis for clinical samples at Wisconsin State Lab of Hygiene to determine the pathogenicity of the CNVs we detected, and I am working on a project to develop a NGS panel for Familial Hypercholesterolemia.</t>
  </si>
  <si>
    <t>Epilepsy, and Intellectual Disability and Autism</t>
  </si>
  <si>
    <t xml:space="preserve">I would love to get more training on dosage and variant curation, and I would also like to contribute more to clinical genetics field by joining a curation group. </t>
  </si>
  <si>
    <t xml:space="preserve">Familial Hypercholesterolemia, but I am happy to be matched to any group that need help. </t>
  </si>
  <si>
    <t>Central Time Zone.</t>
  </si>
  <si>
    <t>Pradeep Varathan</t>
  </si>
  <si>
    <t>IUPUI-Indianapolis</t>
  </si>
  <si>
    <t>725W,11th Street Apt 28, Indianapolis, IN 46202</t>
  </si>
  <si>
    <t>pradluzog@gmail.com</t>
  </si>
  <si>
    <t>Youtube, edx courses</t>
  </si>
  <si>
    <t>I would like to learn the techniques and help in curation process, as to accelerate the research process.</t>
  </si>
  <si>
    <t>Yes. I would love to work with the neurodegenerative disorder related genes as I have tremendous interest in that topic.</t>
  </si>
  <si>
    <t>Terri McVeigh</t>
  </si>
  <si>
    <t xml:space="preserve">Royal Marsden NHS Foundation Trust </t>
  </si>
  <si>
    <t>Cancer Genetics Unit, The Royal Marsden, Fulham Road, London SW3 6JJ</t>
  </si>
  <si>
    <t>terri.mcveigh@rmh.nhs.uk</t>
  </si>
  <si>
    <t xml:space="preserve">I work as a Medical Geneticist so routinely interrogate variants from the point of view of pathogenicity, actionability and relationship to the patient phenotype. Furthermore, I actively participate in the molecular tumour board,  where we interrogate similar features of somatic variants. </t>
  </si>
  <si>
    <t>I would like to gain experience in curation, as well as getting more involved with the international Clinical Genetics community</t>
  </si>
  <si>
    <t xml:space="preserve">Hereditary Cancer </t>
  </si>
  <si>
    <t>MB BAO BCh, Dip (Medical Science), MSc, PhD</t>
  </si>
  <si>
    <t xml:space="preserve">Certificate in Medical Genetics (Royal College of Pathologists), Certificate of Satisfactory Completion of Specialist Training in Clinical Genetics (Royal College of Physicians of Ireland) </t>
  </si>
  <si>
    <t xml:space="preserve">BST (GMT+1) </t>
  </si>
  <si>
    <t>Gretchen Cote</t>
  </si>
  <si>
    <t>Virginia Division of Consolidated Laboratory Services</t>
  </si>
  <si>
    <t>gretchen.cote@dgs.virginia.gov</t>
  </si>
  <si>
    <t>Bioinformatician focusing on Variant Interpretation</t>
  </si>
  <si>
    <t>I participate and weekly variant interpretation meetings for variant based newborn screening for Pompe and MPS1</t>
  </si>
  <si>
    <t>Expand curation of IDUA and GAA variants and improve interpretation skills</t>
  </si>
  <si>
    <t>GAA, IDUA</t>
  </si>
  <si>
    <t>Mayher Patel</t>
  </si>
  <si>
    <t>Broad Institute</t>
  </si>
  <si>
    <t>mayher@broadinstitute.org</t>
  </si>
  <si>
    <t>Bryan Gall</t>
  </si>
  <si>
    <t>Center for Genomic Interpretation</t>
  </si>
  <si>
    <t>bgall005@gmail.com</t>
  </si>
  <si>
    <t>Manual variant interpretation using ClinGen resources</t>
  </si>
  <si>
    <t>Colorectal Cancer, Familial Hypercholesterolemia, and Myeloid Malignancy</t>
  </si>
  <si>
    <t>Gain experience in the field while working to improve the ClinGen database</t>
  </si>
  <si>
    <t>I want to network.</t>
  </si>
  <si>
    <t>Hwaida Hannoush</t>
  </si>
  <si>
    <t>ACMG</t>
  </si>
  <si>
    <t>8816 Bells Mill Road Potomac , MD 20854</t>
  </si>
  <si>
    <t>hhannoush@acmg.net</t>
  </si>
  <si>
    <t xml:space="preserve">ACMG training </t>
  </si>
  <si>
    <t>Cardiomyopathy, Familial Hypercholesterolemia</t>
  </si>
  <si>
    <t xml:space="preserve">I would like to be able to curate and discover  new  genes related to diseases. </t>
  </si>
  <si>
    <t xml:space="preserve">As my specialty is cardiology, I  interested in  cardiovascular diseases  and prevention. </t>
  </si>
  <si>
    <t>Rawan Awwad</t>
  </si>
  <si>
    <t>GeneMatters</t>
  </si>
  <si>
    <t>Michigan</t>
  </si>
  <si>
    <t>rawan.awwad@gmail.com</t>
  </si>
  <si>
    <t xml:space="preserve">No but I know I can pick it up </t>
  </si>
  <si>
    <t xml:space="preserve">Clinical actionability for Peds </t>
  </si>
  <si>
    <t xml:space="preserve">More hands on experience with curation and variant classification, applying my clinical expertise to assist in interpretation, and network with like-minded CGC/scientists </t>
  </si>
  <si>
    <t xml:space="preserve">Pediatrics, General Genetics, Neuro, Cardio </t>
  </si>
  <si>
    <t>Yanhui Li</t>
  </si>
  <si>
    <t>University of Texas Southwestern Medical Center</t>
  </si>
  <si>
    <t>yxl280@gmail.com</t>
  </si>
  <si>
    <t>Gain Variant curation experiences.</t>
  </si>
  <si>
    <t>I am interested in Pediatric Disease and cancer areas.</t>
  </si>
  <si>
    <t>Central Time Zone</t>
  </si>
  <si>
    <t>Leila Jamal</t>
  </si>
  <si>
    <t>900 Rockville Pike, Bethesda, MD 20892</t>
  </si>
  <si>
    <t>leila.jamal@nih.gov</t>
  </si>
  <si>
    <t xml:space="preserve">I have PhD training in public health and have also written clinical test reports for study participants enrolled in a large sequencing research protocol at NIAID (on which I am a co-investigator).   </t>
  </si>
  <si>
    <t xml:space="preserve">I am most interested in the Pediatric Actionability Working Group and/or the Charcot-Marie-Tooth Gene Curation Group.  I would consider joining other gene or variant curation working groups as well.   </t>
  </si>
  <si>
    <t>I would like to learn more about evaluating actionability and/or the gene and variant curation process, and I'd also like to contribute to the development of a better evidence base for genomic medicine</t>
  </si>
  <si>
    <t>I am a certified genetic counselor (CGC)</t>
  </si>
  <si>
    <t>Eastern</t>
  </si>
  <si>
    <t>Shahad Rahawi</t>
  </si>
  <si>
    <t>2113 Lime Rock Court, El Cajon, CA 92019</t>
  </si>
  <si>
    <t>shahadrahawi@gmail.com</t>
  </si>
  <si>
    <t>brief variant interpretation activities in "analyze your genome" class in grad school</t>
  </si>
  <si>
    <t>Learn variant interpretation and contribute to the scientific field</t>
  </si>
  <si>
    <t>John Beilby</t>
  </si>
  <si>
    <t>PathWest</t>
  </si>
  <si>
    <t>Diagnostic Genomics, Level 2 PP Block, Queen Elizabeth II Medical Centre, Nedlands, WA. 6009</t>
  </si>
  <si>
    <t>John.Beilby@health.wa.gov.au</t>
  </si>
  <si>
    <t>Regular classification of variants to incorporate into patient reports.</t>
  </si>
  <si>
    <t>Cancer and cardiovascular diseases.</t>
  </si>
  <si>
    <t>To get a better understanding of variant classification.</t>
  </si>
  <si>
    <t>FFSc(RCPA)</t>
  </si>
  <si>
    <t>AWST</t>
  </si>
  <si>
    <t>Parham Habibzadeh</t>
  </si>
  <si>
    <t>Persian Bayangene Research and Training Center, Shiraz University of Medical Sciences</t>
  </si>
  <si>
    <t>parham.habibzadeh@yahoo.com</t>
  </si>
  <si>
    <t>Cardiomyopathy, Brain Malformations</t>
  </si>
  <si>
    <t>UTC +4:30</t>
  </si>
  <si>
    <t>Xiaolin Hu</t>
  </si>
  <si>
    <t>Cincinnati Children's hospital</t>
  </si>
  <si>
    <t>3333 Burnet ave, Cincinnati, OH, 45219</t>
  </si>
  <si>
    <t>xiaolin.hu@cchmc.org</t>
  </si>
  <si>
    <t>Yes, as part of our fellow's training</t>
  </si>
  <si>
    <t>hereditary cancer, somatic cancer, Mitochondrial Diseases</t>
  </si>
  <si>
    <t>gain experience and understand the current standards</t>
  </si>
  <si>
    <t>cancer</t>
  </si>
  <si>
    <t>NO</t>
  </si>
  <si>
    <t>Leighton Telling</t>
  </si>
  <si>
    <t>Formerly UNC</t>
  </si>
  <si>
    <t>lptellin@ncsu.edu</t>
  </si>
  <si>
    <t>Former UNC ClinGen Research Assistant</t>
  </si>
  <si>
    <t>I would like to broaden my experience within ClinGen and gain experience in gene curation.</t>
  </si>
  <si>
    <t>Panieh Terraf</t>
  </si>
  <si>
    <t>Harvard Medical School - Brigham and Women's Hospital</t>
  </si>
  <si>
    <t xml:space="preserve">75 Francis St. Boston MA 02115 - Dept. of Pathology </t>
  </si>
  <si>
    <t>pterraf@bwh.harvard.edu</t>
  </si>
  <si>
    <t>Variant Pathogenicity, Dosage Sensitivity</t>
  </si>
  <si>
    <t xml:space="preserve">Yes, in somatic cancer variant curation through my clinical training at the Brigham and Women's Hospital. </t>
  </si>
  <si>
    <t xml:space="preserve">Variant curation: myeloid malignancy, colorectal cancer, cardiomyopathy 
Somatic cancer working group: All, particularly pediatrics.
Dosage sensitivity: hereditary cancers, neurodevelopmental </t>
  </si>
  <si>
    <t xml:space="preserve">Gain experience and contribute to the community </t>
  </si>
  <si>
    <t xml:space="preserve">Currently a clinical laboratory genetics and genomics (LGG) fellow in training </t>
  </si>
  <si>
    <t>Jennifer Hull</t>
  </si>
  <si>
    <t>Keck Graduate Institute (KGI)</t>
  </si>
  <si>
    <t>4720 Coronado lane La Verne, CA 91750</t>
  </si>
  <si>
    <t>jhull86@gmail.com</t>
  </si>
  <si>
    <t>Phenylketonuria Variant Curation Expert Panel, epilepsy, CMT, hypercholesterolemia, colorectal cancer</t>
  </si>
  <si>
    <t xml:space="preserve">I hope to contribute to the information available on variants. </t>
  </si>
  <si>
    <t>Eric Kil</t>
  </si>
  <si>
    <t>535 Watson Dr, Claremont, CA 91711</t>
  </si>
  <si>
    <t>ekil18@students.kgi.edu</t>
  </si>
  <si>
    <t>I am interested in neuro-related conditions and cancer.</t>
  </si>
  <si>
    <t>Improve the accuracy of clinical genetic data to support researchers/clinicians make better, more informed decisions</t>
  </si>
  <si>
    <t>Oncology, Neurodegeneration, Neuroinflammation, Aging, Metabolism</t>
  </si>
  <si>
    <t>Joseph Steward</t>
  </si>
  <si>
    <t>Moore’s cancer center</t>
  </si>
  <si>
    <t>4360 Alabama St. San Diego CA</t>
  </si>
  <si>
    <t>jsteward2930@gmail.com</t>
  </si>
  <si>
    <t xml:space="preserve">Pancreatic </t>
  </si>
  <si>
    <t>Gain experience in cancer genomic biomarker curation</t>
  </si>
  <si>
    <t xml:space="preserve">Oncology Therapeutic Biomarkers </t>
  </si>
  <si>
    <t>NANDITA MULLAPUDI</t>
  </si>
  <si>
    <t>Hong Kong University of Science and Technology</t>
  </si>
  <si>
    <t>19-21 TIN HAU TEMPLE ROAD, NORTH POINT, HONG KONG.</t>
  </si>
  <si>
    <t>mnandita@gmail.com</t>
  </si>
  <si>
    <t>I am not currently signing up for being an active member, but I would like to eventually. I would like to state that I have almost two years of experience working with a molecular diagnostics company, wherein I was responsible for setting up the variant analyses and interpretation processes for a variety of inherited disorders.</t>
  </si>
  <si>
    <t>Intellectual disability and autism, Mitochondrial diseases, Hearing loss, Familial hypercholesterolemia</t>
  </si>
  <si>
    <t>I would like to contribute to building an accurate and actionable knowledgebase. And I would like to keep in touch with my skills and training in variant analysis.</t>
  </si>
  <si>
    <t>GMT + 8</t>
  </si>
  <si>
    <t>Hari Subramanian</t>
  </si>
  <si>
    <t>The University of Chicago</t>
  </si>
  <si>
    <t>hsubramanian@bsd.uchicago.edu</t>
  </si>
  <si>
    <t>Bioinformatician, Clinical Diagnostics Lab</t>
  </si>
  <si>
    <t>ClinGen conference advertisements (i.e. booth, workshop, presentation), Colleagues, ClinGen affiliated emails and/or newsletters, The clinicalgenome.org website</t>
  </si>
  <si>
    <t>CDT, Central</t>
  </si>
  <si>
    <t>Georgios Tsaousis</t>
  </si>
  <si>
    <t>Genekor Medical SA</t>
  </si>
  <si>
    <t>52 Spaton Ave, Athens, Greece</t>
  </si>
  <si>
    <t>gtsaousis@genekor.com</t>
  </si>
  <si>
    <t>ClinGen affiliated emails and/or newsletters, The clinicalgenome.org website, Twitter</t>
  </si>
  <si>
    <t>I am the Group Leader of the Bioinformatics department in Genekor Medical SA involved in data collection and curation activities for the determination of variant pathogenicity for all variants identified in our laboratory for Hereditary cancer genes. I am also a Post-doc Research Associate at the Biophysics and Bioinformatics Laboratory at the Department of Biology, School of Sciences, National and Kapodistrian University of Athens, where i am involved with sequence and structure analysis of biological sequences through the development of computational algorithms and biological databases.</t>
  </si>
  <si>
    <t>Hereditary Cancer, Somatic/Germline Variant Curation, Colorectal Cancer, PTEN, TP53, CDH1</t>
  </si>
  <si>
    <t>Contribute to global curation processes for the interpretation of the clinical significance of variants and aid in making clinical data publicly available.</t>
  </si>
  <si>
    <t>Hereditary Cancer and the related genes</t>
  </si>
  <si>
    <t>EEST (Eastern European Summer Time) UTC/GMT +3 hours</t>
  </si>
  <si>
    <t>Jessica Hatton</t>
  </si>
  <si>
    <t>9609 Medical Center Drive</t>
  </si>
  <si>
    <t>jessica.hatton@nih.gov</t>
  </si>
  <si>
    <t>Further ClinGen curation efforts and gain expertise in variant biocuration</t>
  </si>
  <si>
    <t>TP53, Li-Fraumeni syndrome</t>
  </si>
  <si>
    <t>ABGC Board Eligible</t>
  </si>
  <si>
    <t>Xia Tian</t>
  </si>
  <si>
    <t>Wuxi Nextcode</t>
  </si>
  <si>
    <t>xtian@wuxinextcode.com</t>
  </si>
  <si>
    <t>eight years' experience of gene/variant curation and clinical case review</t>
  </si>
  <si>
    <t>Mitochondrial Diseases(gene/variant) and Somatic Cancer</t>
  </si>
  <si>
    <t>Make contributions to clinical diagnosis and get training to better serve the society</t>
  </si>
  <si>
    <t xml:space="preserve">mitochondrial disease and somatic cancer </t>
  </si>
  <si>
    <t>MEGHA DANI</t>
  </si>
  <si>
    <t>Mind Speed Foundation</t>
  </si>
  <si>
    <t>136 Vivekanand Nagar, Nagpur 440015  India</t>
  </si>
  <si>
    <t>meghamdani@gmail.com</t>
  </si>
  <si>
    <t>I owned and worked for my clinical biochemistry/diagnostics laboratory but I have not done Genetics for lack for facilities.  I want to learn Genetics, its use in identification of various genetic disorders, learning new genetic techniques</t>
  </si>
  <si>
    <t>Educational coursework</t>
  </si>
  <si>
    <t>India Standard Time</t>
  </si>
  <si>
    <t>SAILATHA RAVI</t>
  </si>
  <si>
    <t>Medlish Communications</t>
  </si>
  <si>
    <t>New no. 7, 5th cross street, Indranagar, Adyar</t>
  </si>
  <si>
    <t>sailatha.ravi@gmail.com</t>
  </si>
  <si>
    <t>I would like to learn and apply the whole process of curating a clinical genome</t>
  </si>
  <si>
    <t>No. I am more interested in the process of how it is done.</t>
  </si>
  <si>
    <t>IST(Indian Standard time) UTC/GMT+5.30 hours</t>
  </si>
  <si>
    <t>Pamela Ajuyah</t>
  </si>
  <si>
    <t>GenomeOne</t>
  </si>
  <si>
    <t>pamela.a.ajuyah@gmail.com</t>
  </si>
  <si>
    <t>Increased understanding of genetics</t>
  </si>
  <si>
    <t>Cardiomyopathies, Cancer, Developmental disorders</t>
  </si>
  <si>
    <t>Australian Eastern Standard Time</t>
  </si>
  <si>
    <t>Yasser Sullcahuaman Allende</t>
  </si>
  <si>
    <t>IGENOMICA</t>
  </si>
  <si>
    <t>F 53  Urb. Juan XXIII, San Borja
lima peru</t>
  </si>
  <si>
    <t>ysullcahuaman@hotmail.com</t>
  </si>
  <si>
    <t>Yasser</t>
  </si>
  <si>
    <t>I would like to contribute to the knowledge of hereditary cancer and improve my skills as a geneticist doctor dedicated to cancer</t>
  </si>
  <si>
    <t>medical geneticist</t>
  </si>
  <si>
    <t>Lima</t>
  </si>
  <si>
    <t>Ellie Jhun</t>
  </si>
  <si>
    <t>Base10 Genetics</t>
  </si>
  <si>
    <t>ejhun@base10genetics.com</t>
  </si>
  <si>
    <t>Pharmacogenomics fellowship program at the University of Chicago</t>
  </si>
  <si>
    <t>Accelerate clinical actionability of pharmacogenomics</t>
  </si>
  <si>
    <t>Pharmacogenomics</t>
  </si>
  <si>
    <t>PharmD/PhD</t>
  </si>
  <si>
    <t>ABCP</t>
  </si>
  <si>
    <t>Venkatesan Sengoda Gounder</t>
  </si>
  <si>
    <t>USDA-ARS</t>
  </si>
  <si>
    <t>3 Bannock Glen Pl, Sacramento CA 95835</t>
  </si>
  <si>
    <t>agrivenkat@gmail.com</t>
  </si>
  <si>
    <t xml:space="preserve">I want to be Clinical Variant Curator/or Scientist based on experiences in molecular biology </t>
  </si>
  <si>
    <t>I can work any area of interest</t>
  </si>
  <si>
    <t>Ronaldo da Silva Francisco Junior</t>
  </si>
  <si>
    <t>Bioinformatics Laboratory-LABINFO - National Laboratory of Scientific Computation LNCC/MCTIC</t>
  </si>
  <si>
    <t>Av. Getulio Vargas, 333, Quitandinha CEP: 25651-075 - Petrópolis - Rio de Janeiro - Brazil</t>
  </si>
  <si>
    <t>ronaldoj@lncc.br</t>
  </si>
  <si>
    <t>Yes. I am currently working as a bioinformatician using WES data to perform the diagnosis and filtering of genetic variants in patients with Primary Immudeficiency Disorders</t>
  </si>
  <si>
    <t>Yes. RASopathy, Cardiomyopathy, Congenital Myopathies (newly forming), Mitochondrial diseases, Dosage-Recurrent Regions</t>
  </si>
  <si>
    <t>I would like to improve my expertise in analyzing genetic variants associated with human genetic diseases.</t>
  </si>
  <si>
    <t>Primary Immudeficiency Disorders / Intellectual Disability and Autism</t>
  </si>
  <si>
    <t>BRT UTC-3h</t>
  </si>
  <si>
    <t>Krista Bluske</t>
  </si>
  <si>
    <t>Illumina</t>
  </si>
  <si>
    <t>kbluske@illumina.com</t>
  </si>
  <si>
    <t xml:space="preserve">Yes, our group at Illumina is already contributing RUGD gene curations to ClinGen and we are active collaborators. I am trained in the ClinGen gene curation protocol. </t>
  </si>
  <si>
    <t>Mitochondrial Diseases expert panel (already participating), the soon-to-be-formed RUGD expert panel</t>
  </si>
  <si>
    <t>contribute to the scientific community by submitting gene curations from our RUGD cWGS test</t>
  </si>
  <si>
    <t>Rare and Undignosed genetic disease (RUGD), mitochondrial diseases</t>
  </si>
  <si>
    <t>Central (CDT)</t>
  </si>
  <si>
    <t>Raman Bansal</t>
  </si>
  <si>
    <t>ARS</t>
  </si>
  <si>
    <t>rbansal.osu@gmail.com</t>
  </si>
  <si>
    <t>MB (ASCP), DABCC (MD)</t>
  </si>
  <si>
    <t>FENGLI ZHANG</t>
  </si>
  <si>
    <t>UW Madison</t>
  </si>
  <si>
    <t>fengli.zhang@slh.wisc.edu</t>
  </si>
  <si>
    <t>Cancer</t>
  </si>
  <si>
    <t>CG, MB</t>
  </si>
  <si>
    <t>Amanda Clause</t>
  </si>
  <si>
    <t>1501 Tyler Ct.</t>
  </si>
  <si>
    <t>aclause@illumina.com</t>
  </si>
  <si>
    <t>Yes; currently curate variants and GDAs for a clinical whole genome sequencing test</t>
  </si>
  <si>
    <t>mitochondrial diseases, rare disease</t>
  </si>
  <si>
    <t>sharing gene curation data, contributing to development of well-curated clinical genome</t>
  </si>
  <si>
    <t>rare disease</t>
  </si>
  <si>
    <t>Sara Spencer</t>
  </si>
  <si>
    <t>Northwestern Medicine/Northwestern University</t>
  </si>
  <si>
    <t>675 N. St. Clair Ste 14-200</t>
  </si>
  <si>
    <t>saspence@nm.org</t>
  </si>
  <si>
    <t xml:space="preserve">As a clinician, I have been reviewing variant classifications provided by labs for 13 years. In addition, I have personal experience receiving a VOUS. This result motivated me to learn more about the variant classification process through shadowing my colleagues in the lab as well as taking the NSGC Variant Interpretation in the Era of WES/WGS Online Course. I am also currently watching the 2019 BROAD Institute - Interpreting Genomes for Rare Disease: Variant and Gene Interpretation lectures.
</t>
  </si>
  <si>
    <t>Gene Curation Expert Panels - Epilepsy 
Variant Curation Expert Panels - Brain Malformations</t>
  </si>
  <si>
    <t>I would like to gain formal exposure to variant interpretation and gene-disease validity curation. I would also like to add to the ClinGen goal of building a genomic knowledge base to improve patient care.</t>
  </si>
  <si>
    <t>I am open to helping with all genes and diseases.</t>
  </si>
  <si>
    <t>Niroshi Senaratne</t>
  </si>
  <si>
    <t>University of California, Los Angeles</t>
  </si>
  <si>
    <t>niroshi.senaratne@gmail.com</t>
  </si>
  <si>
    <t>Yes, having worked on constitutional chromosomal microarrays during my fellowship (referred for a variety of indications including autism and other neurodevelopmental disorders) I have often had to research novel CNVs for evidence of dosage pathogenicity.</t>
  </si>
  <si>
    <t>Dosage sensitivity (neurodevelopmental genes subgroup)</t>
  </si>
  <si>
    <t>I would like to contribute to genetic resources for our community (including myself!)</t>
  </si>
  <si>
    <t>I am particularly interested in interpretation of constitutional CNVs</t>
  </si>
  <si>
    <t>Completed ABMGG fellowship; boards pending</t>
  </si>
  <si>
    <t>Pacific time</t>
  </si>
  <si>
    <t>UNIVERSITY OF WISCONSIN</t>
  </si>
  <si>
    <t xml:space="preserve">YES. </t>
  </si>
  <si>
    <t>CG,MB</t>
  </si>
  <si>
    <t>Madhu Ouseph</t>
  </si>
  <si>
    <t>3377 Hillview Avenue, Palo Alto, CA</t>
  </si>
  <si>
    <t>mouseph@stanford.edu</t>
  </si>
  <si>
    <t>Currently involved in annotation of variants identified in NGS assays</t>
  </si>
  <si>
    <t xml:space="preserve">Contribute to better understanding of genotype-phenotype correlations </t>
  </si>
  <si>
    <t xml:space="preserve">Myeloid neoplasia related genes (I am a trained hematopathologist) </t>
  </si>
  <si>
    <t>M.D., Ph.D.</t>
  </si>
  <si>
    <t>Currently doing molecular genetic pathology fellowship</t>
  </si>
  <si>
    <t xml:space="preserve">Pacific Daylight Time (PDT) </t>
  </si>
  <si>
    <t>Janey Youngblom</t>
  </si>
  <si>
    <t>California State University, Stanislaus</t>
  </si>
  <si>
    <t>1083 El Paseo St., Turlock, CA 95380</t>
  </si>
  <si>
    <t>jyoungblom1@csustan.edu</t>
  </si>
  <si>
    <t xml:space="preserve">As the Associate Director of a Genetic Counseling Program, I have helped organize and participate in Variant Curation Workshops for training genetic counselors in the variant curation process.  I have also organized a workshop for training university science faculty in the variant curation process so they can start integrating this training module into their undergraduate coursework as a CURES (course-based undergraduate research experience) component. </t>
  </si>
  <si>
    <t>Gain more knowledge about the variant curation process and be able to integrate that knowledge into the undergraduate and graduate level curriculum.  These students can then contribute to the variant curation endeavor.</t>
  </si>
  <si>
    <t>cancer and cardiovascular diseases</t>
  </si>
  <si>
    <t>I want to learn more specific details about the variant curation process and staying updated on any of the latest developments in order to train undergraduate/graduate students to participate in the variant curation process.</t>
  </si>
  <si>
    <t xml:space="preserve">PST </t>
  </si>
  <si>
    <t>Andrew Stergachis</t>
  </si>
  <si>
    <t>Brigham and Women's Hospital</t>
  </si>
  <si>
    <t>75 Francis St, Boston MA 02445</t>
  </si>
  <si>
    <t>astergachis@bwh.harvard.edu</t>
  </si>
  <si>
    <t>Involved in the Partners BioBank return of results committee where we discuss the actionability of different genes.</t>
  </si>
  <si>
    <t xml:space="preserve">Possibly </t>
  </si>
  <si>
    <t>I would like to become an active member of the curation group.</t>
  </si>
  <si>
    <t>Adult onset metabolic disorders.</t>
  </si>
  <si>
    <t>Finishing a clinical genetics fellowship this year at the Harvard Combined Residency Program</t>
  </si>
  <si>
    <t>Lalitha Venkateswaran</t>
  </si>
  <si>
    <t>Self-employed (Genomics and LifeSciences)</t>
  </si>
  <si>
    <t>Pune, India</t>
  </si>
  <si>
    <t>lalithapv19@gmail.com</t>
  </si>
  <si>
    <t>Yes! I have led a team of curators in several Genomic projects. I have worked with Blueprint Genetics and Sema4. I have conducted training and workshops on the basics of curation and scientific writing.</t>
  </si>
  <si>
    <t>I would like to learn and understand the nuances of variant classification and analysis.</t>
  </si>
  <si>
    <t>Oncogenes</t>
  </si>
  <si>
    <t>Caterina Clementi</t>
  </si>
  <si>
    <t>Celmatix, Inc.</t>
  </si>
  <si>
    <t>14 wall street</t>
  </si>
  <si>
    <t>caterina.clementi@gmail.com</t>
  </si>
  <si>
    <t>Yes, I applied the ClinGen framework to score the clinical validity of gene-condition associations in the context of reproductive conditions</t>
  </si>
  <si>
    <t>Metabolic conditions</t>
  </si>
  <si>
    <t>Gain experience</t>
  </si>
  <si>
    <t>I am interested in conditions affecting reproductive health</t>
  </si>
  <si>
    <t>EDT UTC -4</t>
  </si>
  <si>
    <t>Catherine Spellicy</t>
  </si>
  <si>
    <t>Myriad Women's Health</t>
  </si>
  <si>
    <t>233 School Rd Asheville NC 28806</t>
  </si>
  <si>
    <t>cspellic@counsyl.com</t>
  </si>
  <si>
    <t>Many hours experience with variant analysis and classification.</t>
  </si>
  <si>
    <t>Sequence Variant Interpretation</t>
  </si>
  <si>
    <t>To contribute to the effort to standardize and expand knowledge among and across laboratories/institutions.</t>
  </si>
  <si>
    <t>Sequencing Variant Interpretation or Neurodevelopmental diseases</t>
  </si>
  <si>
    <t>Julie P Taylor</t>
  </si>
  <si>
    <t xml:space="preserve">Illumina </t>
  </si>
  <si>
    <t>jtaylor1@illumina.com</t>
  </si>
  <si>
    <t>ClinGen Gene Curation is part of my role as a curation scientist at Illumina.</t>
  </si>
  <si>
    <t>Eastern European (summertime)</t>
  </si>
  <si>
    <t>Charlene Preys</t>
  </si>
  <si>
    <t>Endicott College/Genomes2People</t>
  </si>
  <si>
    <t>41 Avenue Louis Pasture Boston, MA 02115</t>
  </si>
  <si>
    <t>clpreys@bwh.harvard.edu</t>
  </si>
  <si>
    <t>TP53 or Mitochondrial (will gladly help any panel/working group) - Hereditary cancer, Hemostasis or Congenital Myopathy</t>
  </si>
  <si>
    <t xml:space="preserve">As a personal goal, I want to learn about specific diseases that people are concerned about. Larger scale, I do want to help push the scientific community forward. </t>
  </si>
  <si>
    <t>Cancers and PGx</t>
  </si>
  <si>
    <t>HS diploma; Anticipated undergraduate graduation May 2020</t>
  </si>
  <si>
    <t>ET</t>
  </si>
  <si>
    <t>Edgar Ramirez</t>
  </si>
  <si>
    <t>Imagine Biotechnologies</t>
  </si>
  <si>
    <t>Paseo de la Rosita 507-A. Campestre La Rosita. Torreón, Coahuila, México. CP 27250</t>
  </si>
  <si>
    <t>e.ramirezr@hotmail.com</t>
  </si>
  <si>
    <t>I was lead scientist for variant interpretation at a clinical laboratory</t>
  </si>
  <si>
    <t>Learn more about variant interpretation</t>
  </si>
  <si>
    <t>Laura Roht</t>
  </si>
  <si>
    <t>Tartu University Hospital, Department of Clinical Genetics</t>
  </si>
  <si>
    <t>Puusepa Street 2, Tartu/Hariduse Street 6, Tallinn, Estonia</t>
  </si>
  <si>
    <t>laura.roht@kliinikum.ee</t>
  </si>
  <si>
    <t>Learn and get more experience, use this in my Phd studies and hopefully in my clinical work aswell</t>
  </si>
  <si>
    <t>Lynch syndrome as this is the subject of my PhD Studies</t>
  </si>
  <si>
    <t>UTC+3h, UTC+2h</t>
  </si>
  <si>
    <t xml:space="preserve">Donia Hany Mostafa </t>
  </si>
  <si>
    <t>Kalubya STEM School</t>
  </si>
  <si>
    <t>29 Obyda Ebn El Graah ST. Imbabah-Giza-Cairo-Egypt</t>
  </si>
  <si>
    <t>donia.1518105@stemkalubya.moe.edu.eg</t>
  </si>
  <si>
    <t xml:space="preserve">Yes, I am very interested about being in group that will help me to do many researches and will help me to be through a new experience. </t>
  </si>
  <si>
    <t>It will learn how to be accurate while doing any research. Continuous discussion on prominent topics in gene therapy and alternative therapy explored for them will be a great additional for me. And I hope it will help me to collect and interpret biological information.</t>
  </si>
  <si>
    <t>"I have a form of Parkinson disease which i do not like. My legs do not move when my brain tell them to. It is very frustrating" this sentence was said by George H.W.Bush. That inspired me and make me very interested and passionate about finding a therapy to the Parkinson disease and I am sure that ClinGen will help me to find it.</t>
  </si>
  <si>
    <t>Xin Chen</t>
  </si>
  <si>
    <t>2205 Tech Drive, Evanston, IL 60208</t>
  </si>
  <si>
    <t>chenx30nju@gmail.com</t>
  </si>
  <si>
    <t xml:space="preserve">During my PhD study, I summarized all the reported mutations of the gene SETX that were reported to cause neurodegenerative disease AOA2, generated the mutations in the budding yeast model, and experimentally verified the defects caused by the mutations. </t>
  </si>
  <si>
    <t>I am open to any opportunity.</t>
  </si>
  <si>
    <t>I would like to gain knowledge about diseases and working as a curator, apply my expertise to help the community, explore useful findings from data currently available, and make good connection between basic and translational research for my studies.</t>
  </si>
  <si>
    <t>I have broad interests. In particular, as working in a skin stem cell lab, I'm more familiar and interested in skin diseases, such as squamous cell carcinoma, and key regulators of skin, such as TP63 and chromatin remodelers.</t>
  </si>
  <si>
    <t>CDT, USA</t>
  </si>
  <si>
    <t>Survey retaken by Liz - question not originally answered.</t>
  </si>
  <si>
    <t>Survey retaken by Liz - question not originally answered</t>
  </si>
  <si>
    <t>Elaine Spector</t>
  </si>
  <si>
    <t>Kelly McGoldrick</t>
  </si>
  <si>
    <t>kmcgoldrick@ambrygenetics.com</t>
  </si>
  <si>
    <t>I am a variant curation scientist at Ambry Genetics</t>
  </si>
  <si>
    <t>Already a member of TP53 and VHL groups</t>
  </si>
  <si>
    <t>TP53, VHL</t>
  </si>
  <si>
    <t>Patricia Harper</t>
  </si>
  <si>
    <t>CHEO, Ottawa Ontario, Canada</t>
  </si>
  <si>
    <t>pharper@cheo.on.ca</t>
  </si>
  <si>
    <t>Yes, currently a member of the ClinGen Cardiomyopathy VCC</t>
  </si>
  <si>
    <t>Hereditary cancer (and/or associated genes such as TP53)</t>
  </si>
  <si>
    <t>Contributing to scientific literature of genetic variants to improve patient care</t>
  </si>
  <si>
    <t>Hereditary cancer syndrome genes</t>
  </si>
  <si>
    <t xml:space="preserve">Rasha hekal </t>
  </si>
  <si>
    <t xml:space="preserve">STEM GHARBIYA </t>
  </si>
  <si>
    <t xml:space="preserve">Kom Hamada El behira </t>
  </si>
  <si>
    <t>rasha.hekal.152003@gmail.com</t>
  </si>
  <si>
    <t>ClinGen conference advertisements (i.e. booth, workshop, presentation), The clinicalgenome.org website, Facebook</t>
  </si>
  <si>
    <t>No I didn't have but I have a lot of information.</t>
  </si>
  <si>
    <t xml:space="preserve">Yes I am very interested to join this group. </t>
  </si>
  <si>
    <t>I would like to gain experience and a something can help me in my CV.</t>
  </si>
  <si>
    <t xml:space="preserve">No .there are not. </t>
  </si>
  <si>
    <t>Nathaniel Jue</t>
  </si>
  <si>
    <t>California State University, Monterey Bay</t>
  </si>
  <si>
    <t>100 Campus Ctr., Seaside, CA 93955</t>
  </si>
  <si>
    <t>njue@csumb.edu</t>
  </si>
  <si>
    <t>De novo genome annotation</t>
  </si>
  <si>
    <t>Develop course-based research experience for undergraduates on contributing to ClinGen</t>
  </si>
  <si>
    <t>GACI</t>
  </si>
  <si>
    <t>I want to improve my ability to educate students</t>
  </si>
  <si>
    <t>Pacific</t>
  </si>
  <si>
    <t xml:space="preserve">Nihal Ahmed </t>
  </si>
  <si>
    <t>Stem gharbiya</t>
  </si>
  <si>
    <t>3 El-shafey Ahmed st. From El-madina El-monawara Ard El-lwa, Giza, Egypt.</t>
  </si>
  <si>
    <t>nihalahmed087@gmail.com</t>
  </si>
  <si>
    <t>No, this is the first time for me to join something like this</t>
  </si>
  <si>
    <t xml:space="preserve">Not so interested </t>
  </si>
  <si>
    <t xml:space="preserve">To gain more experience and this is good for my CV </t>
  </si>
  <si>
    <t xml:space="preserve">Heart diseases </t>
  </si>
  <si>
    <t>Xiaoting Ma</t>
  </si>
  <si>
    <t>Boston Children's Hospital_Genetics&amp;Genomics Department</t>
  </si>
  <si>
    <t>Center for Life Science 15030.9, 3 Blackfan Circle, Boston, MA, 02115</t>
  </si>
  <si>
    <t>Xiaoting.Ma@childrens.harvard.edu</t>
  </si>
  <si>
    <t>I am open to any opportunities</t>
  </si>
  <si>
    <t>To learn the method and to practice the gene curation process, and to gain a more comprehensive understanding of clinical genetics as well as to make a contribution to the community.</t>
  </si>
  <si>
    <t>endocrinological diseases, cancer, craniofacial anomalies</t>
  </si>
  <si>
    <t>Saja El Yaacoub</t>
  </si>
  <si>
    <t>Arizona State University</t>
  </si>
  <si>
    <t>saja.alyaacoub@live.com</t>
  </si>
  <si>
    <t>I would like to get involved more in Genetic researches and to enrich my knowledge so that I can further continue to my PhD.</t>
  </si>
  <si>
    <t>G6PD</t>
  </si>
  <si>
    <t>+3h EEST</t>
  </si>
  <si>
    <t>Andrew Langlois</t>
  </si>
  <si>
    <t>Lenoir Rhyne University School of Public Health</t>
  </si>
  <si>
    <t>447 Hidden Lake Parkway, Nebo, NC 28761</t>
  </si>
  <si>
    <t>andrewlanglois001@gmail.com</t>
  </si>
  <si>
    <t>Online search</t>
  </si>
  <si>
    <t>Learn more about your work.</t>
  </si>
  <si>
    <t>All</t>
  </si>
  <si>
    <t>Brandon Chalazan</t>
  </si>
  <si>
    <t>University of British Columbia</t>
  </si>
  <si>
    <t>Apartment 3009
939 Homer Street
Vancouver, BC, CAN
V6B2W6</t>
  </si>
  <si>
    <t>brandon.chalazan@cw.bc.ca</t>
  </si>
  <si>
    <t>Yes - I have designed candidate SNP and gene panels, designed specific variant filtering criteria and commonly use ACMG / AMP / ACGS criteria.</t>
  </si>
  <si>
    <t>All inherited cardiovascular genetic conditions.  However, I want to form a Atrial Fibrillation working expert panel.</t>
  </si>
  <si>
    <t>Devising gene specific criteria for cardiovascular genetic conditions.</t>
  </si>
  <si>
    <t>I have a large interest / expertise working with most cardiovascular genes from a basic science / computational / clinical perspective.  This knowledge came by working with atrial fibrillation genes, which have multiple genes that overlap with other cardiac phenotypes.</t>
  </si>
  <si>
    <t>Resident - Medical Genetics (FRCPC)</t>
  </si>
  <si>
    <t>PDT - GMT-7</t>
  </si>
  <si>
    <t>jean-leon chong</t>
  </si>
  <si>
    <t>Apt 408, 108 Ephesus Church Rd. Chapel Hill, NC</t>
  </si>
  <si>
    <t>leon0044@gmail.com</t>
  </si>
  <si>
    <t>biochemical genetics lab director</t>
  </si>
  <si>
    <t xml:space="preserve">some experience during fellowship training </t>
  </si>
  <si>
    <t>improve patient care</t>
  </si>
  <si>
    <t>lysosomal storage disorders (or other metabolic disorders)</t>
  </si>
  <si>
    <t>biochemical genetics fellow (2016-2018) at ARUP lab</t>
  </si>
  <si>
    <t>eastern</t>
  </si>
  <si>
    <t>Terra Brannan</t>
  </si>
  <si>
    <t>15 Argonaut, Aliso Viejo, CA 92656</t>
  </si>
  <si>
    <t>tbrannan@ambrygen.com</t>
  </si>
  <si>
    <t>Yes, I have been performing variant assessment since December 2018</t>
  </si>
  <si>
    <t xml:space="preserve">Gain more expertise </t>
  </si>
  <si>
    <t>Ankita Patel</t>
  </si>
  <si>
    <t>Independent</t>
  </si>
  <si>
    <t>2222 Long Cove Ct</t>
  </si>
  <si>
    <t>aspatel1@yahoo.com</t>
  </si>
  <si>
    <t>Independent cytogenetic consultant</t>
  </si>
  <si>
    <t xml:space="preserve">Part of the CLinGen CNV </t>
  </si>
  <si>
    <t>no- can owrk on where there is need</t>
  </si>
  <si>
    <t>Keep up to date with genetics literature and contribute to the Clingen effort</t>
  </si>
  <si>
    <t>FACMG- Clinical cytogenetics</t>
  </si>
  <si>
    <t>central</t>
  </si>
  <si>
    <t>Jordan Stern</t>
  </si>
  <si>
    <t>Michigan State University</t>
  </si>
  <si>
    <t>2838 Crestscene Trl</t>
  </si>
  <si>
    <t>jordanjnstern@gmail.com</t>
  </si>
  <si>
    <t>Colleagues, The clinicalgenome.org website</t>
  </si>
  <si>
    <t xml:space="preserve">I want to understand more about how/why these genetic changes happen and be able to collaborate with other scientists </t>
  </si>
  <si>
    <t>MTHFR</t>
  </si>
  <si>
    <t>Chris Darnell</t>
  </si>
  <si>
    <t>Bluewater Diagnostic Laboratory</t>
  </si>
  <si>
    <t>221 S. Bardstown Road, Mount Washington, KY 40047</t>
  </si>
  <si>
    <t>chris.darnell@bluewaterdxlab.com</t>
  </si>
  <si>
    <t>Laboratory Technical Supervisor</t>
  </si>
  <si>
    <t>Colleagues, Suggestion from mentor</t>
  </si>
  <si>
    <t>I would like to enhance my curation skills through experience with curation of Gene-Disease Associations.</t>
  </si>
  <si>
    <t xml:space="preserve">Sally Pea </t>
  </si>
  <si>
    <t xml:space="preserve">No affiliation </t>
  </si>
  <si>
    <t xml:space="preserve">8111 Knollview Court </t>
  </si>
  <si>
    <t>spea@live.com</t>
  </si>
  <si>
    <t>Received an email</t>
  </si>
  <si>
    <t>Congenital Myopathies or Limb Girdle Dystrophies or anywhere needed</t>
  </si>
  <si>
    <t xml:space="preserve">As someone with a rare genetic disease I would like to support the cause in a meaningful way. I’m no longer able to work full time in my chosen profession so I have the time available in my schedule to help. </t>
  </si>
  <si>
    <t xml:space="preserve">Congenital Myopathies </t>
  </si>
  <si>
    <t>Sali Farhan</t>
  </si>
  <si>
    <t>Massachusetts General Hospital/Broad Institute</t>
  </si>
  <si>
    <t>sfarhan@broadinstitute.org</t>
  </si>
  <si>
    <t>Networking, Heidi Rehm</t>
  </si>
  <si>
    <t>Contributing expertise</t>
  </si>
  <si>
    <t>Neurodegenerative disease</t>
  </si>
  <si>
    <t>CCMG - in training</t>
  </si>
  <si>
    <t xml:space="preserve">Julie Kim </t>
  </si>
  <si>
    <t>NHGRI</t>
  </si>
  <si>
    <t>6700B Rockledge Dr. Bethesda, MD 20817</t>
  </si>
  <si>
    <t>serin.kim@nih.gov</t>
  </si>
  <si>
    <t>Scientific Program Analyst at NHGRI</t>
  </si>
  <si>
    <t>working as a ClinGen program analyst</t>
  </si>
  <si>
    <t>Cardiomyopathy, Brain Malformations, hearing loss</t>
  </si>
  <si>
    <t xml:space="preserve">As a program analyst for ClinGen, I would love to learn more about the specifics of curation. </t>
  </si>
  <si>
    <t xml:space="preserve">I am particularly interested in the Hereditary Cancer and Neurodevelopmental disorders. I am also open to other areas.  </t>
  </si>
  <si>
    <t xml:space="preserve">eastern timezone </t>
  </si>
  <si>
    <t>Jamie Maciaszek</t>
  </si>
  <si>
    <t>St. Jude Children's Research Hospital</t>
  </si>
  <si>
    <t>262 Danny Thomas Place, Mail Stop 1170, Memphis, TN 38105</t>
  </si>
  <si>
    <t>jamie.maciaszek@stjude.org</t>
  </si>
  <si>
    <t>Suggestion from mentor, ClinGen affiliated emails and/or newsletters</t>
  </si>
  <si>
    <t>working on SJFAMILY study to curate variants in suspected cases of hereditary cancer</t>
  </si>
  <si>
    <t>Myeloid Malignancy, Hereditary Cancer</t>
  </si>
  <si>
    <t>I currently curate variants as part of research studies. I would like to use mu current skills to aid the community and learn from more experienced experts.</t>
  </si>
  <si>
    <t>pediatric cancer</t>
  </si>
  <si>
    <t>CST</t>
  </si>
  <si>
    <t>Olivier Bluteau</t>
  </si>
  <si>
    <t>APHP</t>
  </si>
  <si>
    <t>Hôpital Universitaire Pitié Salpêtrière - CGMC. 
Bâtiment de Pharmacie. 
47/83 Bd de L'Hôpital. 
75651 PARIS Cedex 13
FRANCE</t>
  </si>
  <si>
    <t>olivier.bluteau@aphp.fr</t>
  </si>
  <si>
    <t>Familial Hypercholesterolemia Variant Curation Expert Panel</t>
  </si>
  <si>
    <t>Genes related to Familial Hypercholesterolemia</t>
  </si>
  <si>
    <t>Paris, France CEST</t>
  </si>
  <si>
    <t>Alexandra Miller</t>
  </si>
  <si>
    <t>miller.alexandra@mayo.edu</t>
  </si>
  <si>
    <t>FH VCEP</t>
  </si>
  <si>
    <t>Improving my variant curation skills</t>
  </si>
  <si>
    <t>Familial Hypercholesterolemia (LDLR, APOB,  PCSK9)</t>
  </si>
  <si>
    <t>Zonggao Shi</t>
  </si>
  <si>
    <t>St Jude Children's Research Hospital</t>
  </si>
  <si>
    <t>262 Danny Thomas Place, Memphis, TN 38105</t>
  </si>
  <si>
    <t>zshi1@stjude.org</t>
  </si>
  <si>
    <t>Networking, Colleagues, The clinicalgenome.org website</t>
  </si>
  <si>
    <t xml:space="preserve">Yes, currently working as an analyst for the manual review of variants and a member of our somatic cancer variant pathogenicity committee in St Jude Children's Clinical Genomics Team. </t>
  </si>
  <si>
    <t>Yes, Somatic Cancer Pediatric Taskforce would be a good match</t>
  </si>
  <si>
    <t>To better the variant analysis community and precision medicine in general</t>
  </si>
  <si>
    <t>Genes related to brain tumors and soft tissue tumors</t>
  </si>
  <si>
    <t>Linlin Zhang</t>
  </si>
  <si>
    <t>The Third Affiliated Hospital of Zhengzhou University</t>
  </si>
  <si>
    <t>7 Kangfu Qian Street, Zhengzhou, Henan, China</t>
  </si>
  <si>
    <t>linlinzhang277@gmail.com</t>
  </si>
  <si>
    <t>ClinGen conference advertisements (i.e. booth, workshop, presentation), Networking, Colleagues</t>
  </si>
  <si>
    <t>I am a director of clinical molecular and genetic lab of the Third Affliated Hospital of Zhengzhou University which is the largest maternal and children's hospital of Henan Province serving over 100 million population. I finish more than 30 CMA reports and  4 variant pathogenic curation everyweek. I have 7 years of work experience in molecular genetic diagnosis, especially in the field of prenatal diagnosis.  Our Lab will finish about 200 Phenylketonuria molecular tests. These patients are from the newborn screening center of Henan Province.</t>
  </si>
  <si>
    <t>Dosage Sensitivity Working Group  or Variant Curation Expert Panels in Phenylketonuria</t>
  </si>
  <si>
    <t>I want to do dosage sensitivity and variant pathogenicity curation work.</t>
  </si>
  <si>
    <t>Dosage Sensitivity and Phenylketonuria(PAH gene)</t>
  </si>
  <si>
    <t>Beijing</t>
  </si>
  <si>
    <t>Marco Montes de Oca</t>
  </si>
  <si>
    <t>The University of Melbourne</t>
  </si>
  <si>
    <t>40 Koornang Rd, Carnegie, Melbourne, VIC, Australia</t>
  </si>
  <si>
    <t>montesm@student.unimelb.edu.au</t>
  </si>
  <si>
    <t>I am interested in the following working groups:
- Brain Malformations Variant Curation Expert Panel
- Mitochondrial Diseases Gene Curation Expert Panel</t>
  </si>
  <si>
    <t>I am currently studying a Master of Science (Bioinformatics) and I am interested in becoming a Biocurator in the long-term. Volunteering with ClinGen could be a good opportunity to gain curation experience.</t>
  </si>
  <si>
    <t>+10</t>
  </si>
  <si>
    <t>Indegene</t>
  </si>
  <si>
    <t xml:space="preserve">Av. Rio Branco, 148. </t>
  </si>
  <si>
    <t xml:space="preserve">Yes, I work in a clinical laboratory with NGS panels </t>
  </si>
  <si>
    <t>Cancer, lung cancer, Hereditary cancer, cardiomyopathy, TP53, colorectal cancer, genitourinary tract cancer</t>
  </si>
  <si>
    <t>Increase curation skills</t>
  </si>
  <si>
    <t>Lung cancer</t>
  </si>
  <si>
    <t>UTC/GMT -3 hours</t>
  </si>
  <si>
    <t>Alex Gout</t>
  </si>
  <si>
    <t>alex.gout@stjude.org</t>
  </si>
  <si>
    <t>somatic cancer working group - pediatric</t>
  </si>
  <si>
    <t>Enhance my understanding as to the effects of germline and somatic variants on pediatric cancer patients</t>
  </si>
  <si>
    <t>American CDT</t>
  </si>
  <si>
    <t>Kim Phuong Tong</t>
  </si>
  <si>
    <t>Former Research Supervisor, University of MD</t>
  </si>
  <si>
    <t>1930 Stomeleaf Dr Tyler, TX 75703</t>
  </si>
  <si>
    <t>ktongpotter@yahoo.com</t>
  </si>
  <si>
    <t>Toni Pollin, PhD</t>
  </si>
  <si>
    <t>Return to science.  Giving back.</t>
  </si>
  <si>
    <t>Food allergy</t>
  </si>
  <si>
    <t>Heather Harris</t>
  </si>
  <si>
    <t>Ancestry</t>
  </si>
  <si>
    <t>3133 Texas St Oakland, CA, 94602</t>
  </si>
  <si>
    <t>heatherkharris1@gmail.com</t>
  </si>
  <si>
    <t>Conference</t>
  </si>
  <si>
    <t xml:space="preserve">Limited experience with creating variant descriptions for lab report writing. </t>
  </si>
  <si>
    <t xml:space="preserve">Contribute to the genetics community and play a role in publicly available knowledge/resources that may lead to better patient care. I’d also like to learn and grow professionally. </t>
  </si>
  <si>
    <t>Certified genetic counselor</t>
  </si>
  <si>
    <t>Pacific standard time</t>
  </si>
  <si>
    <t>C. Anwar A. Chahal</t>
  </si>
  <si>
    <t>3400 Spruce Street, Philadelphia, PA 19104</t>
  </si>
  <si>
    <t>anwar.chahal@uphs.upenn.edu</t>
  </si>
  <si>
    <t>Clinician Scientist, EP and Inherited CV Diseases, in final year clinical EP Fellowship</t>
  </si>
  <si>
    <t>ASHG 2019, Colleagues, Suggestion from mentor</t>
  </si>
  <si>
    <t>Not curation, experience in geneomics (PhD, American Heart Association)</t>
  </si>
  <si>
    <t>Congenital myopathies, Cardiomyopathy* (these are my areas of expertise/interest)</t>
  </si>
  <si>
    <t>Contribute to the field, become a better clinican academic</t>
  </si>
  <si>
    <t>Cardiomyopathies, channelopathies, sudden death syndromes (including SCD, SUDS, SIDS, SUDEP)</t>
  </si>
  <si>
    <t>Fellowship in Inherited CV Diseases from Barts/University College London</t>
  </si>
  <si>
    <t>Eastern Daylight Time</t>
  </si>
  <si>
    <t>Kaitlin Lenhart</t>
  </si>
  <si>
    <t>University of Wisconsin - Madison</t>
  </si>
  <si>
    <t>465 Henry Mall, HMS-411, Madison WI, 53706</t>
  </si>
  <si>
    <t>kaitlin.lenhart@slh.wisc.edu</t>
  </si>
  <si>
    <t>Contribute my background expertise to the ClinGen community</t>
  </si>
  <si>
    <t>Congenital myopathies, neuromuscular disorders</t>
  </si>
  <si>
    <t>ABMGG Board-Eligible</t>
  </si>
  <si>
    <t>YANYI YAO</t>
  </si>
  <si>
    <t>Brigham and Women's hospital</t>
  </si>
  <si>
    <t>259 kent street</t>
  </si>
  <si>
    <t>yaoyanyi@hotmail.com</t>
  </si>
  <si>
    <t>I attended Interpreting Genomes for Rare Disease 2019.</t>
  </si>
  <si>
    <t xml:space="preserve">Limb Girdle Muscular Dystrophy </t>
  </si>
  <si>
    <t>Learn how to curate a gene as well as how to interpretate variants.</t>
  </si>
  <si>
    <t>EDT UTC -4 hours</t>
  </si>
  <si>
    <t>Ikeoluwa Osei-Owusu</t>
  </si>
  <si>
    <t>Johns Hopkins University School of Medicine</t>
  </si>
  <si>
    <t>733 N Broadway, MRB 515, Baltimore MD 21205</t>
  </si>
  <si>
    <t>ikeoluwa@jhmi.edu</t>
  </si>
  <si>
    <t>ASHG 2018</t>
  </si>
  <si>
    <t xml:space="preserve">My PhD thesis has required the need to associate genes found to be deleterious in whole genome sequence analyses with known diseases. Thereby, I am familiar with databases such as ClinVar, Online Mendelian Inheritance in Man (OMIM), Development Disorder Genotype - Phenotype Database (DDG2P), and Simons Foundation Autism Research Initiative (SFARI). In addition, I have presented papers on the use of in silico algorithms as a ACMG variant interpretation criteria and its implications on ClinVar submissions. </t>
  </si>
  <si>
    <t>Neurodevelopmental Dosage Sensitivity Working Group; Brain Malformations Gene Curation Expert Panel; Brain Malformations Variant Curation Expert Panel; Pediatric Actionability Working Group</t>
  </si>
  <si>
    <t xml:space="preserve">I would like to strengthen my knowledge of the process of determining variant/gene association with disease. </t>
  </si>
  <si>
    <t>Developmental and psychiatric disorders in children and adults</t>
  </si>
  <si>
    <t>Daniela Martiniuc</t>
  </si>
  <si>
    <t>UC Davis Comprehensive Cancer Center</t>
  </si>
  <si>
    <t>2501 X street, building 30, Sacramento, CA 95817</t>
  </si>
  <si>
    <t>dmartiniuc@ucdavis.edu</t>
  </si>
  <si>
    <t xml:space="preserve">presented at NorCal GC conference </t>
  </si>
  <si>
    <t>I have no experience with curation</t>
  </si>
  <si>
    <t xml:space="preserve">1) Learn about variant curation 2) Contribute to this very important field </t>
  </si>
  <si>
    <t>In general, hereditary cancer (my sub-specialty) but am interested in any hereditary cancer risk genes</t>
  </si>
  <si>
    <t>bullet points 1, 2, 3, and lastly, 8</t>
  </si>
  <si>
    <t xml:space="preserve">LCGC </t>
  </si>
  <si>
    <t xml:space="preserve">pacific </t>
  </si>
  <si>
    <t>Emilie Lalonde</t>
  </si>
  <si>
    <t>Children's Hospital of Philadelphia</t>
  </si>
  <si>
    <t>3500 Civic Center Blvd</t>
  </si>
  <si>
    <t>lalondee@email.chop.edu</t>
  </si>
  <si>
    <t>Yes within CHOP/Penn labs for new test design and/or standard variant interpretation</t>
  </si>
  <si>
    <t>Somatic cancer WG, hereditary cancer EP, RASopathy EP, Myeloid Malignancy EP, dosage hereditary cancer WG, others as needed</t>
  </si>
  <si>
    <t>Help curate genes and/or variants for the broader community; network with other genetic professionals</t>
  </si>
  <si>
    <t xml:space="preserve">Somatic and/or hereditary cancer; primary immunodeficiency; </t>
  </si>
  <si>
    <t>ABMGG LGG board eligible (results pending)</t>
  </si>
  <si>
    <t>Elizabeth Ewen</t>
  </si>
  <si>
    <t>Agilent</t>
  </si>
  <si>
    <t>403 Prudden Lane Orange, CT 06477</t>
  </si>
  <si>
    <t>elizabeth.ewen@agilent.com</t>
  </si>
  <si>
    <t>ASHG 2019, Networking, Colleagues</t>
  </si>
  <si>
    <t>Helping customers find clinically relevant/pathogenic variants</t>
  </si>
  <si>
    <t>Help improve the quality of data in the database</t>
  </si>
  <si>
    <t>EST- NYC</t>
  </si>
  <si>
    <t>Brigette Brown-Kipphut</t>
  </si>
  <si>
    <t>Agilent - previously CHOP</t>
  </si>
  <si>
    <t>brigette.kipphut@agilent.com</t>
  </si>
  <si>
    <t>ASHG 2019, Colleagues</t>
  </si>
  <si>
    <t>Yes - performed variant analysis for NGS at CHOP and internally at Agilent</t>
  </si>
  <si>
    <t xml:space="preserve">assist with variant analysis to help make a difference in a patient’s life </t>
  </si>
  <si>
    <t xml:space="preserve">Pediatric </t>
  </si>
  <si>
    <t>KC Vavra</t>
  </si>
  <si>
    <t>Agilent Technologies</t>
  </si>
  <si>
    <t>kc.vavra@agilent.com</t>
  </si>
  <si>
    <t>Variant curation in tumor/normal matched samples in ovarian cancer for a private database. Currently assisting customers or Agilent with various curation databases and understanding of curated variants.</t>
  </si>
  <si>
    <t>Chisato Yamasaki</t>
  </si>
  <si>
    <t>Osaka Univ., Japan</t>
  </si>
  <si>
    <t>cyamasak@eth.med.osaka-u.ac.jp</t>
  </si>
  <si>
    <t>ASHG 2019</t>
  </si>
  <si>
    <t>H-inv</t>
  </si>
  <si>
    <t>Beth Stronach</t>
  </si>
  <si>
    <t>University of Pittsburgh</t>
  </si>
  <si>
    <t>6016 Bryant St</t>
  </si>
  <si>
    <t>stronach@pitt.edu</t>
  </si>
  <si>
    <t>Not formally, but as a practicing basic research scientist for over a decade, and a molecular biologist and developmental geneticist by training, I could be useful.</t>
  </si>
  <si>
    <t>RASopathy, neurodevelopmental, or myopathy groups</t>
  </si>
  <si>
    <t xml:space="preserve">educate myself and contribute to knowledge base </t>
  </si>
  <si>
    <t>-4 EDT USA</t>
  </si>
  <si>
    <t>Eileen Chen</t>
  </si>
  <si>
    <t>Singapore General Hospital</t>
  </si>
  <si>
    <t>Academia, 20 College Road, Singapore 169856</t>
  </si>
  <si>
    <t>eileen.chen.x.q@sgh.com.sg</t>
  </si>
  <si>
    <t xml:space="preserve">No, only minimal training. </t>
  </si>
  <si>
    <t>Yes. Somatic Cancer Working Group as the first choice.</t>
  </si>
  <si>
    <t>Upgrade my skills in variant curation and keep updated in the field</t>
  </si>
  <si>
    <t>CRC, Lung caner, melanoma, GIST</t>
  </si>
  <si>
    <t>Jennifer Sloan</t>
  </si>
  <si>
    <t>10 Center Dr. Bldg 10 Room 7N248B</t>
  </si>
  <si>
    <t>jsloan@mail.nih.gov</t>
  </si>
  <si>
    <t>I work on natural hx studies for MMA/cobalamin disorders and PA where we have evaluated &gt;200 affected individuals and am involved in reviewing and interpreting molecular genetic test results. Also recently completed fellowship in Clinical Molecular Genetics at NIH and took board exam in 8/2019.</t>
  </si>
  <si>
    <t>OTC</t>
  </si>
  <si>
    <t>To help the genetics community with variant interpretation</t>
  </si>
  <si>
    <t>methylmalonic acidemia and cobalamin disorders, propionic acidemia</t>
  </si>
  <si>
    <t>CGC and took Clinical Molecular boards 8/19</t>
  </si>
  <si>
    <t>Vasiliki Rahimzadeh</t>
  </si>
  <si>
    <t>1215 Welch rd modular A, Stanford CA 95305</t>
  </si>
  <si>
    <t>vrahim@stanford.edu</t>
  </si>
  <si>
    <t xml:space="preserve">Postdoctoral fellow </t>
  </si>
  <si>
    <t xml:space="preserve">No, but have a basic theoretical background of genomic/genetic science </t>
  </si>
  <si>
    <t xml:space="preserve">Yes, pediatric cancer or rare genetic disease </t>
  </si>
  <si>
    <t>Learn the processes of accurate variant  curation, classification and interpretation for pathogenicity</t>
  </si>
  <si>
    <t xml:space="preserve">Pediatric cancer and rare genetic disease </t>
  </si>
  <si>
    <t>Guadalupe Carvajal</t>
  </si>
  <si>
    <t>KGI</t>
  </si>
  <si>
    <t>716 Valencia Avenue</t>
  </si>
  <si>
    <t>gcarvajal18@students.kgi.edu</t>
  </si>
  <si>
    <t>Very basic work done in class</t>
  </si>
  <si>
    <t xml:space="preserve">Learn how to do variant interpretation and how to use in silico models and population databases. </t>
  </si>
  <si>
    <t>I am interested in cancer.</t>
  </si>
  <si>
    <t>Is part of my graduate coursework.</t>
  </si>
  <si>
    <t xml:space="preserve">Pacific Daylight Time </t>
  </si>
  <si>
    <t>Liang Guo</t>
  </si>
  <si>
    <t>CVPath Institute</t>
  </si>
  <si>
    <t>19 Firstfield Road, Gaithersburg, MD 20878</t>
  </si>
  <si>
    <t>lguo@cvpath.org</t>
  </si>
  <si>
    <t>Yes, curation of hypertrophic cardiomyopathy</t>
  </si>
  <si>
    <t>Cardiovascular working group</t>
  </si>
  <si>
    <t>Contribute to Cardiovascular work group</t>
  </si>
  <si>
    <t>Familial Hypercholesterolemia Variants and Cardiomyopathy variants</t>
  </si>
  <si>
    <t>Sha Tang</t>
  </si>
  <si>
    <t>Wuxi NextCode</t>
  </si>
  <si>
    <t>stang@wuxinextcode.cm</t>
  </si>
  <si>
    <t>Yes, my previous work at Ambry Genetics involved development clinical validity scheme and I am experienced in variant classifications.</t>
  </si>
  <si>
    <t>Intellectual Disability and Autism, Mitochondrial Diseases</t>
  </si>
  <si>
    <t>Learning and contributing.</t>
  </si>
  <si>
    <t>Mitochondrial disease, neurodevelopmental disorders, esp. autism</t>
  </si>
  <si>
    <t>Patrick Forny</t>
  </si>
  <si>
    <t>University Children's Hospital Zurich</t>
  </si>
  <si>
    <t>patrick.forny@kispi.uzh.ch</t>
  </si>
  <si>
    <t>Gene-Disease Validity, Variant Pathogenicity</t>
  </si>
  <si>
    <t>methylmalonic aciduria or inborn errors of metabolism in general</t>
  </si>
  <si>
    <t>Central European Time</t>
  </si>
  <si>
    <t>Ximena Bonilla</t>
  </si>
  <si>
    <t>ETHZ</t>
  </si>
  <si>
    <t>Biomedical informatics, department of computer sciences.CAB building F52.2
Universitätstrasse, 6
8006 Zurich, Switzerland</t>
  </si>
  <si>
    <t>ximena.bonilla@inf.ethz.ch</t>
  </si>
  <si>
    <t>Regarding "Variant pathogenicity", I carried out variant pathogenicity assessments for Mendelian disease routinely during my PhD, and have worked as a variant interpretation specialist at a medical genetics department (Universidad Autónoma de Nuevo León, Mexico). Regarding "dosage sensitivity", I am currently working on the effect of mitochondria mutation burden in metabolic disorders (non-mitochondrial disorders). Regarding "gene-disease validity", I have medical training and although I am not a clinical geneticist I have ample experience in genotype/phenotype associations and dissection of complex phenotypes and their link to genetics.</t>
  </si>
  <si>
    <t>Understanding the effect of as many genetic variants as possible to inform research efforts in treatments and understanding of pathomolecular mechanisms. To increase the quality of genetic counselling as well.</t>
  </si>
  <si>
    <t xml:space="preserve">metabolic Mendelian disorders, somatic mosaicism </t>
  </si>
  <si>
    <t>UTC +1</t>
  </si>
  <si>
    <t>Steve Waring</t>
  </si>
  <si>
    <t>Essentia Institute of Rural Health</t>
  </si>
  <si>
    <t>502 E 2nd St, 6AV-2, Duluth MN 55805</t>
  </si>
  <si>
    <t>stephen.waring@essentiahealth.org</t>
  </si>
  <si>
    <t>Colleagues, ClinGen affiliated emails and/or newsletters, The clinicalgenome.org website</t>
  </si>
  <si>
    <t>Genetic epidemiology research involving gene-gene and gene-env interactions; PGx</t>
  </si>
  <si>
    <t>Open to assignment based on greatest need</t>
  </si>
  <si>
    <t>Contribute to the future of medicine and transform clinical practice.</t>
  </si>
  <si>
    <t>Alzheimer’s and Non-Alzheimer’s Dementia</t>
  </si>
  <si>
    <t>1641 Metropolitan Ave Apt 3A</t>
  </si>
  <si>
    <t>Lise Graversen</t>
  </si>
  <si>
    <t xml:space="preserve">The Royal Melbourne Hospital </t>
  </si>
  <si>
    <t>lisega@rm.dk</t>
  </si>
  <si>
    <t>Insight mismatch repair</t>
  </si>
  <si>
    <t xml:space="preserve">I would like to use the software to curate variants for the Insight database </t>
  </si>
  <si>
    <t xml:space="preserve">Lynch syndrome </t>
  </si>
  <si>
    <t>+11</t>
  </si>
  <si>
    <t>Ke Yu</t>
  </si>
  <si>
    <t>zhejiang Biosan Biochemical Technologies Co.,Ltd</t>
  </si>
  <si>
    <t>yukefg@163.com</t>
  </si>
  <si>
    <t>CST (UTC +8)</t>
  </si>
  <si>
    <t>JELENA BREZO</t>
  </si>
  <si>
    <t>1447 E KRISTIANNA CIR, SALT LAKE CITY, UT</t>
  </si>
  <si>
    <t>dnalphabet@gmail.com</t>
  </si>
  <si>
    <t>As a lab director, I reviewed interpretations for  a number of phenotypes</t>
  </si>
  <si>
    <t>No specific interest</t>
  </si>
  <si>
    <t>Help community</t>
  </si>
  <si>
    <t>PHarmacogenomics, cancers, neurodevelopmental, carrier/recessive</t>
  </si>
  <si>
    <t>MDT</t>
  </si>
  <si>
    <t>Qing Zhang</t>
  </si>
  <si>
    <t>Fred Hutchinson Cancer Research Center</t>
  </si>
  <si>
    <t>qz1seattle@yahoo.com</t>
  </si>
  <si>
    <t>to gain deeper experience</t>
  </si>
  <si>
    <t>cancer related</t>
  </si>
  <si>
    <t>Cassandra Barrett</t>
  </si>
  <si>
    <t>University of Utah</t>
  </si>
  <si>
    <t>564 Hollywood Ave, Salt Lake City UT 84105</t>
  </si>
  <si>
    <t>cas9bar@gmail.com</t>
  </si>
  <si>
    <t>PhD in genetic engineering; currently in a genetic counseling graduate program</t>
  </si>
  <si>
    <t>NSGC Conference 2019</t>
  </si>
  <si>
    <t>I've done literature research before related to the effects of specific epigenetic modifiers on phenotype, but that's about it.</t>
  </si>
  <si>
    <t>I'd like to keep my research and analytical skills from my PhD fresh while applying them to medical genetics, which is a new context for me. I'm interested in possibly working in variant curation after finishing my GCMS and would like to see what it's like. I'm also just interested in contributing to the field! I really value professional service and think it's important to contribute to the quality of our shared resources.</t>
  </si>
  <si>
    <t xml:space="preserve">My PhD work was on chromatin remodelers and histone modifiers. I'm particularly interested in neurological and psychiatric disorders as well as genes encoding epigenetic regulators. </t>
  </si>
  <si>
    <t>Mountain</t>
  </si>
  <si>
    <t>Punithavathi Sundaramurthy</t>
  </si>
  <si>
    <t>San Jose State University</t>
  </si>
  <si>
    <t>PunitSundar95@gmail.com</t>
  </si>
  <si>
    <t>I read an article which mentioned ClinGen</t>
  </si>
  <si>
    <t>I would like to expand my knowledge in scientific literature by curating information related to genetics. I'm a Bioinformatics graduate student, so I want to help in any way I can.</t>
  </si>
  <si>
    <t>Pacific Standard Time</t>
  </si>
  <si>
    <t>Madhulatha Pantrangi</t>
  </si>
  <si>
    <t>PrevntionGenetics</t>
  </si>
  <si>
    <t>3800 S. Business Park Avenue</t>
  </si>
  <si>
    <t>madhu.pantrangi@preventiongenetics.com</t>
  </si>
  <si>
    <t>ASHG Conference 2019, ACMG Conference 2019, ClinGen conference advertisements (i.e. booth, workshop, presentation), Networking, Colleagues, The clinicalgenome.org website</t>
  </si>
  <si>
    <t xml:space="preserve">Peroxisomal Disorders </t>
  </si>
  <si>
    <t xml:space="preserve">Help interpret genes and variants that impacts human health care and gain knowledge about the clinical relevance of the genes and variants  </t>
  </si>
  <si>
    <t>I am flexible but I have diagnostic specialization in human ocular genetics</t>
  </si>
  <si>
    <t>Celeste Bento</t>
  </si>
  <si>
    <t>Centro Hospitalar e Universitário de Coimbra, Portugal</t>
  </si>
  <si>
    <t>Hospital Pediátrico</t>
  </si>
  <si>
    <t>celeste.bento@chuc.min-saude.pt</t>
  </si>
  <si>
    <t xml:space="preserve">I need to apply the ACMG rules in my everyday work </t>
  </si>
  <si>
    <t>I'm in the Core Task Team of ClinGen Haemoglobinopathy EP</t>
  </si>
  <si>
    <t>Learn what I need as part of the Core Task Team of ClinGen Haemoglobinopathy EP</t>
  </si>
  <si>
    <t>Haemoglobinopathies, Congenital Erythrocytosis</t>
  </si>
  <si>
    <t>ErCLG</t>
  </si>
  <si>
    <t>Lisbon, Portugal</t>
  </si>
  <si>
    <t>Gokce Toruner</t>
  </si>
  <si>
    <t>UT MD Anderson Cancer Center</t>
  </si>
  <si>
    <t>1515 Holcombe Avenue
Unit 350</t>
  </si>
  <si>
    <t>gatoruner@mdanderson.org</t>
  </si>
  <si>
    <t>ASHG Conference 2019</t>
  </si>
  <si>
    <t>Adult Solid Tumors</t>
  </si>
  <si>
    <t>MD, PhD</t>
  </si>
  <si>
    <t>Cental Standard Time, Houston TX</t>
  </si>
  <si>
    <t>rekha aaron</t>
  </si>
  <si>
    <t>christian medical college</t>
  </si>
  <si>
    <t>ot block, 5 th floor,cmc velllore</t>
  </si>
  <si>
    <t>rekha.a@cmcvellore.ac.in</t>
  </si>
  <si>
    <t xml:space="preserve">My work regularly involved in variant analysis, interpretation &amp; reporting </t>
  </si>
  <si>
    <t>mitochondrial ,neurodevelopmental disorders,myopathies</t>
  </si>
  <si>
    <t>Be a part of this consortium to contribute as well as learn about variant interpretation and its relevance which would be used for patient care and service.</t>
  </si>
  <si>
    <t>Neurological/neuromuscular diseases,Mitochondrial,inborn errors of metabolism</t>
  </si>
  <si>
    <t>none</t>
  </si>
  <si>
    <t>IST UTC+5.30h</t>
  </si>
  <si>
    <t>Larissa Waldman</t>
  </si>
  <si>
    <t xml:space="preserve">1504-386 Yonge St. </t>
  </si>
  <si>
    <t>larissa.waldman@gmail.com</t>
  </si>
  <si>
    <t>Hereditary cancer, myeloid malignancy, pediatric somatic</t>
  </si>
  <si>
    <t>Contribute to variant curation efforts, maintain this skill set (not currently working in a lab role)</t>
  </si>
  <si>
    <t xml:space="preserve">Pediatric oncology </t>
  </si>
  <si>
    <t>Prasad Rao Kopparapu</t>
  </si>
  <si>
    <t>Vanderbilt University Medical Center</t>
  </si>
  <si>
    <t>2140 Acklen Ave Apt 16</t>
  </si>
  <si>
    <t>prasaad82@gmail.com</t>
  </si>
  <si>
    <t>Variant Curation Expert Panels-TP53*, Somatic Cancer Working Group-Pediatric,</t>
  </si>
  <si>
    <t>be well versed with variant interpretation</t>
  </si>
  <si>
    <t>not really</t>
  </si>
  <si>
    <t>CST (UTC-6)</t>
  </si>
  <si>
    <t>Wellington Regional Genetics Laboratory</t>
  </si>
  <si>
    <t>Wellington Hospital</t>
  </si>
  <si>
    <t>ClinGen affiliated emails and/or newsletters, The clinicalgenome.org website</t>
  </si>
  <si>
    <t xml:space="preserve">I am actively involved in variant curation in a diagnostic genomic laboratory </t>
  </si>
  <si>
    <t>I am a diagnostic genomics scientist and would like to be involved with ClinGen and contribute to promoting enhanced patient care. I am also motivated due to personal experience with genetic disorders.</t>
  </si>
  <si>
    <t>Intellectual Disability and Autism, Mitochondrial Diseases and/or Cardiomyopathy</t>
  </si>
  <si>
    <t>MHGSA in Diagnostic Genomics</t>
  </si>
  <si>
    <t>NZDT</t>
  </si>
  <si>
    <t>Mark Shlapobersky</t>
  </si>
  <si>
    <t>Barzilai Medical Center</t>
  </si>
  <si>
    <t>marks@bmc.gov.il</t>
  </si>
  <si>
    <t>Director of Pathology lab</t>
  </si>
  <si>
    <t>AMP Conference 2019</t>
  </si>
  <si>
    <t>I was a curator for Pathway Genomics and Human Longevity</t>
  </si>
  <si>
    <t>To contribute to ClinGen and experience</t>
  </si>
  <si>
    <t>IDT</t>
  </si>
  <si>
    <t>Marie-Luise Brennan</t>
  </si>
  <si>
    <t>ACMG / NHGRI</t>
  </si>
  <si>
    <t>7101 Wisconsin Ave, #1101, Bethesda, MD 20814</t>
  </si>
  <si>
    <t>mbrennan@acmg.net</t>
  </si>
  <si>
    <t>Colleagues, Educational coursework</t>
  </si>
  <si>
    <t xml:space="preserve">No prior experience with curation. </t>
  </si>
  <si>
    <t>Low penetrance/risk alleles; gene curation (monogenic diabetes; any); dosage sens (neurodev or recurrent regions). Preferences listed, happy to join where needed.</t>
  </si>
  <si>
    <t>Understand the process better; and contribute to curation</t>
  </si>
  <si>
    <t xml:space="preserve">Epigenetics/modifiers/adult care. </t>
  </si>
  <si>
    <t>Shawn Gessay</t>
  </si>
  <si>
    <t xml:space="preserve">UT Health San Antonio </t>
  </si>
  <si>
    <t>326 Madison St Apt 8 San Antonio TX 78204</t>
  </si>
  <si>
    <t>gessays75@gmail.com</t>
  </si>
  <si>
    <t xml:space="preserve">I'm interested in learning more about variant curation processes. </t>
  </si>
  <si>
    <t xml:space="preserve">Pediatric hematology/oncology or adult neurology </t>
  </si>
  <si>
    <t>Angela Hoang</t>
  </si>
  <si>
    <t>ahoang18@students.kgi.edu</t>
  </si>
  <si>
    <t>Networking, Suggestion from mentor, Educational coursework</t>
  </si>
  <si>
    <t xml:space="preserve">Yes, I have educational experience with variant classification and gene-disease association. </t>
  </si>
  <si>
    <t xml:space="preserve">I would like to gain more curation experience outside of my education and contribute to advancing scientific knowledge </t>
  </si>
  <si>
    <t>Poornima Vijayan</t>
  </si>
  <si>
    <t xml:space="preserve">University of Toronto </t>
  </si>
  <si>
    <t xml:space="preserve">38 Grenville Street,  Toronto , Ontario </t>
  </si>
  <si>
    <t>poornima2785@gmail.com</t>
  </si>
  <si>
    <t>I am a student of medical genomics</t>
  </si>
  <si>
    <t>Gain some experience in variant curating</t>
  </si>
  <si>
    <t>Adriana Bastos Carvalho</t>
  </si>
  <si>
    <t>Federal University of Rio de Janeiro</t>
  </si>
  <si>
    <t>Av Carlos Chagas Filho 373
Bloco G, Sala G2-053, Rio de Janeiro, RJ, Brazil, 21941-902</t>
  </si>
  <si>
    <t>carvalhoab@biof.ufrj.br</t>
  </si>
  <si>
    <t>No. Although I have never worked in curation activities, I work with in vitro models to investigate variant pathogenicity.</t>
  </si>
  <si>
    <t>Cardiomyopathy Variant Curation Expert Panel</t>
  </si>
  <si>
    <t>To contribute to the advancement of clinical genomics</t>
  </si>
  <si>
    <t>Cardiovascular diseases</t>
  </si>
  <si>
    <t>UTC -3</t>
  </si>
  <si>
    <t>Megan Puckelwartz</t>
  </si>
  <si>
    <t>303 E. Superior SQ 5-511 Chicago, Il 60611</t>
  </si>
  <si>
    <t>m.puckelwartz@northwestern.edu</t>
  </si>
  <si>
    <t>I perform molecular autopsy using whole genome sequencing on sudden death subjects.  I also curate variants for cardiomyopathy subjects for research purposes.</t>
  </si>
  <si>
    <t>Aid in cardiac disease variant adjudication</t>
  </si>
  <si>
    <t>Sudden death, arrhythmia, cardiomyopathy</t>
  </si>
  <si>
    <t>Nicole Hinceman</t>
  </si>
  <si>
    <t>207 Perry Parkway, Gaithersburg, MD 20877</t>
  </si>
  <si>
    <t>nhinceman@genedx.com</t>
  </si>
  <si>
    <t>Prospective Genetic Counseling Student &amp; Variant Analyst (currently a Genetic Counseling Assistant)</t>
  </si>
  <si>
    <t>PhD in Molecular Biology, specifically developing mouse models of cancer, working in cancer clinical trials at the Institute of Cancer Research in London, UK</t>
  </si>
  <si>
    <t>Pediatric Somatic Cancer Working Group</t>
  </si>
  <si>
    <t>After a career hiatus to raise children, I would like to use my PhD in Molecular Biology to learn more about (and contribute to) to the current curation process and ACMG/AMP guidelines now that I have entered the working world of clinical genetics again</t>
  </si>
  <si>
    <t>Interested in most genes and/or diseases, but particularly interested in cancer</t>
  </si>
  <si>
    <t>Ekaterini Iordanou</t>
  </si>
  <si>
    <t>Dayton Children's Hospital</t>
  </si>
  <si>
    <t>iordanoue@childrensdayton.org</t>
  </si>
  <si>
    <t>I would like to gain curation experience and enhance patient care</t>
  </si>
  <si>
    <t>Laurie Connors</t>
  </si>
  <si>
    <t>Vanderbilt University</t>
  </si>
  <si>
    <t>Nashville, TN</t>
  </si>
  <si>
    <t>laurie.m.connors@vanderbilt.edu</t>
  </si>
  <si>
    <t>Clinical geneticist, Genetic Nurse Practitioner</t>
  </si>
  <si>
    <t>Hereditary Cancer, PTEN, VHL</t>
  </si>
  <si>
    <t>Improve access and outcomes in hereditary cancer</t>
  </si>
  <si>
    <t>PALB2, ATM, and PTEN</t>
  </si>
  <si>
    <t>Doctorate in Nursing Practice</t>
  </si>
  <si>
    <t>APNG (Advanced Practice Nurse in Genetics) AGN-BC (Advanced Genetics Nurse- Board Certified)</t>
  </si>
  <si>
    <t>central time</t>
  </si>
  <si>
    <t>Jian Zhao</t>
  </si>
  <si>
    <t>jian.zhao@aruplab.com</t>
  </si>
  <si>
    <t>I was a variant analyst at EGL Genetics before joining ARUP for LGG fellowship</t>
  </si>
  <si>
    <t>Neurodevelopmental Genes</t>
  </si>
  <si>
    <t>I am a LGG fellow at ARUP</t>
  </si>
  <si>
    <t>Tess Levy</t>
  </si>
  <si>
    <t>Mount Sinai - Seaver Autism Center</t>
  </si>
  <si>
    <t xml:space="preserve">1300 Hudson St. Hoboken NJ </t>
  </si>
  <si>
    <t>tess.levy@mssm.edu</t>
  </si>
  <si>
    <t xml:space="preserve">Interpretation of whole genome sequences for individuals with undiagnosed neurodevelopment disorders </t>
  </si>
  <si>
    <t>ASD/ID</t>
  </si>
  <si>
    <t>Be involved with gene curation</t>
  </si>
  <si>
    <t xml:space="preserve">Autism/ID : specifically - FOXP1, ADNP, SHANK3, DDX3X </t>
  </si>
  <si>
    <t xml:space="preserve">Xiaoyan Guo </t>
  </si>
  <si>
    <t>Department of Reproductive Endocrinology, Zhejiang Provincial People’s Hospital, People’s Hospital of Hangzhou Medical College</t>
  </si>
  <si>
    <t>540842557@qq.com</t>
  </si>
  <si>
    <t>Infertility</t>
  </si>
  <si>
    <t>Benjamin Clyde</t>
  </si>
  <si>
    <t>500 Chipeta Way</t>
  </si>
  <si>
    <t>benjamin.clyde@aruplab.com</t>
  </si>
  <si>
    <t>Hereditary Cancer Dosage Sensitivity Subgroup</t>
  </si>
  <si>
    <t xml:space="preserve">I would like to gain curation experience and help the medical community by providing accurate information that would help both patients and physicians. </t>
  </si>
  <si>
    <t>Hematologic malignancies and imprinting disorders!</t>
  </si>
  <si>
    <t>Mountain Time</t>
  </si>
  <si>
    <t>cynthia chow</t>
  </si>
  <si>
    <t>BC Cancer Agency</t>
  </si>
  <si>
    <t>600 west 10th ave</t>
  </si>
  <si>
    <t>cchow3@bccancer.bc.ca</t>
  </si>
  <si>
    <t>Variant Analyst for an In-house Oncopanel and Myeloid Panels</t>
  </si>
  <si>
    <t>I have 3 years experience in variant assesment/interpretation for myeloid and oncopanels.  I currently prepare and interpret for the medical staff to use to correlate with other clinical findings.</t>
  </si>
  <si>
    <t>Very excited to be a part of an external curation community to learn and share knowledge which can also be applied to the local communities</t>
  </si>
  <si>
    <t>Myeloid neoplasms and Solid tumours</t>
  </si>
  <si>
    <t>2542 Webb St, Philadelphia, PA 19125</t>
  </si>
  <si>
    <t>marcoleung@me.com</t>
  </si>
  <si>
    <t>Determining gene-disease validity and variant pathogenicity is my everyday job</t>
  </si>
  <si>
    <t>I want to help to curate some of the cancer genes that are still lacking concrete evidence.</t>
  </si>
  <si>
    <t>FACMG - Clinical Molecular Genetics</t>
  </si>
  <si>
    <t>Alaa Koleilat</t>
  </si>
  <si>
    <t>200 1st St. SW Rochester, MN 55905</t>
  </si>
  <si>
    <t>koleilat.alaa@mayo.edu</t>
  </si>
  <si>
    <t>mitochondrial disease, pediatric somatic cancer</t>
  </si>
  <si>
    <t>I would like to go through the process of curating a variant</t>
  </si>
  <si>
    <t>Thanuja Selvanayagam</t>
  </si>
  <si>
    <t xml:space="preserve">Children's Hospital of Eastern Ontario </t>
  </si>
  <si>
    <t>401 Smyth Rd, Ottawa, ON K1H 8L1</t>
  </si>
  <si>
    <t>tselvanayagam@cheo.on.ca</t>
  </si>
  <si>
    <t xml:space="preserve">Cardiomyopathy </t>
  </si>
  <si>
    <t xml:space="preserve">I am hoping to get involved in ClinGen to gain experience with gene curation particularly for dilated cardiomyopathy. </t>
  </si>
  <si>
    <t>DCM</t>
  </si>
  <si>
    <t>Shrutika Jadhav</t>
  </si>
  <si>
    <t>525 Penn Avenue, Pittsburgh, Pennsylvania</t>
  </si>
  <si>
    <t>shrutikajadhav18@gmail.com</t>
  </si>
  <si>
    <t xml:space="preserve">Brain Malformations, Intellectual Disability and Autism, Pediatric </t>
  </si>
  <si>
    <t>Gain experience, learn new skills</t>
  </si>
  <si>
    <t>Alzheimer disease, autoimmune diseases</t>
  </si>
  <si>
    <t>B.Tech in genetic engineering</t>
  </si>
  <si>
    <t>JACQUELINE BATANIAN</t>
  </si>
  <si>
    <t>SAINT LOUIS UNIVERSITY</t>
  </si>
  <si>
    <t>1465 SOUTH GRAND BLVD</t>
  </si>
  <si>
    <t>JACQUELINE.BATANIAN@HEALTH.SLU.EDU</t>
  </si>
  <si>
    <t>I used to navigate literature to determine the nature of copy number variants identified by Oligo/SNP Agilent microarray.</t>
  </si>
  <si>
    <t>Cardiovascular diseases and Pediatric cancer</t>
  </si>
  <si>
    <t>Expanding my knowledge in genes</t>
  </si>
  <si>
    <t>Constitutional and Cancer</t>
  </si>
  <si>
    <t>ACMG C</t>
  </si>
  <si>
    <t>Central time</t>
  </si>
  <si>
    <t>nj2421@cumc.columbia.edu</t>
  </si>
  <si>
    <t xml:space="preserve">Yes. I am currently a LGG fellow at Columbia. I do SOMA analysis, WES variant curation on daily bases. </t>
  </si>
  <si>
    <t>Hereditary Cancer, Brain Malformations , Somatic Cancer Pediatric</t>
  </si>
  <si>
    <t>I would like to be involved with ClinGen, gain more curation experiences and know more people in this field</t>
  </si>
  <si>
    <t>Cancer, Neurological diseases</t>
  </si>
  <si>
    <t>currently a LGG fellow</t>
  </si>
  <si>
    <t>Jaime Nagy</t>
  </si>
  <si>
    <t>200 Hawkins Dr, Iowa City, IA, 52242</t>
  </si>
  <si>
    <t>jaime-nagy@uiowa.edu</t>
  </si>
  <si>
    <t>Review and interpretation of clinical CMA cases</t>
  </si>
  <si>
    <t>Dosage Sensitivity working group</t>
  </si>
  <si>
    <t>I would like to contribute to the effort of promoting consistency of CNV interpretation across clinical laboratories. I think the ClinGen Dosage Sensitivity Map is a valuable resource when evaluating copy number changes.</t>
  </si>
  <si>
    <t>ABMGG, Clinical Cytogenetics</t>
  </si>
  <si>
    <t>Laboratory Technologist</t>
  </si>
  <si>
    <t>Gene curation (Intellectual disability &amp; Autism), Dosage Sensitivity &amp; Clinical Actionability</t>
  </si>
  <si>
    <t>As part of my efforts in ClinGen curation, I hope to help patients have an earlier and accurate diagnosis. In the process, I hope to increase my working knowledge in data analysis and variant reporting.</t>
  </si>
  <si>
    <t>ASD, Neurological disorders.</t>
  </si>
  <si>
    <t>MB (ASCP)</t>
  </si>
  <si>
    <t>UTC +3	AST Arabia Standard Time</t>
  </si>
  <si>
    <t>Kendrah Kidd</t>
  </si>
  <si>
    <t>Wake Forest School of Medicine</t>
  </si>
  <si>
    <t>Internal Medicine - Section on Nephrology
Gray G120 Nephrology Research
Medical Center Blvd
Winston-Salem, NC 27157</t>
  </si>
  <si>
    <t>kkidd@wakehealth.edu</t>
  </si>
  <si>
    <t>McKusick Genetics Course, Jackson Laboratory 2019</t>
  </si>
  <si>
    <t xml:space="preserve">Yes, I manage our Autosomal Dominant Tubulointerstitial Kidney Disease  pathogenic variant registry and have a database of variants found in families that have segregation and clinical data, as well as any literature associated with the variant.  </t>
  </si>
  <si>
    <t xml:space="preserve">I would be interested in forming one for inherited kidney diseases </t>
  </si>
  <si>
    <t>I came to look over variants in UMOD for a paper and noticed this gene had not been curated yet.  I would like to volunteer to curate mutations in UMOD and gain knowledge in curation of variants.</t>
  </si>
  <si>
    <t xml:space="preserve">Autosomal Dominant Tubulointerstitial Kidney Disease - currently known mutations in UMOD, MUC1, REN </t>
  </si>
  <si>
    <t>Joanne Adelberg</t>
  </si>
  <si>
    <t>NIH/CC</t>
  </si>
  <si>
    <t>1805 Midlothian Court</t>
  </si>
  <si>
    <t>joanneadelberg@gmail.com</t>
  </si>
  <si>
    <t>Will work on groups with the most need-excited for the learning opportunity</t>
  </si>
  <si>
    <t>Learn more about curation and data in Newborn Screening Disorders</t>
  </si>
  <si>
    <t>Newborn Screening</t>
  </si>
  <si>
    <t>Genetic Counselor, no CGC</t>
  </si>
  <si>
    <t>Erika Meaddough</t>
  </si>
  <si>
    <t>Clemson University</t>
  </si>
  <si>
    <t>meaddough@yahoo.com</t>
  </si>
  <si>
    <t>drug metabolizing enzymes</t>
  </si>
  <si>
    <t>Vijay Ganesh</t>
  </si>
  <si>
    <t>Broad Institute; Brigham and Women's Hospital</t>
  </si>
  <si>
    <t>60 Fenwood Road, Boston, MA 02115</t>
  </si>
  <si>
    <t>vganesh@bwh.harvard.edu</t>
  </si>
  <si>
    <t>Limb Girdle Muscular Dystrophy; Congenital Myopathies; Charcot-Marie Tooth</t>
  </si>
  <si>
    <t>Contribute to gene curation and variant curation to improve clinical care.</t>
  </si>
  <si>
    <t>Muscular dystrophy; Congenital myopathy</t>
  </si>
  <si>
    <t xml:space="preserve">Blueprint Genetics </t>
  </si>
  <si>
    <t xml:space="preserve">2505 3rd Ave, Suite 204
Seattle WA 98121
</t>
  </si>
  <si>
    <t xml:space="preserve">Gain experience with variant interpretation, gene validity curation- gain a better understanding of gene-disease relationships. </t>
  </si>
  <si>
    <t xml:space="preserve">Cardiomyopathy, arrhythmias is area that I have worked in. </t>
  </si>
  <si>
    <t>Devon Thrush</t>
  </si>
  <si>
    <t>Ambry</t>
  </si>
  <si>
    <t>1416 Florence Ave</t>
  </si>
  <si>
    <t>dthrush@ambrygen.com</t>
  </si>
  <si>
    <t xml:space="preserve">I currently perform this type of work in my job. </t>
  </si>
  <si>
    <t>I want to contribute to these community efforts and the work is important to the field</t>
  </si>
  <si>
    <t xml:space="preserve">I currently evaluate rare disease genes, as well as hereditary cancer genes, cardio genes.  In a previous job I worked with muscular dystrophy genes.  </t>
  </si>
  <si>
    <t>Shiloh Martin</t>
  </si>
  <si>
    <t>1400 16th Street</t>
  </si>
  <si>
    <t>shiloh.martin@invitae.com</t>
  </si>
  <si>
    <t>I currently do gene-disease curations and variant interpretation at Invitae</t>
  </si>
  <si>
    <t>I am interested in working with an Immunology GCEP.  I don't think such a GCEP exists at this time, but I have been told that one is possibly forming, so I would be interested in joining that group once formed.</t>
  </si>
  <si>
    <t>Expand my knowledge about gene-disease curation frameworks and variant interpretation frameworks</t>
  </si>
  <si>
    <t>Immunology</t>
  </si>
  <si>
    <t>Jennifer Holle</t>
  </si>
  <si>
    <t>jennifer.holle@invitae.com</t>
  </si>
  <si>
    <t>Yes, I do variant pathogenicity curation in my job, as well as gene-disease validity curation (though I do less of this).</t>
  </si>
  <si>
    <t>The primary immunodeficiency group - didn't see it on the list, but I know it's upcoming</t>
  </si>
  <si>
    <t xml:space="preserve">Help with the Clinical Immunology Societies curation of primary immunodeficiency genes, network, volunteer. </t>
  </si>
  <si>
    <t>George Jour</t>
  </si>
  <si>
    <t>NYU Langone Health</t>
  </si>
  <si>
    <t>240 east 38th street 22nd floor</t>
  </si>
  <si>
    <t>george.jour@nyulangone.org</t>
  </si>
  <si>
    <t>I did help curate an internal database during my fellowship for an inherited cancer NGS panel</t>
  </si>
  <si>
    <t>Rasopathies; hearing Loss; inherited cancers</t>
  </si>
  <si>
    <t>I would like to help curate more variants and provide a better understanding of the phenotype genotype correlations</t>
  </si>
  <si>
    <t>NF1; PTPN11</t>
  </si>
  <si>
    <t>MGP</t>
  </si>
  <si>
    <t>Emily Hansen-Kiss</t>
  </si>
  <si>
    <t>University of Texas Health Science Center at Houston, School of Dentistry</t>
  </si>
  <si>
    <t>7500 Cambridge St., Suite 4410, Houston, TX 77054</t>
  </si>
  <si>
    <t>Emily.HansenKiss@uth.tmc.edu</t>
  </si>
  <si>
    <t>No official training or experience, but clinical experience working with patients with mutations within the PTEN gene and identifying when phenotype is a good match for genotype.</t>
  </si>
  <si>
    <t>Gain experience with variant curation and share my experience/interest with one of my favorite genes.</t>
  </si>
  <si>
    <t>Chitra Chandrasekaran</t>
  </si>
  <si>
    <t>Texas Wesleyan University</t>
  </si>
  <si>
    <t>1201 Wesleyan, Fort Worth Texas 76105</t>
  </si>
  <si>
    <t>cchandrasekaran@txwes.edu</t>
  </si>
  <si>
    <t>Biology Professor</t>
  </si>
  <si>
    <t>Web search</t>
  </si>
  <si>
    <t>I do not have any previous experience with the activities mentioned above.</t>
  </si>
  <si>
    <t>I am interested in helping support research initiatives into the genomic basis of disease.</t>
  </si>
  <si>
    <t>My background is in the molecular and cell biology of cancer (colon cancer), with a focus on the role of tumor suppressor genes (p53, pRB, etc) in the role of intestinal cancer development; I remain very interested in the underlying genetic bases of cancer development, with a particular interest in both intestinal cancer and breast cancer.  I also have an interest in looking at the genetic causes of type II diabetes, and currently work on modeling aspects of insulin resistance in the model organism Drosophila melanogaster.</t>
  </si>
  <si>
    <t>Central Time (Central Daylight Time starting in March)</t>
  </si>
  <si>
    <t>Silke Waap</t>
  </si>
  <si>
    <t>Cardiff School of Biosciences, UK</t>
  </si>
  <si>
    <t>silkewaap@gmail.com</t>
  </si>
  <si>
    <t xml:space="preserve">My scientific research expertise has been on evolutionary processes, involving gene variation (SNPs) and laboratory next generation sequencing techniques and bioinformatic analyses of genetic barcodes. </t>
  </si>
  <si>
    <t xml:space="preserve">I would like to enhance my scientific skills and experience to potentially become a scientific curator </t>
  </si>
  <si>
    <t>Western European Time</t>
  </si>
  <si>
    <t>Emilie Hulse</t>
  </si>
  <si>
    <t>Germantown, MD</t>
  </si>
  <si>
    <t>ehulse@genedx.com</t>
  </si>
  <si>
    <t>Genetic Counseling Assistant</t>
  </si>
  <si>
    <t>no preference</t>
  </si>
  <si>
    <t>I want to help impact patient care by helping identify gene-disease relationships and recognizing areas in which clinical decisions could positively affect a patient's life.</t>
  </si>
  <si>
    <t>TTR, Pediatrics, Complex Diseases</t>
  </si>
  <si>
    <t xml:space="preserve">Stephen Wicks </t>
  </si>
  <si>
    <t>University of Colorado</t>
  </si>
  <si>
    <t>13001 E. 17th Place, MS F563 Building 500, Aurora, CO. 80045</t>
  </si>
  <si>
    <t>stephenwicks1@gmail.com</t>
  </si>
  <si>
    <t>Have been signing out both hematological and solid tumor cancer clinical cases from adult and pediatric populations.</t>
  </si>
  <si>
    <t>Somatic Cancer WG / Hereditary Cancer Panel</t>
  </si>
  <si>
    <t>Better resources in dealing with difficult interpretations of cases.</t>
  </si>
  <si>
    <t xml:space="preserve">Pediatric cancers, ALL, Trisomy 21, CFTR, ARID1A &amp; B </t>
  </si>
  <si>
    <t>ABMGG Fellowship</t>
  </si>
  <si>
    <t>Board eligible ABMGG</t>
  </si>
  <si>
    <t>Mountain Standard Time UTC/GMT -7 hours</t>
  </si>
  <si>
    <t>Saurav Guha</t>
  </si>
  <si>
    <t>101 6th Ave, New York, NY 10013</t>
  </si>
  <si>
    <t>sauravguha@gmail.com</t>
  </si>
  <si>
    <t>ACMG Conference 2019, ClinGen conference advertisements (i.e. booth, workshop, presentation), Networking, Colleagues, ClinGen affiliated emails and/or newsletters, The clinicalgenome.org website, The Community Curation Committee webpage</t>
  </si>
  <si>
    <t xml:space="preserve">Yes, I do regularly classify and report genetic variants. </t>
  </si>
  <si>
    <t>Neurodevelopmental Disorders CDWG</t>
  </si>
  <si>
    <t xml:space="preserve">Neurodevelopmental Disorders </t>
  </si>
  <si>
    <t>New York</t>
  </si>
  <si>
    <t>Hannah Lilligren</t>
  </si>
  <si>
    <t>305 Pueblo Road, Corona, CA 92882</t>
  </si>
  <si>
    <t>hannah.lilligren@gmail.com</t>
  </si>
  <si>
    <t>Develop grace and speed in curation as well as more confidence in my ability</t>
  </si>
  <si>
    <t>HBOP EP</t>
  </si>
  <si>
    <t>DICER1, Colorectal Cancer, or inhereted retinal diseases</t>
  </si>
  <si>
    <t>gaining research experience and learning for the best</t>
  </si>
  <si>
    <t>GMT +2</t>
  </si>
  <si>
    <t>Raiana Barbosa</t>
  </si>
  <si>
    <t>Av. Carlos Chagas Filho 373 Bloco G - Sala G2-053</t>
  </si>
  <si>
    <t>rapa_andrade@hotmail.com</t>
  </si>
  <si>
    <t>No, I don't.</t>
  </si>
  <si>
    <t>Yes, I am interested in Familial Hypercholesterolemia and FBN1 panels.</t>
  </si>
  <si>
    <t>I'd like to getting more experience and expertise.</t>
  </si>
  <si>
    <t>Familial Hypercholesterolemia and arrhythmias.</t>
  </si>
  <si>
    <t>UTC-3h</t>
  </si>
  <si>
    <t>Sarada Gandhi Kolli</t>
  </si>
  <si>
    <t>Mater Misericordiae University Hospital</t>
  </si>
  <si>
    <t>Next generation Sequencing Lab, Mater Misericordiae University Hospital, Mater Misericordiae Wing Level 0, Mortuary entrance, North Circular Road, Dublin 7, D07 R2WY</t>
  </si>
  <si>
    <t>saradagandhikolli@mater.ie</t>
  </si>
  <si>
    <t>Our lab is currently working on classification of pathogenic variants. We are focusing on cardiac variants for now but plan on expanding the departments in the future.</t>
  </si>
  <si>
    <t>To get a better understanding of how to curate variants, get to know experiences at different levels from various scientists of how to deal with complex variants.</t>
  </si>
  <si>
    <t>Our lab is currently focusing on cardiology and we are in our initial stages of variant classification</t>
  </si>
  <si>
    <t xml:space="preserve">Dublin, Ireland GMT </t>
  </si>
  <si>
    <t>Eah Keomanee</t>
  </si>
  <si>
    <t>101 Bucknell Ave #228-1</t>
  </si>
  <si>
    <t>ekeomanee19@students.kgi.edu</t>
  </si>
  <si>
    <t xml:space="preserve">To gain more exposure to the field, get an insight on the community and to gain experience before I graduate. </t>
  </si>
  <si>
    <t>Tiago Fernando Chaves</t>
  </si>
  <si>
    <t>Universidade Federal de Santa Catarina</t>
  </si>
  <si>
    <t>tiagochavo@msn.com</t>
  </si>
  <si>
    <t>No curatorial experience</t>
  </si>
  <si>
    <t>Dosage-Recurrent Regions and Dosage- Neurodevelopmental</t>
  </si>
  <si>
    <t>neurodevelopmental disorders</t>
  </si>
  <si>
    <t>BRT	- Brasília Time</t>
  </si>
  <si>
    <t>Sara Pajouhanfar</t>
  </si>
  <si>
    <t>Iran University of Medical Sciences</t>
  </si>
  <si>
    <t>3841, hamilton st
2FL</t>
  </si>
  <si>
    <t>sara.pajouhanfar@gmail.com</t>
  </si>
  <si>
    <t>Resercher</t>
  </si>
  <si>
    <t>Gene-Disease Validity, Variant Pathogenicity, Dosage Sensitivity, Somatic Cancer</t>
  </si>
  <si>
    <t>Pediatrics.</t>
  </si>
  <si>
    <t>Neurogenetic disorders.</t>
  </si>
  <si>
    <t>Eastern time.</t>
  </si>
  <si>
    <t>Adele fairclough</t>
  </si>
  <si>
    <t>manchester genetic diagnostic lab, UK</t>
  </si>
  <si>
    <t>Saint Mary's Hospital, Oxford Road, Manchester M13 9WL</t>
  </si>
  <si>
    <t>Adele.fairclough@mft.nhs.uk</t>
  </si>
  <si>
    <t xml:space="preserve">20 years in cytogenetics - with 8 years working on microarray CNV interpretation and 3 years SNV interpretation and reporting experience </t>
  </si>
  <si>
    <t>dosage</t>
  </si>
  <si>
    <t>help increase the amount of genes/regions curated on the clingen dosage map</t>
  </si>
  <si>
    <t>DipRCPath cytogenetics (UK), HCPC registered clinical scientist (UK)</t>
  </si>
  <si>
    <t>gmt</t>
  </si>
  <si>
    <t>Michelle Mah</t>
  </si>
  <si>
    <t>Ontario Institute for Cancer Research</t>
  </si>
  <si>
    <t>michelle.j.mah@gmail.com</t>
  </si>
  <si>
    <t>Genetics Technologist</t>
  </si>
  <si>
    <t>Assist with revisions to ensure quality</t>
  </si>
  <si>
    <t>Eric Bend</t>
  </si>
  <si>
    <t>PreventionGenetics</t>
  </si>
  <si>
    <t>3800 South Business Park Avenue</t>
  </si>
  <si>
    <t>eric.bend@preventiongenetics.com</t>
  </si>
  <si>
    <t>ACMG Winter article, Networking, Colleagues</t>
  </si>
  <si>
    <t xml:space="preserve">I serve as a Clinical Laboratory Director in a diagnostic genetics lab. I routinely interpret variants and evaluate genes for inclusion/exclusion on NGS panels. </t>
  </si>
  <si>
    <t xml:space="preserve">Advance the goals of the ClinGen Community. Network and learn from other experts. Collaborate on publications. </t>
  </si>
  <si>
    <t>Epilepsy, Neurodevelopmental Disorders, Congenital Malformations, Obesity</t>
  </si>
  <si>
    <t>Reza Semiromi Davoodi</t>
  </si>
  <si>
    <t>24841 Byroad Way, Laguna Niguel, CA 92677</t>
  </si>
  <si>
    <t>davoodi_semiromi@yahoo.com</t>
  </si>
  <si>
    <t>I have several years of experience in direct DNA/RNA sequencing and have more than 50 hits in the GenBank and published 24 peer-reviewed papers.</t>
  </si>
  <si>
    <t>Try to help the other people and also to learn new objectives in clinical genetics</t>
  </si>
  <si>
    <t>Cancer genetics;  Neurodegenerative disease; Inborn error of metabolisms</t>
  </si>
  <si>
    <t>HCLD (ABB)</t>
  </si>
  <si>
    <t xml:space="preserve">I have attended the live Webex session training for the Gene Curation Interface (GCI). </t>
  </si>
  <si>
    <t xml:space="preserve">I have watched the Gene curation classifications video and understand the ClinGen Gene-Disease Validity classification system.  </t>
  </si>
  <si>
    <t xml:space="preserve">I have watched the gene curation scoring overview video and understand the basics of this framework. </t>
  </si>
  <si>
    <t xml:space="preserve">I have watched the lumping and splitting tutorial and understand the process of defining the most appropriate disease entity. </t>
  </si>
  <si>
    <t xml:space="preserve">I have reviewed the interactive example powerpoints and understand the process that goes into curating different inheritance patterns. </t>
  </si>
  <si>
    <t xml:space="preserve">I have reviewed the Gene Curation Standard Operating Procedures and understand this curation process.  </t>
  </si>
  <si>
    <t>I, (your name below), attest that I have completed all the elements of the Gene Disease Validity Training.                                            *Please sign your name below.   e.g. John Doe</t>
  </si>
  <si>
    <t>Put the date below</t>
  </si>
  <si>
    <t>Olivia Rennie; Dec. 12, 2018</t>
  </si>
  <si>
    <t>Volkan Okur, 12/12/2018</t>
  </si>
  <si>
    <t>Mansour Zamanpoor 13/12/2018</t>
  </si>
  <si>
    <t>Colin Ellis 12/12/18</t>
  </si>
  <si>
    <t>John M Shoffner MD</t>
  </si>
  <si>
    <t>Ny Hoang Dec12/18</t>
  </si>
  <si>
    <t>Benjamin Kang 12/12/2018</t>
  </si>
  <si>
    <t>Mythily Ganapathi ; 12-12-2018</t>
  </si>
  <si>
    <t>Kira Dies 12/13/18</t>
  </si>
  <si>
    <t xml:space="preserve">Kalpana Panneerselvam </t>
  </si>
  <si>
    <t xml:space="preserve">I have attended the live Zoom session training for Dosage Sensitivity Curation. </t>
  </si>
  <si>
    <t>I have read the original publication outlining the dosage evaluation process (Riggs et al., 2012).</t>
  </si>
  <si>
    <t>I, (your name below), attest that I have completed all the elements of the Dosage Sensitivity Curation training. *Please sign your name below (e.g. John Doe)</t>
  </si>
  <si>
    <t>Today's date (write the date below)</t>
  </si>
  <si>
    <t>20/12/2018</t>
  </si>
  <si>
    <t>12/24/2018</t>
  </si>
  <si>
    <t>02/01/2019</t>
  </si>
  <si>
    <t>1/8/2019</t>
  </si>
  <si>
    <t>Madeline Hughes</t>
  </si>
  <si>
    <t>Justin Schleede</t>
  </si>
  <si>
    <t>02/08/2019</t>
  </si>
  <si>
    <t>April 29, 2019</t>
  </si>
  <si>
    <t>shulin zhang</t>
  </si>
  <si>
    <t>4/30/2019</t>
  </si>
  <si>
    <t>05/08/2019</t>
  </si>
  <si>
    <t>Samantha Sevilla Chill</t>
  </si>
  <si>
    <t>9/10/19</t>
  </si>
  <si>
    <t>N. Inamdar</t>
  </si>
  <si>
    <t>September 10, 2019</t>
  </si>
  <si>
    <t>Emma Wilcox</t>
  </si>
  <si>
    <t>9/11/19</t>
  </si>
  <si>
    <t>Fen Guo</t>
  </si>
  <si>
    <t>2019/09/23</t>
  </si>
  <si>
    <t>Rodrigo Méndez</t>
  </si>
  <si>
    <t>I have attended the live Zoom training session on Somatic Variant Curation</t>
  </si>
  <si>
    <t>I have reviewed the publication titled 'Somatic cancer variant curation and harmonization through consensus minimum variant level data' https://www.ncbi.nlm.nih.gov/pubmed/27814769</t>
  </si>
  <si>
    <t>I, (your name below), attest that I have completed all the elements of the Somatic Cancer Training. *Please sign your name below. e.g. John Doe</t>
  </si>
  <si>
    <t>I have created an account in CIViC: https://civicdb.org/home</t>
  </si>
  <si>
    <t>I have signed up for a practice curation assignment in CIViC: https://docs.google.com/spreadsheets/d/1vBDR3xVaKgkOSW_7VTO8Mxe2wo1WCJV1mbT3nO1lCM4/edit#gid=0</t>
  </si>
  <si>
    <t>I have chosen a curation activity/disease task force. (Please list your choice below)</t>
  </si>
  <si>
    <t>Revathi Rajkumar</t>
  </si>
  <si>
    <t>Rajiv Machado</t>
  </si>
  <si>
    <t>Laura Southgate</t>
  </si>
  <si>
    <t>Xiaoyan Guo</t>
  </si>
  <si>
    <t>Micheala Aldred</t>
  </si>
  <si>
    <t>Britt Johnson</t>
  </si>
  <si>
    <t>Jair Tenorio</t>
  </si>
  <si>
    <t>Julie Kim</t>
  </si>
  <si>
    <t>Divya Pandya</t>
  </si>
  <si>
    <t>Emilia Swietlik</t>
  </si>
  <si>
    <t>Christina A. Eichstaedt</t>
  </si>
  <si>
    <t>Date</t>
  </si>
  <si>
    <t>I have read through the slides entitled "An Introduction to the
  ClinGen Actionability Working Group" and understand how clinical actionability is described and assessed by ClinGen.</t>
  </si>
  <si>
    <t>I have reviewed the "Early Rule-Out Instructions" slides and understand the process for gene-disease topic research and documentation.</t>
  </si>
  <si>
    <t>I have completed the four example topics and completed the Early Rule-Out online form for each one.</t>
  </si>
  <si>
    <t>I have attended a webinar training session to review my four completed practice topics and ask any questions that came up.</t>
  </si>
  <si>
    <t>I, (your name below), attest that I have completed all the elements of the ClinGen Actionability Rule-Out Training. *Please sign your full name below.</t>
  </si>
  <si>
    <t>2019/03/31 3:24:52 PM PDT</t>
  </si>
  <si>
    <t>2019/04/12 12:46:38 PM PDT</t>
  </si>
  <si>
    <t>2019/04/24 7:36:45 AM PDT</t>
  </si>
  <si>
    <t>2019/04/24 8:54:35 AM PDT</t>
  </si>
  <si>
    <t>2019/05/02 5:01:04 PM PDT</t>
  </si>
  <si>
    <t>2019/05/09 9:41:55 AM PDT</t>
  </si>
  <si>
    <t>2019/06/18 5:30:01 AM PDT</t>
  </si>
  <si>
    <t>2019/06/23 5:26:21 AM PDT</t>
  </si>
  <si>
    <t>2019/08/07 11:26:51 PM PDT</t>
  </si>
  <si>
    <t>Krzysztof SzczaÅ‚uba</t>
  </si>
  <si>
    <t>2019/08/11 10:45:41 AM PDT</t>
  </si>
  <si>
    <t>2019/10/30 12:42:32 PM PDT</t>
  </si>
  <si>
    <t>2019/10/30 4:03:23 PM PDT</t>
  </si>
  <si>
    <t>2019/10/31 6:09:00 AM PDT</t>
  </si>
  <si>
    <t>2019/10/31 6:20:59 AM PDT</t>
  </si>
  <si>
    <t>2019/10/31 8:41:45 AM PDT</t>
  </si>
  <si>
    <t>2019/11/27 6:43:48 AM PST</t>
  </si>
  <si>
    <t>2020/01/29 4:05:42 AM PST</t>
  </si>
  <si>
    <t>2020/01/29 4:38:23 PM PST</t>
  </si>
  <si>
    <t>2020/02/04 11:49:57 AM PST</t>
  </si>
  <si>
    <t>email</t>
  </si>
  <si>
    <t>Email Contact</t>
  </si>
  <si>
    <t>Spreadsheet Changes</t>
  </si>
  <si>
    <t>Name:</t>
  </si>
  <si>
    <t>Curation Activity:</t>
  </si>
  <si>
    <t>Expert Panel or Working Group:</t>
  </si>
  <si>
    <t>Change Status to:</t>
  </si>
  <si>
    <t>What are the conditions that you are accepting volunteers under?</t>
  </si>
  <si>
    <t>How much work does a volunteer need to do to get acknowledgement for their contribution? (ex. attend 50% of the calls and perform 5 curations)</t>
  </si>
  <si>
    <t>How much work does a volunteer need to do to get authorship on a paper? (ex. attend 75% of the calls and perform 8 curations)</t>
  </si>
  <si>
    <t>Please note any other comments you have on volunteer acknowledgement and authorship:</t>
  </si>
  <si>
    <t>Approximately how many volunteers is your EP/WG willing to accept?</t>
  </si>
  <si>
    <t>What are the conditions that a volunteer could get acknowledgement for their contribution?</t>
  </si>
  <si>
    <t>What are the conditions that a volunteer could get authorship on a paper?</t>
  </si>
  <si>
    <t>VWD VCEP</t>
  </si>
  <si>
    <t>Accepting Volunteers</t>
  </si>
  <si>
    <t>not determined yet</t>
  </si>
  <si>
    <t>Mito GCEP</t>
  </si>
  <si>
    <t>Not Accepting Volunteers</t>
  </si>
  <si>
    <t>Inherited Retinal Disease GCEP (in development))</t>
  </si>
  <si>
    <t>Post-Survey Contact</t>
  </si>
  <si>
    <t>undecided</t>
  </si>
  <si>
    <t>expect authorship</t>
  </si>
  <si>
    <t>4-5</t>
  </si>
  <si>
    <t>automated email</t>
  </si>
  <si>
    <t>Glaucoma/Neuro Ocular GCEP (in development)</t>
  </si>
  <si>
    <t>undecuded</t>
  </si>
  <si>
    <t>authorship expected</t>
  </si>
  <si>
    <t>Initial Contact</t>
  </si>
  <si>
    <t>Change Status to "Contacted"</t>
  </si>
  <si>
    <t>VHL VCEP</t>
  </si>
  <si>
    <t xml:space="preserve">attend monthly VCEP calls, help input and curate variants for VHL </t>
  </si>
  <si>
    <t>1-3</t>
  </si>
  <si>
    <t>Liz</t>
  </si>
  <si>
    <t>Jessica Mester</t>
  </si>
  <si>
    <t>PTEN VCEP</t>
  </si>
  <si>
    <t>Accepting Volunteers with Conditions</t>
  </si>
  <si>
    <t>1 named Emily Hansen-Kiss who has just signed up for training, and I'll take one more who's interested in our group after review of their CV</t>
  </si>
  <si>
    <t>Attend biocurator calls, attend most VCEP calls, curate at least 2 variants per quarter once training complete</t>
  </si>
  <si>
    <t>Biocurator calls are scheduled based on group availability, so will not be a challenge to attend.  VCEP calls are scheduled based primarily on expert panel members' availability, biocurators are expected to present the variants they've worked on and should attend all calls for which they're available.</t>
  </si>
  <si>
    <t>2 new ones</t>
  </si>
  <si>
    <t>Assigning and Scheduling Training</t>
  </si>
  <si>
    <t>RASopathy VCEP</t>
  </si>
  <si>
    <t>Change Status to "Assigned", add the date assigned, the training date and Curation Effort</t>
  </si>
  <si>
    <t>Post-training email with Attestation</t>
  </si>
  <si>
    <t>Indicate that training was attended and the attestation was signed</t>
  </si>
  <si>
    <t>Contacting Volunteer about WG/EP assignment</t>
  </si>
  <si>
    <t>Change Status to "Assigned" and add the WG/EP the volunteer was assigned to</t>
  </si>
  <si>
    <t>Contact Cordinator about volunteers assigned to their WG/EP</t>
  </si>
  <si>
    <t>Lynne S. Rosenblum</t>
  </si>
  <si>
    <t>Yanyi Yao</t>
  </si>
  <si>
    <t>Rhonda Lassiter</t>
  </si>
  <si>
    <t>Theodore E. Wilson, MD</t>
  </si>
  <si>
    <t>Brett Graham</t>
  </si>
  <si>
    <t>Catherine Rehder</t>
  </si>
  <si>
    <t>Deeksha Bali</t>
  </si>
  <si>
    <t>Maria L Helgeson</t>
  </si>
  <si>
    <t>Rong Mao</t>
  </si>
  <si>
    <t xml:space="preserve">Viridiana Murillo </t>
  </si>
  <si>
    <t>Kees Harteveld</t>
  </si>
  <si>
    <t>Sarah Young</t>
  </si>
  <si>
    <t>Tatiana Yuzyuk</t>
  </si>
  <si>
    <t>Marina Kleanthous</t>
  </si>
  <si>
    <t>Pam Christopherson</t>
  </si>
  <si>
    <t>Desi DeMille (HHT coordinator)</t>
  </si>
  <si>
    <t>Meera Jairath</t>
  </si>
  <si>
    <t>May Flowers</t>
  </si>
  <si>
    <t>Laura Muiño Mosquera</t>
  </si>
  <si>
    <t>Christina Hung</t>
  </si>
  <si>
    <t>Ales Maver</t>
  </si>
  <si>
    <t>Ana Coutinho</t>
  </si>
  <si>
    <t>Alana Cecchi</t>
  </si>
  <si>
    <t xml:space="preserve">Katie Beattie </t>
  </si>
  <si>
    <t>Dongchuan Guo</t>
  </si>
  <si>
    <t>Lindsey Mighion</t>
  </si>
  <si>
    <t>SAMYA CHAKRAVORTY</t>
  </si>
  <si>
    <t>Hope Bonin</t>
  </si>
  <si>
    <t>Thessalia Papasavva</t>
  </si>
  <si>
    <t>Mitzi L. Murray</t>
  </si>
  <si>
    <t>Bryce Seifert</t>
  </si>
  <si>
    <t>Jung Kim</t>
  </si>
  <si>
    <t>Matthew Sdano</t>
  </si>
  <si>
    <t>Benjamin Helm</t>
  </si>
  <si>
    <t xml:space="preserve">Pamela Ajuyah </t>
  </si>
  <si>
    <t>Courtney Thaxton</t>
  </si>
  <si>
    <t>Susan Hiraki</t>
  </si>
  <si>
    <t>José Miranda</t>
  </si>
  <si>
    <t>David Kochan</t>
  </si>
  <si>
    <t>Melissa A Kelly</t>
  </si>
  <si>
    <t>Laura Murillo</t>
  </si>
  <si>
    <t>Katrina Kotzer</t>
  </si>
  <si>
    <t>Jian Wang</t>
  </si>
  <si>
    <t>Joana Rita Chora</t>
  </si>
  <si>
    <t>Jessica Chonis</t>
  </si>
  <si>
    <t>Michelle Kluge</t>
  </si>
  <si>
    <t>Megan Mayers</t>
  </si>
  <si>
    <t>Daniela Macaya</t>
  </si>
  <si>
    <t>Lukas Tichy</t>
  </si>
  <si>
    <t>Ana Margarida Medeiros</t>
  </si>
  <si>
    <t>Hiroko Morisaki</t>
  </si>
  <si>
    <t>Jenny Goldstein</t>
  </si>
  <si>
    <t>Shruthi Mohan</t>
  </si>
  <si>
    <t>Mark Lindsay</t>
  </si>
  <si>
    <t>Sarah Brnich</t>
  </si>
  <si>
    <t>Jean-Leon Chong</t>
  </si>
  <si>
    <t>Lauren Yackowski</t>
  </si>
  <si>
    <t>Jennifer L. Sloan</t>
  </si>
  <si>
    <t>Shannon M McNulty</t>
  </si>
  <si>
    <t>Justyne Ross</t>
  </si>
  <si>
    <t xml:space="preserve">Shawn Essay </t>
  </si>
  <si>
    <t>Gretchen MacCarrick</t>
  </si>
  <si>
    <t>Leichelle Little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</si>
</sst>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m yyyy"/>
    <numFmt numFmtId="165" formatCode="m/d/yyyy h:mm:ss"/>
    <numFmt numFmtId="166" formatCode="mmmm d yyyy"/>
    <numFmt numFmtId="167" formatCode="m-d-yy"/>
    <numFmt numFmtId="168" formatCode="m/d/yyyy"/>
    <numFmt numFmtId="169" formatCode="mm/dd/yyyy"/>
    <numFmt numFmtId="170" formatCode="m/d/yy"/>
    <numFmt numFmtId="171" formatCode="mm/dd/yy"/>
  </numFmts>
  <fonts count="25">
    <font>
      <sz val="10.0"/>
      <color rgb="FF000000"/>
      <name val="Arial"/>
    </font>
    <font>
      <b/>
      <sz val="10.0"/>
      <color rgb="FF000000"/>
      <name val="Arial"/>
    </font>
    <font>
      <sz val="10.0"/>
      <name val="Arial"/>
    </font>
    <font>
      <name val="Arial"/>
    </font>
    <font>
      <b/>
      <sz val="11.0"/>
      <color rgb="FF000000"/>
      <name val="Arial"/>
    </font>
    <font/>
    <font>
      <sz val="11.0"/>
      <name val="Arial"/>
    </font>
    <font>
      <b/>
      <name val="Arial"/>
    </font>
    <font>
      <b/>
      <sz val="10.0"/>
      <name val="Arial"/>
    </font>
    <font>
      <b/>
      <color rgb="FF000000"/>
      <name val="Arial"/>
    </font>
    <font>
      <sz val="11.0"/>
      <name val="Inconsolata"/>
    </font>
    <font>
      <sz val="11.0"/>
      <color rgb="FF000000"/>
      <name val="Inconsolata"/>
    </font>
    <font>
      <color rgb="FF000000"/>
      <name val="Arial"/>
    </font>
    <font>
      <color rgb="FF000000"/>
      <name val="Roboto"/>
    </font>
    <font>
      <b/>
    </font>
    <font>
      <b/>
      <sz val="11.0"/>
      <name val="Arial"/>
    </font>
    <font>
      <b/>
      <sz val="12.0"/>
      <color rgb="FF000000"/>
      <name val="Arial"/>
    </font>
    <font>
      <b/>
      <sz val="12.0"/>
    </font>
    <font>
      <sz val="12.0"/>
    </font>
    <font>
      <sz val="10.0"/>
    </font>
    <font>
      <sz val="11.0"/>
      <color rgb="FF000000"/>
      <name val="Arial"/>
    </font>
    <font>
      <sz val="11.0"/>
      <color rgb="FF000000"/>
    </font>
    <font>
      <color rgb="FF333E48"/>
      <name val="National2"/>
    </font>
    <font>
      <u/>
      <sz val="11.0"/>
      <color rgb="FF0000FF"/>
      <name val="Calibri"/>
    </font>
    <font>
      <sz val="11.0"/>
      <color rgb="FF000000"/>
      <name val="Calibri"/>
    </font>
  </fonts>
  <fills count="10">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D9D2E9"/>
        <bgColor rgb="FFD9D2E9"/>
      </patternFill>
    </fill>
    <fill>
      <patternFill patternType="solid">
        <fgColor rgb="FFFFFF00"/>
        <bgColor rgb="FFFFFF00"/>
      </patternFill>
    </fill>
    <fill>
      <patternFill patternType="solid">
        <fgColor rgb="FFEAD1DC"/>
        <bgColor rgb="FFEAD1D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right/>
      <bottom style="thin">
        <color rgb="FF000000"/>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horizontal="center" readingOrder="0" vertical="bottom"/>
    </xf>
    <xf borderId="0" fillId="0" fontId="1" numFmtId="0" xfId="0" applyAlignment="1" applyFont="1">
      <alignment horizontal="center" readingOrder="0" shrinkToFit="0" vertical="bottom" wrapText="1"/>
    </xf>
    <xf borderId="0" fillId="0" fontId="1" numFmtId="0" xfId="0" applyAlignment="1" applyFont="1">
      <alignment horizontal="center" shrinkToFit="0" vertical="bottom" wrapText="1"/>
    </xf>
    <xf borderId="0" fillId="0" fontId="2" numFmtId="0" xfId="0" applyAlignment="1" applyFont="1">
      <alignment horizontal="center" vertical="bottom"/>
    </xf>
    <xf borderId="0" fillId="0" fontId="2" numFmtId="0" xfId="0" applyAlignment="1" applyFont="1">
      <alignment horizontal="center"/>
    </xf>
    <xf borderId="1" fillId="2" fontId="3" numFmtId="0" xfId="0" applyAlignment="1" applyBorder="1" applyFill="1" applyFont="1">
      <alignment horizontal="center" readingOrder="0" vertical="bottom"/>
    </xf>
    <xf borderId="2" fillId="2" fontId="4" numFmtId="0" xfId="0" applyAlignment="1" applyBorder="1" applyFont="1">
      <alignment horizontal="center" vertical="bottom"/>
    </xf>
    <xf borderId="3" fillId="0" fontId="5" numFmtId="0" xfId="0" applyBorder="1" applyFont="1"/>
    <xf borderId="4" fillId="0" fontId="5" numFmtId="0" xfId="0" applyBorder="1" applyFont="1"/>
    <xf borderId="0" fillId="0" fontId="2" numFmtId="0" xfId="0" applyAlignment="1" applyFont="1">
      <alignment horizontal="center" readingOrder="0" vertical="bottom"/>
    </xf>
    <xf borderId="0" fillId="3" fontId="6" numFmtId="0" xfId="0" applyAlignment="1" applyFill="1" applyFont="1">
      <alignment horizontal="center" vertical="bottom"/>
    </xf>
    <xf borderId="0" fillId="0" fontId="6" numFmtId="0" xfId="0" applyAlignment="1" applyFont="1">
      <alignment horizontal="center" readingOrder="0" vertical="bottom"/>
    </xf>
    <xf borderId="0" fillId="0" fontId="6" numFmtId="0" xfId="0" applyAlignment="1" applyFont="1">
      <alignment horizontal="center" vertical="bottom"/>
    </xf>
    <xf borderId="0" fillId="0" fontId="6" numFmtId="0" xfId="0" applyAlignment="1" applyFont="1">
      <alignment horizontal="center" shrinkToFit="0" vertical="bottom" wrapText="1"/>
    </xf>
    <xf borderId="0" fillId="0" fontId="6" numFmtId="0" xfId="0" applyAlignment="1" applyFont="1">
      <alignment horizontal="center" readingOrder="0" shrinkToFit="0" vertical="bottom" wrapText="1"/>
    </xf>
    <xf borderId="0" fillId="0" fontId="3" numFmtId="0" xfId="0" applyAlignment="1" applyFont="1">
      <alignment vertical="bottom"/>
    </xf>
    <xf borderId="0" fillId="4" fontId="2" numFmtId="0" xfId="0" applyAlignment="1" applyFill="1" applyFont="1">
      <alignment horizontal="center" readingOrder="0" vertical="bottom"/>
    </xf>
    <xf borderId="1" fillId="2" fontId="4" numFmtId="0" xfId="0" applyAlignment="1" applyBorder="1" applyFont="1">
      <alignment horizontal="center" vertical="bottom"/>
    </xf>
    <xf borderId="2" fillId="2" fontId="4" numFmtId="0" xfId="0" applyAlignment="1" applyBorder="1" applyFont="1">
      <alignment horizontal="center" readingOrder="0" vertical="bottom"/>
    </xf>
    <xf borderId="0" fillId="4" fontId="2" numFmtId="0" xfId="0" applyAlignment="1" applyFont="1">
      <alignment horizontal="center" readingOrder="0" shrinkToFit="0" vertical="bottom" wrapText="1"/>
    </xf>
    <xf borderId="0" fillId="4" fontId="2" numFmtId="0" xfId="0" applyAlignment="1" applyFont="1">
      <alignment horizontal="center" vertical="bottom"/>
    </xf>
    <xf borderId="0" fillId="4" fontId="2" numFmtId="0" xfId="0" applyAlignment="1" applyFont="1">
      <alignment horizontal="center" shrinkToFit="0" vertical="bottom" wrapText="1"/>
    </xf>
    <xf borderId="0" fillId="4" fontId="2" numFmtId="0" xfId="0" applyAlignment="1" applyFont="1">
      <alignment horizontal="center"/>
    </xf>
    <xf borderId="0" fillId="5" fontId="2" numFmtId="0" xfId="0" applyAlignment="1" applyFill="1" applyFont="1">
      <alignment horizontal="center" vertical="bottom"/>
    </xf>
    <xf borderId="0" fillId="5" fontId="2" numFmtId="0" xfId="0" applyAlignment="1" applyFont="1">
      <alignment horizontal="center" readingOrder="0" vertical="bottom"/>
    </xf>
    <xf borderId="0" fillId="5" fontId="2" numFmtId="0" xfId="0" applyAlignment="1" applyFont="1">
      <alignment horizontal="center" readingOrder="0" shrinkToFit="0" vertical="bottom" wrapText="1"/>
    </xf>
    <xf borderId="0" fillId="5" fontId="2" numFmtId="0" xfId="0" applyAlignment="1" applyFont="1">
      <alignment horizontal="center" shrinkToFit="0" vertical="bottom" wrapText="1"/>
    </xf>
    <xf borderId="0" fillId="5" fontId="2" numFmtId="0" xfId="0" applyAlignment="1" applyFont="1">
      <alignment horizontal="center"/>
    </xf>
    <xf borderId="0" fillId="6" fontId="2" numFmtId="0" xfId="0" applyAlignment="1" applyFill="1" applyFont="1">
      <alignment horizontal="center" readingOrder="0" vertical="bottom"/>
    </xf>
    <xf borderId="0" fillId="6" fontId="2" numFmtId="0" xfId="0" applyAlignment="1" applyFont="1">
      <alignment horizontal="center" readingOrder="0" shrinkToFit="0" vertical="bottom" wrapText="1"/>
    </xf>
    <xf borderId="0" fillId="6" fontId="2" numFmtId="0" xfId="0" applyAlignment="1" applyFont="1">
      <alignment horizontal="center" vertical="bottom"/>
    </xf>
    <xf borderId="0" fillId="6" fontId="2" numFmtId="0" xfId="0" applyAlignment="1" applyFont="1">
      <alignment horizontal="center" shrinkToFit="0" vertical="bottom" wrapText="1"/>
    </xf>
    <xf borderId="0" fillId="6" fontId="2" numFmtId="0" xfId="0" applyAlignment="1" applyFont="1">
      <alignment horizontal="center"/>
    </xf>
    <xf borderId="0" fillId="6" fontId="0" numFmtId="0" xfId="0" applyAlignment="1" applyFont="1">
      <alignment horizontal="center" vertical="bottom"/>
    </xf>
    <xf borderId="5" fillId="2" fontId="4" numFmtId="0" xfId="0" applyAlignment="1" applyBorder="1" applyFont="1">
      <alignment horizontal="center" shrinkToFit="0" vertical="bottom" wrapText="1"/>
    </xf>
    <xf borderId="0" fillId="6" fontId="0" numFmtId="0" xfId="0" applyAlignment="1" applyFont="1">
      <alignment horizontal="center" readingOrder="0" vertical="bottom"/>
    </xf>
    <xf borderId="6" fillId="6" fontId="2" numFmtId="0" xfId="0" applyAlignment="1" applyBorder="1" applyFont="1">
      <alignment horizontal="center" shrinkToFit="0" vertical="bottom" wrapText="1"/>
    </xf>
    <xf borderId="1" fillId="2" fontId="7" numFmtId="0" xfId="0" applyAlignment="1" applyBorder="1" applyFont="1">
      <alignment horizontal="center" shrinkToFit="0" vertical="bottom" wrapText="0"/>
    </xf>
    <xf borderId="1" fillId="2" fontId="7" numFmtId="0" xfId="0" applyAlignment="1" applyBorder="1" applyFont="1">
      <alignment horizontal="center" vertical="bottom"/>
    </xf>
    <xf borderId="0" fillId="6" fontId="2" numFmtId="164" xfId="0" applyAlignment="1" applyFont="1" applyNumberFormat="1">
      <alignment horizontal="center" readingOrder="0" vertical="bottom"/>
    </xf>
    <xf borderId="5" fillId="2" fontId="7" numFmtId="0" xfId="0" applyAlignment="1" applyBorder="1" applyFont="1">
      <alignment horizontal="center" shrinkToFit="0" vertical="bottom" wrapText="0"/>
    </xf>
    <xf borderId="0" fillId="6" fontId="8" numFmtId="0" xfId="0" applyAlignment="1" applyFont="1">
      <alignment readingOrder="0"/>
    </xf>
    <xf borderId="0" fillId="2" fontId="3" numFmtId="0" xfId="0" applyAlignment="1" applyFont="1">
      <alignment horizontal="center" vertical="bottom"/>
    </xf>
    <xf borderId="0" fillId="2" fontId="3" numFmtId="0" xfId="0" applyAlignment="1" applyFont="1">
      <alignment horizontal="center" shrinkToFit="0" vertical="bottom" wrapText="1"/>
    </xf>
    <xf borderId="1" fillId="2" fontId="7" numFmtId="0" xfId="0" applyAlignment="1" applyBorder="1" applyFont="1">
      <alignment horizontal="center" readingOrder="0" shrinkToFit="0" vertical="bottom" wrapText="1"/>
    </xf>
    <xf borderId="1" fillId="2" fontId="4" numFmtId="0" xfId="0" applyAlignment="1" applyBorder="1" applyFont="1">
      <alignment horizontal="center" shrinkToFit="0" vertical="bottom" wrapText="1"/>
    </xf>
    <xf borderId="6" fillId="6" fontId="2" numFmtId="0" xfId="0" applyAlignment="1" applyBorder="1" applyFont="1">
      <alignment horizontal="center" readingOrder="0" shrinkToFit="0" vertical="bottom" wrapText="1"/>
    </xf>
    <xf borderId="6" fillId="6" fontId="2" numFmtId="0" xfId="0" applyAlignment="1" applyBorder="1" applyFont="1">
      <alignment horizontal="center" vertical="bottom"/>
    </xf>
    <xf borderId="0" fillId="6" fontId="8" numFmtId="0" xfId="0" applyAlignment="1" applyFont="1">
      <alignment horizontal="center" readingOrder="0" shrinkToFit="0" vertical="bottom" wrapText="1"/>
    </xf>
    <xf borderId="1" fillId="2" fontId="4" numFmtId="0" xfId="0" applyAlignment="1" applyBorder="1" applyFont="1">
      <alignment horizontal="center" readingOrder="0" shrinkToFit="0" vertical="bottom" wrapText="1"/>
    </xf>
    <xf borderId="7" fillId="0" fontId="5" numFmtId="0" xfId="0" applyBorder="1" applyFont="1"/>
    <xf borderId="0" fillId="2" fontId="9" numFmtId="0" xfId="0" applyAlignment="1" applyFont="1">
      <alignment horizontal="center" readingOrder="0" shrinkToFit="0" wrapText="1"/>
    </xf>
    <xf borderId="0" fillId="2" fontId="7" numFmtId="0" xfId="0" applyAlignment="1" applyFont="1">
      <alignment horizontal="center" readingOrder="0" shrinkToFit="0" vertical="bottom" wrapText="1"/>
    </xf>
    <xf borderId="0" fillId="6" fontId="2" numFmtId="164" xfId="0" applyAlignment="1" applyFont="1" applyNumberFormat="1">
      <alignment horizontal="center" readingOrder="0" shrinkToFit="0" vertical="bottom" wrapText="1"/>
    </xf>
    <xf borderId="6" fillId="5" fontId="2" numFmtId="0" xfId="0" applyAlignment="1" applyBorder="1" applyFont="1">
      <alignment horizontal="center" shrinkToFit="0" vertical="bottom" wrapText="1"/>
    </xf>
    <xf borderId="6" fillId="5" fontId="2" numFmtId="0" xfId="0" applyAlignment="1" applyBorder="1" applyFont="1">
      <alignment horizontal="center" vertical="bottom"/>
    </xf>
    <xf borderId="0" fillId="4" fontId="8" numFmtId="0" xfId="0" applyAlignment="1" applyFont="1">
      <alignment horizontal="center" readingOrder="0" shrinkToFit="0" vertical="bottom" wrapText="1"/>
    </xf>
    <xf borderId="0" fillId="0" fontId="5" numFmtId="165" xfId="0" applyAlignment="1" applyFont="1" applyNumberFormat="1">
      <alignment horizontal="center"/>
    </xf>
    <xf borderId="0" fillId="0" fontId="5" numFmtId="0" xfId="0" applyAlignment="1" applyFont="1">
      <alignment horizontal="center" readingOrder="0"/>
    </xf>
    <xf borderId="0" fillId="0" fontId="5" numFmtId="0" xfId="0" applyAlignment="1" applyFont="1">
      <alignment horizontal="center" shrinkToFit="0" wrapText="1"/>
    </xf>
    <xf borderId="0" fillId="0" fontId="5" numFmtId="0" xfId="0" applyAlignment="1" applyFont="1">
      <alignment horizontal="center"/>
    </xf>
    <xf borderId="0" fillId="0" fontId="5" numFmtId="0" xfId="0" applyAlignment="1" applyFont="1">
      <alignment horizontal="center" readingOrder="0" shrinkToFit="0" wrapText="1"/>
    </xf>
    <xf borderId="0" fillId="4" fontId="2" numFmtId="164" xfId="0" applyAlignment="1" applyFont="1" applyNumberFormat="1">
      <alignment horizontal="center" readingOrder="0" vertical="bottom"/>
    </xf>
    <xf borderId="1" fillId="2" fontId="4" numFmtId="0" xfId="0" applyAlignment="1" applyBorder="1" applyFont="1">
      <alignment horizontal="center" readingOrder="0" vertical="bottom"/>
    </xf>
    <xf borderId="0" fillId="2" fontId="10" numFmtId="0" xfId="0" applyAlignment="1" applyFont="1">
      <alignment horizontal="center"/>
    </xf>
    <xf borderId="0" fillId="2" fontId="11" numFmtId="0" xfId="0" applyAlignment="1" applyFont="1">
      <alignment horizontal="center"/>
    </xf>
    <xf borderId="0" fillId="4" fontId="2" numFmtId="166" xfId="0" applyAlignment="1" applyFont="1" applyNumberFormat="1">
      <alignment horizontal="center" readingOrder="0" vertical="bottom"/>
    </xf>
    <xf borderId="0" fillId="4" fontId="0" numFmtId="0" xfId="0" applyAlignment="1" applyFont="1">
      <alignment horizontal="center" vertical="bottom"/>
    </xf>
    <xf borderId="0" fillId="4" fontId="2" numFmtId="164" xfId="0" applyAlignment="1" applyFont="1" applyNumberFormat="1">
      <alignment horizontal="center" readingOrder="0" shrinkToFit="0" vertical="bottom" wrapText="1"/>
    </xf>
    <xf borderId="0" fillId="4" fontId="2" numFmtId="167" xfId="0" applyAlignment="1" applyFont="1" applyNumberFormat="1">
      <alignment horizontal="center" readingOrder="0" vertical="bottom"/>
    </xf>
    <xf borderId="0" fillId="4" fontId="0" numFmtId="0" xfId="0" applyAlignment="1" applyFont="1">
      <alignment horizontal="center" shrinkToFit="0" vertical="bottom" wrapText="1"/>
    </xf>
    <xf borderId="0" fillId="0" fontId="2" numFmtId="0" xfId="0" applyAlignment="1" applyFont="1">
      <alignment horizontal="center" shrinkToFit="0" vertical="bottom" wrapText="1"/>
    </xf>
    <xf borderId="0" fillId="0" fontId="5" numFmtId="0" xfId="0" applyAlignment="1" applyFont="1">
      <alignment horizontal="center" shrinkToFit="0" wrapText="0"/>
    </xf>
    <xf borderId="0" fillId="2" fontId="10" numFmtId="0" xfId="0" applyAlignment="1" applyFont="1">
      <alignment horizontal="center" shrinkToFit="0" wrapText="0"/>
    </xf>
    <xf borderId="0" fillId="2" fontId="12" numFmtId="0" xfId="0" applyAlignment="1" applyFont="1">
      <alignment horizontal="center" readingOrder="0"/>
    </xf>
    <xf borderId="0" fillId="0" fontId="5" numFmtId="168" xfId="0" applyAlignment="1" applyFont="1" applyNumberFormat="1">
      <alignment horizontal="center"/>
    </xf>
    <xf borderId="0" fillId="0" fontId="5" numFmtId="169" xfId="0" applyAlignment="1" applyFont="1" applyNumberFormat="1">
      <alignment horizontal="center" readingOrder="0"/>
    </xf>
    <xf borderId="0" fillId="0" fontId="5" numFmtId="170" xfId="0" applyAlignment="1" applyFont="1" applyNumberFormat="1">
      <alignment horizontal="center" readingOrder="0"/>
    </xf>
    <xf borderId="0" fillId="0" fontId="5" numFmtId="170" xfId="0" applyAlignment="1" applyFont="1" applyNumberFormat="1">
      <alignment horizontal="center" readingOrder="0" shrinkToFit="0" wrapText="1"/>
    </xf>
    <xf borderId="0" fillId="0" fontId="5" numFmtId="170" xfId="0" applyAlignment="1" applyFont="1" applyNumberFormat="1">
      <alignment horizontal="center"/>
    </xf>
    <xf borderId="0" fillId="0" fontId="5" numFmtId="168" xfId="0" applyAlignment="1" applyFont="1" applyNumberFormat="1">
      <alignment horizontal="center" readingOrder="0"/>
    </xf>
    <xf borderId="0" fillId="2" fontId="6" numFmtId="0" xfId="0" applyAlignment="1" applyFont="1">
      <alignment horizontal="center" readingOrder="0"/>
    </xf>
    <xf borderId="0" fillId="2" fontId="13" numFmtId="0" xfId="0" applyAlignment="1" applyFont="1">
      <alignment horizontal="center" readingOrder="0" shrinkToFit="0" wrapText="1"/>
    </xf>
    <xf borderId="0" fillId="0" fontId="5" numFmtId="171" xfId="0" applyAlignment="1" applyFont="1" applyNumberFormat="1">
      <alignment horizontal="center" readingOrder="0"/>
    </xf>
    <xf borderId="0" fillId="0" fontId="5" numFmtId="165" xfId="0" applyAlignment="1" applyFont="1" applyNumberFormat="1">
      <alignment horizontal="center"/>
    </xf>
    <xf borderId="0" fillId="0" fontId="5" numFmtId="171" xfId="0" applyAlignment="1" applyFont="1" applyNumberFormat="1">
      <alignment horizontal="center" readingOrder="0" shrinkToFit="0" wrapText="1"/>
    </xf>
    <xf borderId="0" fillId="2" fontId="13" numFmtId="0" xfId="0" applyAlignment="1" applyFont="1">
      <alignment horizontal="center" readingOrder="0"/>
    </xf>
    <xf borderId="0" fillId="2" fontId="13" numFmtId="170" xfId="0" applyAlignment="1" applyFont="1" applyNumberFormat="1">
      <alignment horizontal="center" readingOrder="0"/>
    </xf>
    <xf borderId="0" fillId="0" fontId="5" numFmtId="168" xfId="0" applyAlignment="1" applyFont="1" applyNumberFormat="1">
      <alignment horizontal="center" readingOrder="0" shrinkToFit="0" wrapText="1"/>
    </xf>
    <xf borderId="0" fillId="2" fontId="13" numFmtId="0" xfId="0" applyAlignment="1" applyFont="1">
      <alignment readingOrder="0"/>
    </xf>
    <xf borderId="0" fillId="7" fontId="5" numFmtId="165" xfId="0" applyAlignment="1" applyFill="1" applyFont="1" applyNumberFormat="1">
      <alignment horizontal="center"/>
    </xf>
    <xf borderId="0" fillId="7" fontId="5" numFmtId="0" xfId="0" applyAlignment="1" applyFont="1">
      <alignment horizontal="center" readingOrder="0"/>
    </xf>
    <xf borderId="0" fillId="7" fontId="5" numFmtId="171" xfId="0" applyAlignment="1" applyFont="1" applyNumberFormat="1">
      <alignment horizontal="center" readingOrder="0" shrinkToFit="0" wrapText="1"/>
    </xf>
    <xf borderId="0" fillId="7" fontId="5" numFmtId="170" xfId="0" applyAlignment="1" applyFont="1" applyNumberFormat="1">
      <alignment horizontal="center" readingOrder="0"/>
    </xf>
    <xf borderId="0" fillId="7" fontId="5" numFmtId="0" xfId="0" applyAlignment="1" applyFont="1">
      <alignment horizontal="center" readingOrder="0" shrinkToFit="0" wrapText="1"/>
    </xf>
    <xf borderId="0" fillId="7" fontId="5" numFmtId="0" xfId="0" applyAlignment="1" applyFont="1">
      <alignment horizontal="center"/>
    </xf>
    <xf borderId="0" fillId="7" fontId="10" numFmtId="0" xfId="0" applyAlignment="1" applyFont="1">
      <alignment horizontal="center"/>
    </xf>
    <xf borderId="0" fillId="7" fontId="5" numFmtId="0" xfId="0" applyAlignment="1" applyFont="1">
      <alignment horizontal="center" shrinkToFit="0" wrapText="0"/>
    </xf>
    <xf borderId="0" fillId="7" fontId="10" numFmtId="0" xfId="0" applyAlignment="1" applyFont="1">
      <alignment horizontal="center" shrinkToFit="0" wrapText="0"/>
    </xf>
    <xf borderId="0" fillId="7" fontId="5" numFmtId="0" xfId="0" applyAlignment="1" applyFont="1">
      <alignment horizontal="center" shrinkToFit="0" wrapText="1"/>
    </xf>
    <xf borderId="0" fillId="0" fontId="10" numFmtId="0" xfId="0" applyAlignment="1" applyFont="1">
      <alignment horizontal="center"/>
    </xf>
    <xf borderId="0" fillId="0" fontId="10" numFmtId="0" xfId="0" applyAlignment="1" applyFont="1">
      <alignment horizontal="center" shrinkToFit="0" wrapText="0"/>
    </xf>
    <xf borderId="0" fillId="0" fontId="14" numFmtId="0" xfId="0" applyAlignment="1" applyFont="1">
      <alignment horizontal="center" readingOrder="0" shrinkToFit="0" wrapText="1"/>
    </xf>
    <xf borderId="0" fillId="0" fontId="5" numFmtId="169" xfId="0" applyAlignment="1" applyFont="1" applyNumberFormat="1">
      <alignment horizontal="center"/>
    </xf>
    <xf borderId="0" fillId="0" fontId="5" numFmtId="171" xfId="0" applyAlignment="1" applyFont="1" applyNumberFormat="1">
      <alignment horizontal="center"/>
    </xf>
    <xf borderId="0" fillId="0" fontId="14" numFmtId="0" xfId="0" applyAlignment="1" applyFont="1">
      <alignment horizontal="center" readingOrder="0"/>
    </xf>
    <xf borderId="7" fillId="2" fontId="4" numFmtId="0" xfId="0" applyAlignment="1" applyBorder="1" applyFont="1">
      <alignment horizontal="center" vertical="bottom"/>
    </xf>
    <xf borderId="8" fillId="2" fontId="4" numFmtId="0" xfId="0" applyAlignment="1" applyBorder="1" applyFont="1">
      <alignment horizontal="center" vertical="bottom"/>
    </xf>
    <xf borderId="8" fillId="2" fontId="4" numFmtId="0" xfId="0" applyAlignment="1" applyBorder="1" applyFont="1">
      <alignment horizontal="center" readingOrder="0" vertical="bottom"/>
    </xf>
    <xf borderId="1" fillId="0" fontId="15" numFmtId="0" xfId="0" applyAlignment="1" applyBorder="1" applyFont="1">
      <alignment horizontal="center" readingOrder="0" vertical="bottom"/>
    </xf>
    <xf borderId="1" fillId="0" fontId="15" numFmtId="0" xfId="0" applyAlignment="1" applyBorder="1" applyFont="1">
      <alignment horizontal="center" vertical="bottom"/>
    </xf>
    <xf borderId="1" fillId="0" fontId="14" numFmtId="0" xfId="0" applyAlignment="1" applyBorder="1" applyFont="1">
      <alignment readingOrder="0"/>
    </xf>
    <xf borderId="0" fillId="0" fontId="5" numFmtId="168" xfId="0" applyFont="1" applyNumberFormat="1"/>
    <xf borderId="0" fillId="0" fontId="5" numFmtId="171" xfId="0" applyFont="1" applyNumberFormat="1"/>
    <xf borderId="0" fillId="0" fontId="5" numFmtId="170" xfId="0" applyFont="1" applyNumberFormat="1"/>
    <xf borderId="0" fillId="2" fontId="13" numFmtId="171" xfId="0" applyAlignment="1" applyFont="1" applyNumberFormat="1">
      <alignment readingOrder="0"/>
    </xf>
    <xf borderId="0" fillId="0" fontId="5" numFmtId="0" xfId="0" applyAlignment="1" applyFont="1">
      <alignment readingOrder="0"/>
    </xf>
    <xf borderId="0" fillId="2" fontId="11" numFmtId="169" xfId="0" applyFont="1" applyNumberFormat="1"/>
    <xf borderId="0" fillId="0" fontId="5" numFmtId="169" xfId="0" applyFont="1" applyNumberFormat="1"/>
    <xf borderId="0" fillId="0" fontId="5" numFmtId="170" xfId="0" applyAlignment="1" applyFont="1" applyNumberFormat="1">
      <alignment readingOrder="0"/>
    </xf>
    <xf borderId="0" fillId="0" fontId="5" numFmtId="0" xfId="0" applyAlignment="1" applyFont="1">
      <alignment horizontal="center" shrinkToFit="0" vertical="bottom" wrapText="0"/>
    </xf>
    <xf borderId="2" fillId="0" fontId="15" numFmtId="0" xfId="0" applyAlignment="1" applyBorder="1" applyFont="1">
      <alignment horizontal="center" vertical="bottom"/>
    </xf>
    <xf borderId="7" fillId="0" fontId="15" numFmtId="0" xfId="0" applyAlignment="1" applyBorder="1" applyFont="1">
      <alignment horizontal="center" vertical="bottom"/>
    </xf>
    <xf borderId="8" fillId="0" fontId="15" numFmtId="0" xfId="0" applyAlignment="1" applyBorder="1" applyFont="1">
      <alignment horizontal="center" vertical="bottom"/>
    </xf>
    <xf borderId="8" fillId="0" fontId="15" numFmtId="0" xfId="0" applyAlignment="1" applyBorder="1" applyFont="1">
      <alignment horizontal="center" readingOrder="0" vertical="bottom"/>
    </xf>
    <xf borderId="1" fillId="0" fontId="14" numFmtId="0" xfId="0" applyAlignment="1" applyBorder="1" applyFont="1">
      <alignment readingOrder="0" shrinkToFit="0" wrapText="1"/>
    </xf>
    <xf borderId="1" fillId="0" fontId="5" numFmtId="0" xfId="0" applyAlignment="1" applyBorder="1" applyFont="1">
      <alignment readingOrder="0"/>
    </xf>
    <xf borderId="0" fillId="0" fontId="5" numFmtId="0" xfId="0" applyAlignment="1" applyFont="1">
      <alignment shrinkToFit="0" wrapText="1"/>
    </xf>
    <xf borderId="0" fillId="2" fontId="11" numFmtId="0" xfId="0" applyFont="1"/>
    <xf borderId="0" fillId="2" fontId="5" numFmtId="0" xfId="0" applyFont="1"/>
    <xf borderId="0" fillId="2" fontId="5" numFmtId="171" xfId="0" applyFont="1" applyNumberFormat="1"/>
    <xf borderId="0" fillId="2" fontId="5" numFmtId="168" xfId="0" applyFont="1" applyNumberFormat="1"/>
    <xf borderId="0" fillId="2" fontId="5" numFmtId="0" xfId="0" applyAlignment="1" applyFont="1">
      <alignment horizontal="center"/>
    </xf>
    <xf borderId="0" fillId="2" fontId="5" numFmtId="0" xfId="0" applyAlignment="1" applyFont="1">
      <alignment shrinkToFit="0" wrapText="1"/>
    </xf>
    <xf borderId="0" fillId="3" fontId="5" numFmtId="0" xfId="0" applyFont="1"/>
    <xf borderId="0" fillId="2" fontId="5" numFmtId="170" xfId="0" applyFont="1" applyNumberFormat="1"/>
    <xf borderId="0" fillId="2" fontId="11" numFmtId="168" xfId="0" applyFont="1" applyNumberFormat="1"/>
    <xf borderId="0" fillId="2" fontId="16" numFmtId="0" xfId="0" applyAlignment="1" applyFont="1">
      <alignment horizontal="center" readingOrder="0"/>
    </xf>
    <xf borderId="0" fillId="0" fontId="17" numFmtId="0" xfId="0" applyAlignment="1" applyFont="1">
      <alignment horizontal="center" readingOrder="0" shrinkToFit="0" wrapText="1"/>
    </xf>
    <xf borderId="0" fillId="0" fontId="17" numFmtId="0" xfId="0" applyAlignment="1" applyFont="1">
      <alignment horizontal="center" readingOrder="0"/>
    </xf>
    <xf borderId="0" fillId="0" fontId="18" numFmtId="0" xfId="0" applyAlignment="1" applyFont="1">
      <alignment horizontal="center" readingOrder="0"/>
    </xf>
    <xf borderId="0" fillId="0" fontId="18" numFmtId="0" xfId="0" applyAlignment="1" applyFont="1">
      <alignment horizontal="center"/>
    </xf>
    <xf borderId="0" fillId="2" fontId="0" numFmtId="165" xfId="0" applyAlignment="1" applyFont="1" applyNumberFormat="1">
      <alignment horizontal="center"/>
    </xf>
    <xf borderId="0" fillId="2" fontId="0" numFmtId="0" xfId="0" applyAlignment="1" applyFont="1">
      <alignment horizontal="center"/>
    </xf>
    <xf borderId="0" fillId="2" fontId="11" numFmtId="169" xfId="0" applyAlignment="1" applyFont="1" applyNumberFormat="1">
      <alignment horizontal="center"/>
    </xf>
    <xf borderId="0" fillId="0" fontId="19" numFmtId="0" xfId="0" applyAlignment="1" applyFont="1">
      <alignment horizontal="center" readingOrder="0"/>
    </xf>
    <xf borderId="0" fillId="2" fontId="5" numFmtId="14" xfId="0" applyAlignment="1" applyFont="1" applyNumberFormat="1">
      <alignment horizontal="center"/>
    </xf>
    <xf borderId="0" fillId="2" fontId="11" numFmtId="170" xfId="0" applyAlignment="1" applyFont="1" applyNumberFormat="1">
      <alignment horizontal="center"/>
    </xf>
    <xf borderId="0" fillId="0" fontId="11" numFmtId="14" xfId="0" applyAlignment="1" applyFont="1" applyNumberFormat="1">
      <alignment horizontal="center"/>
    </xf>
    <xf borderId="0" fillId="0" fontId="2" numFmtId="165" xfId="0" applyAlignment="1" applyFont="1" applyNumberFormat="1">
      <alignment horizontal="center"/>
    </xf>
    <xf borderId="0" fillId="0" fontId="5" numFmtId="14" xfId="0" applyAlignment="1" applyFont="1" applyNumberFormat="1">
      <alignment horizontal="center"/>
    </xf>
    <xf borderId="0" fillId="0" fontId="2" numFmtId="165" xfId="0" applyAlignment="1" applyFont="1" applyNumberFormat="1">
      <alignment horizontal="center"/>
    </xf>
    <xf borderId="0" fillId="0" fontId="2" numFmtId="165" xfId="0" applyAlignment="1" applyFont="1" applyNumberFormat="1">
      <alignment horizontal="center" readingOrder="0"/>
    </xf>
    <xf borderId="0" fillId="0" fontId="2" numFmtId="0" xfId="0" applyAlignment="1" applyFont="1">
      <alignment horizontal="center" readingOrder="0"/>
    </xf>
    <xf borderId="0" fillId="0" fontId="14" numFmtId="0" xfId="0" applyAlignment="1" applyFont="1">
      <alignment readingOrder="0" shrinkToFit="0" wrapText="1"/>
    </xf>
    <xf borderId="0" fillId="0" fontId="14" numFmtId="0" xfId="0" applyAlignment="1" applyFont="1">
      <alignment shrinkToFit="0" wrapText="1"/>
    </xf>
    <xf borderId="0" fillId="0" fontId="5" numFmtId="165" xfId="0" applyAlignment="1" applyFont="1" applyNumberFormat="1">
      <alignment readingOrder="0"/>
    </xf>
    <xf borderId="0" fillId="0" fontId="5" numFmtId="0" xfId="0" applyAlignment="1" applyFont="1">
      <alignment readingOrder="0"/>
    </xf>
    <xf borderId="0" fillId="2" fontId="20" numFmtId="0" xfId="0" applyAlignment="1" applyFont="1">
      <alignment horizontal="left" readingOrder="0"/>
    </xf>
    <xf borderId="0" fillId="0" fontId="14" numFmtId="0" xfId="0" applyAlignment="1" applyFont="1">
      <alignment readingOrder="0"/>
    </xf>
    <xf borderId="0" fillId="0" fontId="5" numFmtId="165" xfId="0" applyAlignment="1" applyFont="1" applyNumberFormat="1">
      <alignment readingOrder="0"/>
    </xf>
    <xf borderId="0" fillId="2" fontId="21" numFmtId="0" xfId="0" applyAlignment="1" applyFont="1">
      <alignment readingOrder="0"/>
    </xf>
    <xf borderId="0" fillId="2" fontId="20" numFmtId="0" xfId="0" applyAlignment="1" applyFont="1">
      <alignment readingOrder="0"/>
    </xf>
    <xf borderId="0" fillId="2" fontId="22" numFmtId="0" xfId="0" applyAlignment="1" applyFont="1">
      <alignment horizontal="left" readingOrder="0"/>
    </xf>
    <xf borderId="0" fillId="0" fontId="21" numFmtId="0" xfId="0" applyAlignment="1" applyFont="1">
      <alignment readingOrder="0"/>
    </xf>
    <xf borderId="0" fillId="2" fontId="23" numFmtId="0" xfId="0" applyAlignment="1" applyFont="1">
      <alignment readingOrder="0"/>
    </xf>
    <xf borderId="0" fillId="8" fontId="5" numFmtId="165" xfId="0" applyAlignment="1" applyFill="1" applyFont="1" applyNumberFormat="1">
      <alignment readingOrder="0"/>
    </xf>
    <xf borderId="0" fillId="8" fontId="5" numFmtId="0" xfId="0" applyAlignment="1" applyFont="1">
      <alignment readingOrder="0"/>
    </xf>
    <xf borderId="0" fillId="8" fontId="5" numFmtId="0" xfId="0" applyFont="1"/>
    <xf borderId="0" fillId="8" fontId="5" numFmtId="0" xfId="0" applyAlignment="1" applyFont="1">
      <alignment shrinkToFit="0" wrapText="1"/>
    </xf>
    <xf borderId="0" fillId="8" fontId="5" numFmtId="0" xfId="0" applyAlignment="1" applyFont="1">
      <alignment readingOrder="0"/>
    </xf>
    <xf borderId="0" fillId="0" fontId="5" numFmtId="0" xfId="0" applyAlignment="1" applyFont="1">
      <alignment readingOrder="0" shrinkToFit="0" wrapText="1"/>
    </xf>
    <xf quotePrefix="1" borderId="0" fillId="0" fontId="5" numFmtId="0" xfId="0" applyAlignment="1" applyFont="1">
      <alignment readingOrder="0"/>
    </xf>
    <xf borderId="0" fillId="0" fontId="24" numFmtId="0" xfId="0" applyAlignment="1" applyFont="1">
      <alignment readingOrder="0" shrinkToFit="0" vertical="bottom" wrapText="0"/>
    </xf>
    <xf borderId="0" fillId="0" fontId="24" numFmtId="0" xfId="0" applyAlignment="1" applyFont="1">
      <alignment shrinkToFit="0" vertical="bottom" wrapText="0"/>
    </xf>
    <xf borderId="9" fillId="0" fontId="3" numFmtId="0" xfId="0" applyAlignment="1" applyBorder="1" applyFont="1">
      <alignment horizontal="center" readingOrder="0" vertical="bottom"/>
    </xf>
    <xf borderId="10" fillId="0" fontId="3" numFmtId="0" xfId="0" applyAlignment="1" applyBorder="1" applyFont="1">
      <alignment horizontal="center" readingOrder="0" shrinkToFit="0" vertical="bottom" wrapText="0"/>
    </xf>
    <xf borderId="10" fillId="0" fontId="3" numFmtId="0" xfId="0" applyAlignment="1" applyBorder="1" applyFont="1">
      <alignment horizontal="center" readingOrder="0" vertical="bottom"/>
    </xf>
    <xf borderId="6" fillId="0" fontId="3" numFmtId="0" xfId="0" applyAlignment="1" applyBorder="1" applyFont="1">
      <alignment vertical="bottom"/>
    </xf>
    <xf borderId="0" fillId="0" fontId="3" numFmtId="165" xfId="0" applyAlignment="1" applyFont="1" applyNumberFormat="1">
      <alignment horizontal="center" vertical="bottom"/>
    </xf>
    <xf borderId="0" fillId="0" fontId="3" numFmtId="0" xfId="0" applyAlignment="1" applyFont="1">
      <alignment horizontal="center" vertical="bottom"/>
    </xf>
    <xf borderId="1" fillId="0" fontId="17" numFmtId="0" xfId="0" applyAlignment="1" applyBorder="1" applyFont="1">
      <alignment horizontal="center" readingOrder="0" shrinkToFit="0" wrapText="1"/>
    </xf>
    <xf borderId="1" fillId="9" fontId="17" numFmtId="0" xfId="0" applyAlignment="1" applyBorder="1" applyFill="1" applyFont="1">
      <alignment horizontal="center" readingOrder="0"/>
    </xf>
    <xf borderId="1" fillId="9" fontId="17" numFmtId="0" xfId="0" applyAlignment="1" applyBorder="1" applyFont="1">
      <alignment horizontal="center" readingOrder="0" vertical="center"/>
    </xf>
    <xf borderId="1" fillId="0" fontId="19" numFmtId="0" xfId="0" applyAlignment="1" applyBorder="1" applyFont="1">
      <alignment horizontal="center" readingOrder="0" shrinkToFit="0" wrapText="1"/>
    </xf>
    <xf borderId="1" fillId="0" fontId="5" numFmtId="0" xfId="0" applyAlignment="1" applyBorder="1" applyFont="1">
      <alignment horizontal="center" readingOrder="0"/>
    </xf>
    <xf borderId="1" fillId="0" fontId="5" numFmtId="0" xfId="0" applyAlignment="1" applyBorder="1" applyFont="1">
      <alignment horizontal="center" readingOrder="0" vertical="center"/>
    </xf>
    <xf borderId="1" fillId="0" fontId="19" numFmtId="0" xfId="0" applyAlignment="1" applyBorder="1" applyFont="1">
      <alignment horizontal="center" readingOrder="0" shrinkToFit="0" wrapText="1"/>
    </xf>
    <xf borderId="0" fillId="0" fontId="5" numFmtId="0" xfId="0" applyAlignment="1" applyFont="1">
      <alignment horizontal="center" vertical="center"/>
    </xf>
    <xf borderId="1" fillId="2" fontId="3" numFmtId="0" xfId="0" applyAlignment="1" applyBorder="1" applyFont="1">
      <alignment horizontal="center" readingOrder="0" vertical="bottom"/>
    </xf>
    <xf borderId="2" fillId="2" fontId="4" numFmtId="0" xfId="0" applyAlignment="1" applyBorder="1" applyFont="1">
      <alignment horizontal="center" vertical="bottom"/>
    </xf>
    <xf borderId="1" fillId="2" fontId="4" numFmtId="0" xfId="0" applyAlignment="1" applyBorder="1" applyFont="1">
      <alignment horizontal="center" vertical="bottom"/>
    </xf>
    <xf borderId="1" fillId="2" fontId="7" numFmtId="0" xfId="0" applyAlignment="1" applyBorder="1" applyFont="1">
      <alignment horizontal="center" readingOrder="0" shrinkToFit="0" vertical="bottom" wrapText="1"/>
    </xf>
    <xf borderId="1" fillId="2" fontId="4" numFmtId="0" xfId="0" applyAlignment="1" applyBorder="1" applyFont="1">
      <alignment horizontal="center" shrinkToFit="0" vertical="bottom" wrapText="1"/>
    </xf>
    <xf borderId="1" fillId="2" fontId="4" numFmtId="0" xfId="0" applyAlignment="1" applyBorder="1" applyFont="1">
      <alignment horizontal="center" readingOrder="0" shrinkToFit="0" vertical="bottom" wrapText="1"/>
    </xf>
    <xf borderId="0" fillId="0" fontId="5" numFmtId="0" xfId="0" applyAlignment="1" applyFont="1">
      <alignment horizontal="center"/>
    </xf>
    <xf borderId="0" fillId="0" fontId="5" numFmtId="0" xfId="0" applyAlignment="1" applyFont="1">
      <alignment horizontal="center" readingOrder="0"/>
    </xf>
    <xf borderId="0" fillId="0" fontId="5" numFmtId="0" xfId="0" applyAlignment="1" applyFont="1">
      <alignment horizontal="center" shrinkToFit="0" wrapText="1"/>
    </xf>
    <xf borderId="0" fillId="0" fontId="5" numFmtId="0" xfId="0" applyAlignment="1" applyFont="1">
      <alignment horizontal="center" readingOrder="0" shrinkToFit="0" wrapText="1"/>
    </xf>
    <xf borderId="0" fillId="2" fontId="11" numFmtId="0" xfId="0" applyFont="1"/>
    <xf borderId="0" fillId="2" fontId="12" numFmtId="0" xfId="0" applyAlignment="1" applyFont="1">
      <alignment horizontal="center" readingOrder="0"/>
    </xf>
    <xf borderId="0" fillId="0" fontId="5" numFmtId="169" xfId="0" applyAlignment="1" applyFont="1" applyNumberFormat="1">
      <alignment horizontal="center" readingOrder="0"/>
    </xf>
    <xf borderId="0" fillId="0" fontId="5" numFmtId="170" xfId="0" applyAlignment="1" applyFont="1" applyNumberFormat="1">
      <alignment horizontal="center" readingOrder="0" shrinkToFit="0" wrapText="1"/>
    </xf>
    <xf borderId="0" fillId="0" fontId="5" numFmtId="170" xfId="0" applyAlignment="1" applyFont="1" applyNumberFormat="1">
      <alignment horizontal="center" readingOrder="0"/>
    </xf>
    <xf borderId="0" fillId="0" fontId="5" numFmtId="168" xfId="0" applyAlignment="1" applyFont="1" applyNumberFormat="1">
      <alignment horizontal="center" readingOrder="0"/>
    </xf>
    <xf borderId="0" fillId="0" fontId="5" numFmtId="171" xfId="0" applyAlignment="1" applyFont="1" applyNumberFormat="1">
      <alignment horizontal="center" readingOrder="0"/>
    </xf>
    <xf borderId="0" fillId="0" fontId="5" numFmtId="171" xfId="0" applyAlignment="1" applyFont="1" applyNumberFormat="1">
      <alignment horizontal="center" readingOrder="0" shrinkToFit="0" wrapText="1"/>
    </xf>
    <xf borderId="0" fillId="0" fontId="3" numFmtId="0" xfId="0" applyAlignment="1" applyFont="1">
      <alignment horizontal="center" readingOrder="0" vertical="bottom"/>
    </xf>
    <xf borderId="0" fillId="2" fontId="13" numFmtId="0" xfId="0" applyAlignment="1" applyFont="1">
      <alignment horizontal="center" readingOrder="0" shrinkToFit="0" wrapText="1"/>
    </xf>
    <xf borderId="6" fillId="0" fontId="3" numFmtId="0" xfId="0" applyAlignment="1" applyBorder="1" applyFont="1">
      <alignment horizontal="center" shrinkToFit="0" vertical="bottom" wrapText="0"/>
    </xf>
    <xf borderId="0" fillId="0" fontId="5" numFmtId="168" xfId="0" applyAlignment="1" applyFont="1" applyNumberFormat="1">
      <alignment horizontal="center" readingOrder="0" shrinkToFit="0" wrapText="1"/>
    </xf>
    <xf borderId="0" fillId="7" fontId="5" numFmtId="0" xfId="0" applyAlignment="1" applyFont="1">
      <alignment horizontal="center"/>
    </xf>
    <xf borderId="0" fillId="7" fontId="5" numFmtId="0" xfId="0" applyAlignment="1" applyFont="1">
      <alignment horizontal="center" readingOrder="0"/>
    </xf>
    <xf borderId="0" fillId="7" fontId="5" numFmtId="171" xfId="0" applyAlignment="1" applyFont="1" applyNumberFormat="1">
      <alignment horizontal="center" readingOrder="0" shrinkToFit="0" wrapText="1"/>
    </xf>
    <xf borderId="0" fillId="7" fontId="5" numFmtId="170" xfId="0" applyAlignment="1" applyFont="1" applyNumberFormat="1">
      <alignment horizontal="center" readingOrder="0"/>
    </xf>
    <xf borderId="0" fillId="7" fontId="5" numFmtId="0" xfId="0" applyAlignment="1" applyFont="1">
      <alignment horizontal="center" readingOrder="0" shrinkToFit="0" wrapText="1"/>
    </xf>
    <xf borderId="0" fillId="0" fontId="5" numFmtId="0" xfId="0" applyFont="1"/>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mailto:mlnathan.genetics@gmail.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36.0"/>
    <col customWidth="1" min="3" max="3" width="37.43"/>
    <col customWidth="1" min="4" max="5" width="38.71"/>
    <col customWidth="1" min="6" max="6" width="24.57"/>
    <col customWidth="1" min="7" max="7" width="28.71"/>
    <col customWidth="1" min="8" max="8" width="22.43"/>
    <col customWidth="1" min="9" max="9" width="33.86"/>
    <col customWidth="1" min="10" max="10" width="27.29"/>
    <col customWidth="1" min="11" max="11" width="31.57"/>
    <col customWidth="1" min="12" max="12" width="49.0"/>
  </cols>
  <sheetData>
    <row r="1" ht="29.25" customHeight="1">
      <c r="A1" s="1" t="s">
        <v>0</v>
      </c>
      <c r="B1" s="2" t="s">
        <v>1</v>
      </c>
      <c r="C1" s="3" t="s">
        <v>2</v>
      </c>
      <c r="D1" s="4" t="s">
        <v>3</v>
      </c>
      <c r="E1" s="2" t="s">
        <v>4</v>
      </c>
      <c r="F1" s="1" t="s">
        <v>5</v>
      </c>
      <c r="G1" s="1" t="s">
        <v>6</v>
      </c>
      <c r="H1" s="1" t="s">
        <v>7</v>
      </c>
      <c r="I1" s="4" t="s">
        <v>8</v>
      </c>
      <c r="J1" s="1" t="s">
        <v>9</v>
      </c>
      <c r="K1" s="2" t="s">
        <v>10</v>
      </c>
      <c r="L1" s="4" t="s">
        <v>11</v>
      </c>
      <c r="M1" s="5"/>
      <c r="N1" s="5"/>
      <c r="O1" s="5"/>
      <c r="P1" s="5"/>
      <c r="Q1" s="5"/>
      <c r="R1" s="5"/>
      <c r="S1" s="5"/>
      <c r="T1" s="5"/>
      <c r="U1" s="5"/>
      <c r="V1" s="5"/>
      <c r="W1" s="5"/>
      <c r="X1" s="5"/>
      <c r="Y1" s="5"/>
      <c r="Z1" s="5"/>
      <c r="AA1" s="5"/>
      <c r="AB1" s="5"/>
      <c r="AC1" s="5"/>
      <c r="AD1" s="6"/>
    </row>
    <row r="2" ht="18.75" customHeight="1">
      <c r="A2" s="18" t="s">
        <v>23</v>
      </c>
      <c r="B2" s="18" t="s">
        <v>14</v>
      </c>
      <c r="C2" s="21"/>
      <c r="D2" s="21" t="s">
        <v>26</v>
      </c>
      <c r="E2" s="18" t="s">
        <v>27</v>
      </c>
      <c r="F2" s="18" t="s">
        <v>27</v>
      </c>
      <c r="G2" s="18" t="s">
        <v>28</v>
      </c>
      <c r="H2" s="18" t="s">
        <v>29</v>
      </c>
      <c r="I2" s="21" t="s">
        <v>30</v>
      </c>
      <c r="J2" s="18" t="s">
        <v>31</v>
      </c>
      <c r="K2" s="22"/>
      <c r="L2" s="23"/>
      <c r="M2" s="22"/>
      <c r="N2" s="22"/>
      <c r="O2" s="22"/>
      <c r="P2" s="22"/>
      <c r="Q2" s="22"/>
      <c r="R2" s="22"/>
      <c r="S2" s="22"/>
      <c r="T2" s="22"/>
      <c r="U2" s="22"/>
      <c r="V2" s="22"/>
      <c r="W2" s="22"/>
      <c r="X2" s="22"/>
      <c r="Y2" s="22"/>
      <c r="Z2" s="22"/>
      <c r="AA2" s="22"/>
      <c r="AB2" s="22"/>
      <c r="AC2" s="22"/>
      <c r="AD2" s="24"/>
    </row>
    <row r="3" ht="15.75" customHeight="1">
      <c r="A3" s="25" t="s">
        <v>32</v>
      </c>
      <c r="B3" s="26" t="s">
        <v>14</v>
      </c>
      <c r="C3" s="27"/>
      <c r="D3" s="28" t="s">
        <v>33</v>
      </c>
      <c r="E3" s="26" t="s">
        <v>34</v>
      </c>
      <c r="F3" s="25" t="s">
        <v>35</v>
      </c>
      <c r="G3" s="25" t="s">
        <v>36</v>
      </c>
      <c r="H3" s="25" t="s">
        <v>37</v>
      </c>
      <c r="I3" s="28" t="s">
        <v>38</v>
      </c>
      <c r="J3" s="25" t="s">
        <v>31</v>
      </c>
      <c r="K3" s="26" t="s">
        <v>39</v>
      </c>
      <c r="L3" s="28" t="s">
        <v>40</v>
      </c>
      <c r="M3" s="25"/>
      <c r="N3" s="25"/>
      <c r="O3" s="25"/>
      <c r="P3" s="25"/>
      <c r="Q3" s="25"/>
      <c r="R3" s="25"/>
      <c r="S3" s="25"/>
      <c r="T3" s="25"/>
      <c r="U3" s="25"/>
      <c r="V3" s="25"/>
      <c r="W3" s="25"/>
      <c r="X3" s="25"/>
      <c r="Y3" s="25"/>
      <c r="Z3" s="25"/>
      <c r="AA3" s="25"/>
      <c r="AB3" s="25"/>
      <c r="AC3" s="25"/>
      <c r="AD3" s="29"/>
    </row>
    <row r="4">
      <c r="A4" s="30" t="s">
        <v>41</v>
      </c>
      <c r="B4" s="30" t="s">
        <v>14</v>
      </c>
      <c r="C4" s="31" t="s">
        <v>42</v>
      </c>
      <c r="D4" s="31" t="s">
        <v>43</v>
      </c>
      <c r="E4" s="30" t="s">
        <v>44</v>
      </c>
      <c r="F4" s="30" t="s">
        <v>45</v>
      </c>
      <c r="G4" s="32" t="s">
        <v>46</v>
      </c>
      <c r="H4" s="32" t="s">
        <v>29</v>
      </c>
      <c r="I4" s="33" t="s">
        <v>47</v>
      </c>
      <c r="J4" s="32" t="s">
        <v>48</v>
      </c>
      <c r="K4" s="32"/>
      <c r="L4" s="33"/>
      <c r="M4" s="32"/>
      <c r="N4" s="32"/>
      <c r="O4" s="32"/>
      <c r="P4" s="32"/>
      <c r="Q4" s="32"/>
      <c r="R4" s="32"/>
      <c r="S4" s="32"/>
      <c r="T4" s="32"/>
      <c r="U4" s="32"/>
      <c r="V4" s="32"/>
      <c r="W4" s="32"/>
      <c r="X4" s="32"/>
      <c r="Y4" s="32"/>
      <c r="Z4" s="32"/>
      <c r="AA4" s="32"/>
      <c r="AB4" s="32"/>
      <c r="AC4" s="32"/>
      <c r="AD4" s="34"/>
    </row>
    <row r="5" ht="16.5" customHeight="1">
      <c r="A5" s="30" t="s">
        <v>23</v>
      </c>
      <c r="B5" s="30" t="s">
        <v>14</v>
      </c>
      <c r="C5" s="31" t="s">
        <v>49</v>
      </c>
      <c r="D5" s="31" t="s">
        <v>50</v>
      </c>
      <c r="E5" s="30" t="s">
        <v>44</v>
      </c>
      <c r="F5" s="32" t="s">
        <v>51</v>
      </c>
      <c r="G5" s="32" t="s">
        <v>36</v>
      </c>
      <c r="H5" s="32" t="s">
        <v>37</v>
      </c>
      <c r="I5" s="33" t="s">
        <v>52</v>
      </c>
      <c r="J5" s="35" t="s">
        <v>31</v>
      </c>
      <c r="K5" s="37" t="s">
        <v>54</v>
      </c>
      <c r="L5" s="38" t="s">
        <v>56</v>
      </c>
      <c r="M5" s="32"/>
      <c r="N5" s="32"/>
      <c r="O5" s="32"/>
      <c r="P5" s="32"/>
      <c r="Q5" s="32"/>
      <c r="R5" s="32"/>
      <c r="S5" s="32"/>
      <c r="T5" s="32"/>
      <c r="U5" s="32"/>
      <c r="V5" s="32"/>
      <c r="W5" s="32"/>
      <c r="X5" s="32"/>
      <c r="Y5" s="32"/>
      <c r="Z5" s="32"/>
      <c r="AA5" s="32"/>
      <c r="AB5" s="32"/>
      <c r="AC5" s="32"/>
      <c r="AD5" s="34"/>
    </row>
    <row r="6">
      <c r="A6" s="32" t="s">
        <v>32</v>
      </c>
      <c r="B6" s="41">
        <v>43525.0</v>
      </c>
      <c r="C6" s="43" t="s">
        <v>58</v>
      </c>
      <c r="D6" s="31" t="s">
        <v>59</v>
      </c>
      <c r="E6" s="30" t="s">
        <v>44</v>
      </c>
      <c r="F6" s="32" t="s">
        <v>51</v>
      </c>
      <c r="G6" s="30" t="s">
        <v>60</v>
      </c>
      <c r="H6" s="32" t="s">
        <v>61</v>
      </c>
      <c r="I6" s="33" t="s">
        <v>62</v>
      </c>
      <c r="J6" s="30" t="s">
        <v>63</v>
      </c>
      <c r="K6" s="32"/>
      <c r="L6" s="38" t="s">
        <v>64</v>
      </c>
      <c r="M6" s="32"/>
      <c r="N6" s="32"/>
      <c r="O6" s="32"/>
      <c r="P6" s="32"/>
      <c r="Q6" s="32"/>
      <c r="R6" s="32"/>
      <c r="S6" s="32"/>
      <c r="T6" s="32"/>
      <c r="U6" s="32"/>
      <c r="V6" s="32"/>
      <c r="W6" s="32"/>
      <c r="X6" s="32"/>
      <c r="Y6" s="32"/>
      <c r="Z6" s="32"/>
      <c r="AA6" s="32"/>
      <c r="AB6" s="32"/>
      <c r="AC6" s="32"/>
      <c r="AD6" s="34"/>
    </row>
    <row r="7">
      <c r="A7" s="30" t="s">
        <v>32</v>
      </c>
      <c r="B7" s="30" t="s">
        <v>66</v>
      </c>
      <c r="C7" s="33"/>
      <c r="D7" s="31" t="s">
        <v>67</v>
      </c>
      <c r="E7" s="30" t="s">
        <v>44</v>
      </c>
      <c r="F7" s="30" t="s">
        <v>68</v>
      </c>
      <c r="G7" s="31" t="s">
        <v>69</v>
      </c>
      <c r="H7" s="30" t="s">
        <v>29</v>
      </c>
      <c r="I7" s="31" t="s">
        <v>70</v>
      </c>
      <c r="J7" s="30" t="s">
        <v>63</v>
      </c>
      <c r="K7" s="30" t="s">
        <v>71</v>
      </c>
      <c r="L7" s="48" t="s">
        <v>72</v>
      </c>
      <c r="M7" s="49"/>
      <c r="N7" s="49"/>
      <c r="O7" s="49"/>
      <c r="P7" s="49"/>
      <c r="Q7" s="49"/>
      <c r="R7" s="49"/>
      <c r="S7" s="32"/>
      <c r="T7" s="32"/>
      <c r="U7" s="32"/>
      <c r="V7" s="32"/>
      <c r="W7" s="32"/>
      <c r="X7" s="32"/>
      <c r="Y7" s="32"/>
      <c r="Z7" s="32"/>
      <c r="AA7" s="32"/>
      <c r="AB7" s="32"/>
      <c r="AC7" s="32"/>
      <c r="AD7" s="34"/>
    </row>
    <row r="8" ht="18.75" customHeight="1">
      <c r="A8" s="30" t="s">
        <v>32</v>
      </c>
      <c r="B8" s="30" t="s">
        <v>76</v>
      </c>
      <c r="C8" s="50" t="s">
        <v>77</v>
      </c>
      <c r="D8" s="31" t="s">
        <v>78</v>
      </c>
      <c r="E8" s="30" t="s">
        <v>44</v>
      </c>
      <c r="F8" s="30" t="s">
        <v>68</v>
      </c>
      <c r="G8" s="30" t="s">
        <v>79</v>
      </c>
      <c r="H8" s="30" t="s">
        <v>29</v>
      </c>
      <c r="I8" s="31" t="s">
        <v>80</v>
      </c>
      <c r="J8" s="30" t="s">
        <v>63</v>
      </c>
      <c r="K8" s="30" t="s">
        <v>81</v>
      </c>
      <c r="L8" s="31" t="s">
        <v>82</v>
      </c>
      <c r="M8" s="32"/>
      <c r="N8" s="32"/>
      <c r="O8" s="32"/>
      <c r="P8" s="32"/>
      <c r="Q8" s="32"/>
      <c r="R8" s="32"/>
      <c r="S8" s="32"/>
      <c r="T8" s="32"/>
      <c r="U8" s="32"/>
      <c r="V8" s="32"/>
      <c r="W8" s="32"/>
      <c r="X8" s="32"/>
      <c r="Y8" s="32"/>
      <c r="Z8" s="32"/>
      <c r="AA8" s="32"/>
      <c r="AB8" s="32"/>
      <c r="AC8" s="32"/>
      <c r="AD8" s="34"/>
    </row>
    <row r="9">
      <c r="A9" s="30" t="s">
        <v>41</v>
      </c>
      <c r="B9" s="30" t="s">
        <v>66</v>
      </c>
      <c r="C9" s="31" t="s">
        <v>93</v>
      </c>
      <c r="D9" s="31" t="s">
        <v>97</v>
      </c>
      <c r="E9" s="30" t="s">
        <v>44</v>
      </c>
      <c r="F9" s="30" t="s">
        <v>100</v>
      </c>
      <c r="G9" s="30" t="s">
        <v>79</v>
      </c>
      <c r="H9" s="30" t="s">
        <v>29</v>
      </c>
      <c r="I9" s="31" t="s">
        <v>103</v>
      </c>
      <c r="J9" s="30" t="s">
        <v>63</v>
      </c>
      <c r="K9" s="30" t="s">
        <v>71</v>
      </c>
      <c r="L9" s="31" t="s">
        <v>71</v>
      </c>
      <c r="M9" s="32"/>
      <c r="N9" s="32"/>
      <c r="O9" s="32"/>
      <c r="P9" s="32"/>
      <c r="Q9" s="32"/>
      <c r="R9" s="32"/>
      <c r="S9" s="32"/>
      <c r="T9" s="32"/>
      <c r="U9" s="32"/>
      <c r="V9" s="32"/>
      <c r="W9" s="32"/>
      <c r="X9" s="32"/>
      <c r="Y9" s="32"/>
      <c r="Z9" s="32"/>
      <c r="AA9" s="32"/>
      <c r="AB9" s="32"/>
      <c r="AC9" s="32"/>
      <c r="AD9" s="34"/>
    </row>
    <row r="10">
      <c r="A10" s="30" t="s">
        <v>41</v>
      </c>
      <c r="B10" s="30" t="s">
        <v>14</v>
      </c>
      <c r="C10" s="31" t="s">
        <v>106</v>
      </c>
      <c r="D10" s="31" t="s">
        <v>107</v>
      </c>
      <c r="E10" s="30" t="s">
        <v>44</v>
      </c>
      <c r="F10" s="32" t="s">
        <v>51</v>
      </c>
      <c r="G10" s="30" t="s">
        <v>108</v>
      </c>
      <c r="H10" s="32" t="s">
        <v>37</v>
      </c>
      <c r="I10" s="33" t="s">
        <v>109</v>
      </c>
      <c r="J10" s="35" t="s">
        <v>31</v>
      </c>
      <c r="K10" s="37" t="s">
        <v>110</v>
      </c>
      <c r="L10" s="33" t="s">
        <v>56</v>
      </c>
      <c r="M10" s="32"/>
      <c r="N10" s="32"/>
      <c r="O10" s="32"/>
      <c r="P10" s="32"/>
      <c r="Q10" s="32"/>
      <c r="R10" s="32"/>
      <c r="S10" s="32"/>
      <c r="T10" s="32"/>
      <c r="U10" s="32"/>
      <c r="V10" s="32"/>
      <c r="W10" s="32"/>
      <c r="X10" s="32"/>
      <c r="Y10" s="32"/>
      <c r="Z10" s="32"/>
      <c r="AA10" s="32"/>
      <c r="AB10" s="32"/>
      <c r="AC10" s="32"/>
      <c r="AD10" s="34"/>
    </row>
    <row r="11">
      <c r="A11" s="30" t="s">
        <v>23</v>
      </c>
      <c r="B11" s="30" t="s">
        <v>111</v>
      </c>
      <c r="C11" s="33"/>
      <c r="D11" s="31" t="s">
        <v>112</v>
      </c>
      <c r="E11" s="30" t="s">
        <v>44</v>
      </c>
      <c r="F11" s="30" t="s">
        <v>113</v>
      </c>
      <c r="G11" s="30" t="s">
        <v>114</v>
      </c>
      <c r="H11" s="30" t="s">
        <v>29</v>
      </c>
      <c r="I11" s="33"/>
      <c r="J11" s="30" t="s">
        <v>63</v>
      </c>
      <c r="K11" s="32"/>
      <c r="L11" s="38"/>
      <c r="M11" s="32"/>
      <c r="N11" s="32"/>
      <c r="O11" s="32"/>
      <c r="P11" s="32"/>
      <c r="Q11" s="32"/>
      <c r="R11" s="32"/>
      <c r="S11" s="32"/>
      <c r="T11" s="32"/>
      <c r="U11" s="32"/>
      <c r="V11" s="32"/>
      <c r="W11" s="32"/>
      <c r="X11" s="32"/>
      <c r="Y11" s="32"/>
      <c r="Z11" s="32"/>
      <c r="AA11" s="32"/>
      <c r="AB11" s="32"/>
      <c r="AC11" s="32"/>
      <c r="AD11" s="34"/>
    </row>
    <row r="12">
      <c r="A12" s="32" t="s">
        <v>32</v>
      </c>
      <c r="B12" s="30" t="s">
        <v>14</v>
      </c>
      <c r="C12" s="31"/>
      <c r="D12" s="31" t="s">
        <v>115</v>
      </c>
      <c r="E12" s="30" t="s">
        <v>44</v>
      </c>
      <c r="F12" s="32" t="s">
        <v>116</v>
      </c>
      <c r="G12" s="32" t="s">
        <v>117</v>
      </c>
      <c r="H12" s="32" t="s">
        <v>29</v>
      </c>
      <c r="I12" s="33" t="s">
        <v>118</v>
      </c>
      <c r="J12" s="32" t="s">
        <v>119</v>
      </c>
      <c r="K12" s="32"/>
      <c r="L12" s="38"/>
      <c r="M12" s="49"/>
      <c r="N12" s="49"/>
      <c r="O12" s="49"/>
      <c r="P12" s="49"/>
      <c r="Q12" s="49"/>
      <c r="R12" s="49"/>
      <c r="S12" s="49"/>
      <c r="T12" s="49"/>
      <c r="U12" s="49"/>
      <c r="V12" s="49"/>
      <c r="W12" s="49"/>
      <c r="X12" s="49"/>
      <c r="Y12" s="49"/>
      <c r="Z12" s="32"/>
      <c r="AA12" s="32"/>
      <c r="AB12" s="32"/>
      <c r="AC12" s="32"/>
      <c r="AD12" s="34"/>
    </row>
    <row r="13">
      <c r="A13" s="32" t="s">
        <v>23</v>
      </c>
      <c r="B13" s="30" t="s">
        <v>14</v>
      </c>
      <c r="C13" s="31" t="s">
        <v>120</v>
      </c>
      <c r="D13" s="31" t="s">
        <v>17</v>
      </c>
      <c r="E13" s="30" t="s">
        <v>44</v>
      </c>
      <c r="F13" s="32" t="s">
        <v>17</v>
      </c>
      <c r="G13" s="32" t="s">
        <v>121</v>
      </c>
      <c r="H13" s="32" t="s">
        <v>19</v>
      </c>
      <c r="I13" s="33" t="s">
        <v>122</v>
      </c>
      <c r="J13" s="32" t="s">
        <v>119</v>
      </c>
      <c r="K13" s="32"/>
      <c r="L13" s="48" t="s">
        <v>123</v>
      </c>
      <c r="M13" s="49"/>
      <c r="N13" s="49"/>
      <c r="O13" s="32"/>
      <c r="P13" s="32"/>
      <c r="Q13" s="32"/>
      <c r="R13" s="32"/>
      <c r="S13" s="32"/>
      <c r="T13" s="32"/>
      <c r="U13" s="32"/>
      <c r="V13" s="32"/>
      <c r="W13" s="32"/>
      <c r="X13" s="32"/>
      <c r="Y13" s="32"/>
      <c r="Z13" s="32"/>
      <c r="AA13" s="32"/>
      <c r="AB13" s="32"/>
      <c r="AC13" s="32"/>
      <c r="AD13" s="34"/>
    </row>
    <row r="14">
      <c r="A14" s="30" t="s">
        <v>23</v>
      </c>
      <c r="B14" s="30" t="s">
        <v>111</v>
      </c>
      <c r="C14" s="33"/>
      <c r="D14" s="31" t="s">
        <v>124</v>
      </c>
      <c r="E14" s="30" t="s">
        <v>44</v>
      </c>
      <c r="F14" s="30" t="s">
        <v>113</v>
      </c>
      <c r="G14" s="30" t="s">
        <v>117</v>
      </c>
      <c r="H14" s="30" t="s">
        <v>29</v>
      </c>
      <c r="I14" s="33"/>
      <c r="J14" s="30" t="s">
        <v>63</v>
      </c>
      <c r="K14" s="32"/>
      <c r="L14" s="38"/>
      <c r="M14" s="49"/>
      <c r="N14" s="49"/>
      <c r="O14" s="32"/>
      <c r="P14" s="32"/>
      <c r="Q14" s="32"/>
      <c r="R14" s="32"/>
      <c r="S14" s="32"/>
      <c r="T14" s="32"/>
      <c r="U14" s="32"/>
      <c r="V14" s="32"/>
      <c r="W14" s="32"/>
      <c r="X14" s="32"/>
      <c r="Y14" s="32"/>
      <c r="Z14" s="32"/>
      <c r="AA14" s="32"/>
      <c r="AB14" s="32"/>
      <c r="AC14" s="32"/>
      <c r="AD14" s="34"/>
    </row>
    <row r="15">
      <c r="A15" s="30" t="s">
        <v>32</v>
      </c>
      <c r="B15" s="30" t="s">
        <v>125</v>
      </c>
      <c r="C15" s="33"/>
      <c r="D15" s="31" t="s">
        <v>126</v>
      </c>
      <c r="E15" s="30" t="s">
        <v>44</v>
      </c>
      <c r="F15" s="30" t="s">
        <v>68</v>
      </c>
      <c r="G15" s="30" t="s">
        <v>79</v>
      </c>
      <c r="H15" s="30" t="s">
        <v>29</v>
      </c>
      <c r="I15" s="31" t="s">
        <v>127</v>
      </c>
      <c r="J15" s="30" t="s">
        <v>63</v>
      </c>
      <c r="K15" s="30" t="s">
        <v>128</v>
      </c>
      <c r="L15" s="48" t="s">
        <v>71</v>
      </c>
      <c r="M15" s="49"/>
      <c r="N15" s="49"/>
      <c r="O15" s="32"/>
      <c r="P15" s="32"/>
      <c r="Q15" s="32"/>
      <c r="R15" s="32"/>
      <c r="S15" s="32"/>
      <c r="T15" s="32"/>
      <c r="U15" s="32"/>
      <c r="V15" s="32"/>
      <c r="W15" s="32"/>
      <c r="X15" s="32"/>
      <c r="Y15" s="32"/>
      <c r="Z15" s="32"/>
      <c r="AA15" s="32"/>
      <c r="AB15" s="32"/>
      <c r="AC15" s="32"/>
      <c r="AD15" s="34"/>
    </row>
    <row r="16">
      <c r="A16" s="30" t="s">
        <v>41</v>
      </c>
      <c r="B16" s="30" t="s">
        <v>14</v>
      </c>
      <c r="C16" s="31" t="s">
        <v>129</v>
      </c>
      <c r="D16" s="31" t="s">
        <v>130</v>
      </c>
      <c r="E16" s="30" t="s">
        <v>131</v>
      </c>
      <c r="F16" s="30" t="s">
        <v>45</v>
      </c>
      <c r="G16" s="32" t="s">
        <v>132</v>
      </c>
      <c r="H16" s="32" t="s">
        <v>133</v>
      </c>
      <c r="I16" s="33" t="s">
        <v>134</v>
      </c>
      <c r="J16" s="32" t="s">
        <v>31</v>
      </c>
      <c r="K16" s="32"/>
      <c r="L16" s="33" t="s">
        <v>56</v>
      </c>
      <c r="M16" s="32"/>
      <c r="N16" s="32"/>
      <c r="O16" s="32"/>
      <c r="P16" s="32"/>
      <c r="Q16" s="32"/>
      <c r="R16" s="32"/>
      <c r="S16" s="32"/>
      <c r="T16" s="32"/>
      <c r="U16" s="32"/>
      <c r="V16" s="32"/>
      <c r="W16" s="32"/>
      <c r="X16" s="32"/>
      <c r="Y16" s="32"/>
      <c r="Z16" s="32"/>
      <c r="AA16" s="32"/>
      <c r="AB16" s="32"/>
      <c r="AC16" s="32"/>
      <c r="AD16" s="34"/>
    </row>
    <row r="17">
      <c r="A17" s="30" t="s">
        <v>23</v>
      </c>
      <c r="B17" s="41">
        <v>43525.0</v>
      </c>
      <c r="C17" s="55"/>
      <c r="D17" s="31" t="s">
        <v>135</v>
      </c>
      <c r="E17" s="30" t="s">
        <v>44</v>
      </c>
      <c r="F17" s="30" t="s">
        <v>45</v>
      </c>
      <c r="G17" s="30" t="s">
        <v>136</v>
      </c>
      <c r="H17" s="30" t="s">
        <v>61</v>
      </c>
      <c r="I17" s="31" t="s">
        <v>137</v>
      </c>
      <c r="J17" s="30" t="s">
        <v>63</v>
      </c>
      <c r="K17" s="32"/>
      <c r="L17" s="31" t="s">
        <v>138</v>
      </c>
      <c r="M17" s="32"/>
      <c r="N17" s="32"/>
      <c r="O17" s="32"/>
      <c r="P17" s="32"/>
      <c r="Q17" s="32"/>
      <c r="R17" s="32"/>
      <c r="S17" s="32"/>
      <c r="T17" s="32"/>
      <c r="U17" s="32"/>
      <c r="V17" s="32"/>
      <c r="W17" s="32"/>
      <c r="X17" s="32"/>
      <c r="Y17" s="32"/>
      <c r="Z17" s="32"/>
      <c r="AA17" s="32"/>
      <c r="AB17" s="32"/>
      <c r="AC17" s="32"/>
      <c r="AD17" s="34"/>
    </row>
    <row r="18">
      <c r="A18" s="30" t="s">
        <v>23</v>
      </c>
      <c r="B18" s="30" t="s">
        <v>139</v>
      </c>
      <c r="C18" s="33"/>
      <c r="D18" s="31" t="s">
        <v>140</v>
      </c>
      <c r="E18" s="30" t="s">
        <v>44</v>
      </c>
      <c r="F18" s="30" t="s">
        <v>100</v>
      </c>
      <c r="G18" s="30" t="s">
        <v>141</v>
      </c>
      <c r="H18" s="32"/>
      <c r="I18" s="33"/>
      <c r="J18" s="32"/>
      <c r="K18" s="32"/>
      <c r="L18" s="38"/>
      <c r="M18" s="32"/>
      <c r="N18" s="32"/>
      <c r="O18" s="32"/>
      <c r="P18" s="32"/>
      <c r="Q18" s="32"/>
      <c r="R18" s="32"/>
      <c r="S18" s="32"/>
      <c r="T18" s="32"/>
      <c r="U18" s="32"/>
      <c r="V18" s="32"/>
      <c r="W18" s="32"/>
      <c r="X18" s="32"/>
      <c r="Y18" s="32"/>
      <c r="Z18" s="32"/>
      <c r="AA18" s="32"/>
      <c r="AB18" s="32"/>
      <c r="AC18" s="32"/>
      <c r="AD18" s="34"/>
    </row>
    <row r="19">
      <c r="A19" s="30" t="s">
        <v>41</v>
      </c>
      <c r="B19" s="32"/>
      <c r="C19" s="50" t="s">
        <v>142</v>
      </c>
      <c r="D19" s="31" t="s">
        <v>143</v>
      </c>
      <c r="E19" s="30" t="s">
        <v>44</v>
      </c>
      <c r="F19" s="30" t="s">
        <v>144</v>
      </c>
      <c r="G19" s="30" t="s">
        <v>145</v>
      </c>
      <c r="H19" s="30" t="s">
        <v>37</v>
      </c>
      <c r="I19" s="31" t="s">
        <v>146</v>
      </c>
      <c r="J19" s="30" t="s">
        <v>63</v>
      </c>
      <c r="K19" s="32"/>
      <c r="L19" s="33"/>
      <c r="M19" s="32"/>
      <c r="N19" s="32"/>
      <c r="O19" s="32"/>
      <c r="P19" s="32"/>
      <c r="Q19" s="32"/>
      <c r="R19" s="32"/>
      <c r="S19" s="32"/>
      <c r="T19" s="32"/>
      <c r="U19" s="32"/>
      <c r="V19" s="32"/>
      <c r="W19" s="32"/>
      <c r="X19" s="32"/>
      <c r="Y19" s="32"/>
      <c r="Z19" s="32"/>
      <c r="AA19" s="32"/>
      <c r="AB19" s="32"/>
      <c r="AC19" s="32"/>
      <c r="AD19" s="34"/>
    </row>
    <row r="20">
      <c r="A20" s="26" t="s">
        <v>23</v>
      </c>
      <c r="B20" s="26" t="s">
        <v>147</v>
      </c>
      <c r="C20" s="28"/>
      <c r="D20" s="27" t="s">
        <v>148</v>
      </c>
      <c r="E20" s="26" t="s">
        <v>149</v>
      </c>
      <c r="F20" s="26" t="s">
        <v>150</v>
      </c>
      <c r="G20" s="26" t="s">
        <v>151</v>
      </c>
      <c r="H20" s="26" t="s">
        <v>152</v>
      </c>
      <c r="I20" s="28"/>
      <c r="J20" s="26" t="s">
        <v>63</v>
      </c>
      <c r="K20" s="26" t="s">
        <v>71</v>
      </c>
      <c r="L20" s="27" t="s">
        <v>71</v>
      </c>
      <c r="M20" s="25"/>
      <c r="N20" s="25"/>
      <c r="O20" s="25"/>
      <c r="P20" s="25"/>
      <c r="Q20" s="25"/>
      <c r="R20" s="25"/>
      <c r="S20" s="25"/>
      <c r="T20" s="25"/>
      <c r="U20" s="25"/>
      <c r="V20" s="25"/>
      <c r="W20" s="25"/>
      <c r="X20" s="25"/>
      <c r="Y20" s="25"/>
      <c r="Z20" s="25"/>
      <c r="AA20" s="25"/>
      <c r="AB20" s="25"/>
      <c r="AC20" s="25"/>
      <c r="AD20" s="29"/>
    </row>
    <row r="21">
      <c r="A21" s="25" t="s">
        <v>32</v>
      </c>
      <c r="B21" s="26" t="s">
        <v>14</v>
      </c>
      <c r="C21" s="27" t="s">
        <v>153</v>
      </c>
      <c r="D21" s="28" t="s">
        <v>154</v>
      </c>
      <c r="E21" s="26" t="s">
        <v>149</v>
      </c>
      <c r="F21" s="25" t="s">
        <v>150</v>
      </c>
      <c r="G21" s="25" t="s">
        <v>151</v>
      </c>
      <c r="H21" s="25" t="s">
        <v>29</v>
      </c>
      <c r="I21" s="27" t="s">
        <v>155</v>
      </c>
      <c r="J21" s="25"/>
      <c r="K21" s="25"/>
      <c r="L21" s="28" t="s">
        <v>156</v>
      </c>
      <c r="M21" s="25"/>
      <c r="N21" s="25"/>
      <c r="O21" s="25"/>
      <c r="P21" s="25"/>
      <c r="Q21" s="25"/>
      <c r="R21" s="25"/>
      <c r="S21" s="25"/>
      <c r="T21" s="25"/>
      <c r="U21" s="25"/>
      <c r="V21" s="25"/>
      <c r="W21" s="25"/>
      <c r="X21" s="25"/>
      <c r="Y21" s="25"/>
      <c r="Z21" s="25"/>
      <c r="AA21" s="25"/>
      <c r="AB21" s="25"/>
      <c r="AC21" s="25"/>
      <c r="AD21" s="29"/>
    </row>
    <row r="22">
      <c r="A22" s="25" t="s">
        <v>23</v>
      </c>
      <c r="B22" s="26" t="s">
        <v>14</v>
      </c>
      <c r="C22" s="27"/>
      <c r="D22" s="28" t="s">
        <v>157</v>
      </c>
      <c r="E22" s="26" t="s">
        <v>149</v>
      </c>
      <c r="F22" s="25" t="s">
        <v>150</v>
      </c>
      <c r="G22" s="25" t="s">
        <v>158</v>
      </c>
      <c r="H22" s="25" t="s">
        <v>159</v>
      </c>
      <c r="I22" s="28" t="s">
        <v>160</v>
      </c>
      <c r="J22" s="28" t="s">
        <v>161</v>
      </c>
      <c r="K22" s="25"/>
      <c r="L22" s="28" t="s">
        <v>162</v>
      </c>
      <c r="M22" s="25"/>
      <c r="N22" s="25"/>
      <c r="O22" s="25"/>
      <c r="P22" s="25"/>
      <c r="Q22" s="25"/>
      <c r="R22" s="25"/>
      <c r="S22" s="25"/>
      <c r="T22" s="25"/>
      <c r="U22" s="25"/>
      <c r="V22" s="25"/>
      <c r="W22" s="25"/>
      <c r="X22" s="25"/>
      <c r="Y22" s="25"/>
      <c r="Z22" s="25"/>
      <c r="AA22" s="25"/>
      <c r="AB22" s="25"/>
      <c r="AC22" s="25"/>
      <c r="AD22" s="29"/>
    </row>
    <row r="23">
      <c r="A23" s="26" t="s">
        <v>23</v>
      </c>
      <c r="B23" s="26" t="s">
        <v>14</v>
      </c>
      <c r="C23" s="27"/>
      <c r="D23" s="28" t="s">
        <v>150</v>
      </c>
      <c r="E23" s="26" t="s">
        <v>149</v>
      </c>
      <c r="F23" s="25" t="s">
        <v>150</v>
      </c>
      <c r="G23" s="25" t="s">
        <v>151</v>
      </c>
      <c r="H23" s="25" t="s">
        <v>29</v>
      </c>
      <c r="I23" s="28" t="s">
        <v>163</v>
      </c>
      <c r="J23" s="25"/>
      <c r="K23" s="26" t="s">
        <v>164</v>
      </c>
      <c r="L23" s="28"/>
      <c r="M23" s="25"/>
      <c r="N23" s="25"/>
      <c r="O23" s="25"/>
      <c r="P23" s="25"/>
      <c r="Q23" s="25"/>
      <c r="R23" s="25"/>
      <c r="S23" s="25"/>
      <c r="T23" s="25"/>
      <c r="U23" s="25"/>
      <c r="V23" s="25"/>
      <c r="W23" s="25"/>
      <c r="X23" s="25"/>
      <c r="Y23" s="25"/>
      <c r="Z23" s="25"/>
      <c r="AA23" s="25"/>
      <c r="AB23" s="25"/>
      <c r="AC23" s="25"/>
      <c r="AD23" s="29"/>
    </row>
    <row r="24">
      <c r="A24" s="26" t="s">
        <v>41</v>
      </c>
      <c r="B24" s="26" t="s">
        <v>165</v>
      </c>
      <c r="C24" s="27" t="s">
        <v>166</v>
      </c>
      <c r="D24" s="27" t="s">
        <v>167</v>
      </c>
      <c r="E24" s="26" t="s">
        <v>149</v>
      </c>
      <c r="F24" s="26" t="s">
        <v>150</v>
      </c>
      <c r="G24" s="26" t="s">
        <v>168</v>
      </c>
      <c r="H24" s="26" t="s">
        <v>19</v>
      </c>
      <c r="I24" s="28"/>
      <c r="J24" s="25"/>
      <c r="K24" s="25"/>
      <c r="L24" s="56"/>
      <c r="M24" s="57"/>
      <c r="N24" s="57"/>
      <c r="O24" s="25"/>
      <c r="P24" s="25"/>
      <c r="Q24" s="25"/>
      <c r="R24" s="25"/>
      <c r="S24" s="25"/>
      <c r="T24" s="25"/>
      <c r="U24" s="25"/>
      <c r="V24" s="25"/>
      <c r="W24" s="25"/>
      <c r="X24" s="25"/>
      <c r="Y24" s="25"/>
      <c r="Z24" s="25"/>
      <c r="AA24" s="25"/>
      <c r="AB24" s="25"/>
      <c r="AC24" s="25"/>
      <c r="AD24" s="29"/>
    </row>
    <row r="25">
      <c r="A25" s="26" t="s">
        <v>41</v>
      </c>
      <c r="B25" s="26" t="s">
        <v>169</v>
      </c>
      <c r="C25" s="27" t="s">
        <v>170</v>
      </c>
      <c r="D25" s="27" t="s">
        <v>171</v>
      </c>
      <c r="E25" s="26" t="s">
        <v>149</v>
      </c>
      <c r="F25" s="26" t="s">
        <v>150</v>
      </c>
      <c r="G25" s="26" t="s">
        <v>168</v>
      </c>
      <c r="H25" s="26" t="s">
        <v>19</v>
      </c>
      <c r="I25" s="28"/>
      <c r="J25" s="25"/>
      <c r="K25" s="25"/>
      <c r="L25" s="56"/>
      <c r="M25" s="57"/>
      <c r="N25" s="57"/>
      <c r="O25" s="57"/>
      <c r="P25" s="25"/>
      <c r="Q25" s="25"/>
      <c r="R25" s="25"/>
      <c r="S25" s="25"/>
      <c r="T25" s="25"/>
      <c r="U25" s="25"/>
      <c r="V25" s="25"/>
      <c r="W25" s="25"/>
      <c r="X25" s="25"/>
      <c r="Y25" s="25"/>
      <c r="Z25" s="25"/>
      <c r="AA25" s="25"/>
      <c r="AB25" s="25"/>
      <c r="AC25" s="25"/>
      <c r="AD25" s="29"/>
    </row>
    <row r="26">
      <c r="A26" s="18" t="s">
        <v>32</v>
      </c>
      <c r="B26" s="18" t="s">
        <v>14</v>
      </c>
      <c r="C26" s="58" t="s">
        <v>172</v>
      </c>
      <c r="D26" s="21" t="s">
        <v>173</v>
      </c>
      <c r="E26" s="18" t="s">
        <v>16</v>
      </c>
      <c r="F26" s="18" t="s">
        <v>45</v>
      </c>
      <c r="G26" s="22" t="s">
        <v>46</v>
      </c>
      <c r="H26" s="22" t="s">
        <v>29</v>
      </c>
      <c r="I26" s="23" t="s">
        <v>174</v>
      </c>
      <c r="J26" s="22" t="s">
        <v>48</v>
      </c>
      <c r="K26" s="22"/>
      <c r="L26" s="21" t="s">
        <v>175</v>
      </c>
      <c r="M26" s="22"/>
      <c r="N26" s="22"/>
      <c r="O26" s="22"/>
      <c r="P26" s="22"/>
      <c r="Q26" s="22"/>
      <c r="R26" s="22"/>
      <c r="S26" s="22"/>
      <c r="T26" s="22"/>
      <c r="U26" s="22"/>
      <c r="V26" s="22"/>
      <c r="W26" s="22"/>
      <c r="X26" s="22"/>
      <c r="Y26" s="22"/>
      <c r="Z26" s="22"/>
      <c r="AA26" s="22"/>
      <c r="AB26" s="22"/>
      <c r="AC26" s="22"/>
      <c r="AD26" s="24"/>
    </row>
    <row r="27">
      <c r="A27" s="22" t="s">
        <v>32</v>
      </c>
      <c r="B27" s="18" t="s">
        <v>14</v>
      </c>
      <c r="C27" s="21"/>
      <c r="D27" s="21" t="s">
        <v>59</v>
      </c>
      <c r="E27" s="18" t="s">
        <v>16</v>
      </c>
      <c r="F27" s="22" t="s">
        <v>51</v>
      </c>
      <c r="G27" s="22" t="s">
        <v>176</v>
      </c>
      <c r="H27" s="22" t="s">
        <v>133</v>
      </c>
      <c r="I27" s="23" t="s">
        <v>62</v>
      </c>
      <c r="J27" s="18" t="s">
        <v>63</v>
      </c>
      <c r="K27" s="22"/>
      <c r="L27" s="23" t="s">
        <v>64</v>
      </c>
      <c r="M27" s="22"/>
      <c r="N27" s="22"/>
      <c r="O27" s="22"/>
      <c r="P27" s="22"/>
      <c r="Q27" s="22"/>
      <c r="R27" s="22"/>
      <c r="S27" s="22"/>
      <c r="T27" s="22"/>
      <c r="U27" s="22"/>
      <c r="V27" s="22"/>
      <c r="W27" s="22"/>
      <c r="X27" s="22"/>
      <c r="Y27" s="22"/>
      <c r="Z27" s="22"/>
      <c r="AA27" s="22"/>
      <c r="AB27" s="22"/>
      <c r="AC27" s="22"/>
      <c r="AD27" s="24"/>
    </row>
    <row r="28">
      <c r="A28" s="22" t="s">
        <v>32</v>
      </c>
      <c r="B28" s="18" t="s">
        <v>14</v>
      </c>
      <c r="C28" s="21"/>
      <c r="D28" s="21" t="s">
        <v>177</v>
      </c>
      <c r="E28" s="18" t="s">
        <v>16</v>
      </c>
      <c r="F28" s="22" t="s">
        <v>100</v>
      </c>
      <c r="G28" s="22" t="s">
        <v>179</v>
      </c>
      <c r="H28" s="22" t="s">
        <v>29</v>
      </c>
      <c r="I28" s="23" t="s">
        <v>180</v>
      </c>
      <c r="J28" s="22"/>
      <c r="K28" s="22"/>
      <c r="L28" s="23" t="s">
        <v>181</v>
      </c>
      <c r="M28" s="22"/>
      <c r="N28" s="22"/>
      <c r="O28" s="22"/>
      <c r="P28" s="22"/>
      <c r="Q28" s="22"/>
      <c r="R28" s="22"/>
      <c r="S28" s="22"/>
      <c r="T28" s="22"/>
      <c r="U28" s="22"/>
      <c r="V28" s="22"/>
      <c r="W28" s="22"/>
      <c r="X28" s="22"/>
      <c r="Y28" s="22"/>
      <c r="Z28" s="22"/>
      <c r="AA28" s="22"/>
      <c r="AB28" s="22"/>
      <c r="AC28" s="22"/>
      <c r="AD28" s="24"/>
    </row>
    <row r="29">
      <c r="A29" s="18" t="s">
        <v>32</v>
      </c>
      <c r="B29" s="18" t="s">
        <v>14</v>
      </c>
      <c r="C29" s="21" t="s">
        <v>183</v>
      </c>
      <c r="D29" s="23" t="s">
        <v>184</v>
      </c>
      <c r="E29" s="18" t="s">
        <v>16</v>
      </c>
      <c r="F29" s="22" t="s">
        <v>17</v>
      </c>
      <c r="G29" s="22" t="s">
        <v>121</v>
      </c>
      <c r="H29" s="22" t="s">
        <v>19</v>
      </c>
      <c r="I29" s="23" t="s">
        <v>186</v>
      </c>
      <c r="J29" s="22" t="s">
        <v>119</v>
      </c>
      <c r="K29" s="18" t="s">
        <v>187</v>
      </c>
      <c r="L29" s="21" t="s">
        <v>188</v>
      </c>
      <c r="M29" s="22"/>
      <c r="N29" s="22"/>
      <c r="O29" s="22"/>
      <c r="P29" s="22"/>
      <c r="Q29" s="22"/>
      <c r="R29" s="22"/>
      <c r="S29" s="22"/>
      <c r="T29" s="22"/>
      <c r="U29" s="22"/>
      <c r="V29" s="22"/>
      <c r="W29" s="22"/>
      <c r="X29" s="22"/>
      <c r="Y29" s="22"/>
      <c r="Z29" s="22"/>
      <c r="AA29" s="22"/>
      <c r="AB29" s="22"/>
      <c r="AC29" s="22"/>
      <c r="AD29" s="24"/>
    </row>
    <row r="30">
      <c r="A30" s="18" t="s">
        <v>32</v>
      </c>
      <c r="B30" s="64">
        <v>43525.0</v>
      </c>
      <c r="C30" s="58" t="s">
        <v>190</v>
      </c>
      <c r="D30" s="21" t="s">
        <v>191</v>
      </c>
      <c r="E30" s="18" t="s">
        <v>16</v>
      </c>
      <c r="F30" s="18" t="s">
        <v>45</v>
      </c>
      <c r="G30" s="22" t="s">
        <v>46</v>
      </c>
      <c r="H30" s="18" t="s">
        <v>29</v>
      </c>
      <c r="I30" s="23"/>
      <c r="J30" s="18" t="s">
        <v>192</v>
      </c>
      <c r="K30" s="22"/>
      <c r="L30" s="21" t="s">
        <v>193</v>
      </c>
      <c r="M30" s="22"/>
      <c r="N30" s="22"/>
      <c r="O30" s="22"/>
      <c r="P30" s="22"/>
      <c r="Q30" s="22"/>
      <c r="R30" s="22"/>
      <c r="S30" s="22"/>
      <c r="T30" s="22"/>
      <c r="U30" s="22"/>
      <c r="V30" s="22"/>
      <c r="W30" s="22"/>
      <c r="X30" s="22"/>
      <c r="Y30" s="22"/>
      <c r="Z30" s="22"/>
      <c r="AA30" s="22"/>
      <c r="AB30" s="22"/>
      <c r="AC30" s="22"/>
      <c r="AD30" s="24"/>
    </row>
    <row r="31">
      <c r="A31" s="18" t="s">
        <v>32</v>
      </c>
      <c r="B31" s="64">
        <v>43525.0</v>
      </c>
      <c r="C31" s="58" t="s">
        <v>194</v>
      </c>
      <c r="D31" s="21" t="s">
        <v>195</v>
      </c>
      <c r="E31" s="18" t="s">
        <v>16</v>
      </c>
      <c r="F31" s="18" t="s">
        <v>116</v>
      </c>
      <c r="G31" s="22" t="s">
        <v>117</v>
      </c>
      <c r="H31" s="22" t="s">
        <v>29</v>
      </c>
      <c r="I31" s="23"/>
      <c r="J31" s="18" t="s">
        <v>63</v>
      </c>
      <c r="K31" s="22"/>
      <c r="L31" s="21" t="s">
        <v>196</v>
      </c>
      <c r="M31" s="22"/>
      <c r="N31" s="22"/>
      <c r="O31" s="22"/>
      <c r="P31" s="22"/>
      <c r="Q31" s="22"/>
      <c r="R31" s="22"/>
      <c r="S31" s="22"/>
      <c r="T31" s="22"/>
      <c r="U31" s="22"/>
      <c r="V31" s="22"/>
      <c r="W31" s="22"/>
      <c r="X31" s="22"/>
      <c r="Y31" s="22"/>
      <c r="Z31" s="22"/>
      <c r="AA31" s="22"/>
      <c r="AB31" s="22"/>
      <c r="AC31" s="22"/>
      <c r="AD31" s="24"/>
    </row>
    <row r="32">
      <c r="A32" s="22"/>
      <c r="B32" s="18" t="s">
        <v>14</v>
      </c>
      <c r="C32" s="21"/>
      <c r="D32" s="21" t="s">
        <v>197</v>
      </c>
      <c r="E32" s="18" t="s">
        <v>16</v>
      </c>
      <c r="F32" s="22" t="s">
        <v>17</v>
      </c>
      <c r="G32" s="22" t="s">
        <v>198</v>
      </c>
      <c r="H32" s="22" t="s">
        <v>19</v>
      </c>
      <c r="I32" s="23" t="s">
        <v>200</v>
      </c>
      <c r="J32" s="22" t="s">
        <v>48</v>
      </c>
      <c r="K32" s="22"/>
      <c r="L32" s="23" t="s">
        <v>201</v>
      </c>
      <c r="M32" s="22"/>
      <c r="N32" s="22"/>
      <c r="O32" s="22"/>
      <c r="P32" s="22"/>
      <c r="Q32" s="22"/>
      <c r="R32" s="22"/>
      <c r="S32" s="22"/>
      <c r="T32" s="22"/>
      <c r="U32" s="22"/>
      <c r="V32" s="22"/>
      <c r="W32" s="22"/>
      <c r="X32" s="22"/>
      <c r="Y32" s="22"/>
      <c r="Z32" s="22"/>
      <c r="AA32" s="22"/>
      <c r="AB32" s="22"/>
      <c r="AC32" s="22"/>
      <c r="AD32" s="24"/>
    </row>
    <row r="33">
      <c r="A33" s="18" t="s">
        <v>32</v>
      </c>
      <c r="B33" s="18" t="s">
        <v>202</v>
      </c>
      <c r="C33" s="58" t="s">
        <v>203</v>
      </c>
      <c r="D33" s="21" t="s">
        <v>78</v>
      </c>
      <c r="E33" s="18" t="s">
        <v>16</v>
      </c>
      <c r="F33" s="18" t="s">
        <v>68</v>
      </c>
      <c r="G33" s="18" t="s">
        <v>79</v>
      </c>
      <c r="H33" s="18" t="s">
        <v>29</v>
      </c>
      <c r="I33" s="21" t="s">
        <v>80</v>
      </c>
      <c r="J33" s="18" t="s">
        <v>63</v>
      </c>
      <c r="K33" s="18" t="s">
        <v>81</v>
      </c>
      <c r="L33" s="21" t="s">
        <v>82</v>
      </c>
      <c r="M33" s="22"/>
      <c r="N33" s="22"/>
      <c r="O33" s="22"/>
      <c r="P33" s="22"/>
      <c r="Q33" s="22"/>
      <c r="R33" s="22"/>
      <c r="S33" s="22"/>
      <c r="T33" s="22"/>
      <c r="U33" s="22"/>
      <c r="V33" s="22"/>
      <c r="W33" s="22"/>
      <c r="X33" s="22"/>
      <c r="Y33" s="22"/>
      <c r="Z33" s="22"/>
      <c r="AA33" s="22"/>
      <c r="AB33" s="22"/>
      <c r="AC33" s="22"/>
      <c r="AD33" s="24"/>
    </row>
    <row r="34">
      <c r="A34" s="18" t="s">
        <v>23</v>
      </c>
      <c r="B34" s="18" t="s">
        <v>14</v>
      </c>
      <c r="C34" s="21" t="s">
        <v>204</v>
      </c>
      <c r="D34" s="21" t="s">
        <v>205</v>
      </c>
      <c r="E34" s="18" t="s">
        <v>16</v>
      </c>
      <c r="F34" s="18" t="s">
        <v>17</v>
      </c>
      <c r="G34" s="18" t="s">
        <v>206</v>
      </c>
      <c r="H34" s="22" t="s">
        <v>19</v>
      </c>
      <c r="I34" s="23"/>
      <c r="J34" s="22"/>
      <c r="K34" s="22"/>
      <c r="L34" s="21" t="s">
        <v>207</v>
      </c>
      <c r="M34" s="22"/>
      <c r="N34" s="22"/>
      <c r="O34" s="22"/>
      <c r="P34" s="22"/>
      <c r="Q34" s="22"/>
      <c r="R34" s="22"/>
      <c r="S34" s="22"/>
      <c r="T34" s="22"/>
      <c r="U34" s="22"/>
      <c r="V34" s="22"/>
      <c r="W34" s="22"/>
      <c r="X34" s="22"/>
      <c r="Y34" s="22"/>
      <c r="Z34" s="22"/>
      <c r="AA34" s="22"/>
      <c r="AB34" s="22"/>
      <c r="AC34" s="22"/>
      <c r="AD34" s="24"/>
    </row>
    <row r="35">
      <c r="A35" s="18" t="s">
        <v>23</v>
      </c>
      <c r="B35" s="68">
        <v>43594.0</v>
      </c>
      <c r="C35" s="23"/>
      <c r="D35" s="21" t="s">
        <v>208</v>
      </c>
      <c r="E35" s="18" t="s">
        <v>16</v>
      </c>
      <c r="F35" s="18" t="s">
        <v>100</v>
      </c>
      <c r="G35" s="18" t="s">
        <v>209</v>
      </c>
      <c r="H35" s="18" t="s">
        <v>29</v>
      </c>
      <c r="I35" s="21" t="s">
        <v>210</v>
      </c>
      <c r="J35" s="18" t="s">
        <v>63</v>
      </c>
      <c r="K35" s="18"/>
      <c r="L35" s="21" t="s">
        <v>71</v>
      </c>
      <c r="M35" s="22"/>
      <c r="N35" s="22"/>
      <c r="O35" s="22"/>
      <c r="P35" s="22"/>
      <c r="Q35" s="22"/>
      <c r="R35" s="22"/>
      <c r="S35" s="22"/>
      <c r="T35" s="22"/>
      <c r="U35" s="22"/>
      <c r="V35" s="22"/>
      <c r="W35" s="22"/>
      <c r="X35" s="22"/>
      <c r="Y35" s="22"/>
      <c r="Z35" s="22"/>
      <c r="AA35" s="22"/>
      <c r="AB35" s="22"/>
      <c r="AC35" s="22"/>
      <c r="AD35" s="24"/>
    </row>
    <row r="36">
      <c r="A36" s="18" t="s">
        <v>23</v>
      </c>
      <c r="B36" s="68">
        <v>43594.0</v>
      </c>
      <c r="C36" s="23"/>
      <c r="D36" s="21" t="s">
        <v>211</v>
      </c>
      <c r="E36" s="18" t="s">
        <v>16</v>
      </c>
      <c r="F36" s="18" t="s">
        <v>100</v>
      </c>
      <c r="G36" s="18" t="s">
        <v>79</v>
      </c>
      <c r="H36" s="18" t="s">
        <v>29</v>
      </c>
      <c r="I36" s="21" t="s">
        <v>212</v>
      </c>
      <c r="J36" s="18" t="s">
        <v>63</v>
      </c>
      <c r="K36" s="22"/>
      <c r="L36" s="21" t="s">
        <v>71</v>
      </c>
      <c r="M36" s="22"/>
      <c r="N36" s="22"/>
      <c r="O36" s="22"/>
      <c r="P36" s="22"/>
      <c r="Q36" s="22"/>
      <c r="R36" s="22"/>
      <c r="S36" s="22"/>
      <c r="T36" s="22"/>
      <c r="U36" s="22"/>
      <c r="V36" s="22"/>
      <c r="W36" s="22"/>
      <c r="X36" s="22"/>
      <c r="Y36" s="22"/>
      <c r="Z36" s="22"/>
      <c r="AA36" s="22"/>
      <c r="AB36" s="22"/>
      <c r="AC36" s="22"/>
      <c r="AD36" s="24"/>
    </row>
    <row r="37">
      <c r="A37" s="18" t="s">
        <v>32</v>
      </c>
      <c r="B37" s="18" t="s">
        <v>14</v>
      </c>
      <c r="C37" s="21"/>
      <c r="D37" s="21" t="s">
        <v>213</v>
      </c>
      <c r="E37" s="18" t="s">
        <v>16</v>
      </c>
      <c r="F37" s="18" t="s">
        <v>213</v>
      </c>
      <c r="G37" s="18" t="s">
        <v>214</v>
      </c>
      <c r="H37" s="18" t="s">
        <v>37</v>
      </c>
      <c r="I37" s="21" t="s">
        <v>215</v>
      </c>
      <c r="J37" s="18" t="s">
        <v>63</v>
      </c>
      <c r="K37" s="18" t="s">
        <v>216</v>
      </c>
      <c r="L37" s="21" t="s">
        <v>217</v>
      </c>
      <c r="M37" s="22"/>
      <c r="N37" s="22"/>
      <c r="O37" s="22"/>
      <c r="P37" s="22"/>
      <c r="Q37" s="22"/>
      <c r="R37" s="22"/>
      <c r="S37" s="22"/>
      <c r="T37" s="22"/>
      <c r="U37" s="22"/>
      <c r="V37" s="22"/>
      <c r="W37" s="22"/>
      <c r="X37" s="22"/>
      <c r="Y37" s="22"/>
      <c r="Z37" s="22"/>
      <c r="AA37" s="22"/>
      <c r="AB37" s="22"/>
      <c r="AC37" s="22"/>
      <c r="AD37" s="24"/>
    </row>
    <row r="38">
      <c r="A38" s="18" t="s">
        <v>41</v>
      </c>
      <c r="B38" s="18" t="s">
        <v>14</v>
      </c>
      <c r="C38" s="21" t="s">
        <v>218</v>
      </c>
      <c r="D38" s="21" t="s">
        <v>219</v>
      </c>
      <c r="E38" s="18" t="s">
        <v>16</v>
      </c>
      <c r="F38" s="22" t="s">
        <v>17</v>
      </c>
      <c r="G38" s="69" t="s">
        <v>220</v>
      </c>
      <c r="H38" s="22" t="s">
        <v>19</v>
      </c>
      <c r="I38" s="23" t="s">
        <v>221</v>
      </c>
      <c r="J38" s="22" t="s">
        <v>48</v>
      </c>
      <c r="K38" s="22"/>
      <c r="L38" s="23" t="s">
        <v>201</v>
      </c>
      <c r="M38" s="22"/>
      <c r="N38" s="22"/>
      <c r="O38" s="22"/>
      <c r="P38" s="22"/>
      <c r="Q38" s="22"/>
      <c r="R38" s="22"/>
      <c r="S38" s="22"/>
      <c r="T38" s="22"/>
      <c r="U38" s="22"/>
      <c r="V38" s="22"/>
      <c r="W38" s="22"/>
      <c r="X38" s="22"/>
      <c r="Y38" s="22"/>
      <c r="Z38" s="22"/>
      <c r="AA38" s="22"/>
      <c r="AB38" s="22"/>
      <c r="AC38" s="22"/>
      <c r="AD38" s="24"/>
    </row>
    <row r="39">
      <c r="A39" s="18" t="s">
        <v>41</v>
      </c>
      <c r="B39" s="22"/>
      <c r="C39" s="21" t="s">
        <v>222</v>
      </c>
      <c r="D39" s="21" t="s">
        <v>223</v>
      </c>
      <c r="E39" s="18" t="s">
        <v>16</v>
      </c>
      <c r="F39" s="18" t="s">
        <v>100</v>
      </c>
      <c r="G39" s="18" t="s">
        <v>79</v>
      </c>
      <c r="H39" s="18" t="s">
        <v>29</v>
      </c>
      <c r="I39" s="23"/>
      <c r="J39" s="22"/>
      <c r="K39" s="22"/>
      <c r="L39" s="23"/>
      <c r="M39" s="22"/>
      <c r="N39" s="22"/>
      <c r="O39" s="22"/>
      <c r="P39" s="22"/>
      <c r="Q39" s="22"/>
      <c r="R39" s="22"/>
      <c r="S39" s="22"/>
      <c r="T39" s="22"/>
      <c r="U39" s="22"/>
      <c r="V39" s="22"/>
      <c r="W39" s="22"/>
      <c r="X39" s="22"/>
      <c r="Y39" s="22"/>
      <c r="Z39" s="22"/>
      <c r="AA39" s="22"/>
      <c r="AB39" s="22"/>
      <c r="AC39" s="22"/>
      <c r="AD39" s="24"/>
    </row>
    <row r="40">
      <c r="A40" s="18" t="s">
        <v>41</v>
      </c>
      <c r="B40" s="18" t="s">
        <v>224</v>
      </c>
      <c r="C40" s="21" t="s">
        <v>225</v>
      </c>
      <c r="D40" s="21" t="s">
        <v>226</v>
      </c>
      <c r="E40" s="18" t="s">
        <v>16</v>
      </c>
      <c r="F40" s="22"/>
      <c r="G40" s="18" t="s">
        <v>227</v>
      </c>
      <c r="H40" s="18" t="s">
        <v>228</v>
      </c>
      <c r="I40" s="23"/>
      <c r="J40" s="18" t="s">
        <v>63</v>
      </c>
      <c r="K40" s="22"/>
      <c r="L40" s="23"/>
      <c r="M40" s="22"/>
      <c r="N40" s="22"/>
      <c r="O40" s="22"/>
      <c r="P40" s="22"/>
      <c r="Q40" s="22"/>
      <c r="R40" s="22"/>
      <c r="S40" s="22"/>
      <c r="T40" s="22"/>
      <c r="U40" s="22"/>
      <c r="V40" s="22"/>
      <c r="W40" s="22"/>
      <c r="X40" s="22"/>
      <c r="Y40" s="22"/>
      <c r="Z40" s="22"/>
      <c r="AA40" s="22"/>
      <c r="AB40" s="22"/>
      <c r="AC40" s="22"/>
      <c r="AD40" s="24"/>
    </row>
    <row r="41">
      <c r="A41" s="18" t="s">
        <v>41</v>
      </c>
      <c r="B41" s="18" t="s">
        <v>14</v>
      </c>
      <c r="C41" s="21" t="s">
        <v>229</v>
      </c>
      <c r="D41" s="21" t="s">
        <v>130</v>
      </c>
      <c r="E41" s="18" t="s">
        <v>16</v>
      </c>
      <c r="F41" s="18" t="s">
        <v>45</v>
      </c>
      <c r="G41" s="22" t="s">
        <v>132</v>
      </c>
      <c r="H41" s="22" t="s">
        <v>61</v>
      </c>
      <c r="I41" s="23" t="s">
        <v>134</v>
      </c>
      <c r="J41" s="22" t="s">
        <v>31</v>
      </c>
      <c r="K41" s="22"/>
      <c r="L41" s="23" t="s">
        <v>56</v>
      </c>
      <c r="M41" s="22"/>
      <c r="N41" s="22"/>
      <c r="O41" s="22"/>
      <c r="P41" s="22"/>
      <c r="Q41" s="22"/>
      <c r="R41" s="22"/>
      <c r="S41" s="22"/>
      <c r="T41" s="22"/>
      <c r="U41" s="22"/>
      <c r="V41" s="22"/>
      <c r="W41" s="22"/>
      <c r="X41" s="22"/>
      <c r="Y41" s="22"/>
      <c r="Z41" s="22"/>
      <c r="AA41" s="22"/>
      <c r="AB41" s="22"/>
      <c r="AC41" s="22"/>
      <c r="AD41" s="24"/>
    </row>
    <row r="42">
      <c r="A42" s="18" t="s">
        <v>23</v>
      </c>
      <c r="B42" s="64">
        <v>43525.0</v>
      </c>
      <c r="C42" s="70"/>
      <c r="D42" s="21" t="s">
        <v>135</v>
      </c>
      <c r="E42" s="18" t="s">
        <v>16</v>
      </c>
      <c r="F42" s="18" t="s">
        <v>45</v>
      </c>
      <c r="G42" s="18" t="s">
        <v>136</v>
      </c>
      <c r="H42" s="18" t="s">
        <v>133</v>
      </c>
      <c r="I42" s="21" t="s">
        <v>137</v>
      </c>
      <c r="J42" s="18" t="s">
        <v>63</v>
      </c>
      <c r="K42" s="22"/>
      <c r="L42" s="21" t="s">
        <v>230</v>
      </c>
      <c r="M42" s="22"/>
      <c r="N42" s="22"/>
      <c r="O42" s="22"/>
      <c r="P42" s="22"/>
      <c r="Q42" s="22"/>
      <c r="R42" s="22"/>
      <c r="S42" s="22"/>
      <c r="T42" s="22"/>
      <c r="U42" s="22"/>
      <c r="V42" s="22"/>
      <c r="W42" s="22"/>
      <c r="X42" s="22"/>
      <c r="Y42" s="22"/>
      <c r="Z42" s="22"/>
      <c r="AA42" s="22"/>
      <c r="AB42" s="22"/>
      <c r="AC42" s="22"/>
      <c r="AD42" s="24"/>
    </row>
    <row r="43">
      <c r="A43" s="18" t="s">
        <v>32</v>
      </c>
      <c r="B43" s="18" t="s">
        <v>14</v>
      </c>
      <c r="C43" s="21" t="s">
        <v>231</v>
      </c>
      <c r="D43" s="21" t="s">
        <v>232</v>
      </c>
      <c r="E43" s="18" t="s">
        <v>16</v>
      </c>
      <c r="F43" s="22" t="s">
        <v>17</v>
      </c>
      <c r="G43" s="22" t="s">
        <v>121</v>
      </c>
      <c r="H43" s="22" t="s">
        <v>233</v>
      </c>
      <c r="I43" s="23" t="s">
        <v>234</v>
      </c>
      <c r="J43" s="22" t="s">
        <v>119</v>
      </c>
      <c r="K43" s="18" t="s">
        <v>235</v>
      </c>
      <c r="L43" s="21" t="s">
        <v>236</v>
      </c>
      <c r="M43" s="22"/>
      <c r="N43" s="22"/>
      <c r="O43" s="22"/>
      <c r="P43" s="22"/>
      <c r="Q43" s="22"/>
      <c r="R43" s="22"/>
      <c r="S43" s="22"/>
      <c r="T43" s="22"/>
      <c r="U43" s="22"/>
      <c r="V43" s="22"/>
      <c r="W43" s="22"/>
      <c r="X43" s="22"/>
      <c r="Y43" s="22"/>
      <c r="Z43" s="22"/>
      <c r="AA43" s="22"/>
      <c r="AB43" s="22"/>
      <c r="AC43" s="22"/>
      <c r="AD43" s="24"/>
    </row>
    <row r="44">
      <c r="A44" s="18" t="s">
        <v>32</v>
      </c>
      <c r="B44" s="71">
        <v>43707.0</v>
      </c>
      <c r="C44" s="21" t="s">
        <v>204</v>
      </c>
      <c r="D44" s="21" t="s">
        <v>237</v>
      </c>
      <c r="E44" s="18" t="s">
        <v>16</v>
      </c>
      <c r="F44" s="18" t="s">
        <v>238</v>
      </c>
      <c r="G44" s="18" t="s">
        <v>46</v>
      </c>
      <c r="H44" s="18" t="s">
        <v>239</v>
      </c>
      <c r="I44" s="21" t="s">
        <v>240</v>
      </c>
      <c r="J44" s="18" t="s">
        <v>63</v>
      </c>
      <c r="K44" s="22"/>
      <c r="L44" s="21" t="s">
        <v>241</v>
      </c>
      <c r="M44" s="22"/>
      <c r="N44" s="22"/>
      <c r="O44" s="22"/>
      <c r="P44" s="22"/>
      <c r="Q44" s="22"/>
      <c r="R44" s="22"/>
      <c r="S44" s="22"/>
      <c r="T44" s="22"/>
      <c r="U44" s="22"/>
      <c r="V44" s="22"/>
      <c r="W44" s="22"/>
      <c r="X44" s="22"/>
      <c r="Y44" s="22"/>
      <c r="Z44" s="22"/>
      <c r="AA44" s="22"/>
      <c r="AB44" s="22"/>
      <c r="AC44" s="22"/>
      <c r="AD44" s="24"/>
    </row>
    <row r="45">
      <c r="A45" s="18" t="s">
        <v>32</v>
      </c>
      <c r="B45" s="18" t="s">
        <v>242</v>
      </c>
      <c r="C45" s="23"/>
      <c r="D45" s="21" t="s">
        <v>243</v>
      </c>
      <c r="E45" s="18" t="s">
        <v>16</v>
      </c>
      <c r="F45" s="18" t="s">
        <v>45</v>
      </c>
      <c r="G45" s="18" t="s">
        <v>46</v>
      </c>
      <c r="H45" s="18" t="s">
        <v>29</v>
      </c>
      <c r="I45" s="23"/>
      <c r="J45" s="18" t="s">
        <v>63</v>
      </c>
      <c r="K45" s="18" t="s">
        <v>71</v>
      </c>
      <c r="L45" s="21" t="s">
        <v>244</v>
      </c>
      <c r="M45" s="22"/>
      <c r="N45" s="22"/>
      <c r="O45" s="22"/>
      <c r="P45" s="22"/>
      <c r="Q45" s="22"/>
      <c r="R45" s="22"/>
      <c r="S45" s="22"/>
      <c r="T45" s="22"/>
      <c r="U45" s="22"/>
      <c r="V45" s="22"/>
      <c r="W45" s="22"/>
      <c r="X45" s="22"/>
      <c r="Y45" s="22"/>
      <c r="Z45" s="22"/>
      <c r="AA45" s="22"/>
      <c r="AB45" s="22"/>
      <c r="AC45" s="22"/>
      <c r="AD45" s="24"/>
    </row>
    <row r="46">
      <c r="A46" s="18" t="s">
        <v>23</v>
      </c>
      <c r="B46" s="71">
        <v>43704.0</v>
      </c>
      <c r="C46" s="21"/>
      <c r="D46" s="21" t="s">
        <v>245</v>
      </c>
      <c r="E46" s="18" t="s">
        <v>16</v>
      </c>
      <c r="F46" s="18" t="s">
        <v>45</v>
      </c>
      <c r="G46" s="18" t="s">
        <v>46</v>
      </c>
      <c r="H46" s="18" t="s">
        <v>239</v>
      </c>
      <c r="I46" s="21" t="s">
        <v>240</v>
      </c>
      <c r="J46" s="18" t="s">
        <v>63</v>
      </c>
      <c r="K46" s="22"/>
      <c r="L46" s="21" t="s">
        <v>246</v>
      </c>
      <c r="M46" s="22"/>
      <c r="N46" s="22"/>
      <c r="O46" s="22"/>
      <c r="P46" s="22"/>
      <c r="Q46" s="22"/>
      <c r="R46" s="22"/>
      <c r="S46" s="22"/>
      <c r="T46" s="22"/>
      <c r="U46" s="22"/>
      <c r="V46" s="22"/>
      <c r="W46" s="22"/>
      <c r="X46" s="22"/>
      <c r="Y46" s="22"/>
      <c r="Z46" s="22"/>
      <c r="AA46" s="22"/>
      <c r="AB46" s="22"/>
      <c r="AC46" s="22"/>
      <c r="AD46" s="24"/>
    </row>
    <row r="47">
      <c r="A47" s="18" t="s">
        <v>32</v>
      </c>
      <c r="B47" s="18" t="s">
        <v>14</v>
      </c>
      <c r="C47" s="58" t="s">
        <v>247</v>
      </c>
      <c r="D47" s="21" t="s">
        <v>248</v>
      </c>
      <c r="E47" s="18" t="s">
        <v>16</v>
      </c>
      <c r="F47" s="22" t="s">
        <v>116</v>
      </c>
      <c r="G47" s="22" t="s">
        <v>117</v>
      </c>
      <c r="H47" s="22" t="s">
        <v>29</v>
      </c>
      <c r="I47" s="23" t="s">
        <v>249</v>
      </c>
      <c r="J47" s="22" t="s">
        <v>119</v>
      </c>
      <c r="K47" s="22"/>
      <c r="L47" s="72" t="s">
        <v>250</v>
      </c>
      <c r="M47" s="22"/>
      <c r="N47" s="22"/>
      <c r="O47" s="22"/>
      <c r="P47" s="22"/>
      <c r="Q47" s="22"/>
      <c r="R47" s="22"/>
      <c r="S47" s="22"/>
      <c r="T47" s="22"/>
      <c r="U47" s="22"/>
      <c r="V47" s="22"/>
      <c r="W47" s="22"/>
      <c r="X47" s="22"/>
      <c r="Y47" s="22"/>
      <c r="Z47" s="22"/>
      <c r="AA47" s="22"/>
      <c r="AB47" s="22"/>
      <c r="AC47" s="22"/>
      <c r="AD47" s="24"/>
    </row>
    <row r="48">
      <c r="A48" s="22" t="s">
        <v>32</v>
      </c>
      <c r="B48" s="18" t="s">
        <v>14</v>
      </c>
      <c r="C48" s="21"/>
      <c r="D48" s="21" t="s">
        <v>251</v>
      </c>
      <c r="E48" s="18" t="s">
        <v>16</v>
      </c>
      <c r="F48" s="22" t="s">
        <v>17</v>
      </c>
      <c r="G48" s="22" t="s">
        <v>252</v>
      </c>
      <c r="H48" s="22" t="s">
        <v>19</v>
      </c>
      <c r="I48" s="23" t="s">
        <v>253</v>
      </c>
      <c r="J48" s="22" t="s">
        <v>119</v>
      </c>
      <c r="K48" s="22"/>
      <c r="L48" s="23" t="s">
        <v>254</v>
      </c>
      <c r="M48" s="22"/>
      <c r="N48" s="22"/>
      <c r="O48" s="22"/>
      <c r="P48" s="22"/>
      <c r="Q48" s="22"/>
      <c r="R48" s="22"/>
      <c r="S48" s="22"/>
      <c r="T48" s="22"/>
      <c r="U48" s="22"/>
      <c r="V48" s="22"/>
      <c r="W48" s="22"/>
      <c r="X48" s="22"/>
      <c r="Y48" s="22"/>
      <c r="Z48" s="22"/>
      <c r="AA48" s="22"/>
      <c r="AB48" s="22"/>
      <c r="AC48" s="22"/>
      <c r="AD48" s="24"/>
    </row>
    <row r="49">
      <c r="A49" s="18" t="s">
        <v>41</v>
      </c>
      <c r="B49" s="18" t="s">
        <v>14</v>
      </c>
      <c r="C49" s="58" t="s">
        <v>255</v>
      </c>
      <c r="D49" s="21" t="s">
        <v>144</v>
      </c>
      <c r="E49" s="18" t="s">
        <v>16</v>
      </c>
      <c r="F49" s="22" t="s">
        <v>144</v>
      </c>
      <c r="G49" s="22" t="s">
        <v>145</v>
      </c>
      <c r="H49" s="22" t="s">
        <v>37</v>
      </c>
      <c r="I49" s="23" t="s">
        <v>256</v>
      </c>
      <c r="J49" s="69" t="s">
        <v>63</v>
      </c>
      <c r="K49" s="69"/>
      <c r="L49" s="72" t="s">
        <v>257</v>
      </c>
      <c r="M49" s="22"/>
      <c r="N49" s="22"/>
      <c r="O49" s="22"/>
      <c r="P49" s="22"/>
      <c r="Q49" s="22"/>
      <c r="R49" s="22"/>
      <c r="S49" s="22"/>
      <c r="T49" s="22"/>
      <c r="U49" s="22"/>
      <c r="V49" s="22"/>
      <c r="W49" s="22"/>
      <c r="X49" s="22"/>
      <c r="Y49" s="22"/>
      <c r="Z49" s="22"/>
      <c r="AA49" s="22"/>
      <c r="AB49" s="22"/>
      <c r="AC49" s="22"/>
      <c r="AD49" s="24"/>
    </row>
    <row r="50">
      <c r="A50" s="22" t="s">
        <v>32</v>
      </c>
      <c r="B50" s="18" t="s">
        <v>14</v>
      </c>
      <c r="C50" s="21"/>
      <c r="D50" s="21" t="s">
        <v>258</v>
      </c>
      <c r="E50" s="18" t="s">
        <v>16</v>
      </c>
      <c r="F50" s="22" t="s">
        <v>150</v>
      </c>
      <c r="G50" s="22" t="s">
        <v>18</v>
      </c>
      <c r="H50" s="22" t="s">
        <v>159</v>
      </c>
      <c r="I50" s="23" t="s">
        <v>259</v>
      </c>
      <c r="J50" s="22" t="s">
        <v>119</v>
      </c>
      <c r="K50" s="22"/>
      <c r="L50" s="23"/>
      <c r="M50" s="22"/>
      <c r="N50" s="22"/>
      <c r="O50" s="22"/>
      <c r="P50" s="22"/>
      <c r="Q50" s="22"/>
      <c r="R50" s="22"/>
      <c r="S50" s="22"/>
      <c r="T50" s="22"/>
      <c r="U50" s="22"/>
      <c r="V50" s="22"/>
      <c r="W50" s="22"/>
      <c r="X50" s="22"/>
      <c r="Y50" s="22"/>
      <c r="Z50" s="22"/>
      <c r="AA50" s="22"/>
      <c r="AB50" s="22"/>
      <c r="AC50" s="22"/>
      <c r="AD50" s="24"/>
    </row>
    <row r="51">
      <c r="A51" s="22" t="s">
        <v>23</v>
      </c>
      <c r="B51" s="18" t="s">
        <v>14</v>
      </c>
      <c r="C51" s="21"/>
      <c r="D51" s="21" t="s">
        <v>260</v>
      </c>
      <c r="E51" s="18" t="s">
        <v>16</v>
      </c>
      <c r="F51" s="18" t="s">
        <v>45</v>
      </c>
      <c r="G51" s="22" t="s">
        <v>46</v>
      </c>
      <c r="H51" s="22" t="s">
        <v>29</v>
      </c>
      <c r="I51" s="23" t="s">
        <v>261</v>
      </c>
      <c r="J51" s="22" t="s">
        <v>48</v>
      </c>
      <c r="K51" s="18" t="s">
        <v>262</v>
      </c>
      <c r="L51" s="23"/>
      <c r="M51" s="22"/>
      <c r="N51" s="22"/>
      <c r="O51" s="22"/>
      <c r="P51" s="22"/>
      <c r="Q51" s="22"/>
      <c r="R51" s="22"/>
      <c r="S51" s="22"/>
      <c r="T51" s="22"/>
      <c r="U51" s="22"/>
      <c r="V51" s="22"/>
      <c r="W51" s="22"/>
      <c r="X51" s="22"/>
      <c r="Y51" s="22"/>
      <c r="Z51" s="22"/>
      <c r="AA51" s="22"/>
      <c r="AB51" s="22"/>
      <c r="AC51" s="22"/>
      <c r="AD51" s="24"/>
    </row>
    <row r="52">
      <c r="A52" s="18" t="s">
        <v>41</v>
      </c>
      <c r="B52" s="18" t="s">
        <v>14</v>
      </c>
      <c r="C52" s="21" t="s">
        <v>263</v>
      </c>
      <c r="D52" s="21" t="s">
        <v>264</v>
      </c>
      <c r="E52" s="18" t="s">
        <v>16</v>
      </c>
      <c r="F52" s="22" t="s">
        <v>17</v>
      </c>
      <c r="G52" s="18" t="s">
        <v>117</v>
      </c>
      <c r="H52" s="22" t="s">
        <v>19</v>
      </c>
      <c r="I52" s="23" t="s">
        <v>20</v>
      </c>
      <c r="J52" s="22" t="s">
        <v>21</v>
      </c>
      <c r="K52" s="22"/>
      <c r="L52" s="23" t="s">
        <v>265</v>
      </c>
      <c r="M52" s="22"/>
      <c r="N52" s="22"/>
      <c r="O52" s="22"/>
      <c r="P52" s="22"/>
      <c r="Q52" s="22"/>
      <c r="R52" s="22"/>
      <c r="S52" s="22"/>
      <c r="T52" s="22"/>
      <c r="U52" s="22"/>
      <c r="V52" s="22"/>
      <c r="W52" s="22"/>
      <c r="X52" s="22"/>
      <c r="Y52" s="22"/>
      <c r="Z52" s="22"/>
      <c r="AA52" s="22"/>
      <c r="AB52" s="22"/>
      <c r="AC52" s="22"/>
      <c r="AD52" s="24"/>
    </row>
    <row r="53">
      <c r="A53" s="18" t="s">
        <v>23</v>
      </c>
      <c r="B53" s="18" t="s">
        <v>14</v>
      </c>
      <c r="C53" s="21" t="s">
        <v>266</v>
      </c>
      <c r="D53" s="21" t="s">
        <v>267</v>
      </c>
      <c r="E53" s="18" t="s">
        <v>16</v>
      </c>
      <c r="F53" s="22" t="s">
        <v>17</v>
      </c>
      <c r="G53" s="22" t="s">
        <v>18</v>
      </c>
      <c r="H53" s="22" t="s">
        <v>19</v>
      </c>
      <c r="I53" s="23" t="s">
        <v>268</v>
      </c>
      <c r="J53" s="22" t="s">
        <v>119</v>
      </c>
      <c r="K53" s="18" t="s">
        <v>269</v>
      </c>
      <c r="L53" s="23" t="s">
        <v>270</v>
      </c>
      <c r="M53" s="22"/>
      <c r="N53" s="22"/>
      <c r="O53" s="22"/>
      <c r="P53" s="22"/>
      <c r="Q53" s="22"/>
      <c r="R53" s="22"/>
      <c r="S53" s="22"/>
      <c r="T53" s="22"/>
      <c r="U53" s="22"/>
      <c r="V53" s="22"/>
      <c r="W53" s="22"/>
      <c r="X53" s="22"/>
      <c r="Y53" s="22"/>
      <c r="Z53" s="22"/>
      <c r="AA53" s="22"/>
      <c r="AB53" s="22"/>
      <c r="AC53" s="22"/>
      <c r="AD53" s="24"/>
    </row>
    <row r="54">
      <c r="A54" s="18" t="s">
        <v>23</v>
      </c>
      <c r="B54" s="18" t="s">
        <v>111</v>
      </c>
      <c r="C54" s="21" t="s">
        <v>271</v>
      </c>
      <c r="D54" s="21" t="s">
        <v>272</v>
      </c>
      <c r="E54" s="18" t="s">
        <v>16</v>
      </c>
      <c r="F54" s="18" t="s">
        <v>116</v>
      </c>
      <c r="G54" s="18" t="s">
        <v>117</v>
      </c>
      <c r="H54" s="18" t="s">
        <v>29</v>
      </c>
      <c r="I54" s="21" t="s">
        <v>273</v>
      </c>
      <c r="J54" s="18" t="s">
        <v>63</v>
      </c>
      <c r="K54" s="22"/>
      <c r="L54" s="23"/>
      <c r="M54" s="22"/>
      <c r="N54" s="22"/>
      <c r="O54" s="22"/>
      <c r="P54" s="22"/>
      <c r="Q54" s="22"/>
      <c r="R54" s="22"/>
      <c r="S54" s="22"/>
      <c r="T54" s="22"/>
      <c r="U54" s="22"/>
      <c r="V54" s="22"/>
      <c r="W54" s="22"/>
      <c r="X54" s="22"/>
      <c r="Y54" s="22"/>
      <c r="Z54" s="22"/>
      <c r="AA54" s="22"/>
      <c r="AB54" s="22"/>
      <c r="AC54" s="22"/>
      <c r="AD54" s="24"/>
    </row>
    <row r="55">
      <c r="A55" s="5"/>
      <c r="B55" s="5"/>
      <c r="C55" s="73"/>
      <c r="D55" s="73"/>
      <c r="E55" s="5"/>
      <c r="F55" s="5"/>
      <c r="G55" s="5"/>
      <c r="H55" s="5"/>
      <c r="I55" s="73"/>
      <c r="J55" s="5"/>
      <c r="K55" s="5"/>
      <c r="L55" s="73"/>
      <c r="M55" s="5"/>
      <c r="N55" s="5"/>
      <c r="O55" s="5"/>
      <c r="P55" s="5"/>
      <c r="Q55" s="5"/>
      <c r="R55" s="5"/>
      <c r="S55" s="5"/>
      <c r="T55" s="5"/>
      <c r="U55" s="5"/>
      <c r="V55" s="5"/>
      <c r="W55" s="5"/>
      <c r="X55" s="5"/>
      <c r="Y55" s="5"/>
      <c r="Z55" s="5"/>
      <c r="AA55" s="5"/>
      <c r="AB55" s="5"/>
      <c r="AC55" s="5"/>
      <c r="AD55" s="6"/>
    </row>
    <row r="56">
      <c r="A56" s="5"/>
      <c r="B56" s="5"/>
      <c r="C56" s="73"/>
      <c r="D56" s="73"/>
      <c r="E56" s="5"/>
      <c r="F56" s="5"/>
      <c r="G56" s="5"/>
      <c r="H56" s="5"/>
      <c r="I56" s="73"/>
      <c r="J56" s="5"/>
      <c r="K56" s="5"/>
      <c r="L56" s="73"/>
      <c r="M56" s="5"/>
      <c r="N56" s="5"/>
      <c r="O56" s="5"/>
      <c r="P56" s="5"/>
      <c r="Q56" s="5"/>
      <c r="R56" s="5"/>
      <c r="S56" s="5"/>
      <c r="T56" s="5"/>
      <c r="U56" s="5"/>
      <c r="V56" s="5"/>
      <c r="W56" s="5"/>
      <c r="X56" s="5"/>
      <c r="Y56" s="5"/>
      <c r="Z56" s="5"/>
      <c r="AA56" s="5"/>
      <c r="AB56" s="5"/>
      <c r="AC56" s="5"/>
      <c r="AD56" s="6"/>
    </row>
    <row r="57">
      <c r="A57" s="5"/>
      <c r="B57" s="5"/>
      <c r="C57" s="73"/>
      <c r="D57" s="73"/>
      <c r="E57" s="5"/>
      <c r="F57" s="5"/>
      <c r="G57" s="5"/>
      <c r="H57" s="5"/>
      <c r="I57" s="73"/>
      <c r="J57" s="5"/>
      <c r="K57" s="5"/>
      <c r="L57" s="73"/>
      <c r="M57" s="5"/>
      <c r="N57" s="5"/>
      <c r="O57" s="5"/>
      <c r="P57" s="5"/>
      <c r="Q57" s="5"/>
      <c r="R57" s="5"/>
      <c r="S57" s="5"/>
      <c r="T57" s="5"/>
      <c r="U57" s="5"/>
      <c r="V57" s="5"/>
      <c r="W57" s="5"/>
      <c r="X57" s="5"/>
      <c r="Y57" s="5"/>
      <c r="Z57" s="5"/>
      <c r="AA57" s="5"/>
      <c r="AB57" s="5"/>
      <c r="AC57" s="5"/>
      <c r="AD57" s="6"/>
    </row>
    <row r="58">
      <c r="A58" s="5"/>
      <c r="B58" s="5"/>
      <c r="C58" s="73"/>
      <c r="D58" s="73"/>
      <c r="E58" s="5"/>
      <c r="F58" s="5"/>
      <c r="G58" s="5"/>
      <c r="H58" s="5"/>
      <c r="I58" s="73"/>
      <c r="J58" s="5"/>
      <c r="K58" s="5"/>
      <c r="L58" s="73"/>
      <c r="M58" s="5"/>
      <c r="N58" s="5"/>
      <c r="O58" s="5"/>
      <c r="P58" s="5"/>
      <c r="Q58" s="5"/>
      <c r="R58" s="5"/>
      <c r="S58" s="5"/>
      <c r="T58" s="5"/>
      <c r="U58" s="5"/>
      <c r="V58" s="5"/>
      <c r="W58" s="5"/>
      <c r="X58" s="5"/>
      <c r="Y58" s="5"/>
      <c r="Z58" s="5"/>
      <c r="AA58" s="5"/>
      <c r="AB58" s="5"/>
      <c r="AC58" s="5"/>
      <c r="AD58" s="6"/>
    </row>
    <row r="59">
      <c r="A59" s="5"/>
      <c r="B59" s="5"/>
      <c r="C59" s="73"/>
      <c r="D59" s="73"/>
      <c r="E59" s="5"/>
      <c r="F59" s="5"/>
      <c r="G59" s="5"/>
      <c r="H59" s="5"/>
      <c r="I59" s="73"/>
      <c r="J59" s="5"/>
      <c r="K59" s="5"/>
      <c r="L59" s="73"/>
      <c r="M59" s="5"/>
      <c r="N59" s="5"/>
      <c r="O59" s="5"/>
      <c r="P59" s="5"/>
      <c r="Q59" s="5"/>
      <c r="R59" s="5"/>
      <c r="S59" s="5"/>
      <c r="T59" s="5"/>
      <c r="U59" s="5"/>
      <c r="V59" s="5"/>
      <c r="W59" s="5"/>
      <c r="X59" s="5"/>
      <c r="Y59" s="5"/>
      <c r="Z59" s="5"/>
      <c r="AA59" s="5"/>
      <c r="AB59" s="5"/>
      <c r="AC59" s="5"/>
      <c r="AD59" s="6"/>
    </row>
    <row r="60">
      <c r="A60" s="5"/>
      <c r="B60" s="5"/>
      <c r="C60" s="73"/>
      <c r="D60" s="73"/>
      <c r="E60" s="5"/>
      <c r="F60" s="5"/>
      <c r="G60" s="5"/>
      <c r="H60" s="5"/>
      <c r="I60" s="73"/>
      <c r="J60" s="5"/>
      <c r="K60" s="5"/>
      <c r="L60" s="73"/>
      <c r="M60" s="5"/>
      <c r="N60" s="5"/>
      <c r="O60" s="5"/>
      <c r="P60" s="5"/>
      <c r="Q60" s="5"/>
      <c r="R60" s="5"/>
      <c r="S60" s="5"/>
      <c r="T60" s="5"/>
      <c r="U60" s="5"/>
      <c r="V60" s="5"/>
      <c r="W60" s="5"/>
      <c r="X60" s="5"/>
      <c r="Y60" s="5"/>
      <c r="Z60" s="5"/>
      <c r="AA60" s="5"/>
      <c r="AB60" s="5"/>
      <c r="AC60" s="5"/>
      <c r="AD60" s="6"/>
    </row>
    <row r="61">
      <c r="A61" s="5"/>
      <c r="B61" s="5"/>
      <c r="C61" s="73"/>
      <c r="D61" s="73"/>
      <c r="E61" s="5"/>
      <c r="F61" s="5"/>
      <c r="G61" s="5"/>
      <c r="H61" s="5"/>
      <c r="I61" s="73"/>
      <c r="J61" s="5"/>
      <c r="K61" s="5"/>
      <c r="L61" s="73"/>
      <c r="M61" s="5"/>
      <c r="N61" s="5"/>
      <c r="O61" s="5"/>
      <c r="P61" s="5"/>
      <c r="Q61" s="5"/>
      <c r="R61" s="5"/>
      <c r="S61" s="5"/>
      <c r="T61" s="5"/>
      <c r="U61" s="5"/>
      <c r="V61" s="5"/>
      <c r="W61" s="5"/>
      <c r="X61" s="5"/>
      <c r="Y61" s="5"/>
      <c r="Z61" s="5"/>
      <c r="AA61" s="5"/>
      <c r="AB61" s="5"/>
      <c r="AC61" s="5"/>
      <c r="AD61" s="6"/>
    </row>
    <row r="62">
      <c r="A62" s="5"/>
      <c r="B62" s="5"/>
      <c r="C62" s="73"/>
      <c r="D62" s="73"/>
      <c r="E62" s="5"/>
      <c r="F62" s="5"/>
      <c r="G62" s="5"/>
      <c r="H62" s="5"/>
      <c r="I62" s="73"/>
      <c r="J62" s="5"/>
      <c r="K62" s="5"/>
      <c r="L62" s="73"/>
      <c r="M62" s="5"/>
      <c r="N62" s="5"/>
      <c r="O62" s="5"/>
      <c r="P62" s="5"/>
      <c r="Q62" s="5"/>
      <c r="R62" s="5"/>
      <c r="S62" s="5"/>
      <c r="T62" s="5"/>
      <c r="U62" s="5"/>
      <c r="V62" s="5"/>
      <c r="W62" s="5"/>
      <c r="X62" s="5"/>
      <c r="Y62" s="5"/>
      <c r="Z62" s="5"/>
      <c r="AA62" s="5"/>
      <c r="AB62" s="5"/>
      <c r="AC62" s="5"/>
      <c r="AD62" s="6"/>
    </row>
    <row r="63">
      <c r="A63" s="5"/>
      <c r="B63" s="5"/>
      <c r="C63" s="73"/>
      <c r="D63" s="73"/>
      <c r="E63" s="5"/>
      <c r="F63" s="5"/>
      <c r="G63" s="5"/>
      <c r="H63" s="5"/>
      <c r="I63" s="73"/>
      <c r="J63" s="5"/>
      <c r="K63" s="5"/>
      <c r="L63" s="73"/>
      <c r="M63" s="5"/>
      <c r="N63" s="5"/>
      <c r="O63" s="5"/>
      <c r="P63" s="5"/>
      <c r="Q63" s="5"/>
      <c r="R63" s="5"/>
      <c r="S63" s="5"/>
      <c r="T63" s="5"/>
      <c r="U63" s="5"/>
      <c r="V63" s="5"/>
      <c r="W63" s="5"/>
      <c r="X63" s="5"/>
      <c r="Y63" s="5"/>
      <c r="Z63" s="5"/>
      <c r="AA63" s="5"/>
      <c r="AB63" s="5"/>
      <c r="AC63" s="5"/>
      <c r="AD63" s="6"/>
    </row>
    <row r="64">
      <c r="A64" s="5"/>
      <c r="B64" s="5"/>
      <c r="C64" s="73"/>
      <c r="D64" s="73"/>
      <c r="E64" s="5"/>
      <c r="F64" s="5"/>
      <c r="G64" s="5"/>
      <c r="H64" s="5"/>
      <c r="I64" s="73"/>
      <c r="J64" s="5"/>
      <c r="K64" s="5"/>
      <c r="L64" s="73"/>
      <c r="M64" s="5"/>
      <c r="N64" s="5"/>
      <c r="O64" s="5"/>
      <c r="P64" s="5"/>
      <c r="Q64" s="5"/>
      <c r="R64" s="5"/>
      <c r="S64" s="5"/>
      <c r="T64" s="5"/>
      <c r="U64" s="5"/>
      <c r="V64" s="5"/>
      <c r="W64" s="5"/>
      <c r="X64" s="5"/>
      <c r="Y64" s="5"/>
      <c r="Z64" s="5"/>
      <c r="AA64" s="5"/>
      <c r="AB64" s="5"/>
      <c r="AC64" s="5"/>
      <c r="AD64" s="6"/>
    </row>
    <row r="65">
      <c r="A65" s="5"/>
      <c r="B65" s="5"/>
      <c r="C65" s="73"/>
      <c r="D65" s="73"/>
      <c r="E65" s="5"/>
      <c r="F65" s="5"/>
      <c r="G65" s="5"/>
      <c r="H65" s="5"/>
      <c r="I65" s="73"/>
      <c r="J65" s="5"/>
      <c r="K65" s="5"/>
      <c r="L65" s="73"/>
      <c r="M65" s="5"/>
      <c r="N65" s="5"/>
      <c r="O65" s="5"/>
      <c r="P65" s="5"/>
      <c r="Q65" s="5"/>
      <c r="R65" s="5"/>
      <c r="S65" s="5"/>
      <c r="T65" s="5"/>
      <c r="U65" s="5"/>
      <c r="V65" s="5"/>
      <c r="W65" s="5"/>
      <c r="X65" s="5"/>
      <c r="Y65" s="5"/>
      <c r="Z65" s="5"/>
      <c r="AA65" s="5"/>
      <c r="AB65" s="5"/>
      <c r="AC65" s="5"/>
      <c r="AD65" s="6"/>
    </row>
    <row r="66">
      <c r="A66" s="5"/>
      <c r="B66" s="5"/>
      <c r="C66" s="73"/>
      <c r="D66" s="73"/>
      <c r="E66" s="5"/>
      <c r="F66" s="5"/>
      <c r="G66" s="5"/>
      <c r="H66" s="5"/>
      <c r="I66" s="73"/>
      <c r="J66" s="5"/>
      <c r="K66" s="5"/>
      <c r="L66" s="73"/>
      <c r="M66" s="5"/>
      <c r="N66" s="5"/>
      <c r="O66" s="5"/>
      <c r="P66" s="5"/>
      <c r="Q66" s="5"/>
      <c r="R66" s="5"/>
      <c r="S66" s="5"/>
      <c r="T66" s="5"/>
      <c r="U66" s="5"/>
      <c r="V66" s="5"/>
      <c r="W66" s="5"/>
      <c r="X66" s="5"/>
      <c r="Y66" s="5"/>
      <c r="Z66" s="5"/>
      <c r="AA66" s="5"/>
      <c r="AB66" s="5"/>
      <c r="AC66" s="5"/>
      <c r="AD66" s="6"/>
    </row>
    <row r="67">
      <c r="A67" s="5"/>
      <c r="B67" s="5"/>
      <c r="C67" s="73"/>
      <c r="D67" s="73"/>
      <c r="E67" s="5"/>
      <c r="F67" s="5"/>
      <c r="G67" s="5"/>
      <c r="H67" s="5"/>
      <c r="I67" s="73"/>
      <c r="J67" s="5"/>
      <c r="K67" s="5"/>
      <c r="L67" s="73"/>
      <c r="M67" s="5"/>
      <c r="N67" s="5"/>
      <c r="O67" s="5"/>
      <c r="P67" s="5"/>
      <c r="Q67" s="5"/>
      <c r="R67" s="5"/>
      <c r="S67" s="5"/>
      <c r="T67" s="5"/>
      <c r="U67" s="5"/>
      <c r="V67" s="5"/>
      <c r="W67" s="5"/>
      <c r="X67" s="5"/>
      <c r="Y67" s="5"/>
      <c r="Z67" s="5"/>
      <c r="AA67" s="5"/>
      <c r="AB67" s="5"/>
      <c r="AC67" s="5"/>
      <c r="AD67" s="6"/>
    </row>
    <row r="68">
      <c r="A68" s="5"/>
      <c r="B68" s="5"/>
      <c r="C68" s="73"/>
      <c r="D68" s="73"/>
      <c r="E68" s="5"/>
      <c r="F68" s="5"/>
      <c r="G68" s="5"/>
      <c r="H68" s="5"/>
      <c r="I68" s="73"/>
      <c r="J68" s="5"/>
      <c r="K68" s="5"/>
      <c r="L68" s="73"/>
      <c r="M68" s="5"/>
      <c r="N68" s="5"/>
      <c r="O68" s="5"/>
      <c r="P68" s="5"/>
      <c r="Q68" s="5"/>
      <c r="R68" s="5"/>
      <c r="S68" s="5"/>
      <c r="T68" s="5"/>
      <c r="U68" s="5"/>
      <c r="V68" s="5"/>
      <c r="W68" s="5"/>
      <c r="X68" s="5"/>
      <c r="Y68" s="5"/>
      <c r="Z68" s="5"/>
      <c r="AA68" s="5"/>
      <c r="AB68" s="5"/>
      <c r="AC68" s="5"/>
      <c r="AD68" s="6"/>
    </row>
    <row r="69">
      <c r="A69" s="5"/>
      <c r="B69" s="5"/>
      <c r="C69" s="73"/>
      <c r="D69" s="73"/>
      <c r="E69" s="5"/>
      <c r="F69" s="5"/>
      <c r="G69" s="5"/>
      <c r="H69" s="5"/>
      <c r="I69" s="73"/>
      <c r="J69" s="5"/>
      <c r="K69" s="5"/>
      <c r="L69" s="73"/>
      <c r="M69" s="5"/>
      <c r="N69" s="5"/>
      <c r="O69" s="5"/>
      <c r="P69" s="5"/>
      <c r="Q69" s="5"/>
      <c r="R69" s="5"/>
      <c r="S69" s="5"/>
      <c r="T69" s="5"/>
      <c r="U69" s="5"/>
      <c r="V69" s="5"/>
      <c r="W69" s="5"/>
      <c r="X69" s="5"/>
      <c r="Y69" s="5"/>
      <c r="Z69" s="5"/>
      <c r="AA69" s="5"/>
      <c r="AB69" s="5"/>
      <c r="AC69" s="5"/>
      <c r="AD69" s="6"/>
    </row>
    <row r="70">
      <c r="A70" s="5"/>
      <c r="B70" s="5"/>
      <c r="C70" s="73"/>
      <c r="D70" s="73"/>
      <c r="E70" s="5"/>
      <c r="F70" s="5"/>
      <c r="G70" s="5"/>
      <c r="H70" s="5"/>
      <c r="I70" s="73"/>
      <c r="J70" s="5"/>
      <c r="K70" s="5"/>
      <c r="L70" s="73"/>
      <c r="M70" s="5"/>
      <c r="N70" s="5"/>
      <c r="O70" s="5"/>
      <c r="P70" s="5"/>
      <c r="Q70" s="5"/>
      <c r="R70" s="5"/>
      <c r="S70" s="5"/>
      <c r="T70" s="5"/>
      <c r="U70" s="5"/>
      <c r="V70" s="5"/>
      <c r="W70" s="5"/>
      <c r="X70" s="5"/>
      <c r="Y70" s="5"/>
      <c r="Z70" s="5"/>
      <c r="AA70" s="5"/>
      <c r="AB70" s="5"/>
      <c r="AC70" s="5"/>
      <c r="AD70" s="6"/>
    </row>
    <row r="71">
      <c r="A71" s="5"/>
      <c r="B71" s="5"/>
      <c r="C71" s="73"/>
      <c r="D71" s="73"/>
      <c r="E71" s="5"/>
      <c r="F71" s="5"/>
      <c r="G71" s="5"/>
      <c r="H71" s="5"/>
      <c r="I71" s="73"/>
      <c r="J71" s="5"/>
      <c r="K71" s="5"/>
      <c r="L71" s="73"/>
      <c r="M71" s="5"/>
      <c r="N71" s="5"/>
      <c r="O71" s="5"/>
      <c r="P71" s="5"/>
      <c r="Q71" s="5"/>
      <c r="R71" s="5"/>
      <c r="S71" s="5"/>
      <c r="T71" s="5"/>
      <c r="U71" s="5"/>
      <c r="V71" s="5"/>
      <c r="W71" s="5"/>
      <c r="X71" s="5"/>
      <c r="Y71" s="5"/>
      <c r="Z71" s="5"/>
      <c r="AA71" s="5"/>
      <c r="AB71" s="5"/>
      <c r="AC71" s="5"/>
      <c r="AD71" s="6"/>
    </row>
    <row r="72">
      <c r="A72" s="5"/>
      <c r="B72" s="5"/>
      <c r="C72" s="73"/>
      <c r="D72" s="73"/>
      <c r="E72" s="5"/>
      <c r="F72" s="5"/>
      <c r="G72" s="5"/>
      <c r="H72" s="5"/>
      <c r="I72" s="73"/>
      <c r="J72" s="5"/>
      <c r="K72" s="5"/>
      <c r="L72" s="73"/>
      <c r="M72" s="5"/>
      <c r="N72" s="5"/>
      <c r="O72" s="5"/>
      <c r="P72" s="5"/>
      <c r="Q72" s="5"/>
      <c r="R72" s="5"/>
      <c r="S72" s="5"/>
      <c r="T72" s="5"/>
      <c r="U72" s="5"/>
      <c r="V72" s="5"/>
      <c r="W72" s="5"/>
      <c r="X72" s="5"/>
      <c r="Y72" s="5"/>
      <c r="Z72" s="5"/>
      <c r="AA72" s="5"/>
      <c r="AB72" s="5"/>
      <c r="AC72" s="5"/>
      <c r="AD72" s="6"/>
    </row>
    <row r="73">
      <c r="A73" s="5"/>
      <c r="B73" s="5"/>
      <c r="C73" s="73"/>
      <c r="D73" s="73"/>
      <c r="E73" s="5"/>
      <c r="F73" s="5"/>
      <c r="G73" s="5"/>
      <c r="H73" s="5"/>
      <c r="I73" s="73"/>
      <c r="J73" s="5"/>
      <c r="K73" s="5"/>
      <c r="L73" s="73"/>
      <c r="M73" s="5"/>
      <c r="N73" s="5"/>
      <c r="O73" s="5"/>
      <c r="P73" s="5"/>
      <c r="Q73" s="5"/>
      <c r="R73" s="5"/>
      <c r="S73" s="5"/>
      <c r="T73" s="5"/>
      <c r="U73" s="5"/>
      <c r="V73" s="5"/>
      <c r="W73" s="5"/>
      <c r="X73" s="5"/>
      <c r="Y73" s="5"/>
      <c r="Z73" s="5"/>
      <c r="AA73" s="5"/>
      <c r="AB73" s="5"/>
      <c r="AC73" s="5"/>
      <c r="AD73" s="6"/>
    </row>
    <row r="74">
      <c r="A74" s="5"/>
      <c r="B74" s="5"/>
      <c r="C74" s="73"/>
      <c r="D74" s="73"/>
      <c r="E74" s="5"/>
      <c r="F74" s="5"/>
      <c r="G74" s="5"/>
      <c r="H74" s="5"/>
      <c r="I74" s="73"/>
      <c r="J74" s="5"/>
      <c r="K74" s="5"/>
      <c r="L74" s="73"/>
      <c r="M74" s="5"/>
      <c r="N74" s="5"/>
      <c r="O74" s="5"/>
      <c r="P74" s="5"/>
      <c r="Q74" s="5"/>
      <c r="R74" s="5"/>
      <c r="S74" s="5"/>
      <c r="T74" s="5"/>
      <c r="U74" s="5"/>
      <c r="V74" s="5"/>
      <c r="W74" s="5"/>
      <c r="X74" s="5"/>
      <c r="Y74" s="5"/>
      <c r="Z74" s="5"/>
      <c r="AA74" s="5"/>
      <c r="AB74" s="5"/>
      <c r="AC74" s="5"/>
      <c r="AD74" s="6"/>
    </row>
    <row r="75">
      <c r="A75" s="5"/>
      <c r="B75" s="5"/>
      <c r="C75" s="73"/>
      <c r="D75" s="73"/>
      <c r="E75" s="5"/>
      <c r="F75" s="5"/>
      <c r="G75" s="5"/>
      <c r="H75" s="5"/>
      <c r="I75" s="73"/>
      <c r="J75" s="5"/>
      <c r="K75" s="5"/>
      <c r="L75" s="73"/>
      <c r="M75" s="5"/>
      <c r="N75" s="5"/>
      <c r="O75" s="5"/>
      <c r="P75" s="5"/>
      <c r="Q75" s="5"/>
      <c r="R75" s="5"/>
      <c r="S75" s="5"/>
      <c r="T75" s="5"/>
      <c r="U75" s="5"/>
      <c r="V75" s="5"/>
      <c r="W75" s="5"/>
      <c r="X75" s="5"/>
      <c r="Y75" s="5"/>
      <c r="Z75" s="5"/>
      <c r="AA75" s="5"/>
      <c r="AB75" s="5"/>
      <c r="AC75" s="5"/>
      <c r="AD75" s="6"/>
    </row>
    <row r="76">
      <c r="A76" s="5"/>
      <c r="B76" s="5"/>
      <c r="C76" s="73"/>
      <c r="D76" s="73"/>
      <c r="E76" s="5"/>
      <c r="F76" s="5"/>
      <c r="G76" s="5"/>
      <c r="H76" s="5"/>
      <c r="I76" s="73"/>
      <c r="J76" s="5"/>
      <c r="K76" s="5"/>
      <c r="L76" s="73"/>
      <c r="M76" s="5"/>
      <c r="N76" s="5"/>
      <c r="O76" s="5"/>
      <c r="P76" s="5"/>
      <c r="Q76" s="5"/>
      <c r="R76" s="5"/>
      <c r="S76" s="5"/>
      <c r="T76" s="5"/>
      <c r="U76" s="5"/>
      <c r="V76" s="5"/>
      <c r="W76" s="5"/>
      <c r="X76" s="5"/>
      <c r="Y76" s="5"/>
      <c r="Z76" s="5"/>
      <c r="AA76" s="5"/>
      <c r="AB76" s="5"/>
      <c r="AC76" s="5"/>
      <c r="AD76" s="6"/>
    </row>
    <row r="77">
      <c r="A77" s="5"/>
      <c r="B77" s="5"/>
      <c r="C77" s="73"/>
      <c r="D77" s="73"/>
      <c r="E77" s="5"/>
      <c r="F77" s="5"/>
      <c r="G77" s="5"/>
      <c r="H77" s="5"/>
      <c r="I77" s="73"/>
      <c r="J77" s="5"/>
      <c r="K77" s="5"/>
      <c r="L77" s="73"/>
      <c r="M77" s="5"/>
      <c r="N77" s="5"/>
      <c r="O77" s="5"/>
      <c r="P77" s="5"/>
      <c r="Q77" s="5"/>
      <c r="R77" s="5"/>
      <c r="S77" s="5"/>
      <c r="T77" s="5"/>
      <c r="U77" s="5"/>
      <c r="V77" s="5"/>
      <c r="W77" s="5"/>
      <c r="X77" s="5"/>
      <c r="Y77" s="5"/>
      <c r="Z77" s="5"/>
      <c r="AA77" s="5"/>
      <c r="AB77" s="5"/>
      <c r="AC77" s="5"/>
      <c r="AD77" s="6"/>
    </row>
    <row r="78">
      <c r="A78" s="5"/>
      <c r="B78" s="5"/>
      <c r="C78" s="73"/>
      <c r="D78" s="73"/>
      <c r="E78" s="5"/>
      <c r="F78" s="5"/>
      <c r="G78" s="5"/>
      <c r="H78" s="5"/>
      <c r="I78" s="73"/>
      <c r="J78" s="5"/>
      <c r="K78" s="5"/>
      <c r="L78" s="73"/>
      <c r="M78" s="5"/>
      <c r="N78" s="5"/>
      <c r="O78" s="5"/>
      <c r="P78" s="5"/>
      <c r="Q78" s="5"/>
      <c r="R78" s="5"/>
      <c r="S78" s="5"/>
      <c r="T78" s="5"/>
      <c r="U78" s="5"/>
      <c r="V78" s="5"/>
      <c r="W78" s="5"/>
      <c r="X78" s="5"/>
      <c r="Y78" s="5"/>
      <c r="Z78" s="5"/>
      <c r="AA78" s="5"/>
      <c r="AB78" s="5"/>
      <c r="AC78" s="5"/>
      <c r="AD78" s="6"/>
    </row>
    <row r="79">
      <c r="A79" s="5"/>
      <c r="B79" s="5"/>
      <c r="C79" s="73"/>
      <c r="D79" s="73"/>
      <c r="E79" s="5"/>
      <c r="F79" s="5"/>
      <c r="G79" s="5"/>
      <c r="H79" s="5"/>
      <c r="I79" s="73"/>
      <c r="J79" s="5"/>
      <c r="K79" s="5"/>
      <c r="L79" s="73"/>
      <c r="M79" s="5"/>
      <c r="N79" s="5"/>
      <c r="O79" s="5"/>
      <c r="P79" s="5"/>
      <c r="Q79" s="5"/>
      <c r="R79" s="5"/>
      <c r="S79" s="5"/>
      <c r="T79" s="5"/>
      <c r="U79" s="5"/>
      <c r="V79" s="5"/>
      <c r="W79" s="5"/>
      <c r="X79" s="5"/>
      <c r="Y79" s="5"/>
      <c r="Z79" s="5"/>
      <c r="AA79" s="5"/>
      <c r="AB79" s="5"/>
      <c r="AC79" s="5"/>
      <c r="AD79" s="6"/>
    </row>
    <row r="80">
      <c r="A80" s="5"/>
      <c r="B80" s="5"/>
      <c r="C80" s="73"/>
      <c r="D80" s="73"/>
      <c r="E80" s="5"/>
      <c r="F80" s="5"/>
      <c r="G80" s="5"/>
      <c r="H80" s="5"/>
      <c r="I80" s="73"/>
      <c r="J80" s="5"/>
      <c r="K80" s="5"/>
      <c r="L80" s="73"/>
      <c r="M80" s="5"/>
      <c r="N80" s="5"/>
      <c r="O80" s="5"/>
      <c r="P80" s="5"/>
      <c r="Q80" s="5"/>
      <c r="R80" s="5"/>
      <c r="S80" s="5"/>
      <c r="T80" s="5"/>
      <c r="U80" s="5"/>
      <c r="V80" s="5"/>
      <c r="W80" s="5"/>
      <c r="X80" s="5"/>
      <c r="Y80" s="5"/>
      <c r="Z80" s="5"/>
      <c r="AA80" s="5"/>
      <c r="AB80" s="5"/>
      <c r="AC80" s="5"/>
      <c r="AD80" s="6"/>
    </row>
    <row r="81">
      <c r="A81" s="5"/>
      <c r="B81" s="5"/>
      <c r="C81" s="73"/>
      <c r="D81" s="73"/>
      <c r="E81" s="5"/>
      <c r="F81" s="5"/>
      <c r="G81" s="5"/>
      <c r="H81" s="5"/>
      <c r="I81" s="73"/>
      <c r="J81" s="5"/>
      <c r="K81" s="5"/>
      <c r="L81" s="73"/>
      <c r="M81" s="5"/>
      <c r="N81" s="5"/>
      <c r="O81" s="5"/>
      <c r="P81" s="5"/>
      <c r="Q81" s="5"/>
      <c r="R81" s="5"/>
      <c r="S81" s="5"/>
      <c r="T81" s="5"/>
      <c r="U81" s="5"/>
      <c r="V81" s="5"/>
      <c r="W81" s="5"/>
      <c r="X81" s="5"/>
      <c r="Y81" s="5"/>
      <c r="Z81" s="5"/>
      <c r="AA81" s="5"/>
      <c r="AB81" s="5"/>
      <c r="AC81" s="5"/>
      <c r="AD81" s="6"/>
    </row>
    <row r="82">
      <c r="A82" s="5"/>
      <c r="B82" s="5"/>
      <c r="C82" s="73"/>
      <c r="D82" s="73"/>
      <c r="E82" s="5"/>
      <c r="F82" s="5"/>
      <c r="G82" s="5"/>
      <c r="H82" s="5"/>
      <c r="I82" s="73"/>
      <c r="J82" s="5"/>
      <c r="K82" s="5"/>
      <c r="L82" s="73"/>
      <c r="M82" s="5"/>
      <c r="N82" s="5"/>
      <c r="O82" s="5"/>
      <c r="P82" s="5"/>
      <c r="Q82" s="5"/>
      <c r="R82" s="5"/>
      <c r="S82" s="5"/>
      <c r="T82" s="5"/>
      <c r="U82" s="5"/>
      <c r="V82" s="5"/>
      <c r="W82" s="5"/>
      <c r="X82" s="5"/>
      <c r="Y82" s="5"/>
      <c r="Z82" s="5"/>
      <c r="AA82" s="5"/>
      <c r="AB82" s="5"/>
      <c r="AC82" s="5"/>
      <c r="AD82" s="6"/>
    </row>
    <row r="83">
      <c r="A83" s="5"/>
      <c r="B83" s="5"/>
      <c r="C83" s="73"/>
      <c r="D83" s="73"/>
      <c r="E83" s="5"/>
      <c r="F83" s="5"/>
      <c r="G83" s="5"/>
      <c r="H83" s="5"/>
      <c r="I83" s="73"/>
      <c r="J83" s="5"/>
      <c r="K83" s="5"/>
      <c r="L83" s="73"/>
      <c r="M83" s="5"/>
      <c r="N83" s="5"/>
      <c r="O83" s="5"/>
      <c r="P83" s="5"/>
      <c r="Q83" s="5"/>
      <c r="R83" s="5"/>
      <c r="S83" s="5"/>
      <c r="T83" s="5"/>
      <c r="U83" s="5"/>
      <c r="V83" s="5"/>
      <c r="W83" s="5"/>
      <c r="X83" s="5"/>
      <c r="Y83" s="5"/>
      <c r="Z83" s="5"/>
      <c r="AA83" s="5"/>
      <c r="AB83" s="5"/>
      <c r="AC83" s="5"/>
      <c r="AD83" s="6"/>
    </row>
    <row r="84">
      <c r="A84" s="5"/>
      <c r="B84" s="5"/>
      <c r="C84" s="73"/>
      <c r="D84" s="73"/>
      <c r="E84" s="5"/>
      <c r="F84" s="5"/>
      <c r="G84" s="5"/>
      <c r="H84" s="5"/>
      <c r="I84" s="73"/>
      <c r="J84" s="5"/>
      <c r="K84" s="5"/>
      <c r="L84" s="73"/>
      <c r="M84" s="5"/>
      <c r="N84" s="5"/>
      <c r="O84" s="5"/>
      <c r="P84" s="5"/>
      <c r="Q84" s="5"/>
      <c r="R84" s="5"/>
      <c r="S84" s="5"/>
      <c r="T84" s="5"/>
      <c r="U84" s="5"/>
      <c r="V84" s="5"/>
      <c r="W84" s="5"/>
      <c r="X84" s="5"/>
      <c r="Y84" s="5"/>
      <c r="Z84" s="5"/>
      <c r="AA84" s="5"/>
      <c r="AB84" s="5"/>
      <c r="AC84" s="5"/>
      <c r="AD84" s="6"/>
    </row>
    <row r="85">
      <c r="A85" s="5"/>
      <c r="B85" s="5"/>
      <c r="C85" s="73"/>
      <c r="D85" s="73"/>
      <c r="E85" s="5"/>
      <c r="F85" s="5"/>
      <c r="G85" s="5"/>
      <c r="H85" s="5"/>
      <c r="I85" s="73"/>
      <c r="J85" s="5"/>
      <c r="K85" s="5"/>
      <c r="L85" s="73"/>
      <c r="M85" s="5"/>
      <c r="N85" s="5"/>
      <c r="O85" s="5"/>
      <c r="P85" s="5"/>
      <c r="Q85" s="5"/>
      <c r="R85" s="5"/>
      <c r="S85" s="5"/>
      <c r="T85" s="5"/>
      <c r="U85" s="5"/>
      <c r="V85" s="5"/>
      <c r="W85" s="5"/>
      <c r="X85" s="5"/>
      <c r="Y85" s="5"/>
      <c r="Z85" s="5"/>
      <c r="AA85" s="5"/>
      <c r="AB85" s="5"/>
      <c r="AC85" s="5"/>
      <c r="AD85" s="6"/>
    </row>
    <row r="86">
      <c r="A86" s="5"/>
      <c r="B86" s="5"/>
      <c r="C86" s="73"/>
      <c r="D86" s="73"/>
      <c r="E86" s="5"/>
      <c r="F86" s="5"/>
      <c r="G86" s="5"/>
      <c r="H86" s="5"/>
      <c r="I86" s="73"/>
      <c r="J86" s="5"/>
      <c r="K86" s="5"/>
      <c r="L86" s="73"/>
      <c r="M86" s="5"/>
      <c r="N86" s="5"/>
      <c r="O86" s="5"/>
      <c r="P86" s="5"/>
      <c r="Q86" s="5"/>
      <c r="R86" s="5"/>
      <c r="S86" s="5"/>
      <c r="T86" s="5"/>
      <c r="U86" s="5"/>
      <c r="V86" s="5"/>
      <c r="W86" s="5"/>
      <c r="X86" s="5"/>
      <c r="Y86" s="5"/>
      <c r="Z86" s="5"/>
      <c r="AA86" s="5"/>
      <c r="AB86" s="5"/>
      <c r="AC86" s="5"/>
      <c r="AD86" s="6"/>
    </row>
    <row r="87">
      <c r="A87" s="5"/>
      <c r="B87" s="5"/>
      <c r="C87" s="73"/>
      <c r="D87" s="73"/>
      <c r="E87" s="5"/>
      <c r="F87" s="5"/>
      <c r="G87" s="5"/>
      <c r="H87" s="5"/>
      <c r="I87" s="73"/>
      <c r="J87" s="5"/>
      <c r="K87" s="5"/>
      <c r="L87" s="73"/>
      <c r="M87" s="5"/>
      <c r="N87" s="5"/>
      <c r="O87" s="5"/>
      <c r="P87" s="5"/>
      <c r="Q87" s="5"/>
      <c r="R87" s="5"/>
      <c r="S87" s="5"/>
      <c r="T87" s="5"/>
      <c r="U87" s="5"/>
      <c r="V87" s="5"/>
      <c r="W87" s="5"/>
      <c r="X87" s="5"/>
      <c r="Y87" s="5"/>
      <c r="Z87" s="5"/>
      <c r="AA87" s="5"/>
      <c r="AB87" s="5"/>
      <c r="AC87" s="5"/>
      <c r="AD87" s="6"/>
    </row>
    <row r="88">
      <c r="A88" s="5"/>
      <c r="B88" s="5"/>
      <c r="C88" s="73"/>
      <c r="D88" s="73"/>
      <c r="E88" s="5"/>
      <c r="F88" s="5"/>
      <c r="G88" s="5"/>
      <c r="H88" s="5"/>
      <c r="I88" s="73"/>
      <c r="J88" s="5"/>
      <c r="K88" s="5"/>
      <c r="L88" s="73"/>
      <c r="M88" s="5"/>
      <c r="N88" s="5"/>
      <c r="O88" s="5"/>
      <c r="P88" s="5"/>
      <c r="Q88" s="5"/>
      <c r="R88" s="5"/>
      <c r="S88" s="5"/>
      <c r="T88" s="5"/>
      <c r="U88" s="5"/>
      <c r="V88" s="5"/>
      <c r="W88" s="5"/>
      <c r="X88" s="5"/>
      <c r="Y88" s="5"/>
      <c r="Z88" s="5"/>
      <c r="AA88" s="5"/>
      <c r="AB88" s="5"/>
      <c r="AC88" s="5"/>
      <c r="AD88" s="6"/>
    </row>
    <row r="89">
      <c r="A89" s="5"/>
      <c r="B89" s="5"/>
      <c r="C89" s="73"/>
      <c r="D89" s="73"/>
      <c r="E89" s="5"/>
      <c r="F89" s="5"/>
      <c r="G89" s="5"/>
      <c r="H89" s="5"/>
      <c r="I89" s="73"/>
      <c r="J89" s="5"/>
      <c r="K89" s="5"/>
      <c r="L89" s="73"/>
      <c r="M89" s="5"/>
      <c r="N89" s="5"/>
      <c r="O89" s="5"/>
      <c r="P89" s="5"/>
      <c r="Q89" s="5"/>
      <c r="R89" s="5"/>
      <c r="S89" s="5"/>
      <c r="T89" s="5"/>
      <c r="U89" s="5"/>
      <c r="V89" s="5"/>
      <c r="W89" s="5"/>
      <c r="X89" s="5"/>
      <c r="Y89" s="5"/>
      <c r="Z89" s="5"/>
      <c r="AA89" s="5"/>
      <c r="AB89" s="5"/>
      <c r="AC89" s="5"/>
      <c r="AD89" s="6"/>
    </row>
    <row r="90">
      <c r="A90" s="5"/>
      <c r="B90" s="5"/>
      <c r="C90" s="73"/>
      <c r="D90" s="73"/>
      <c r="E90" s="5"/>
      <c r="F90" s="5"/>
      <c r="G90" s="5"/>
      <c r="H90" s="5"/>
      <c r="I90" s="73"/>
      <c r="J90" s="5"/>
      <c r="K90" s="5"/>
      <c r="L90" s="73"/>
      <c r="M90" s="5"/>
      <c r="N90" s="5"/>
      <c r="O90" s="5"/>
      <c r="P90" s="5"/>
      <c r="Q90" s="5"/>
      <c r="R90" s="5"/>
      <c r="S90" s="5"/>
      <c r="T90" s="5"/>
      <c r="U90" s="5"/>
      <c r="V90" s="5"/>
      <c r="W90" s="5"/>
      <c r="X90" s="5"/>
      <c r="Y90" s="5"/>
      <c r="Z90" s="5"/>
      <c r="AA90" s="5"/>
      <c r="AB90" s="5"/>
      <c r="AC90" s="5"/>
      <c r="AD90" s="6"/>
    </row>
    <row r="91">
      <c r="A91" s="5"/>
      <c r="B91" s="5"/>
      <c r="C91" s="73"/>
      <c r="D91" s="73"/>
      <c r="E91" s="5"/>
      <c r="F91" s="5"/>
      <c r="G91" s="5"/>
      <c r="H91" s="5"/>
      <c r="I91" s="73"/>
      <c r="J91" s="5"/>
      <c r="K91" s="5"/>
      <c r="L91" s="73"/>
      <c r="M91" s="5"/>
      <c r="N91" s="5"/>
      <c r="O91" s="5"/>
      <c r="P91" s="5"/>
      <c r="Q91" s="5"/>
      <c r="R91" s="5"/>
      <c r="S91" s="5"/>
      <c r="T91" s="5"/>
      <c r="U91" s="5"/>
      <c r="V91" s="5"/>
      <c r="W91" s="5"/>
      <c r="X91" s="5"/>
      <c r="Y91" s="5"/>
      <c r="Z91" s="5"/>
      <c r="AA91" s="5"/>
      <c r="AB91" s="5"/>
      <c r="AC91" s="5"/>
      <c r="AD91" s="6"/>
    </row>
    <row r="92">
      <c r="A92" s="5"/>
      <c r="B92" s="5"/>
      <c r="C92" s="73"/>
      <c r="D92" s="73"/>
      <c r="E92" s="5"/>
      <c r="F92" s="5"/>
      <c r="G92" s="5"/>
      <c r="H92" s="5"/>
      <c r="I92" s="73"/>
      <c r="J92" s="5"/>
      <c r="K92" s="5"/>
      <c r="L92" s="73"/>
      <c r="M92" s="5"/>
      <c r="N92" s="5"/>
      <c r="O92" s="5"/>
      <c r="P92" s="5"/>
      <c r="Q92" s="5"/>
      <c r="R92" s="5"/>
      <c r="S92" s="5"/>
      <c r="T92" s="5"/>
      <c r="U92" s="5"/>
      <c r="V92" s="5"/>
      <c r="W92" s="5"/>
      <c r="X92" s="5"/>
      <c r="Y92" s="5"/>
      <c r="Z92" s="5"/>
      <c r="AA92" s="5"/>
      <c r="AB92" s="5"/>
      <c r="AC92" s="5"/>
      <c r="AD92" s="6"/>
    </row>
    <row r="93">
      <c r="A93" s="5"/>
      <c r="B93" s="5"/>
      <c r="C93" s="73"/>
      <c r="D93" s="73"/>
      <c r="E93" s="5"/>
      <c r="F93" s="5"/>
      <c r="G93" s="5"/>
      <c r="H93" s="5"/>
      <c r="I93" s="73"/>
      <c r="J93" s="5"/>
      <c r="K93" s="5"/>
      <c r="L93" s="73"/>
      <c r="M93" s="5"/>
      <c r="N93" s="5"/>
      <c r="O93" s="5"/>
      <c r="P93" s="5"/>
      <c r="Q93" s="5"/>
      <c r="R93" s="5"/>
      <c r="S93" s="5"/>
      <c r="T93" s="5"/>
      <c r="U93" s="5"/>
      <c r="V93" s="5"/>
      <c r="W93" s="5"/>
      <c r="X93" s="5"/>
      <c r="Y93" s="5"/>
      <c r="Z93" s="5"/>
      <c r="AA93" s="5"/>
      <c r="AB93" s="5"/>
      <c r="AC93" s="5"/>
      <c r="AD93" s="6"/>
    </row>
    <row r="94">
      <c r="A94" s="5"/>
      <c r="B94" s="5"/>
      <c r="C94" s="73"/>
      <c r="D94" s="73"/>
      <c r="E94" s="5"/>
      <c r="F94" s="5"/>
      <c r="G94" s="5"/>
      <c r="H94" s="5"/>
      <c r="I94" s="73"/>
      <c r="J94" s="5"/>
      <c r="K94" s="5"/>
      <c r="L94" s="73"/>
      <c r="M94" s="5"/>
      <c r="N94" s="5"/>
      <c r="O94" s="5"/>
      <c r="P94" s="5"/>
      <c r="Q94" s="5"/>
      <c r="R94" s="5"/>
      <c r="S94" s="5"/>
      <c r="T94" s="5"/>
      <c r="U94" s="5"/>
      <c r="V94" s="5"/>
      <c r="W94" s="5"/>
      <c r="X94" s="5"/>
      <c r="Y94" s="5"/>
      <c r="Z94" s="5"/>
      <c r="AA94" s="5"/>
      <c r="AB94" s="5"/>
      <c r="AC94" s="5"/>
      <c r="AD94" s="6"/>
    </row>
    <row r="95">
      <c r="A95" s="5"/>
      <c r="B95" s="5"/>
      <c r="C95" s="73"/>
      <c r="D95" s="73"/>
      <c r="E95" s="5"/>
      <c r="F95" s="5"/>
      <c r="G95" s="5"/>
      <c r="H95" s="5"/>
      <c r="I95" s="73"/>
      <c r="J95" s="5"/>
      <c r="K95" s="5"/>
      <c r="L95" s="73"/>
      <c r="M95" s="5"/>
      <c r="N95" s="5"/>
      <c r="O95" s="5"/>
      <c r="P95" s="5"/>
      <c r="Q95" s="5"/>
      <c r="R95" s="5"/>
      <c r="S95" s="5"/>
      <c r="T95" s="5"/>
      <c r="U95" s="5"/>
      <c r="V95" s="5"/>
      <c r="W95" s="5"/>
      <c r="X95" s="5"/>
      <c r="Y95" s="5"/>
      <c r="Z95" s="5"/>
      <c r="AA95" s="5"/>
      <c r="AB95" s="5"/>
      <c r="AC95" s="5"/>
      <c r="AD95" s="6"/>
    </row>
    <row r="96">
      <c r="A96" s="5"/>
      <c r="B96" s="5"/>
      <c r="C96" s="73"/>
      <c r="D96" s="73"/>
      <c r="E96" s="5"/>
      <c r="F96" s="5"/>
      <c r="G96" s="5"/>
      <c r="H96" s="5"/>
      <c r="I96" s="73"/>
      <c r="J96" s="5"/>
      <c r="K96" s="5"/>
      <c r="L96" s="73"/>
      <c r="M96" s="5"/>
      <c r="N96" s="5"/>
      <c r="O96" s="5"/>
      <c r="P96" s="5"/>
      <c r="Q96" s="5"/>
      <c r="R96" s="5"/>
      <c r="S96" s="5"/>
      <c r="T96" s="5"/>
      <c r="U96" s="5"/>
      <c r="V96" s="5"/>
      <c r="W96" s="5"/>
      <c r="X96" s="5"/>
      <c r="Y96" s="5"/>
      <c r="Z96" s="5"/>
      <c r="AA96" s="5"/>
      <c r="AB96" s="5"/>
      <c r="AC96" s="5"/>
      <c r="AD96" s="6"/>
    </row>
    <row r="97">
      <c r="A97" s="5"/>
      <c r="B97" s="5"/>
      <c r="C97" s="73"/>
      <c r="D97" s="73"/>
      <c r="E97" s="5"/>
      <c r="F97" s="5"/>
      <c r="G97" s="5"/>
      <c r="H97" s="5"/>
      <c r="I97" s="73"/>
      <c r="J97" s="5"/>
      <c r="K97" s="5"/>
      <c r="L97" s="73"/>
      <c r="M97" s="5"/>
      <c r="N97" s="5"/>
      <c r="O97" s="5"/>
      <c r="P97" s="5"/>
      <c r="Q97" s="5"/>
      <c r="R97" s="5"/>
      <c r="S97" s="5"/>
      <c r="T97" s="5"/>
      <c r="U97" s="5"/>
      <c r="V97" s="5"/>
      <c r="W97" s="5"/>
      <c r="X97" s="5"/>
      <c r="Y97" s="5"/>
      <c r="Z97" s="5"/>
      <c r="AA97" s="5"/>
      <c r="AB97" s="5"/>
      <c r="AC97" s="5"/>
      <c r="AD97" s="6"/>
    </row>
    <row r="98">
      <c r="A98" s="5"/>
      <c r="B98" s="5"/>
      <c r="C98" s="73"/>
      <c r="D98" s="73"/>
      <c r="E98" s="5"/>
      <c r="F98" s="5"/>
      <c r="G98" s="5"/>
      <c r="H98" s="5"/>
      <c r="I98" s="73"/>
      <c r="J98" s="5"/>
      <c r="K98" s="5"/>
      <c r="L98" s="73"/>
      <c r="M98" s="5"/>
      <c r="N98" s="5"/>
      <c r="O98" s="5"/>
      <c r="P98" s="5"/>
      <c r="Q98" s="5"/>
      <c r="R98" s="5"/>
      <c r="S98" s="5"/>
      <c r="T98" s="5"/>
      <c r="U98" s="5"/>
      <c r="V98" s="5"/>
      <c r="W98" s="5"/>
      <c r="X98" s="5"/>
      <c r="Y98" s="5"/>
      <c r="Z98" s="5"/>
      <c r="AA98" s="5"/>
      <c r="AB98" s="5"/>
      <c r="AC98" s="5"/>
      <c r="AD98" s="6"/>
    </row>
    <row r="99">
      <c r="A99" s="5"/>
      <c r="B99" s="5"/>
      <c r="C99" s="73"/>
      <c r="D99" s="73"/>
      <c r="E99" s="5"/>
      <c r="F99" s="5"/>
      <c r="G99" s="5"/>
      <c r="H99" s="5"/>
      <c r="I99" s="73"/>
      <c r="J99" s="5"/>
      <c r="K99" s="5"/>
      <c r="L99" s="73"/>
      <c r="M99" s="5"/>
      <c r="N99" s="5"/>
      <c r="O99" s="5"/>
      <c r="P99" s="5"/>
      <c r="Q99" s="5"/>
      <c r="R99" s="5"/>
      <c r="S99" s="5"/>
      <c r="T99" s="5"/>
      <c r="U99" s="5"/>
      <c r="V99" s="5"/>
      <c r="W99" s="5"/>
      <c r="X99" s="5"/>
      <c r="Y99" s="5"/>
      <c r="Z99" s="5"/>
      <c r="AA99" s="5"/>
      <c r="AB99" s="5"/>
      <c r="AC99" s="5"/>
      <c r="AD99" s="6"/>
    </row>
    <row r="100">
      <c r="A100" s="5"/>
      <c r="B100" s="5"/>
      <c r="C100" s="73"/>
      <c r="D100" s="73"/>
      <c r="E100" s="5"/>
      <c r="F100" s="5"/>
      <c r="G100" s="5"/>
      <c r="H100" s="5"/>
      <c r="I100" s="73"/>
      <c r="J100" s="5"/>
      <c r="K100" s="5"/>
      <c r="L100" s="73"/>
      <c r="M100" s="5"/>
      <c r="N100" s="5"/>
      <c r="O100" s="5"/>
      <c r="P100" s="5"/>
      <c r="Q100" s="5"/>
      <c r="R100" s="5"/>
      <c r="S100" s="5"/>
      <c r="T100" s="5"/>
      <c r="U100" s="5"/>
      <c r="V100" s="5"/>
      <c r="W100" s="5"/>
      <c r="X100" s="5"/>
      <c r="Y100" s="5"/>
      <c r="Z100" s="5"/>
      <c r="AA100" s="5"/>
      <c r="AB100" s="5"/>
      <c r="AC100" s="5"/>
      <c r="AD100" s="6"/>
    </row>
    <row r="101">
      <c r="A101" s="5"/>
      <c r="B101" s="5"/>
      <c r="C101" s="73"/>
      <c r="D101" s="73"/>
      <c r="E101" s="5"/>
      <c r="F101" s="5"/>
      <c r="G101" s="5"/>
      <c r="H101" s="5"/>
      <c r="I101" s="73"/>
      <c r="J101" s="5"/>
      <c r="K101" s="5"/>
      <c r="L101" s="73"/>
      <c r="M101" s="5"/>
      <c r="N101" s="5"/>
      <c r="O101" s="5"/>
      <c r="P101" s="5"/>
      <c r="Q101" s="5"/>
      <c r="R101" s="5"/>
      <c r="S101" s="5"/>
      <c r="T101" s="5"/>
      <c r="U101" s="5"/>
      <c r="V101" s="5"/>
      <c r="W101" s="5"/>
      <c r="X101" s="5"/>
      <c r="Y101" s="5"/>
      <c r="Z101" s="5"/>
      <c r="AA101" s="5"/>
      <c r="AB101" s="5"/>
      <c r="AC101" s="5"/>
      <c r="AD101" s="6"/>
    </row>
    <row r="102">
      <c r="A102" s="5"/>
      <c r="B102" s="5"/>
      <c r="C102" s="73"/>
      <c r="D102" s="73"/>
      <c r="E102" s="5"/>
      <c r="F102" s="5"/>
      <c r="G102" s="5"/>
      <c r="H102" s="5"/>
      <c r="I102" s="73"/>
      <c r="J102" s="5"/>
      <c r="K102" s="5"/>
      <c r="L102" s="73"/>
      <c r="M102" s="5"/>
      <c r="N102" s="5"/>
      <c r="O102" s="5"/>
      <c r="P102" s="5"/>
      <c r="Q102" s="5"/>
      <c r="R102" s="5"/>
      <c r="S102" s="5"/>
      <c r="T102" s="5"/>
      <c r="U102" s="5"/>
      <c r="V102" s="5"/>
      <c r="W102" s="5"/>
      <c r="X102" s="5"/>
      <c r="Y102" s="5"/>
      <c r="Z102" s="5"/>
      <c r="AA102" s="5"/>
      <c r="AB102" s="5"/>
      <c r="AC102" s="5"/>
      <c r="AD102" s="6"/>
    </row>
    <row r="103">
      <c r="A103" s="5"/>
      <c r="B103" s="5"/>
      <c r="C103" s="73"/>
      <c r="D103" s="73"/>
      <c r="E103" s="5"/>
      <c r="F103" s="5"/>
      <c r="G103" s="5"/>
      <c r="H103" s="5"/>
      <c r="I103" s="73"/>
      <c r="J103" s="5"/>
      <c r="K103" s="5"/>
      <c r="L103" s="73"/>
      <c r="M103" s="5"/>
      <c r="N103" s="5"/>
      <c r="O103" s="5"/>
      <c r="P103" s="5"/>
      <c r="Q103" s="5"/>
      <c r="R103" s="5"/>
      <c r="S103" s="5"/>
      <c r="T103" s="5"/>
      <c r="U103" s="5"/>
      <c r="V103" s="5"/>
      <c r="W103" s="5"/>
      <c r="X103" s="5"/>
      <c r="Y103" s="5"/>
      <c r="Z103" s="5"/>
      <c r="AA103" s="5"/>
      <c r="AB103" s="5"/>
      <c r="AC103" s="5"/>
      <c r="AD103" s="6"/>
    </row>
    <row r="104">
      <c r="A104" s="5"/>
      <c r="B104" s="5"/>
      <c r="C104" s="73"/>
      <c r="D104" s="73"/>
      <c r="E104" s="5"/>
      <c r="F104" s="5"/>
      <c r="G104" s="5"/>
      <c r="H104" s="5"/>
      <c r="I104" s="73"/>
      <c r="J104" s="5"/>
      <c r="K104" s="5"/>
      <c r="L104" s="73"/>
      <c r="M104" s="5"/>
      <c r="N104" s="5"/>
      <c r="O104" s="5"/>
      <c r="P104" s="5"/>
      <c r="Q104" s="5"/>
      <c r="R104" s="5"/>
      <c r="S104" s="5"/>
      <c r="T104" s="5"/>
      <c r="U104" s="5"/>
      <c r="V104" s="5"/>
      <c r="W104" s="5"/>
      <c r="X104" s="5"/>
      <c r="Y104" s="5"/>
      <c r="Z104" s="5"/>
      <c r="AA104" s="5"/>
      <c r="AB104" s="5"/>
      <c r="AC104" s="5"/>
      <c r="AD104" s="6"/>
    </row>
    <row r="105">
      <c r="A105" s="5"/>
      <c r="B105" s="5"/>
      <c r="C105" s="73"/>
      <c r="D105" s="73"/>
      <c r="E105" s="5"/>
      <c r="F105" s="5"/>
      <c r="G105" s="5"/>
      <c r="H105" s="5"/>
      <c r="I105" s="73"/>
      <c r="J105" s="5"/>
      <c r="K105" s="5"/>
      <c r="L105" s="73"/>
      <c r="M105" s="5"/>
      <c r="N105" s="5"/>
      <c r="O105" s="5"/>
      <c r="P105" s="5"/>
      <c r="Q105" s="5"/>
      <c r="R105" s="5"/>
      <c r="S105" s="5"/>
      <c r="T105" s="5"/>
      <c r="U105" s="5"/>
      <c r="V105" s="5"/>
      <c r="W105" s="5"/>
      <c r="X105" s="5"/>
      <c r="Y105" s="5"/>
      <c r="Z105" s="5"/>
      <c r="AA105" s="5"/>
      <c r="AB105" s="5"/>
      <c r="AC105" s="5"/>
      <c r="AD105" s="6"/>
    </row>
    <row r="106">
      <c r="A106" s="5"/>
      <c r="B106" s="5"/>
      <c r="C106" s="73"/>
      <c r="D106" s="73"/>
      <c r="E106" s="5"/>
      <c r="F106" s="5"/>
      <c r="G106" s="5"/>
      <c r="H106" s="5"/>
      <c r="I106" s="73"/>
      <c r="J106" s="5"/>
      <c r="K106" s="5"/>
      <c r="L106" s="73"/>
      <c r="M106" s="5"/>
      <c r="N106" s="5"/>
      <c r="O106" s="5"/>
      <c r="P106" s="5"/>
      <c r="Q106" s="5"/>
      <c r="R106" s="5"/>
      <c r="S106" s="5"/>
      <c r="T106" s="5"/>
      <c r="U106" s="5"/>
      <c r="V106" s="5"/>
      <c r="W106" s="5"/>
      <c r="X106" s="5"/>
      <c r="Y106" s="5"/>
      <c r="Z106" s="5"/>
      <c r="AA106" s="5"/>
      <c r="AB106" s="5"/>
      <c r="AC106" s="5"/>
      <c r="AD106" s="6"/>
    </row>
    <row r="107">
      <c r="A107" s="5"/>
      <c r="B107" s="5"/>
      <c r="C107" s="73"/>
      <c r="D107" s="73"/>
      <c r="E107" s="5"/>
      <c r="F107" s="5"/>
      <c r="G107" s="5"/>
      <c r="H107" s="5"/>
      <c r="I107" s="73"/>
      <c r="J107" s="5"/>
      <c r="K107" s="5"/>
      <c r="L107" s="73"/>
      <c r="M107" s="5"/>
      <c r="N107" s="5"/>
      <c r="O107" s="5"/>
      <c r="P107" s="5"/>
      <c r="Q107" s="5"/>
      <c r="R107" s="5"/>
      <c r="S107" s="5"/>
      <c r="T107" s="5"/>
      <c r="U107" s="5"/>
      <c r="V107" s="5"/>
      <c r="W107" s="5"/>
      <c r="X107" s="5"/>
      <c r="Y107" s="5"/>
      <c r="Z107" s="5"/>
      <c r="AA107" s="5"/>
      <c r="AB107" s="5"/>
      <c r="AC107" s="5"/>
      <c r="AD107" s="6"/>
    </row>
    <row r="108">
      <c r="A108" s="5"/>
      <c r="B108" s="5"/>
      <c r="C108" s="73"/>
      <c r="D108" s="73"/>
      <c r="E108" s="5"/>
      <c r="F108" s="5"/>
      <c r="G108" s="5"/>
      <c r="H108" s="5"/>
      <c r="I108" s="73"/>
      <c r="J108" s="5"/>
      <c r="K108" s="5"/>
      <c r="L108" s="73"/>
      <c r="M108" s="5"/>
      <c r="N108" s="5"/>
      <c r="O108" s="5"/>
      <c r="P108" s="5"/>
      <c r="Q108" s="5"/>
      <c r="R108" s="5"/>
      <c r="S108" s="5"/>
      <c r="T108" s="5"/>
      <c r="U108" s="5"/>
      <c r="V108" s="5"/>
      <c r="W108" s="5"/>
      <c r="X108" s="5"/>
      <c r="Y108" s="5"/>
      <c r="Z108" s="5"/>
      <c r="AA108" s="5"/>
      <c r="AB108" s="5"/>
      <c r="AC108" s="5"/>
      <c r="AD108" s="6"/>
    </row>
    <row r="109">
      <c r="A109" s="5"/>
      <c r="B109" s="5"/>
      <c r="C109" s="73"/>
      <c r="D109" s="73"/>
      <c r="E109" s="5"/>
      <c r="F109" s="5"/>
      <c r="G109" s="5"/>
      <c r="H109" s="5"/>
      <c r="I109" s="73"/>
      <c r="J109" s="5"/>
      <c r="K109" s="5"/>
      <c r="L109" s="73"/>
      <c r="M109" s="5"/>
      <c r="N109" s="5"/>
      <c r="O109" s="5"/>
      <c r="P109" s="5"/>
      <c r="Q109" s="5"/>
      <c r="R109" s="5"/>
      <c r="S109" s="5"/>
      <c r="T109" s="5"/>
      <c r="U109" s="5"/>
      <c r="V109" s="5"/>
      <c r="W109" s="5"/>
      <c r="X109" s="5"/>
      <c r="Y109" s="5"/>
      <c r="Z109" s="5"/>
      <c r="AA109" s="5"/>
      <c r="AB109" s="5"/>
      <c r="AC109" s="5"/>
      <c r="AD109" s="6"/>
    </row>
    <row r="110">
      <c r="A110" s="5"/>
      <c r="B110" s="5"/>
      <c r="C110" s="73"/>
      <c r="D110" s="73"/>
      <c r="E110" s="5"/>
      <c r="F110" s="5"/>
      <c r="G110" s="5"/>
      <c r="H110" s="5"/>
      <c r="I110" s="73"/>
      <c r="J110" s="5"/>
      <c r="K110" s="5"/>
      <c r="L110" s="73"/>
      <c r="M110" s="5"/>
      <c r="N110" s="5"/>
      <c r="O110" s="5"/>
      <c r="P110" s="5"/>
      <c r="Q110" s="5"/>
      <c r="R110" s="5"/>
      <c r="S110" s="5"/>
      <c r="T110" s="5"/>
      <c r="U110" s="5"/>
      <c r="V110" s="5"/>
      <c r="W110" s="5"/>
      <c r="X110" s="5"/>
      <c r="Y110" s="5"/>
      <c r="Z110" s="5"/>
      <c r="AA110" s="5"/>
      <c r="AB110" s="5"/>
      <c r="AC110" s="5"/>
      <c r="AD110" s="6"/>
    </row>
    <row r="111">
      <c r="A111" s="5"/>
      <c r="B111" s="5"/>
      <c r="C111" s="73"/>
      <c r="D111" s="73"/>
      <c r="E111" s="5"/>
      <c r="F111" s="5"/>
      <c r="G111" s="5"/>
      <c r="H111" s="5"/>
      <c r="I111" s="73"/>
      <c r="J111" s="5"/>
      <c r="K111" s="5"/>
      <c r="L111" s="73"/>
      <c r="M111" s="5"/>
      <c r="N111" s="5"/>
      <c r="O111" s="5"/>
      <c r="P111" s="5"/>
      <c r="Q111" s="5"/>
      <c r="R111" s="5"/>
      <c r="S111" s="5"/>
      <c r="T111" s="5"/>
      <c r="U111" s="5"/>
      <c r="V111" s="5"/>
      <c r="W111" s="5"/>
      <c r="X111" s="5"/>
      <c r="Y111" s="5"/>
      <c r="Z111" s="5"/>
      <c r="AA111" s="5"/>
      <c r="AB111" s="5"/>
      <c r="AC111" s="5"/>
      <c r="AD111" s="6"/>
    </row>
    <row r="112">
      <c r="A112" s="5"/>
      <c r="B112" s="5"/>
      <c r="C112" s="73"/>
      <c r="D112" s="73"/>
      <c r="E112" s="5"/>
      <c r="F112" s="5"/>
      <c r="G112" s="5"/>
      <c r="H112" s="5"/>
      <c r="I112" s="73"/>
      <c r="J112" s="5"/>
      <c r="K112" s="5"/>
      <c r="L112" s="73"/>
      <c r="M112" s="5"/>
      <c r="N112" s="5"/>
      <c r="O112" s="5"/>
      <c r="P112" s="5"/>
      <c r="Q112" s="5"/>
      <c r="R112" s="5"/>
      <c r="S112" s="5"/>
      <c r="T112" s="5"/>
      <c r="U112" s="5"/>
      <c r="V112" s="5"/>
      <c r="W112" s="5"/>
      <c r="X112" s="5"/>
      <c r="Y112" s="5"/>
      <c r="Z112" s="5"/>
      <c r="AA112" s="5"/>
      <c r="AB112" s="5"/>
      <c r="AC112" s="5"/>
      <c r="AD112" s="6"/>
    </row>
    <row r="113">
      <c r="A113" s="5"/>
      <c r="B113" s="5"/>
      <c r="C113" s="73"/>
      <c r="D113" s="73"/>
      <c r="E113" s="5"/>
      <c r="F113" s="5"/>
      <c r="G113" s="5"/>
      <c r="H113" s="5"/>
      <c r="I113" s="73"/>
      <c r="J113" s="5"/>
      <c r="K113" s="5"/>
      <c r="L113" s="73"/>
      <c r="M113" s="5"/>
      <c r="N113" s="5"/>
      <c r="O113" s="5"/>
      <c r="P113" s="5"/>
      <c r="Q113" s="5"/>
      <c r="R113" s="5"/>
      <c r="S113" s="5"/>
      <c r="T113" s="5"/>
      <c r="U113" s="5"/>
      <c r="V113" s="5"/>
      <c r="W113" s="5"/>
      <c r="X113" s="5"/>
      <c r="Y113" s="5"/>
      <c r="Z113" s="5"/>
      <c r="AA113" s="5"/>
      <c r="AB113" s="5"/>
      <c r="AC113" s="5"/>
      <c r="AD113" s="6"/>
    </row>
    <row r="114">
      <c r="A114" s="5"/>
      <c r="B114" s="5"/>
      <c r="C114" s="73"/>
      <c r="D114" s="73"/>
      <c r="E114" s="5"/>
      <c r="F114" s="5"/>
      <c r="G114" s="5"/>
      <c r="H114" s="5"/>
      <c r="I114" s="73"/>
      <c r="J114" s="5"/>
      <c r="K114" s="5"/>
      <c r="L114" s="73"/>
      <c r="M114" s="5"/>
      <c r="N114" s="5"/>
      <c r="O114" s="5"/>
      <c r="P114" s="5"/>
      <c r="Q114" s="5"/>
      <c r="R114" s="5"/>
      <c r="S114" s="5"/>
      <c r="T114" s="5"/>
      <c r="U114" s="5"/>
      <c r="V114" s="5"/>
      <c r="W114" s="5"/>
      <c r="X114" s="5"/>
      <c r="Y114" s="5"/>
      <c r="Z114" s="5"/>
      <c r="AA114" s="5"/>
      <c r="AB114" s="5"/>
      <c r="AC114" s="5"/>
      <c r="AD114" s="6"/>
    </row>
    <row r="115">
      <c r="A115" s="5"/>
      <c r="B115" s="5"/>
      <c r="C115" s="73"/>
      <c r="D115" s="73"/>
      <c r="E115" s="5"/>
      <c r="F115" s="5"/>
      <c r="G115" s="5"/>
      <c r="H115" s="5"/>
      <c r="I115" s="73"/>
      <c r="J115" s="5"/>
      <c r="K115" s="5"/>
      <c r="L115" s="73"/>
      <c r="M115" s="5"/>
      <c r="N115" s="5"/>
      <c r="O115" s="5"/>
      <c r="P115" s="5"/>
      <c r="Q115" s="5"/>
      <c r="R115" s="5"/>
      <c r="S115" s="5"/>
      <c r="T115" s="5"/>
      <c r="U115" s="5"/>
      <c r="V115" s="5"/>
      <c r="W115" s="5"/>
      <c r="X115" s="5"/>
      <c r="Y115" s="5"/>
      <c r="Z115" s="5"/>
      <c r="AA115" s="5"/>
      <c r="AB115" s="5"/>
      <c r="AC115" s="5"/>
      <c r="AD115" s="6"/>
    </row>
    <row r="116">
      <c r="A116" s="5"/>
      <c r="B116" s="5"/>
      <c r="C116" s="73"/>
      <c r="D116" s="73"/>
      <c r="E116" s="5"/>
      <c r="F116" s="5"/>
      <c r="G116" s="5"/>
      <c r="H116" s="5"/>
      <c r="I116" s="73"/>
      <c r="J116" s="5"/>
      <c r="K116" s="5"/>
      <c r="L116" s="73"/>
      <c r="M116" s="5"/>
      <c r="N116" s="5"/>
      <c r="O116" s="5"/>
      <c r="P116" s="5"/>
      <c r="Q116" s="5"/>
      <c r="R116" s="5"/>
      <c r="S116" s="5"/>
      <c r="T116" s="5"/>
      <c r="U116" s="5"/>
      <c r="V116" s="5"/>
      <c r="W116" s="5"/>
      <c r="X116" s="5"/>
      <c r="Y116" s="5"/>
      <c r="Z116" s="5"/>
      <c r="AA116" s="5"/>
      <c r="AB116" s="5"/>
      <c r="AC116" s="5"/>
      <c r="AD116" s="6"/>
    </row>
    <row r="117">
      <c r="A117" s="5"/>
      <c r="B117" s="5"/>
      <c r="C117" s="73"/>
      <c r="D117" s="73"/>
      <c r="E117" s="5"/>
      <c r="F117" s="5"/>
      <c r="G117" s="5"/>
      <c r="H117" s="5"/>
      <c r="I117" s="73"/>
      <c r="J117" s="5"/>
      <c r="K117" s="5"/>
      <c r="L117" s="73"/>
      <c r="M117" s="5"/>
      <c r="N117" s="5"/>
      <c r="O117" s="5"/>
      <c r="P117" s="5"/>
      <c r="Q117" s="5"/>
      <c r="R117" s="5"/>
      <c r="S117" s="5"/>
      <c r="T117" s="5"/>
      <c r="U117" s="5"/>
      <c r="V117" s="5"/>
      <c r="W117" s="5"/>
      <c r="X117" s="5"/>
      <c r="Y117" s="5"/>
      <c r="Z117" s="5"/>
      <c r="AA117" s="5"/>
      <c r="AB117" s="5"/>
      <c r="AC117" s="5"/>
      <c r="AD117" s="6"/>
    </row>
    <row r="118">
      <c r="A118" s="5"/>
      <c r="B118" s="5"/>
      <c r="C118" s="73"/>
      <c r="D118" s="73"/>
      <c r="E118" s="5"/>
      <c r="F118" s="5"/>
      <c r="G118" s="5"/>
      <c r="H118" s="5"/>
      <c r="I118" s="73"/>
      <c r="J118" s="5"/>
      <c r="K118" s="5"/>
      <c r="L118" s="73"/>
      <c r="M118" s="5"/>
      <c r="N118" s="5"/>
      <c r="O118" s="5"/>
      <c r="P118" s="5"/>
      <c r="Q118" s="5"/>
      <c r="R118" s="5"/>
      <c r="S118" s="5"/>
      <c r="T118" s="5"/>
      <c r="U118" s="5"/>
      <c r="V118" s="5"/>
      <c r="W118" s="5"/>
      <c r="X118" s="5"/>
      <c r="Y118" s="5"/>
      <c r="Z118" s="5"/>
      <c r="AA118" s="5"/>
      <c r="AB118" s="5"/>
      <c r="AC118" s="5"/>
      <c r="AD118" s="6"/>
    </row>
    <row r="119">
      <c r="A119" s="5"/>
      <c r="B119" s="5"/>
      <c r="C119" s="73"/>
      <c r="D119" s="73"/>
      <c r="E119" s="5"/>
      <c r="F119" s="5"/>
      <c r="G119" s="5"/>
      <c r="H119" s="5"/>
      <c r="I119" s="73"/>
      <c r="J119" s="5"/>
      <c r="K119" s="5"/>
      <c r="L119" s="73"/>
      <c r="M119" s="5"/>
      <c r="N119" s="5"/>
      <c r="O119" s="5"/>
      <c r="P119" s="5"/>
      <c r="Q119" s="5"/>
      <c r="R119" s="5"/>
      <c r="S119" s="5"/>
      <c r="T119" s="5"/>
      <c r="U119" s="5"/>
      <c r="V119" s="5"/>
      <c r="W119" s="5"/>
      <c r="X119" s="5"/>
      <c r="Y119" s="5"/>
      <c r="Z119" s="5"/>
      <c r="AA119" s="5"/>
      <c r="AB119" s="5"/>
      <c r="AC119" s="5"/>
      <c r="AD119" s="6"/>
    </row>
    <row r="120">
      <c r="A120" s="5"/>
      <c r="B120" s="5"/>
      <c r="C120" s="73"/>
      <c r="D120" s="73"/>
      <c r="E120" s="5"/>
      <c r="F120" s="5"/>
      <c r="G120" s="5"/>
      <c r="H120" s="5"/>
      <c r="I120" s="73"/>
      <c r="J120" s="5"/>
      <c r="K120" s="5"/>
      <c r="L120" s="73"/>
      <c r="M120" s="5"/>
      <c r="N120" s="5"/>
      <c r="O120" s="5"/>
      <c r="P120" s="5"/>
      <c r="Q120" s="5"/>
      <c r="R120" s="5"/>
      <c r="S120" s="5"/>
      <c r="T120" s="5"/>
      <c r="U120" s="5"/>
      <c r="V120" s="5"/>
      <c r="W120" s="5"/>
      <c r="X120" s="5"/>
      <c r="Y120" s="5"/>
      <c r="Z120" s="5"/>
      <c r="AA120" s="5"/>
      <c r="AB120" s="5"/>
      <c r="AC120" s="5"/>
      <c r="AD120" s="6"/>
    </row>
    <row r="121">
      <c r="A121" s="5"/>
      <c r="B121" s="5"/>
      <c r="C121" s="73"/>
      <c r="D121" s="73"/>
      <c r="E121" s="5"/>
      <c r="F121" s="5"/>
      <c r="G121" s="5"/>
      <c r="H121" s="5"/>
      <c r="I121" s="73"/>
      <c r="J121" s="5"/>
      <c r="K121" s="5"/>
      <c r="L121" s="73"/>
      <c r="M121" s="5"/>
      <c r="N121" s="5"/>
      <c r="O121" s="5"/>
      <c r="P121" s="5"/>
      <c r="Q121" s="5"/>
      <c r="R121" s="5"/>
      <c r="S121" s="5"/>
      <c r="T121" s="5"/>
      <c r="U121" s="5"/>
      <c r="V121" s="5"/>
      <c r="W121" s="5"/>
      <c r="X121" s="5"/>
      <c r="Y121" s="5"/>
      <c r="Z121" s="5"/>
      <c r="AA121" s="5"/>
      <c r="AB121" s="5"/>
      <c r="AC121" s="5"/>
      <c r="AD121" s="6"/>
    </row>
    <row r="122">
      <c r="A122" s="5"/>
      <c r="B122" s="5"/>
      <c r="C122" s="73"/>
      <c r="D122" s="73"/>
      <c r="E122" s="5"/>
      <c r="F122" s="5"/>
      <c r="G122" s="5"/>
      <c r="H122" s="5"/>
      <c r="I122" s="73"/>
      <c r="J122" s="5"/>
      <c r="K122" s="5"/>
      <c r="L122" s="73"/>
      <c r="M122" s="5"/>
      <c r="N122" s="5"/>
      <c r="O122" s="5"/>
      <c r="P122" s="5"/>
      <c r="Q122" s="5"/>
      <c r="R122" s="5"/>
      <c r="S122" s="5"/>
      <c r="T122" s="5"/>
      <c r="U122" s="5"/>
      <c r="V122" s="5"/>
      <c r="W122" s="5"/>
      <c r="X122" s="5"/>
      <c r="Y122" s="5"/>
      <c r="Z122" s="5"/>
      <c r="AA122" s="5"/>
      <c r="AB122" s="5"/>
      <c r="AC122" s="5"/>
      <c r="AD122" s="6"/>
    </row>
    <row r="123">
      <c r="A123" s="5"/>
      <c r="B123" s="5"/>
      <c r="C123" s="73"/>
      <c r="D123" s="73"/>
      <c r="E123" s="5"/>
      <c r="F123" s="5"/>
      <c r="G123" s="5"/>
      <c r="H123" s="5"/>
      <c r="I123" s="73"/>
      <c r="J123" s="5"/>
      <c r="K123" s="5"/>
      <c r="L123" s="73"/>
      <c r="M123" s="5"/>
      <c r="N123" s="5"/>
      <c r="O123" s="5"/>
      <c r="P123" s="5"/>
      <c r="Q123" s="5"/>
      <c r="R123" s="5"/>
      <c r="S123" s="5"/>
      <c r="T123" s="5"/>
      <c r="U123" s="5"/>
      <c r="V123" s="5"/>
      <c r="W123" s="5"/>
      <c r="X123" s="5"/>
      <c r="Y123" s="5"/>
      <c r="Z123" s="5"/>
      <c r="AA123" s="5"/>
      <c r="AB123" s="5"/>
      <c r="AC123" s="5"/>
      <c r="AD123" s="6"/>
    </row>
    <row r="124">
      <c r="A124" s="5"/>
      <c r="B124" s="5"/>
      <c r="C124" s="73"/>
      <c r="D124" s="73"/>
      <c r="E124" s="5"/>
      <c r="F124" s="5"/>
      <c r="G124" s="5"/>
      <c r="H124" s="5"/>
      <c r="I124" s="73"/>
      <c r="J124" s="5"/>
      <c r="K124" s="5"/>
      <c r="L124" s="73"/>
      <c r="M124" s="5"/>
      <c r="N124" s="5"/>
      <c r="O124" s="5"/>
      <c r="P124" s="5"/>
      <c r="Q124" s="5"/>
      <c r="R124" s="5"/>
      <c r="S124" s="5"/>
      <c r="T124" s="5"/>
      <c r="U124" s="5"/>
      <c r="V124" s="5"/>
      <c r="W124" s="5"/>
      <c r="X124" s="5"/>
      <c r="Y124" s="5"/>
      <c r="Z124" s="5"/>
      <c r="AA124" s="5"/>
      <c r="AB124" s="5"/>
      <c r="AC124" s="5"/>
      <c r="AD124" s="6"/>
    </row>
    <row r="125">
      <c r="A125" s="5"/>
      <c r="B125" s="5"/>
      <c r="C125" s="73"/>
      <c r="D125" s="73"/>
      <c r="E125" s="5"/>
      <c r="F125" s="5"/>
      <c r="G125" s="5"/>
      <c r="H125" s="5"/>
      <c r="I125" s="73"/>
      <c r="J125" s="5"/>
      <c r="K125" s="5"/>
      <c r="L125" s="73"/>
      <c r="M125" s="5"/>
      <c r="N125" s="5"/>
      <c r="O125" s="5"/>
      <c r="P125" s="5"/>
      <c r="Q125" s="5"/>
      <c r="R125" s="5"/>
      <c r="S125" s="5"/>
      <c r="T125" s="5"/>
      <c r="U125" s="5"/>
      <c r="V125" s="5"/>
      <c r="W125" s="5"/>
      <c r="X125" s="5"/>
      <c r="Y125" s="5"/>
      <c r="Z125" s="5"/>
      <c r="AA125" s="5"/>
      <c r="AB125" s="5"/>
      <c r="AC125" s="5"/>
      <c r="AD125" s="6"/>
    </row>
    <row r="126">
      <c r="A126" s="5"/>
      <c r="B126" s="5"/>
      <c r="C126" s="73"/>
      <c r="D126" s="73"/>
      <c r="E126" s="5"/>
      <c r="F126" s="5"/>
      <c r="G126" s="5"/>
      <c r="H126" s="5"/>
      <c r="I126" s="73"/>
      <c r="J126" s="5"/>
      <c r="K126" s="5"/>
      <c r="L126" s="73"/>
      <c r="M126" s="5"/>
      <c r="N126" s="5"/>
      <c r="O126" s="5"/>
      <c r="P126" s="5"/>
      <c r="Q126" s="5"/>
      <c r="R126" s="5"/>
      <c r="S126" s="5"/>
      <c r="T126" s="5"/>
      <c r="U126" s="5"/>
      <c r="V126" s="5"/>
      <c r="W126" s="5"/>
      <c r="X126" s="5"/>
      <c r="Y126" s="5"/>
      <c r="Z126" s="5"/>
      <c r="AA126" s="5"/>
      <c r="AB126" s="5"/>
      <c r="AC126" s="5"/>
      <c r="AD126" s="6"/>
    </row>
    <row r="127">
      <c r="A127" s="5"/>
      <c r="B127" s="5"/>
      <c r="C127" s="73"/>
      <c r="D127" s="73"/>
      <c r="E127" s="5"/>
      <c r="F127" s="5"/>
      <c r="G127" s="5"/>
      <c r="H127" s="5"/>
      <c r="I127" s="73"/>
      <c r="J127" s="5"/>
      <c r="K127" s="5"/>
      <c r="L127" s="73"/>
      <c r="M127" s="5"/>
      <c r="N127" s="5"/>
      <c r="O127" s="5"/>
      <c r="P127" s="5"/>
      <c r="Q127" s="5"/>
      <c r="R127" s="5"/>
      <c r="S127" s="5"/>
      <c r="T127" s="5"/>
      <c r="U127" s="5"/>
      <c r="V127" s="5"/>
      <c r="W127" s="5"/>
      <c r="X127" s="5"/>
      <c r="Y127" s="5"/>
      <c r="Z127" s="5"/>
      <c r="AA127" s="5"/>
      <c r="AB127" s="5"/>
      <c r="AC127" s="5"/>
      <c r="AD127" s="6"/>
    </row>
    <row r="128">
      <c r="A128" s="5"/>
      <c r="B128" s="5"/>
      <c r="C128" s="73"/>
      <c r="D128" s="73"/>
      <c r="E128" s="5"/>
      <c r="F128" s="5"/>
      <c r="G128" s="5"/>
      <c r="H128" s="5"/>
      <c r="I128" s="73"/>
      <c r="J128" s="5"/>
      <c r="K128" s="5"/>
      <c r="L128" s="73"/>
      <c r="M128" s="5"/>
      <c r="N128" s="5"/>
      <c r="O128" s="5"/>
      <c r="P128" s="5"/>
      <c r="Q128" s="5"/>
      <c r="R128" s="5"/>
      <c r="S128" s="5"/>
      <c r="T128" s="5"/>
      <c r="U128" s="5"/>
      <c r="V128" s="5"/>
      <c r="W128" s="5"/>
      <c r="X128" s="5"/>
      <c r="Y128" s="5"/>
      <c r="Z128" s="5"/>
      <c r="AA128" s="5"/>
      <c r="AB128" s="5"/>
      <c r="AC128" s="5"/>
      <c r="AD128" s="6"/>
    </row>
    <row r="129">
      <c r="A129" s="5"/>
      <c r="B129" s="5"/>
      <c r="C129" s="73"/>
      <c r="D129" s="73"/>
      <c r="E129" s="5"/>
      <c r="F129" s="5"/>
      <c r="G129" s="5"/>
      <c r="H129" s="5"/>
      <c r="I129" s="73"/>
      <c r="J129" s="5"/>
      <c r="K129" s="5"/>
      <c r="L129" s="73"/>
      <c r="M129" s="5"/>
      <c r="N129" s="5"/>
      <c r="O129" s="5"/>
      <c r="P129" s="5"/>
      <c r="Q129" s="5"/>
      <c r="R129" s="5"/>
      <c r="S129" s="5"/>
      <c r="T129" s="5"/>
      <c r="U129" s="5"/>
      <c r="V129" s="5"/>
      <c r="W129" s="5"/>
      <c r="X129" s="5"/>
      <c r="Y129" s="5"/>
      <c r="Z129" s="5"/>
      <c r="AA129" s="5"/>
      <c r="AB129" s="5"/>
      <c r="AC129" s="5"/>
      <c r="AD129" s="6"/>
    </row>
    <row r="130">
      <c r="A130" s="5"/>
      <c r="B130" s="5"/>
      <c r="C130" s="73"/>
      <c r="D130" s="73"/>
      <c r="E130" s="5"/>
      <c r="F130" s="5"/>
      <c r="G130" s="5"/>
      <c r="H130" s="5"/>
      <c r="I130" s="73"/>
      <c r="J130" s="5"/>
      <c r="K130" s="5"/>
      <c r="L130" s="73"/>
      <c r="M130" s="5"/>
      <c r="N130" s="5"/>
      <c r="O130" s="5"/>
      <c r="P130" s="5"/>
      <c r="Q130" s="5"/>
      <c r="R130" s="5"/>
      <c r="S130" s="5"/>
      <c r="T130" s="5"/>
      <c r="U130" s="5"/>
      <c r="V130" s="5"/>
      <c r="W130" s="5"/>
      <c r="X130" s="5"/>
      <c r="Y130" s="5"/>
      <c r="Z130" s="5"/>
      <c r="AA130" s="5"/>
      <c r="AB130" s="5"/>
      <c r="AC130" s="5"/>
      <c r="AD130" s="6"/>
    </row>
    <row r="131">
      <c r="A131" s="5"/>
      <c r="B131" s="5"/>
      <c r="C131" s="73"/>
      <c r="D131" s="73"/>
      <c r="E131" s="5"/>
      <c r="F131" s="5"/>
      <c r="G131" s="5"/>
      <c r="H131" s="5"/>
      <c r="I131" s="73"/>
      <c r="J131" s="5"/>
      <c r="K131" s="5"/>
      <c r="L131" s="73"/>
      <c r="M131" s="5"/>
      <c r="N131" s="5"/>
      <c r="O131" s="5"/>
      <c r="P131" s="5"/>
      <c r="Q131" s="5"/>
      <c r="R131" s="5"/>
      <c r="S131" s="5"/>
      <c r="T131" s="5"/>
      <c r="U131" s="5"/>
      <c r="V131" s="5"/>
      <c r="W131" s="5"/>
      <c r="X131" s="5"/>
      <c r="Y131" s="5"/>
      <c r="Z131" s="5"/>
      <c r="AA131" s="5"/>
      <c r="AB131" s="5"/>
      <c r="AC131" s="5"/>
      <c r="AD131" s="6"/>
    </row>
    <row r="132">
      <c r="A132" s="5"/>
      <c r="B132" s="5"/>
      <c r="C132" s="73"/>
      <c r="D132" s="73"/>
      <c r="E132" s="5"/>
      <c r="F132" s="5"/>
      <c r="G132" s="5"/>
      <c r="H132" s="5"/>
      <c r="I132" s="73"/>
      <c r="J132" s="5"/>
      <c r="K132" s="5"/>
      <c r="L132" s="73"/>
      <c r="M132" s="5"/>
      <c r="N132" s="5"/>
      <c r="O132" s="5"/>
      <c r="P132" s="5"/>
      <c r="Q132" s="5"/>
      <c r="R132" s="5"/>
      <c r="S132" s="5"/>
      <c r="T132" s="5"/>
      <c r="U132" s="5"/>
      <c r="V132" s="5"/>
      <c r="W132" s="5"/>
      <c r="X132" s="5"/>
      <c r="Y132" s="5"/>
      <c r="Z132" s="5"/>
      <c r="AA132" s="5"/>
      <c r="AB132" s="5"/>
      <c r="AC132" s="5"/>
      <c r="AD132" s="6"/>
    </row>
    <row r="133">
      <c r="A133" s="5"/>
      <c r="B133" s="5"/>
      <c r="C133" s="73"/>
      <c r="D133" s="73"/>
      <c r="E133" s="5"/>
      <c r="F133" s="5"/>
      <c r="G133" s="5"/>
      <c r="H133" s="5"/>
      <c r="I133" s="73"/>
      <c r="J133" s="5"/>
      <c r="K133" s="5"/>
      <c r="L133" s="73"/>
      <c r="M133" s="5"/>
      <c r="N133" s="5"/>
      <c r="O133" s="5"/>
      <c r="P133" s="5"/>
      <c r="Q133" s="5"/>
      <c r="R133" s="5"/>
      <c r="S133" s="5"/>
      <c r="T133" s="5"/>
      <c r="U133" s="5"/>
      <c r="V133" s="5"/>
      <c r="W133" s="5"/>
      <c r="X133" s="5"/>
      <c r="Y133" s="5"/>
      <c r="Z133" s="5"/>
      <c r="AA133" s="5"/>
      <c r="AB133" s="5"/>
      <c r="AC133" s="5"/>
      <c r="AD133" s="6"/>
    </row>
    <row r="134">
      <c r="A134" s="5"/>
      <c r="B134" s="5"/>
      <c r="C134" s="73"/>
      <c r="D134" s="73"/>
      <c r="E134" s="5"/>
      <c r="F134" s="5"/>
      <c r="G134" s="5"/>
      <c r="H134" s="5"/>
      <c r="I134" s="73"/>
      <c r="J134" s="5"/>
      <c r="K134" s="5"/>
      <c r="L134" s="73"/>
      <c r="M134" s="5"/>
      <c r="N134" s="5"/>
      <c r="O134" s="5"/>
      <c r="P134" s="5"/>
      <c r="Q134" s="5"/>
      <c r="R134" s="5"/>
      <c r="S134" s="5"/>
      <c r="T134" s="5"/>
      <c r="U134" s="5"/>
      <c r="V134" s="5"/>
      <c r="W134" s="5"/>
      <c r="X134" s="5"/>
      <c r="Y134" s="5"/>
      <c r="Z134" s="5"/>
      <c r="AA134" s="5"/>
      <c r="AB134" s="5"/>
      <c r="AC134" s="5"/>
      <c r="AD134" s="6"/>
    </row>
    <row r="135">
      <c r="A135" s="5"/>
      <c r="B135" s="5"/>
      <c r="C135" s="73"/>
      <c r="D135" s="73"/>
      <c r="E135" s="5"/>
      <c r="F135" s="5"/>
      <c r="G135" s="5"/>
      <c r="H135" s="5"/>
      <c r="I135" s="73"/>
      <c r="J135" s="5"/>
      <c r="K135" s="5"/>
      <c r="L135" s="73"/>
      <c r="M135" s="5"/>
      <c r="N135" s="5"/>
      <c r="O135" s="5"/>
      <c r="P135" s="5"/>
      <c r="Q135" s="5"/>
      <c r="R135" s="5"/>
      <c r="S135" s="5"/>
      <c r="T135" s="5"/>
      <c r="U135" s="5"/>
      <c r="V135" s="5"/>
      <c r="W135" s="5"/>
      <c r="X135" s="5"/>
      <c r="Y135" s="5"/>
      <c r="Z135" s="5"/>
      <c r="AA135" s="5"/>
      <c r="AB135" s="5"/>
      <c r="AC135" s="5"/>
      <c r="AD135" s="6"/>
    </row>
    <row r="136">
      <c r="A136" s="5"/>
      <c r="B136" s="5"/>
      <c r="C136" s="73"/>
      <c r="D136" s="73"/>
      <c r="E136" s="5"/>
      <c r="F136" s="5"/>
      <c r="G136" s="5"/>
      <c r="H136" s="5"/>
      <c r="I136" s="73"/>
      <c r="J136" s="5"/>
      <c r="K136" s="5"/>
      <c r="L136" s="73"/>
      <c r="M136" s="5"/>
      <c r="N136" s="5"/>
      <c r="O136" s="5"/>
      <c r="P136" s="5"/>
      <c r="Q136" s="5"/>
      <c r="R136" s="5"/>
      <c r="S136" s="5"/>
      <c r="T136" s="5"/>
      <c r="U136" s="5"/>
      <c r="V136" s="5"/>
      <c r="W136" s="5"/>
      <c r="X136" s="5"/>
      <c r="Y136" s="5"/>
      <c r="Z136" s="5"/>
      <c r="AA136" s="5"/>
      <c r="AB136" s="5"/>
      <c r="AC136" s="5"/>
      <c r="AD136" s="6"/>
    </row>
    <row r="137">
      <c r="A137" s="5"/>
      <c r="B137" s="5"/>
      <c r="C137" s="73"/>
      <c r="D137" s="73"/>
      <c r="E137" s="5"/>
      <c r="F137" s="5"/>
      <c r="G137" s="5"/>
      <c r="H137" s="5"/>
      <c r="I137" s="73"/>
      <c r="J137" s="5"/>
      <c r="K137" s="5"/>
      <c r="L137" s="73"/>
      <c r="M137" s="5"/>
      <c r="N137" s="5"/>
      <c r="O137" s="5"/>
      <c r="P137" s="5"/>
      <c r="Q137" s="5"/>
      <c r="R137" s="5"/>
      <c r="S137" s="5"/>
      <c r="T137" s="5"/>
      <c r="U137" s="5"/>
      <c r="V137" s="5"/>
      <c r="W137" s="5"/>
      <c r="X137" s="5"/>
      <c r="Y137" s="5"/>
      <c r="Z137" s="5"/>
      <c r="AA137" s="5"/>
      <c r="AB137" s="5"/>
      <c r="AC137" s="5"/>
      <c r="AD137" s="6"/>
    </row>
    <row r="138">
      <c r="A138" s="5"/>
      <c r="B138" s="5"/>
      <c r="C138" s="73"/>
      <c r="D138" s="73"/>
      <c r="E138" s="5"/>
      <c r="F138" s="5"/>
      <c r="G138" s="5"/>
      <c r="H138" s="5"/>
      <c r="I138" s="73"/>
      <c r="J138" s="5"/>
      <c r="K138" s="5"/>
      <c r="L138" s="73"/>
      <c r="M138" s="5"/>
      <c r="N138" s="5"/>
      <c r="O138" s="5"/>
      <c r="P138" s="5"/>
      <c r="Q138" s="5"/>
      <c r="R138" s="5"/>
      <c r="S138" s="5"/>
      <c r="T138" s="5"/>
      <c r="U138" s="5"/>
      <c r="V138" s="5"/>
      <c r="W138" s="5"/>
      <c r="X138" s="5"/>
      <c r="Y138" s="5"/>
      <c r="Z138" s="5"/>
      <c r="AA138" s="5"/>
      <c r="AB138" s="5"/>
      <c r="AC138" s="5"/>
      <c r="AD138" s="6"/>
    </row>
    <row r="139">
      <c r="A139" s="5"/>
      <c r="B139" s="5"/>
      <c r="C139" s="73"/>
      <c r="D139" s="73"/>
      <c r="E139" s="5"/>
      <c r="F139" s="5"/>
      <c r="G139" s="5"/>
      <c r="H139" s="5"/>
      <c r="I139" s="73"/>
      <c r="J139" s="5"/>
      <c r="K139" s="5"/>
      <c r="L139" s="73"/>
      <c r="M139" s="5"/>
      <c r="N139" s="5"/>
      <c r="O139" s="5"/>
      <c r="P139" s="5"/>
      <c r="Q139" s="5"/>
      <c r="R139" s="5"/>
      <c r="S139" s="5"/>
      <c r="T139" s="5"/>
      <c r="U139" s="5"/>
      <c r="V139" s="5"/>
      <c r="W139" s="5"/>
      <c r="X139" s="5"/>
      <c r="Y139" s="5"/>
      <c r="Z139" s="5"/>
      <c r="AA139" s="5"/>
      <c r="AB139" s="5"/>
      <c r="AC139" s="5"/>
      <c r="AD139" s="6"/>
    </row>
    <row r="140">
      <c r="A140" s="5"/>
      <c r="B140" s="5"/>
      <c r="C140" s="73"/>
      <c r="D140" s="73"/>
      <c r="E140" s="5"/>
      <c r="F140" s="5"/>
      <c r="G140" s="5"/>
      <c r="H140" s="5"/>
      <c r="I140" s="73"/>
      <c r="J140" s="5"/>
      <c r="K140" s="5"/>
      <c r="L140" s="73"/>
      <c r="M140" s="5"/>
      <c r="N140" s="5"/>
      <c r="O140" s="5"/>
      <c r="P140" s="5"/>
      <c r="Q140" s="5"/>
      <c r="R140" s="5"/>
      <c r="S140" s="5"/>
      <c r="T140" s="5"/>
      <c r="U140" s="5"/>
      <c r="V140" s="5"/>
      <c r="W140" s="5"/>
      <c r="X140" s="5"/>
      <c r="Y140" s="5"/>
      <c r="Z140" s="5"/>
      <c r="AA140" s="5"/>
      <c r="AB140" s="5"/>
      <c r="AC140" s="5"/>
      <c r="AD140" s="6"/>
    </row>
    <row r="141">
      <c r="A141" s="5"/>
      <c r="B141" s="5"/>
      <c r="C141" s="73"/>
      <c r="D141" s="73"/>
      <c r="E141" s="5"/>
      <c r="F141" s="5"/>
      <c r="G141" s="5"/>
      <c r="H141" s="5"/>
      <c r="I141" s="73"/>
      <c r="J141" s="5"/>
      <c r="K141" s="5"/>
      <c r="L141" s="73"/>
      <c r="M141" s="5"/>
      <c r="N141" s="5"/>
      <c r="O141" s="5"/>
      <c r="P141" s="5"/>
      <c r="Q141" s="5"/>
      <c r="R141" s="5"/>
      <c r="S141" s="5"/>
      <c r="T141" s="5"/>
      <c r="U141" s="5"/>
      <c r="V141" s="5"/>
      <c r="W141" s="5"/>
      <c r="X141" s="5"/>
      <c r="Y141" s="5"/>
      <c r="Z141" s="5"/>
      <c r="AA141" s="5"/>
      <c r="AB141" s="5"/>
      <c r="AC141" s="5"/>
      <c r="AD141" s="6"/>
    </row>
    <row r="142">
      <c r="A142" s="5"/>
      <c r="B142" s="5"/>
      <c r="C142" s="73"/>
      <c r="D142" s="73"/>
      <c r="E142" s="5"/>
      <c r="F142" s="5"/>
      <c r="G142" s="5"/>
      <c r="H142" s="5"/>
      <c r="I142" s="73"/>
      <c r="J142" s="5"/>
      <c r="K142" s="5"/>
      <c r="L142" s="73"/>
      <c r="M142" s="5"/>
      <c r="N142" s="5"/>
      <c r="O142" s="5"/>
      <c r="P142" s="5"/>
      <c r="Q142" s="5"/>
      <c r="R142" s="5"/>
      <c r="S142" s="5"/>
      <c r="T142" s="5"/>
      <c r="U142" s="5"/>
      <c r="V142" s="5"/>
      <c r="W142" s="5"/>
      <c r="X142" s="5"/>
      <c r="Y142" s="5"/>
      <c r="Z142" s="5"/>
      <c r="AA142" s="5"/>
      <c r="AB142" s="5"/>
      <c r="AC142" s="5"/>
      <c r="AD142" s="6"/>
    </row>
    <row r="143">
      <c r="A143" s="5"/>
      <c r="B143" s="5"/>
      <c r="C143" s="73"/>
      <c r="D143" s="73"/>
      <c r="E143" s="5"/>
      <c r="F143" s="5"/>
      <c r="G143" s="5"/>
      <c r="H143" s="5"/>
      <c r="I143" s="73"/>
      <c r="J143" s="5"/>
      <c r="K143" s="5"/>
      <c r="L143" s="73"/>
      <c r="M143" s="5"/>
      <c r="N143" s="5"/>
      <c r="O143" s="5"/>
      <c r="P143" s="5"/>
      <c r="Q143" s="5"/>
      <c r="R143" s="5"/>
      <c r="S143" s="5"/>
      <c r="T143" s="5"/>
      <c r="U143" s="5"/>
      <c r="V143" s="5"/>
      <c r="W143" s="5"/>
      <c r="X143" s="5"/>
      <c r="Y143" s="5"/>
      <c r="Z143" s="5"/>
      <c r="AA143" s="5"/>
      <c r="AB143" s="5"/>
      <c r="AC143" s="5"/>
      <c r="AD143" s="6"/>
    </row>
    <row r="144">
      <c r="A144" s="5"/>
      <c r="B144" s="5"/>
      <c r="C144" s="73"/>
      <c r="D144" s="73"/>
      <c r="E144" s="5"/>
      <c r="F144" s="5"/>
      <c r="G144" s="5"/>
      <c r="H144" s="5"/>
      <c r="I144" s="73"/>
      <c r="J144" s="5"/>
      <c r="K144" s="5"/>
      <c r="L144" s="73"/>
      <c r="M144" s="5"/>
      <c r="N144" s="5"/>
      <c r="O144" s="5"/>
      <c r="P144" s="5"/>
      <c r="Q144" s="5"/>
      <c r="R144" s="5"/>
      <c r="S144" s="5"/>
      <c r="T144" s="5"/>
      <c r="U144" s="5"/>
      <c r="V144" s="5"/>
      <c r="W144" s="5"/>
      <c r="X144" s="5"/>
      <c r="Y144" s="5"/>
      <c r="Z144" s="5"/>
      <c r="AA144" s="5"/>
      <c r="AB144" s="5"/>
      <c r="AC144" s="5"/>
      <c r="AD144" s="6"/>
    </row>
    <row r="145">
      <c r="A145" s="5"/>
      <c r="B145" s="5"/>
      <c r="C145" s="73"/>
      <c r="D145" s="73"/>
      <c r="E145" s="5"/>
      <c r="F145" s="5"/>
      <c r="G145" s="5"/>
      <c r="H145" s="5"/>
      <c r="I145" s="73"/>
      <c r="J145" s="5"/>
      <c r="K145" s="5"/>
      <c r="L145" s="73"/>
      <c r="M145" s="5"/>
      <c r="N145" s="5"/>
      <c r="O145" s="5"/>
      <c r="P145" s="5"/>
      <c r="Q145" s="5"/>
      <c r="R145" s="5"/>
      <c r="S145" s="5"/>
      <c r="T145" s="5"/>
      <c r="U145" s="5"/>
      <c r="V145" s="5"/>
      <c r="W145" s="5"/>
      <c r="X145" s="5"/>
      <c r="Y145" s="5"/>
      <c r="Z145" s="5"/>
      <c r="AA145" s="5"/>
      <c r="AB145" s="5"/>
      <c r="AC145" s="5"/>
      <c r="AD145" s="6"/>
    </row>
    <row r="146">
      <c r="A146" s="5"/>
      <c r="B146" s="5"/>
      <c r="C146" s="73"/>
      <c r="D146" s="73"/>
      <c r="E146" s="5"/>
      <c r="F146" s="5"/>
      <c r="G146" s="5"/>
      <c r="H146" s="5"/>
      <c r="I146" s="73"/>
      <c r="J146" s="5"/>
      <c r="K146" s="5"/>
      <c r="L146" s="73"/>
      <c r="M146" s="5"/>
      <c r="N146" s="5"/>
      <c r="O146" s="5"/>
      <c r="P146" s="5"/>
      <c r="Q146" s="5"/>
      <c r="R146" s="5"/>
      <c r="S146" s="5"/>
      <c r="T146" s="5"/>
      <c r="U146" s="5"/>
      <c r="V146" s="5"/>
      <c r="W146" s="5"/>
      <c r="X146" s="5"/>
      <c r="Y146" s="5"/>
      <c r="Z146" s="5"/>
      <c r="AA146" s="5"/>
      <c r="AB146" s="5"/>
      <c r="AC146" s="5"/>
      <c r="AD146" s="6"/>
    </row>
    <row r="147">
      <c r="A147" s="5"/>
      <c r="B147" s="5"/>
      <c r="C147" s="73"/>
      <c r="D147" s="73"/>
      <c r="E147" s="5"/>
      <c r="F147" s="5"/>
      <c r="G147" s="5"/>
      <c r="H147" s="5"/>
      <c r="I147" s="73"/>
      <c r="J147" s="5"/>
      <c r="K147" s="5"/>
      <c r="L147" s="73"/>
      <c r="M147" s="5"/>
      <c r="N147" s="5"/>
      <c r="O147" s="5"/>
      <c r="P147" s="5"/>
      <c r="Q147" s="5"/>
      <c r="R147" s="5"/>
      <c r="S147" s="5"/>
      <c r="T147" s="5"/>
      <c r="U147" s="5"/>
      <c r="V147" s="5"/>
      <c r="W147" s="5"/>
      <c r="X147" s="5"/>
      <c r="Y147" s="5"/>
      <c r="Z147" s="5"/>
      <c r="AA147" s="5"/>
      <c r="AB147" s="5"/>
      <c r="AC147" s="5"/>
      <c r="AD147" s="6"/>
    </row>
    <row r="148">
      <c r="A148" s="5"/>
      <c r="B148" s="5"/>
      <c r="C148" s="73"/>
      <c r="D148" s="73"/>
      <c r="E148" s="5"/>
      <c r="F148" s="5"/>
      <c r="G148" s="5"/>
      <c r="H148" s="5"/>
      <c r="I148" s="73"/>
      <c r="J148" s="5"/>
      <c r="K148" s="5"/>
      <c r="L148" s="73"/>
      <c r="M148" s="5"/>
      <c r="N148" s="5"/>
      <c r="O148" s="5"/>
      <c r="P148" s="5"/>
      <c r="Q148" s="5"/>
      <c r="R148" s="5"/>
      <c r="S148" s="5"/>
      <c r="T148" s="5"/>
      <c r="U148" s="5"/>
      <c r="V148" s="5"/>
      <c r="W148" s="5"/>
      <c r="X148" s="5"/>
      <c r="Y148" s="5"/>
      <c r="Z148" s="5"/>
      <c r="AA148" s="5"/>
      <c r="AB148" s="5"/>
      <c r="AC148" s="5"/>
      <c r="AD148" s="6"/>
    </row>
    <row r="149">
      <c r="A149" s="5"/>
      <c r="B149" s="5"/>
      <c r="C149" s="73"/>
      <c r="D149" s="73"/>
      <c r="E149" s="5"/>
      <c r="F149" s="5"/>
      <c r="G149" s="5"/>
      <c r="H149" s="5"/>
      <c r="I149" s="73"/>
      <c r="J149" s="5"/>
      <c r="K149" s="5"/>
      <c r="L149" s="73"/>
      <c r="M149" s="5"/>
      <c r="N149" s="5"/>
      <c r="O149" s="5"/>
      <c r="P149" s="5"/>
      <c r="Q149" s="5"/>
      <c r="R149" s="5"/>
      <c r="S149" s="5"/>
      <c r="T149" s="5"/>
      <c r="U149" s="5"/>
      <c r="V149" s="5"/>
      <c r="W149" s="5"/>
      <c r="X149" s="5"/>
      <c r="Y149" s="5"/>
      <c r="Z149" s="5"/>
      <c r="AA149" s="5"/>
      <c r="AB149" s="5"/>
      <c r="AC149" s="5"/>
      <c r="AD149" s="6"/>
    </row>
    <row r="150">
      <c r="A150" s="5"/>
      <c r="B150" s="5"/>
      <c r="C150" s="73"/>
      <c r="D150" s="73"/>
      <c r="E150" s="5"/>
      <c r="F150" s="5"/>
      <c r="G150" s="5"/>
      <c r="H150" s="5"/>
      <c r="I150" s="73"/>
      <c r="J150" s="5"/>
      <c r="K150" s="5"/>
      <c r="L150" s="73"/>
      <c r="M150" s="5"/>
      <c r="N150" s="5"/>
      <c r="O150" s="5"/>
      <c r="P150" s="5"/>
      <c r="Q150" s="5"/>
      <c r="R150" s="5"/>
      <c r="S150" s="5"/>
      <c r="T150" s="5"/>
      <c r="U150" s="5"/>
      <c r="V150" s="5"/>
      <c r="W150" s="5"/>
      <c r="X150" s="5"/>
      <c r="Y150" s="5"/>
      <c r="Z150" s="5"/>
      <c r="AA150" s="5"/>
      <c r="AB150" s="5"/>
      <c r="AC150" s="5"/>
      <c r="AD150" s="6"/>
    </row>
    <row r="151">
      <c r="A151" s="5"/>
      <c r="B151" s="5"/>
      <c r="C151" s="73"/>
      <c r="D151" s="73"/>
      <c r="E151" s="5"/>
      <c r="F151" s="5"/>
      <c r="G151" s="5"/>
      <c r="H151" s="5"/>
      <c r="I151" s="73"/>
      <c r="J151" s="5"/>
      <c r="K151" s="5"/>
      <c r="L151" s="73"/>
      <c r="M151" s="5"/>
      <c r="N151" s="5"/>
      <c r="O151" s="5"/>
      <c r="P151" s="5"/>
      <c r="Q151" s="5"/>
      <c r="R151" s="5"/>
      <c r="S151" s="5"/>
      <c r="T151" s="5"/>
      <c r="U151" s="5"/>
      <c r="V151" s="5"/>
      <c r="W151" s="5"/>
      <c r="X151" s="5"/>
      <c r="Y151" s="5"/>
      <c r="Z151" s="5"/>
      <c r="AA151" s="5"/>
      <c r="AB151" s="5"/>
      <c r="AC151" s="5"/>
      <c r="AD151" s="6"/>
    </row>
    <row r="152">
      <c r="A152" s="5"/>
      <c r="B152" s="5"/>
      <c r="C152" s="73"/>
      <c r="D152" s="73"/>
      <c r="E152" s="5"/>
      <c r="F152" s="5"/>
      <c r="G152" s="5"/>
      <c r="H152" s="5"/>
      <c r="I152" s="73"/>
      <c r="J152" s="5"/>
      <c r="K152" s="5"/>
      <c r="L152" s="73"/>
      <c r="M152" s="5"/>
      <c r="N152" s="5"/>
      <c r="O152" s="5"/>
      <c r="P152" s="5"/>
      <c r="Q152" s="5"/>
      <c r="R152" s="5"/>
      <c r="S152" s="5"/>
      <c r="T152" s="5"/>
      <c r="U152" s="5"/>
      <c r="V152" s="5"/>
      <c r="W152" s="5"/>
      <c r="X152" s="5"/>
      <c r="Y152" s="5"/>
      <c r="Z152" s="5"/>
      <c r="AA152" s="5"/>
      <c r="AB152" s="5"/>
      <c r="AC152" s="5"/>
      <c r="AD152" s="6"/>
    </row>
    <row r="153">
      <c r="A153" s="5"/>
      <c r="B153" s="5"/>
      <c r="C153" s="73"/>
      <c r="D153" s="73"/>
      <c r="E153" s="5"/>
      <c r="F153" s="5"/>
      <c r="G153" s="5"/>
      <c r="H153" s="5"/>
      <c r="I153" s="73"/>
      <c r="J153" s="5"/>
      <c r="K153" s="5"/>
      <c r="L153" s="73"/>
      <c r="M153" s="5"/>
      <c r="N153" s="5"/>
      <c r="O153" s="5"/>
      <c r="P153" s="5"/>
      <c r="Q153" s="5"/>
      <c r="R153" s="5"/>
      <c r="S153" s="5"/>
      <c r="T153" s="5"/>
      <c r="U153" s="5"/>
      <c r="V153" s="5"/>
      <c r="W153" s="5"/>
      <c r="X153" s="5"/>
      <c r="Y153" s="5"/>
      <c r="Z153" s="5"/>
      <c r="AA153" s="5"/>
      <c r="AB153" s="5"/>
      <c r="AC153" s="5"/>
      <c r="AD153" s="6"/>
    </row>
    <row r="154">
      <c r="A154" s="5"/>
      <c r="B154" s="5"/>
      <c r="C154" s="73"/>
      <c r="D154" s="73"/>
      <c r="E154" s="5"/>
      <c r="F154" s="5"/>
      <c r="G154" s="5"/>
      <c r="H154" s="5"/>
      <c r="I154" s="73"/>
      <c r="J154" s="5"/>
      <c r="K154" s="5"/>
      <c r="L154" s="73"/>
      <c r="M154" s="5"/>
      <c r="N154" s="5"/>
      <c r="O154" s="5"/>
      <c r="P154" s="5"/>
      <c r="Q154" s="5"/>
      <c r="R154" s="5"/>
      <c r="S154" s="5"/>
      <c r="T154" s="5"/>
      <c r="U154" s="5"/>
      <c r="V154" s="5"/>
      <c r="W154" s="5"/>
      <c r="X154" s="5"/>
      <c r="Y154" s="5"/>
      <c r="Z154" s="5"/>
      <c r="AA154" s="5"/>
      <c r="AB154" s="5"/>
      <c r="AC154" s="5"/>
      <c r="AD154" s="6"/>
    </row>
    <row r="155">
      <c r="A155" s="5"/>
      <c r="B155" s="5"/>
      <c r="C155" s="73"/>
      <c r="D155" s="73"/>
      <c r="E155" s="5"/>
      <c r="F155" s="5"/>
      <c r="G155" s="5"/>
      <c r="H155" s="5"/>
      <c r="I155" s="73"/>
      <c r="J155" s="5"/>
      <c r="K155" s="5"/>
      <c r="L155" s="73"/>
      <c r="M155" s="5"/>
      <c r="N155" s="5"/>
      <c r="O155" s="5"/>
      <c r="P155" s="5"/>
      <c r="Q155" s="5"/>
      <c r="R155" s="5"/>
      <c r="S155" s="5"/>
      <c r="T155" s="5"/>
      <c r="U155" s="5"/>
      <c r="V155" s="5"/>
      <c r="W155" s="5"/>
      <c r="X155" s="5"/>
      <c r="Y155" s="5"/>
      <c r="Z155" s="5"/>
      <c r="AA155" s="5"/>
      <c r="AB155" s="5"/>
      <c r="AC155" s="5"/>
      <c r="AD155" s="6"/>
    </row>
    <row r="156">
      <c r="A156" s="5"/>
      <c r="B156" s="5"/>
      <c r="C156" s="73"/>
      <c r="D156" s="73"/>
      <c r="E156" s="5"/>
      <c r="F156" s="5"/>
      <c r="G156" s="5"/>
      <c r="H156" s="5"/>
      <c r="I156" s="73"/>
      <c r="J156" s="5"/>
      <c r="K156" s="5"/>
      <c r="L156" s="73"/>
      <c r="M156" s="5"/>
      <c r="N156" s="5"/>
      <c r="O156" s="5"/>
      <c r="P156" s="5"/>
      <c r="Q156" s="5"/>
      <c r="R156" s="5"/>
      <c r="S156" s="5"/>
      <c r="T156" s="5"/>
      <c r="U156" s="5"/>
      <c r="V156" s="5"/>
      <c r="W156" s="5"/>
      <c r="X156" s="5"/>
      <c r="Y156" s="5"/>
      <c r="Z156" s="5"/>
      <c r="AA156" s="5"/>
      <c r="AB156" s="5"/>
      <c r="AC156" s="5"/>
      <c r="AD156" s="6"/>
    </row>
    <row r="157">
      <c r="A157" s="5"/>
      <c r="B157" s="5"/>
      <c r="C157" s="73"/>
      <c r="D157" s="73"/>
      <c r="E157" s="5"/>
      <c r="F157" s="5"/>
      <c r="G157" s="5"/>
      <c r="H157" s="5"/>
      <c r="I157" s="73"/>
      <c r="J157" s="5"/>
      <c r="K157" s="5"/>
      <c r="L157" s="73"/>
      <c r="M157" s="5"/>
      <c r="N157" s="5"/>
      <c r="O157" s="5"/>
      <c r="P157" s="5"/>
      <c r="Q157" s="5"/>
      <c r="R157" s="5"/>
      <c r="S157" s="5"/>
      <c r="T157" s="5"/>
      <c r="U157" s="5"/>
      <c r="V157" s="5"/>
      <c r="W157" s="5"/>
      <c r="X157" s="5"/>
      <c r="Y157" s="5"/>
      <c r="Z157" s="5"/>
      <c r="AA157" s="5"/>
      <c r="AB157" s="5"/>
      <c r="AC157" s="5"/>
      <c r="AD157" s="6"/>
    </row>
    <row r="158">
      <c r="A158" s="5"/>
      <c r="B158" s="5"/>
      <c r="C158" s="73"/>
      <c r="D158" s="73"/>
      <c r="E158" s="5"/>
      <c r="F158" s="5"/>
      <c r="G158" s="5"/>
      <c r="H158" s="5"/>
      <c r="I158" s="73"/>
      <c r="J158" s="5"/>
      <c r="K158" s="5"/>
      <c r="L158" s="73"/>
      <c r="M158" s="5"/>
      <c r="N158" s="5"/>
      <c r="O158" s="5"/>
      <c r="P158" s="5"/>
      <c r="Q158" s="5"/>
      <c r="R158" s="5"/>
      <c r="S158" s="5"/>
      <c r="T158" s="5"/>
      <c r="U158" s="5"/>
      <c r="V158" s="5"/>
      <c r="W158" s="5"/>
      <c r="X158" s="5"/>
      <c r="Y158" s="5"/>
      <c r="Z158" s="5"/>
      <c r="AA158" s="5"/>
      <c r="AB158" s="5"/>
      <c r="AC158" s="5"/>
      <c r="AD158" s="6"/>
    </row>
    <row r="159">
      <c r="A159" s="5"/>
      <c r="B159" s="5"/>
      <c r="C159" s="73"/>
      <c r="D159" s="73"/>
      <c r="E159" s="5"/>
      <c r="F159" s="5"/>
      <c r="G159" s="5"/>
      <c r="H159" s="5"/>
      <c r="I159" s="73"/>
      <c r="J159" s="5"/>
      <c r="K159" s="5"/>
      <c r="L159" s="73"/>
      <c r="M159" s="5"/>
      <c r="N159" s="5"/>
      <c r="O159" s="5"/>
      <c r="P159" s="5"/>
      <c r="Q159" s="5"/>
      <c r="R159" s="5"/>
      <c r="S159" s="5"/>
      <c r="T159" s="5"/>
      <c r="U159" s="5"/>
      <c r="V159" s="5"/>
      <c r="W159" s="5"/>
      <c r="X159" s="5"/>
      <c r="Y159" s="5"/>
      <c r="Z159" s="5"/>
      <c r="AA159" s="5"/>
      <c r="AB159" s="5"/>
      <c r="AC159" s="5"/>
      <c r="AD159" s="6"/>
    </row>
    <row r="160">
      <c r="A160" s="5"/>
      <c r="B160" s="5"/>
      <c r="C160" s="73"/>
      <c r="D160" s="73"/>
      <c r="E160" s="5"/>
      <c r="F160" s="5"/>
      <c r="G160" s="5"/>
      <c r="H160" s="5"/>
      <c r="I160" s="73"/>
      <c r="J160" s="5"/>
      <c r="K160" s="5"/>
      <c r="L160" s="73"/>
      <c r="M160" s="5"/>
      <c r="N160" s="5"/>
      <c r="O160" s="5"/>
      <c r="P160" s="5"/>
      <c r="Q160" s="5"/>
      <c r="R160" s="5"/>
      <c r="S160" s="5"/>
      <c r="T160" s="5"/>
      <c r="U160" s="5"/>
      <c r="V160" s="5"/>
      <c r="W160" s="5"/>
      <c r="X160" s="5"/>
      <c r="Y160" s="5"/>
      <c r="Z160" s="5"/>
      <c r="AA160" s="5"/>
      <c r="AB160" s="5"/>
      <c r="AC160" s="5"/>
      <c r="AD160" s="6"/>
    </row>
    <row r="161">
      <c r="A161" s="5"/>
      <c r="B161" s="5"/>
      <c r="C161" s="73"/>
      <c r="D161" s="73"/>
      <c r="E161" s="5"/>
      <c r="F161" s="5"/>
      <c r="G161" s="5"/>
      <c r="H161" s="5"/>
      <c r="I161" s="73"/>
      <c r="J161" s="5"/>
      <c r="K161" s="5"/>
      <c r="L161" s="73"/>
      <c r="M161" s="5"/>
      <c r="N161" s="5"/>
      <c r="O161" s="5"/>
      <c r="P161" s="5"/>
      <c r="Q161" s="5"/>
      <c r="R161" s="5"/>
      <c r="S161" s="5"/>
      <c r="T161" s="5"/>
      <c r="U161" s="5"/>
      <c r="V161" s="5"/>
      <c r="W161" s="5"/>
      <c r="X161" s="5"/>
      <c r="Y161" s="5"/>
      <c r="Z161" s="5"/>
      <c r="AA161" s="5"/>
      <c r="AB161" s="5"/>
      <c r="AC161" s="5"/>
      <c r="AD161" s="6"/>
    </row>
    <row r="162">
      <c r="A162" s="5"/>
      <c r="B162" s="5"/>
      <c r="C162" s="73"/>
      <c r="D162" s="73"/>
      <c r="E162" s="5"/>
      <c r="F162" s="5"/>
      <c r="G162" s="5"/>
      <c r="H162" s="5"/>
      <c r="I162" s="73"/>
      <c r="J162" s="5"/>
      <c r="K162" s="5"/>
      <c r="L162" s="73"/>
      <c r="M162" s="5"/>
      <c r="N162" s="5"/>
      <c r="O162" s="5"/>
      <c r="P162" s="5"/>
      <c r="Q162" s="5"/>
      <c r="R162" s="5"/>
      <c r="S162" s="5"/>
      <c r="T162" s="5"/>
      <c r="U162" s="5"/>
      <c r="V162" s="5"/>
      <c r="W162" s="5"/>
      <c r="X162" s="5"/>
      <c r="Y162" s="5"/>
      <c r="Z162" s="5"/>
      <c r="AA162" s="5"/>
      <c r="AB162" s="5"/>
      <c r="AC162" s="5"/>
      <c r="AD162" s="6"/>
    </row>
    <row r="163">
      <c r="A163" s="5"/>
      <c r="B163" s="5"/>
      <c r="C163" s="73"/>
      <c r="D163" s="73"/>
      <c r="E163" s="5"/>
      <c r="F163" s="5"/>
      <c r="G163" s="5"/>
      <c r="H163" s="5"/>
      <c r="I163" s="73"/>
      <c r="J163" s="5"/>
      <c r="K163" s="5"/>
      <c r="L163" s="73"/>
      <c r="M163" s="5"/>
      <c r="N163" s="5"/>
      <c r="O163" s="5"/>
      <c r="P163" s="5"/>
      <c r="Q163" s="5"/>
      <c r="R163" s="5"/>
      <c r="S163" s="5"/>
      <c r="T163" s="5"/>
      <c r="U163" s="5"/>
      <c r="V163" s="5"/>
      <c r="W163" s="5"/>
      <c r="X163" s="5"/>
      <c r="Y163" s="5"/>
      <c r="Z163" s="5"/>
      <c r="AA163" s="5"/>
      <c r="AB163" s="5"/>
      <c r="AC163" s="5"/>
      <c r="AD163" s="6"/>
    </row>
    <row r="164">
      <c r="A164" s="5"/>
      <c r="B164" s="5"/>
      <c r="C164" s="73"/>
      <c r="D164" s="73"/>
      <c r="E164" s="5"/>
      <c r="F164" s="5"/>
      <c r="G164" s="5"/>
      <c r="H164" s="5"/>
      <c r="I164" s="73"/>
      <c r="J164" s="5"/>
      <c r="K164" s="5"/>
      <c r="L164" s="73"/>
      <c r="M164" s="5"/>
      <c r="N164" s="5"/>
      <c r="O164" s="5"/>
      <c r="P164" s="5"/>
      <c r="Q164" s="5"/>
      <c r="R164" s="5"/>
      <c r="S164" s="5"/>
      <c r="T164" s="5"/>
      <c r="U164" s="5"/>
      <c r="V164" s="5"/>
      <c r="W164" s="5"/>
      <c r="X164" s="5"/>
      <c r="Y164" s="5"/>
      <c r="Z164" s="5"/>
      <c r="AA164" s="5"/>
      <c r="AB164" s="5"/>
      <c r="AC164" s="5"/>
      <c r="AD164" s="6"/>
    </row>
    <row r="165">
      <c r="A165" s="5"/>
      <c r="B165" s="5"/>
      <c r="C165" s="73"/>
      <c r="D165" s="73"/>
      <c r="E165" s="5"/>
      <c r="F165" s="5"/>
      <c r="G165" s="5"/>
      <c r="H165" s="5"/>
      <c r="I165" s="73"/>
      <c r="J165" s="5"/>
      <c r="K165" s="5"/>
      <c r="L165" s="73"/>
      <c r="M165" s="5"/>
      <c r="N165" s="5"/>
      <c r="O165" s="5"/>
      <c r="P165" s="5"/>
      <c r="Q165" s="5"/>
      <c r="R165" s="5"/>
      <c r="S165" s="5"/>
      <c r="T165" s="5"/>
      <c r="U165" s="5"/>
      <c r="V165" s="5"/>
      <c r="W165" s="5"/>
      <c r="X165" s="5"/>
      <c r="Y165" s="5"/>
      <c r="Z165" s="5"/>
      <c r="AA165" s="5"/>
      <c r="AB165" s="5"/>
      <c r="AC165" s="5"/>
      <c r="AD165" s="6"/>
    </row>
    <row r="166">
      <c r="A166" s="5"/>
      <c r="B166" s="5"/>
      <c r="C166" s="73"/>
      <c r="D166" s="73"/>
      <c r="E166" s="5"/>
      <c r="F166" s="5"/>
      <c r="G166" s="5"/>
      <c r="H166" s="5"/>
      <c r="I166" s="73"/>
      <c r="J166" s="5"/>
      <c r="K166" s="5"/>
      <c r="L166" s="73"/>
      <c r="M166" s="5"/>
      <c r="N166" s="5"/>
      <c r="O166" s="5"/>
      <c r="P166" s="5"/>
      <c r="Q166" s="5"/>
      <c r="R166" s="5"/>
      <c r="S166" s="5"/>
      <c r="T166" s="5"/>
      <c r="U166" s="5"/>
      <c r="V166" s="5"/>
      <c r="W166" s="5"/>
      <c r="X166" s="5"/>
      <c r="Y166" s="5"/>
      <c r="Z166" s="5"/>
      <c r="AA166" s="5"/>
      <c r="AB166" s="5"/>
      <c r="AC166" s="5"/>
      <c r="AD166" s="6"/>
    </row>
    <row r="167">
      <c r="A167" s="5"/>
      <c r="B167" s="5"/>
      <c r="C167" s="73"/>
      <c r="D167" s="73"/>
      <c r="E167" s="5"/>
      <c r="F167" s="5"/>
      <c r="G167" s="5"/>
      <c r="H167" s="5"/>
      <c r="I167" s="73"/>
      <c r="J167" s="5"/>
      <c r="K167" s="5"/>
      <c r="L167" s="73"/>
      <c r="M167" s="5"/>
      <c r="N167" s="5"/>
      <c r="O167" s="5"/>
      <c r="P167" s="5"/>
      <c r="Q167" s="5"/>
      <c r="R167" s="5"/>
      <c r="S167" s="5"/>
      <c r="T167" s="5"/>
      <c r="U167" s="5"/>
      <c r="V167" s="5"/>
      <c r="W167" s="5"/>
      <c r="X167" s="5"/>
      <c r="Y167" s="5"/>
      <c r="Z167" s="5"/>
      <c r="AA167" s="5"/>
      <c r="AB167" s="5"/>
      <c r="AC167" s="5"/>
      <c r="AD167" s="6"/>
    </row>
    <row r="168">
      <c r="A168" s="5"/>
      <c r="B168" s="5"/>
      <c r="C168" s="73"/>
      <c r="D168" s="73"/>
      <c r="E168" s="5"/>
      <c r="F168" s="5"/>
      <c r="G168" s="5"/>
      <c r="H168" s="5"/>
      <c r="I168" s="73"/>
      <c r="J168" s="5"/>
      <c r="K168" s="5"/>
      <c r="L168" s="73"/>
      <c r="M168" s="5"/>
      <c r="N168" s="5"/>
      <c r="O168" s="5"/>
      <c r="P168" s="5"/>
      <c r="Q168" s="5"/>
      <c r="R168" s="5"/>
      <c r="S168" s="5"/>
      <c r="T168" s="5"/>
      <c r="U168" s="5"/>
      <c r="V168" s="5"/>
      <c r="W168" s="5"/>
      <c r="X168" s="5"/>
      <c r="Y168" s="5"/>
      <c r="Z168" s="5"/>
      <c r="AA168" s="5"/>
      <c r="AB168" s="5"/>
      <c r="AC168" s="5"/>
      <c r="AD168" s="6"/>
    </row>
    <row r="169">
      <c r="A169" s="5"/>
      <c r="B169" s="5"/>
      <c r="C169" s="73"/>
      <c r="D169" s="73"/>
      <c r="E169" s="5"/>
      <c r="F169" s="5"/>
      <c r="G169" s="5"/>
      <c r="H169" s="5"/>
      <c r="I169" s="73"/>
      <c r="J169" s="5"/>
      <c r="K169" s="5"/>
      <c r="L169" s="73"/>
      <c r="M169" s="5"/>
      <c r="N169" s="5"/>
      <c r="O169" s="5"/>
      <c r="P169" s="5"/>
      <c r="Q169" s="5"/>
      <c r="R169" s="5"/>
      <c r="S169" s="5"/>
      <c r="T169" s="5"/>
      <c r="U169" s="5"/>
      <c r="V169" s="5"/>
      <c r="W169" s="5"/>
      <c r="X169" s="5"/>
      <c r="Y169" s="5"/>
      <c r="Z169" s="5"/>
      <c r="AA169" s="5"/>
      <c r="AB169" s="5"/>
      <c r="AC169" s="5"/>
      <c r="AD169" s="6"/>
    </row>
    <row r="170">
      <c r="A170" s="5"/>
      <c r="B170" s="5"/>
      <c r="C170" s="73"/>
      <c r="D170" s="73"/>
      <c r="E170" s="5"/>
      <c r="F170" s="5"/>
      <c r="G170" s="5"/>
      <c r="H170" s="5"/>
      <c r="I170" s="73"/>
      <c r="J170" s="5"/>
      <c r="K170" s="5"/>
      <c r="L170" s="73"/>
      <c r="M170" s="5"/>
      <c r="N170" s="5"/>
      <c r="O170" s="5"/>
      <c r="P170" s="5"/>
      <c r="Q170" s="5"/>
      <c r="R170" s="5"/>
      <c r="S170" s="5"/>
      <c r="T170" s="5"/>
      <c r="U170" s="5"/>
      <c r="V170" s="5"/>
      <c r="W170" s="5"/>
      <c r="X170" s="5"/>
      <c r="Y170" s="5"/>
      <c r="Z170" s="5"/>
      <c r="AA170" s="5"/>
      <c r="AB170" s="5"/>
      <c r="AC170" s="5"/>
      <c r="AD170" s="6"/>
    </row>
    <row r="171">
      <c r="A171" s="5"/>
      <c r="B171" s="5"/>
      <c r="C171" s="73"/>
      <c r="D171" s="73"/>
      <c r="E171" s="5"/>
      <c r="F171" s="5"/>
      <c r="G171" s="5"/>
      <c r="H171" s="5"/>
      <c r="I171" s="73"/>
      <c r="J171" s="5"/>
      <c r="K171" s="5"/>
      <c r="L171" s="73"/>
      <c r="M171" s="5"/>
      <c r="N171" s="5"/>
      <c r="O171" s="5"/>
      <c r="P171" s="5"/>
      <c r="Q171" s="5"/>
      <c r="R171" s="5"/>
      <c r="S171" s="5"/>
      <c r="T171" s="5"/>
      <c r="U171" s="5"/>
      <c r="V171" s="5"/>
      <c r="W171" s="5"/>
      <c r="X171" s="5"/>
      <c r="Y171" s="5"/>
      <c r="Z171" s="5"/>
      <c r="AA171" s="5"/>
      <c r="AB171" s="5"/>
      <c r="AC171" s="5"/>
      <c r="AD171" s="6"/>
    </row>
    <row r="172">
      <c r="A172" s="5"/>
      <c r="B172" s="5"/>
      <c r="C172" s="73"/>
      <c r="D172" s="73"/>
      <c r="E172" s="5"/>
      <c r="F172" s="5"/>
      <c r="G172" s="5"/>
      <c r="H172" s="5"/>
      <c r="I172" s="73"/>
      <c r="J172" s="5"/>
      <c r="K172" s="5"/>
      <c r="L172" s="73"/>
      <c r="M172" s="5"/>
      <c r="N172" s="5"/>
      <c r="O172" s="5"/>
      <c r="P172" s="5"/>
      <c r="Q172" s="5"/>
      <c r="R172" s="5"/>
      <c r="S172" s="5"/>
      <c r="T172" s="5"/>
      <c r="U172" s="5"/>
      <c r="V172" s="5"/>
      <c r="W172" s="5"/>
      <c r="X172" s="5"/>
      <c r="Y172" s="5"/>
      <c r="Z172" s="5"/>
      <c r="AA172" s="5"/>
      <c r="AB172" s="5"/>
      <c r="AC172" s="5"/>
      <c r="AD172" s="6"/>
    </row>
    <row r="173">
      <c r="A173" s="5"/>
      <c r="B173" s="5"/>
      <c r="C173" s="73"/>
      <c r="D173" s="73"/>
      <c r="E173" s="5"/>
      <c r="F173" s="5"/>
      <c r="G173" s="5"/>
      <c r="H173" s="5"/>
      <c r="I173" s="73"/>
      <c r="J173" s="5"/>
      <c r="K173" s="5"/>
      <c r="L173" s="73"/>
      <c r="M173" s="5"/>
      <c r="N173" s="5"/>
      <c r="O173" s="5"/>
      <c r="P173" s="5"/>
      <c r="Q173" s="5"/>
      <c r="R173" s="5"/>
      <c r="S173" s="5"/>
      <c r="T173" s="5"/>
      <c r="U173" s="5"/>
      <c r="V173" s="5"/>
      <c r="W173" s="5"/>
      <c r="X173" s="5"/>
      <c r="Y173" s="5"/>
      <c r="Z173" s="5"/>
      <c r="AA173" s="5"/>
      <c r="AB173" s="5"/>
      <c r="AC173" s="5"/>
      <c r="AD173" s="6"/>
    </row>
    <row r="174">
      <c r="A174" s="5"/>
      <c r="B174" s="5"/>
      <c r="C174" s="73"/>
      <c r="D174" s="73"/>
      <c r="E174" s="5"/>
      <c r="F174" s="5"/>
      <c r="G174" s="5"/>
      <c r="H174" s="5"/>
      <c r="I174" s="73"/>
      <c r="J174" s="5"/>
      <c r="K174" s="5"/>
      <c r="L174" s="73"/>
      <c r="M174" s="5"/>
      <c r="N174" s="5"/>
      <c r="O174" s="5"/>
      <c r="P174" s="5"/>
      <c r="Q174" s="5"/>
      <c r="R174" s="5"/>
      <c r="S174" s="5"/>
      <c r="T174" s="5"/>
      <c r="U174" s="5"/>
      <c r="V174" s="5"/>
      <c r="W174" s="5"/>
      <c r="X174" s="5"/>
      <c r="Y174" s="5"/>
      <c r="Z174" s="5"/>
      <c r="AA174" s="5"/>
      <c r="AB174" s="5"/>
      <c r="AC174" s="5"/>
      <c r="AD174" s="6"/>
    </row>
    <row r="175">
      <c r="A175" s="5"/>
      <c r="B175" s="5"/>
      <c r="C175" s="73"/>
      <c r="D175" s="73"/>
      <c r="E175" s="5"/>
      <c r="F175" s="5"/>
      <c r="G175" s="5"/>
      <c r="H175" s="5"/>
      <c r="I175" s="73"/>
      <c r="J175" s="5"/>
      <c r="K175" s="5"/>
      <c r="L175" s="73"/>
      <c r="M175" s="5"/>
      <c r="N175" s="5"/>
      <c r="O175" s="5"/>
      <c r="P175" s="5"/>
      <c r="Q175" s="5"/>
      <c r="R175" s="5"/>
      <c r="S175" s="5"/>
      <c r="T175" s="5"/>
      <c r="U175" s="5"/>
      <c r="V175" s="5"/>
      <c r="W175" s="5"/>
      <c r="X175" s="5"/>
      <c r="Y175" s="5"/>
      <c r="Z175" s="5"/>
      <c r="AA175" s="5"/>
      <c r="AB175" s="5"/>
      <c r="AC175" s="5"/>
      <c r="AD175" s="6"/>
    </row>
    <row r="176">
      <c r="A176" s="5"/>
      <c r="B176" s="5"/>
      <c r="C176" s="73"/>
      <c r="D176" s="73"/>
      <c r="E176" s="5"/>
      <c r="F176" s="5"/>
      <c r="G176" s="5"/>
      <c r="H176" s="5"/>
      <c r="I176" s="73"/>
      <c r="J176" s="5"/>
      <c r="K176" s="5"/>
      <c r="L176" s="73"/>
      <c r="M176" s="5"/>
      <c r="N176" s="5"/>
      <c r="O176" s="5"/>
      <c r="P176" s="5"/>
      <c r="Q176" s="5"/>
      <c r="R176" s="5"/>
      <c r="S176" s="5"/>
      <c r="T176" s="5"/>
      <c r="U176" s="5"/>
      <c r="V176" s="5"/>
      <c r="W176" s="5"/>
      <c r="X176" s="5"/>
      <c r="Y176" s="5"/>
      <c r="Z176" s="5"/>
      <c r="AA176" s="5"/>
      <c r="AB176" s="5"/>
      <c r="AC176" s="5"/>
      <c r="AD176" s="6"/>
    </row>
    <row r="177">
      <c r="A177" s="5"/>
      <c r="B177" s="5"/>
      <c r="C177" s="73"/>
      <c r="D177" s="73"/>
      <c r="E177" s="5"/>
      <c r="F177" s="5"/>
      <c r="G177" s="5"/>
      <c r="H177" s="5"/>
      <c r="I177" s="73"/>
      <c r="J177" s="5"/>
      <c r="K177" s="5"/>
      <c r="L177" s="73"/>
      <c r="M177" s="5"/>
      <c r="N177" s="5"/>
      <c r="O177" s="5"/>
      <c r="P177" s="5"/>
      <c r="Q177" s="5"/>
      <c r="R177" s="5"/>
      <c r="S177" s="5"/>
      <c r="T177" s="5"/>
      <c r="U177" s="5"/>
      <c r="V177" s="5"/>
      <c r="W177" s="5"/>
      <c r="X177" s="5"/>
      <c r="Y177" s="5"/>
      <c r="Z177" s="5"/>
      <c r="AA177" s="5"/>
      <c r="AB177" s="5"/>
      <c r="AC177" s="5"/>
      <c r="AD177" s="6"/>
    </row>
    <row r="178">
      <c r="A178" s="5"/>
      <c r="B178" s="5"/>
      <c r="C178" s="73"/>
      <c r="D178" s="73"/>
      <c r="E178" s="5"/>
      <c r="F178" s="5"/>
      <c r="G178" s="5"/>
      <c r="H178" s="5"/>
      <c r="I178" s="73"/>
      <c r="J178" s="5"/>
      <c r="K178" s="5"/>
      <c r="L178" s="73"/>
      <c r="M178" s="5"/>
      <c r="N178" s="5"/>
      <c r="O178" s="5"/>
      <c r="P178" s="5"/>
      <c r="Q178" s="5"/>
      <c r="R178" s="5"/>
      <c r="S178" s="5"/>
      <c r="T178" s="5"/>
      <c r="U178" s="5"/>
      <c r="V178" s="5"/>
      <c r="W178" s="5"/>
      <c r="X178" s="5"/>
      <c r="Y178" s="5"/>
      <c r="Z178" s="5"/>
      <c r="AA178" s="5"/>
      <c r="AB178" s="5"/>
      <c r="AC178" s="5"/>
      <c r="AD178" s="6"/>
    </row>
    <row r="179">
      <c r="A179" s="5"/>
      <c r="B179" s="5"/>
      <c r="C179" s="73"/>
      <c r="D179" s="73"/>
      <c r="E179" s="5"/>
      <c r="F179" s="5"/>
      <c r="G179" s="5"/>
      <c r="H179" s="5"/>
      <c r="I179" s="73"/>
      <c r="J179" s="5"/>
      <c r="K179" s="5"/>
      <c r="L179" s="73"/>
      <c r="M179" s="5"/>
      <c r="N179" s="5"/>
      <c r="O179" s="5"/>
      <c r="P179" s="5"/>
      <c r="Q179" s="5"/>
      <c r="R179" s="5"/>
      <c r="S179" s="5"/>
      <c r="T179" s="5"/>
      <c r="U179" s="5"/>
      <c r="V179" s="5"/>
      <c r="W179" s="5"/>
      <c r="X179" s="5"/>
      <c r="Y179" s="5"/>
      <c r="Z179" s="5"/>
      <c r="AA179" s="5"/>
      <c r="AB179" s="5"/>
      <c r="AC179" s="5"/>
      <c r="AD179" s="6"/>
    </row>
    <row r="180">
      <c r="A180" s="5"/>
      <c r="B180" s="5"/>
      <c r="C180" s="73"/>
      <c r="D180" s="73"/>
      <c r="E180" s="5"/>
      <c r="F180" s="5"/>
      <c r="G180" s="5"/>
      <c r="H180" s="5"/>
      <c r="I180" s="73"/>
      <c r="J180" s="5"/>
      <c r="K180" s="5"/>
      <c r="L180" s="73"/>
      <c r="M180" s="5"/>
      <c r="N180" s="5"/>
      <c r="O180" s="5"/>
      <c r="P180" s="5"/>
      <c r="Q180" s="5"/>
      <c r="R180" s="5"/>
      <c r="S180" s="5"/>
      <c r="T180" s="5"/>
      <c r="U180" s="5"/>
      <c r="V180" s="5"/>
      <c r="W180" s="5"/>
      <c r="X180" s="5"/>
      <c r="Y180" s="5"/>
      <c r="Z180" s="5"/>
      <c r="AA180" s="5"/>
      <c r="AB180" s="5"/>
      <c r="AC180" s="5"/>
      <c r="AD180" s="6"/>
    </row>
    <row r="181">
      <c r="A181" s="5"/>
      <c r="B181" s="5"/>
      <c r="C181" s="73"/>
      <c r="D181" s="73"/>
      <c r="E181" s="5"/>
      <c r="F181" s="5"/>
      <c r="G181" s="5"/>
      <c r="H181" s="5"/>
      <c r="I181" s="73"/>
      <c r="J181" s="5"/>
      <c r="K181" s="5"/>
      <c r="L181" s="73"/>
      <c r="M181" s="5"/>
      <c r="N181" s="5"/>
      <c r="O181" s="5"/>
      <c r="P181" s="5"/>
      <c r="Q181" s="5"/>
      <c r="R181" s="5"/>
      <c r="S181" s="5"/>
      <c r="T181" s="5"/>
      <c r="U181" s="5"/>
      <c r="V181" s="5"/>
      <c r="W181" s="5"/>
      <c r="X181" s="5"/>
      <c r="Y181" s="5"/>
      <c r="Z181" s="5"/>
      <c r="AA181" s="5"/>
      <c r="AB181" s="5"/>
      <c r="AC181" s="5"/>
      <c r="AD181" s="6"/>
    </row>
    <row r="182">
      <c r="A182" s="5"/>
      <c r="B182" s="5"/>
      <c r="C182" s="73"/>
      <c r="D182" s="73"/>
      <c r="E182" s="5"/>
      <c r="F182" s="5"/>
      <c r="G182" s="5"/>
      <c r="H182" s="5"/>
      <c r="I182" s="73"/>
      <c r="J182" s="5"/>
      <c r="K182" s="5"/>
      <c r="L182" s="73"/>
      <c r="M182" s="5"/>
      <c r="N182" s="5"/>
      <c r="O182" s="5"/>
      <c r="P182" s="5"/>
      <c r="Q182" s="5"/>
      <c r="R182" s="5"/>
      <c r="S182" s="5"/>
      <c r="T182" s="5"/>
      <c r="U182" s="5"/>
      <c r="V182" s="5"/>
      <c r="W182" s="5"/>
      <c r="X182" s="5"/>
      <c r="Y182" s="5"/>
      <c r="Z182" s="5"/>
      <c r="AA182" s="5"/>
      <c r="AB182" s="5"/>
      <c r="AC182" s="5"/>
      <c r="AD182" s="6"/>
    </row>
    <row r="183">
      <c r="A183" s="5"/>
      <c r="B183" s="5"/>
      <c r="C183" s="73"/>
      <c r="D183" s="73"/>
      <c r="E183" s="5"/>
      <c r="F183" s="5"/>
      <c r="G183" s="5"/>
      <c r="H183" s="5"/>
      <c r="I183" s="73"/>
      <c r="J183" s="5"/>
      <c r="K183" s="5"/>
      <c r="L183" s="73"/>
      <c r="M183" s="5"/>
      <c r="N183" s="5"/>
      <c r="O183" s="5"/>
      <c r="P183" s="5"/>
      <c r="Q183" s="5"/>
      <c r="R183" s="5"/>
      <c r="S183" s="5"/>
      <c r="T183" s="5"/>
      <c r="U183" s="5"/>
      <c r="V183" s="5"/>
      <c r="W183" s="5"/>
      <c r="X183" s="5"/>
      <c r="Y183" s="5"/>
      <c r="Z183" s="5"/>
      <c r="AA183" s="5"/>
      <c r="AB183" s="5"/>
      <c r="AC183" s="5"/>
      <c r="AD183" s="6"/>
    </row>
    <row r="184">
      <c r="A184" s="5"/>
      <c r="B184" s="5"/>
      <c r="C184" s="73"/>
      <c r="D184" s="73"/>
      <c r="E184" s="5"/>
      <c r="F184" s="5"/>
      <c r="G184" s="5"/>
      <c r="H184" s="5"/>
      <c r="I184" s="73"/>
      <c r="J184" s="5"/>
      <c r="K184" s="5"/>
      <c r="L184" s="73"/>
      <c r="M184" s="5"/>
      <c r="N184" s="5"/>
      <c r="O184" s="5"/>
      <c r="P184" s="5"/>
      <c r="Q184" s="5"/>
      <c r="R184" s="5"/>
      <c r="S184" s="5"/>
      <c r="T184" s="5"/>
      <c r="U184" s="5"/>
      <c r="V184" s="5"/>
      <c r="W184" s="5"/>
      <c r="X184" s="5"/>
      <c r="Y184" s="5"/>
      <c r="Z184" s="5"/>
      <c r="AA184" s="5"/>
      <c r="AB184" s="5"/>
      <c r="AC184" s="5"/>
      <c r="AD184" s="6"/>
    </row>
    <row r="185">
      <c r="A185" s="5"/>
      <c r="B185" s="5"/>
      <c r="C185" s="73"/>
      <c r="D185" s="73"/>
      <c r="E185" s="5"/>
      <c r="F185" s="5"/>
      <c r="G185" s="5"/>
      <c r="H185" s="5"/>
      <c r="I185" s="73"/>
      <c r="J185" s="5"/>
      <c r="K185" s="5"/>
      <c r="L185" s="73"/>
      <c r="M185" s="5"/>
      <c r="N185" s="5"/>
      <c r="O185" s="5"/>
      <c r="P185" s="5"/>
      <c r="Q185" s="5"/>
      <c r="R185" s="5"/>
      <c r="S185" s="5"/>
      <c r="T185" s="5"/>
      <c r="U185" s="5"/>
      <c r="V185" s="5"/>
      <c r="W185" s="5"/>
      <c r="X185" s="5"/>
      <c r="Y185" s="5"/>
      <c r="Z185" s="5"/>
      <c r="AA185" s="5"/>
      <c r="AB185" s="5"/>
      <c r="AC185" s="5"/>
      <c r="AD185" s="6"/>
    </row>
    <row r="186">
      <c r="A186" s="5"/>
      <c r="B186" s="5"/>
      <c r="C186" s="73"/>
      <c r="D186" s="73"/>
      <c r="E186" s="5"/>
      <c r="F186" s="5"/>
      <c r="G186" s="5"/>
      <c r="H186" s="5"/>
      <c r="I186" s="73"/>
      <c r="J186" s="5"/>
      <c r="K186" s="5"/>
      <c r="L186" s="73"/>
      <c r="M186" s="5"/>
      <c r="N186" s="5"/>
      <c r="O186" s="5"/>
      <c r="P186" s="5"/>
      <c r="Q186" s="5"/>
      <c r="R186" s="5"/>
      <c r="S186" s="5"/>
      <c r="T186" s="5"/>
      <c r="U186" s="5"/>
      <c r="V186" s="5"/>
      <c r="W186" s="5"/>
      <c r="X186" s="5"/>
      <c r="Y186" s="5"/>
      <c r="Z186" s="5"/>
      <c r="AA186" s="5"/>
      <c r="AB186" s="5"/>
      <c r="AC186" s="5"/>
      <c r="AD186" s="6"/>
    </row>
    <row r="187">
      <c r="A187" s="5"/>
      <c r="B187" s="5"/>
      <c r="C187" s="73"/>
      <c r="D187" s="73"/>
      <c r="E187" s="5"/>
      <c r="F187" s="5"/>
      <c r="G187" s="5"/>
      <c r="H187" s="5"/>
      <c r="I187" s="73"/>
      <c r="J187" s="5"/>
      <c r="K187" s="5"/>
      <c r="L187" s="73"/>
      <c r="M187" s="5"/>
      <c r="N187" s="5"/>
      <c r="O187" s="5"/>
      <c r="P187" s="5"/>
      <c r="Q187" s="5"/>
      <c r="R187" s="5"/>
      <c r="S187" s="5"/>
      <c r="T187" s="5"/>
      <c r="U187" s="5"/>
      <c r="V187" s="5"/>
      <c r="W187" s="5"/>
      <c r="X187" s="5"/>
      <c r="Y187" s="5"/>
      <c r="Z187" s="5"/>
      <c r="AA187" s="5"/>
      <c r="AB187" s="5"/>
      <c r="AC187" s="5"/>
      <c r="AD187" s="6"/>
    </row>
    <row r="188">
      <c r="A188" s="5"/>
      <c r="B188" s="5"/>
      <c r="C188" s="73"/>
      <c r="D188" s="73"/>
      <c r="E188" s="5"/>
      <c r="F188" s="5"/>
      <c r="G188" s="5"/>
      <c r="H188" s="5"/>
      <c r="I188" s="73"/>
      <c r="J188" s="5"/>
      <c r="K188" s="5"/>
      <c r="L188" s="73"/>
      <c r="M188" s="5"/>
      <c r="N188" s="5"/>
      <c r="O188" s="5"/>
      <c r="P188" s="5"/>
      <c r="Q188" s="5"/>
      <c r="R188" s="5"/>
      <c r="S188" s="5"/>
      <c r="T188" s="5"/>
      <c r="U188" s="5"/>
      <c r="V188" s="5"/>
      <c r="W188" s="5"/>
      <c r="X188" s="5"/>
      <c r="Y188" s="5"/>
      <c r="Z188" s="5"/>
      <c r="AA188" s="5"/>
      <c r="AB188" s="5"/>
      <c r="AC188" s="5"/>
      <c r="AD188" s="6"/>
    </row>
    <row r="189">
      <c r="A189" s="5"/>
      <c r="B189" s="5"/>
      <c r="C189" s="73"/>
      <c r="D189" s="73"/>
      <c r="E189" s="5"/>
      <c r="F189" s="5"/>
      <c r="G189" s="5"/>
      <c r="H189" s="5"/>
      <c r="I189" s="73"/>
      <c r="J189" s="5"/>
      <c r="K189" s="5"/>
      <c r="L189" s="73"/>
      <c r="M189" s="5"/>
      <c r="N189" s="5"/>
      <c r="O189" s="5"/>
      <c r="P189" s="5"/>
      <c r="Q189" s="5"/>
      <c r="R189" s="5"/>
      <c r="S189" s="5"/>
      <c r="T189" s="5"/>
      <c r="U189" s="5"/>
      <c r="V189" s="5"/>
      <c r="W189" s="5"/>
      <c r="X189" s="5"/>
      <c r="Y189" s="5"/>
      <c r="Z189" s="5"/>
      <c r="AA189" s="5"/>
      <c r="AB189" s="5"/>
      <c r="AC189" s="5"/>
      <c r="AD189" s="6"/>
    </row>
    <row r="190">
      <c r="A190" s="5"/>
      <c r="B190" s="5"/>
      <c r="C190" s="73"/>
      <c r="D190" s="73"/>
      <c r="E190" s="5"/>
      <c r="F190" s="5"/>
      <c r="G190" s="5"/>
      <c r="H190" s="5"/>
      <c r="I190" s="73"/>
      <c r="J190" s="5"/>
      <c r="K190" s="5"/>
      <c r="L190" s="73"/>
      <c r="M190" s="5"/>
      <c r="N190" s="5"/>
      <c r="O190" s="5"/>
      <c r="P190" s="5"/>
      <c r="Q190" s="5"/>
      <c r="R190" s="5"/>
      <c r="S190" s="5"/>
      <c r="T190" s="5"/>
      <c r="U190" s="5"/>
      <c r="V190" s="5"/>
      <c r="W190" s="5"/>
      <c r="X190" s="5"/>
      <c r="Y190" s="5"/>
      <c r="Z190" s="5"/>
      <c r="AA190" s="5"/>
      <c r="AB190" s="5"/>
      <c r="AC190" s="5"/>
      <c r="AD190" s="6"/>
    </row>
    <row r="191">
      <c r="A191" s="5"/>
      <c r="B191" s="5"/>
      <c r="C191" s="73"/>
      <c r="D191" s="73"/>
      <c r="E191" s="5"/>
      <c r="F191" s="5"/>
      <c r="G191" s="5"/>
      <c r="H191" s="5"/>
      <c r="I191" s="73"/>
      <c r="J191" s="5"/>
      <c r="K191" s="5"/>
      <c r="L191" s="73"/>
      <c r="M191" s="5"/>
      <c r="N191" s="5"/>
      <c r="O191" s="5"/>
      <c r="P191" s="5"/>
      <c r="Q191" s="5"/>
      <c r="R191" s="5"/>
      <c r="S191" s="5"/>
      <c r="T191" s="5"/>
      <c r="U191" s="5"/>
      <c r="V191" s="5"/>
      <c r="W191" s="5"/>
      <c r="X191" s="5"/>
      <c r="Y191" s="5"/>
      <c r="Z191" s="5"/>
      <c r="AA191" s="5"/>
      <c r="AB191" s="5"/>
      <c r="AC191" s="5"/>
      <c r="AD191" s="6"/>
    </row>
    <row r="192">
      <c r="A192" s="5"/>
      <c r="B192" s="5"/>
      <c r="C192" s="73"/>
      <c r="D192" s="73"/>
      <c r="E192" s="5"/>
      <c r="F192" s="5"/>
      <c r="G192" s="5"/>
      <c r="H192" s="5"/>
      <c r="I192" s="73"/>
      <c r="J192" s="5"/>
      <c r="K192" s="5"/>
      <c r="L192" s="73"/>
      <c r="M192" s="5"/>
      <c r="N192" s="5"/>
      <c r="O192" s="5"/>
      <c r="P192" s="5"/>
      <c r="Q192" s="5"/>
      <c r="R192" s="5"/>
      <c r="S192" s="5"/>
      <c r="T192" s="5"/>
      <c r="U192" s="5"/>
      <c r="V192" s="5"/>
      <c r="W192" s="5"/>
      <c r="X192" s="5"/>
      <c r="Y192" s="5"/>
      <c r="Z192" s="5"/>
      <c r="AA192" s="5"/>
      <c r="AB192" s="5"/>
      <c r="AC192" s="5"/>
      <c r="AD192" s="6"/>
    </row>
    <row r="193">
      <c r="A193" s="5"/>
      <c r="B193" s="5"/>
      <c r="C193" s="73"/>
      <c r="D193" s="73"/>
      <c r="E193" s="5"/>
      <c r="F193" s="5"/>
      <c r="G193" s="5"/>
      <c r="H193" s="5"/>
      <c r="I193" s="73"/>
      <c r="J193" s="5"/>
      <c r="K193" s="5"/>
      <c r="L193" s="73"/>
      <c r="M193" s="5"/>
      <c r="N193" s="5"/>
      <c r="O193" s="5"/>
      <c r="P193" s="5"/>
      <c r="Q193" s="5"/>
      <c r="R193" s="5"/>
      <c r="S193" s="5"/>
      <c r="T193" s="5"/>
      <c r="U193" s="5"/>
      <c r="V193" s="5"/>
      <c r="W193" s="5"/>
      <c r="X193" s="5"/>
      <c r="Y193" s="5"/>
      <c r="Z193" s="5"/>
      <c r="AA193" s="5"/>
      <c r="AB193" s="5"/>
      <c r="AC193" s="5"/>
      <c r="AD193" s="6"/>
    </row>
    <row r="194">
      <c r="A194" s="5"/>
      <c r="B194" s="5"/>
      <c r="C194" s="73"/>
      <c r="D194" s="73"/>
      <c r="E194" s="5"/>
      <c r="F194" s="5"/>
      <c r="G194" s="5"/>
      <c r="H194" s="5"/>
      <c r="I194" s="73"/>
      <c r="J194" s="5"/>
      <c r="K194" s="5"/>
      <c r="L194" s="73"/>
      <c r="M194" s="5"/>
      <c r="N194" s="5"/>
      <c r="O194" s="5"/>
      <c r="P194" s="5"/>
      <c r="Q194" s="5"/>
      <c r="R194" s="5"/>
      <c r="S194" s="5"/>
      <c r="T194" s="5"/>
      <c r="U194" s="5"/>
      <c r="V194" s="5"/>
      <c r="W194" s="5"/>
      <c r="X194" s="5"/>
      <c r="Y194" s="5"/>
      <c r="Z194" s="5"/>
      <c r="AA194" s="5"/>
      <c r="AB194" s="5"/>
      <c r="AC194" s="5"/>
      <c r="AD194" s="6"/>
    </row>
    <row r="195">
      <c r="A195" s="5"/>
      <c r="B195" s="5"/>
      <c r="C195" s="73"/>
      <c r="D195" s="73"/>
      <c r="E195" s="5"/>
      <c r="F195" s="5"/>
      <c r="G195" s="5"/>
      <c r="H195" s="5"/>
      <c r="I195" s="73"/>
      <c r="J195" s="5"/>
      <c r="K195" s="5"/>
      <c r="L195" s="73"/>
      <c r="M195" s="5"/>
      <c r="N195" s="5"/>
      <c r="O195" s="5"/>
      <c r="P195" s="5"/>
      <c r="Q195" s="5"/>
      <c r="R195" s="5"/>
      <c r="S195" s="5"/>
      <c r="T195" s="5"/>
      <c r="U195" s="5"/>
      <c r="V195" s="5"/>
      <c r="W195" s="5"/>
      <c r="X195" s="5"/>
      <c r="Y195" s="5"/>
      <c r="Z195" s="5"/>
      <c r="AA195" s="5"/>
      <c r="AB195" s="5"/>
      <c r="AC195" s="5"/>
      <c r="AD195" s="6"/>
    </row>
    <row r="196">
      <c r="A196" s="5"/>
      <c r="B196" s="5"/>
      <c r="C196" s="73"/>
      <c r="D196" s="73"/>
      <c r="E196" s="5"/>
      <c r="F196" s="5"/>
      <c r="G196" s="5"/>
      <c r="H196" s="5"/>
      <c r="I196" s="73"/>
      <c r="J196" s="5"/>
      <c r="K196" s="5"/>
      <c r="L196" s="73"/>
      <c r="M196" s="5"/>
      <c r="N196" s="5"/>
      <c r="O196" s="5"/>
      <c r="P196" s="5"/>
      <c r="Q196" s="5"/>
      <c r="R196" s="5"/>
      <c r="S196" s="5"/>
      <c r="T196" s="5"/>
      <c r="U196" s="5"/>
      <c r="V196" s="5"/>
      <c r="W196" s="5"/>
      <c r="X196" s="5"/>
      <c r="Y196" s="5"/>
      <c r="Z196" s="5"/>
      <c r="AA196" s="5"/>
      <c r="AB196" s="5"/>
      <c r="AC196" s="5"/>
      <c r="AD196" s="6"/>
    </row>
    <row r="197">
      <c r="A197" s="5"/>
      <c r="B197" s="5"/>
      <c r="C197" s="73"/>
      <c r="D197" s="73"/>
      <c r="E197" s="5"/>
      <c r="F197" s="5"/>
      <c r="G197" s="5"/>
      <c r="H197" s="5"/>
      <c r="I197" s="73"/>
      <c r="J197" s="5"/>
      <c r="K197" s="5"/>
      <c r="L197" s="73"/>
      <c r="M197" s="5"/>
      <c r="N197" s="5"/>
      <c r="O197" s="5"/>
      <c r="P197" s="5"/>
      <c r="Q197" s="5"/>
      <c r="R197" s="5"/>
      <c r="S197" s="5"/>
      <c r="T197" s="5"/>
      <c r="U197" s="5"/>
      <c r="V197" s="5"/>
      <c r="W197" s="5"/>
      <c r="X197" s="5"/>
      <c r="Y197" s="5"/>
      <c r="Z197" s="5"/>
      <c r="AA197" s="5"/>
      <c r="AB197" s="5"/>
      <c r="AC197" s="5"/>
      <c r="AD197" s="6"/>
    </row>
    <row r="198">
      <c r="A198" s="5"/>
      <c r="B198" s="5"/>
      <c r="C198" s="73"/>
      <c r="D198" s="73"/>
      <c r="E198" s="5"/>
      <c r="F198" s="5"/>
      <c r="G198" s="5"/>
      <c r="H198" s="5"/>
      <c r="I198" s="73"/>
      <c r="J198" s="5"/>
      <c r="K198" s="5"/>
      <c r="L198" s="73"/>
      <c r="M198" s="5"/>
      <c r="N198" s="5"/>
      <c r="O198" s="5"/>
      <c r="P198" s="5"/>
      <c r="Q198" s="5"/>
      <c r="R198" s="5"/>
      <c r="S198" s="5"/>
      <c r="T198" s="5"/>
      <c r="U198" s="5"/>
      <c r="V198" s="5"/>
      <c r="W198" s="5"/>
      <c r="X198" s="5"/>
      <c r="Y198" s="5"/>
      <c r="Z198" s="5"/>
      <c r="AA198" s="5"/>
      <c r="AB198" s="5"/>
      <c r="AC198" s="5"/>
      <c r="AD198" s="6"/>
    </row>
    <row r="199">
      <c r="A199" s="5"/>
      <c r="B199" s="5"/>
      <c r="C199" s="73"/>
      <c r="D199" s="73"/>
      <c r="E199" s="5"/>
      <c r="F199" s="5"/>
      <c r="G199" s="5"/>
      <c r="H199" s="5"/>
      <c r="I199" s="73"/>
      <c r="J199" s="5"/>
      <c r="K199" s="5"/>
      <c r="L199" s="73"/>
      <c r="M199" s="5"/>
      <c r="N199" s="5"/>
      <c r="O199" s="5"/>
      <c r="P199" s="5"/>
      <c r="Q199" s="5"/>
      <c r="R199" s="5"/>
      <c r="S199" s="5"/>
      <c r="T199" s="5"/>
      <c r="U199" s="5"/>
      <c r="V199" s="5"/>
      <c r="W199" s="5"/>
      <c r="X199" s="5"/>
      <c r="Y199" s="5"/>
      <c r="Z199" s="5"/>
      <c r="AA199" s="5"/>
      <c r="AB199" s="5"/>
      <c r="AC199" s="5"/>
      <c r="AD199" s="6"/>
    </row>
    <row r="200">
      <c r="A200" s="5"/>
      <c r="B200" s="5"/>
      <c r="C200" s="73"/>
      <c r="D200" s="73"/>
      <c r="E200" s="5"/>
      <c r="F200" s="5"/>
      <c r="G200" s="5"/>
      <c r="H200" s="5"/>
      <c r="I200" s="73"/>
      <c r="J200" s="5"/>
      <c r="K200" s="5"/>
      <c r="L200" s="73"/>
      <c r="M200" s="5"/>
      <c r="N200" s="5"/>
      <c r="O200" s="5"/>
      <c r="P200" s="5"/>
      <c r="Q200" s="5"/>
      <c r="R200" s="5"/>
      <c r="S200" s="5"/>
      <c r="T200" s="5"/>
      <c r="U200" s="5"/>
      <c r="V200" s="5"/>
      <c r="W200" s="5"/>
      <c r="X200" s="5"/>
      <c r="Y200" s="5"/>
      <c r="Z200" s="5"/>
      <c r="AA200" s="5"/>
      <c r="AB200" s="5"/>
      <c r="AC200" s="5"/>
      <c r="AD200" s="6"/>
    </row>
    <row r="201">
      <c r="A201" s="5"/>
      <c r="B201" s="5"/>
      <c r="C201" s="73"/>
      <c r="D201" s="73"/>
      <c r="E201" s="5"/>
      <c r="F201" s="5"/>
      <c r="G201" s="5"/>
      <c r="H201" s="5"/>
      <c r="I201" s="73"/>
      <c r="J201" s="5"/>
      <c r="K201" s="5"/>
      <c r="L201" s="73"/>
      <c r="M201" s="5"/>
      <c r="N201" s="5"/>
      <c r="O201" s="5"/>
      <c r="P201" s="5"/>
      <c r="Q201" s="5"/>
      <c r="R201" s="5"/>
      <c r="S201" s="5"/>
      <c r="T201" s="5"/>
      <c r="U201" s="5"/>
      <c r="V201" s="5"/>
      <c r="W201" s="5"/>
      <c r="X201" s="5"/>
      <c r="Y201" s="5"/>
      <c r="Z201" s="5"/>
      <c r="AA201" s="5"/>
      <c r="AB201" s="5"/>
      <c r="AC201" s="5"/>
      <c r="AD201" s="6"/>
    </row>
    <row r="202">
      <c r="A202" s="5"/>
      <c r="B202" s="5"/>
      <c r="C202" s="73"/>
      <c r="D202" s="73"/>
      <c r="E202" s="5"/>
      <c r="F202" s="5"/>
      <c r="G202" s="5"/>
      <c r="H202" s="5"/>
      <c r="I202" s="73"/>
      <c r="J202" s="5"/>
      <c r="K202" s="5"/>
      <c r="L202" s="73"/>
      <c r="M202" s="5"/>
      <c r="N202" s="5"/>
      <c r="O202" s="5"/>
      <c r="P202" s="5"/>
      <c r="Q202" s="5"/>
      <c r="R202" s="5"/>
      <c r="S202" s="5"/>
      <c r="T202" s="5"/>
      <c r="U202" s="5"/>
      <c r="V202" s="5"/>
      <c r="W202" s="5"/>
      <c r="X202" s="5"/>
      <c r="Y202" s="5"/>
      <c r="Z202" s="5"/>
      <c r="AA202" s="5"/>
      <c r="AB202" s="5"/>
      <c r="AC202" s="5"/>
      <c r="AD202" s="6"/>
    </row>
    <row r="203">
      <c r="A203" s="5"/>
      <c r="B203" s="5"/>
      <c r="C203" s="73"/>
      <c r="D203" s="73"/>
      <c r="E203" s="5"/>
      <c r="F203" s="5"/>
      <c r="G203" s="5"/>
      <c r="H203" s="5"/>
      <c r="I203" s="73"/>
      <c r="J203" s="5"/>
      <c r="K203" s="5"/>
      <c r="L203" s="73"/>
      <c r="M203" s="5"/>
      <c r="N203" s="5"/>
      <c r="O203" s="5"/>
      <c r="P203" s="5"/>
      <c r="Q203" s="5"/>
      <c r="R203" s="5"/>
      <c r="S203" s="5"/>
      <c r="T203" s="5"/>
      <c r="U203" s="5"/>
      <c r="V203" s="5"/>
      <c r="W203" s="5"/>
      <c r="X203" s="5"/>
      <c r="Y203" s="5"/>
      <c r="Z203" s="5"/>
      <c r="AA203" s="5"/>
      <c r="AB203" s="5"/>
      <c r="AC203" s="5"/>
      <c r="AD203" s="6"/>
    </row>
    <row r="204">
      <c r="A204" s="5"/>
      <c r="B204" s="5"/>
      <c r="C204" s="73"/>
      <c r="D204" s="73"/>
      <c r="E204" s="5"/>
      <c r="F204" s="5"/>
      <c r="G204" s="5"/>
      <c r="H204" s="5"/>
      <c r="I204" s="73"/>
      <c r="J204" s="5"/>
      <c r="K204" s="5"/>
      <c r="L204" s="73"/>
      <c r="M204" s="5"/>
      <c r="N204" s="5"/>
      <c r="O204" s="5"/>
      <c r="P204" s="5"/>
      <c r="Q204" s="5"/>
      <c r="R204" s="5"/>
      <c r="S204" s="5"/>
      <c r="T204" s="5"/>
      <c r="U204" s="5"/>
      <c r="V204" s="5"/>
      <c r="W204" s="5"/>
      <c r="X204" s="5"/>
      <c r="Y204" s="5"/>
      <c r="Z204" s="5"/>
      <c r="AA204" s="5"/>
      <c r="AB204" s="5"/>
      <c r="AC204" s="5"/>
      <c r="AD204" s="6"/>
    </row>
    <row r="205">
      <c r="A205" s="5"/>
      <c r="B205" s="5"/>
      <c r="C205" s="73"/>
      <c r="D205" s="73"/>
      <c r="E205" s="5"/>
      <c r="F205" s="5"/>
      <c r="G205" s="5"/>
      <c r="H205" s="5"/>
      <c r="I205" s="73"/>
      <c r="J205" s="5"/>
      <c r="K205" s="5"/>
      <c r="L205" s="73"/>
      <c r="M205" s="5"/>
      <c r="N205" s="5"/>
      <c r="O205" s="5"/>
      <c r="P205" s="5"/>
      <c r="Q205" s="5"/>
      <c r="R205" s="5"/>
      <c r="S205" s="5"/>
      <c r="T205" s="5"/>
      <c r="U205" s="5"/>
      <c r="V205" s="5"/>
      <c r="W205" s="5"/>
      <c r="X205" s="5"/>
      <c r="Y205" s="5"/>
      <c r="Z205" s="5"/>
      <c r="AA205" s="5"/>
      <c r="AB205" s="5"/>
      <c r="AC205" s="5"/>
      <c r="AD205" s="6"/>
    </row>
    <row r="206">
      <c r="A206" s="5"/>
      <c r="B206" s="5"/>
      <c r="C206" s="73"/>
      <c r="D206" s="73"/>
      <c r="E206" s="5"/>
      <c r="F206" s="5"/>
      <c r="G206" s="5"/>
      <c r="H206" s="5"/>
      <c r="I206" s="73"/>
      <c r="J206" s="5"/>
      <c r="K206" s="5"/>
      <c r="L206" s="73"/>
      <c r="M206" s="5"/>
      <c r="N206" s="5"/>
      <c r="O206" s="5"/>
      <c r="P206" s="5"/>
      <c r="Q206" s="5"/>
      <c r="R206" s="5"/>
      <c r="S206" s="5"/>
      <c r="T206" s="5"/>
      <c r="U206" s="5"/>
      <c r="V206" s="5"/>
      <c r="W206" s="5"/>
      <c r="X206" s="5"/>
      <c r="Y206" s="5"/>
      <c r="Z206" s="5"/>
      <c r="AA206" s="5"/>
      <c r="AB206" s="5"/>
      <c r="AC206" s="5"/>
      <c r="AD206" s="6"/>
    </row>
    <row r="207">
      <c r="A207" s="5"/>
      <c r="B207" s="5"/>
      <c r="C207" s="73"/>
      <c r="D207" s="73"/>
      <c r="E207" s="5"/>
      <c r="F207" s="5"/>
      <c r="G207" s="5"/>
      <c r="H207" s="5"/>
      <c r="I207" s="73"/>
      <c r="J207" s="5"/>
      <c r="K207" s="5"/>
      <c r="L207" s="73"/>
      <c r="M207" s="5"/>
      <c r="N207" s="5"/>
      <c r="O207" s="5"/>
      <c r="P207" s="5"/>
      <c r="Q207" s="5"/>
      <c r="R207" s="5"/>
      <c r="S207" s="5"/>
      <c r="T207" s="5"/>
      <c r="U207" s="5"/>
      <c r="V207" s="5"/>
      <c r="W207" s="5"/>
      <c r="X207" s="5"/>
      <c r="Y207" s="5"/>
      <c r="Z207" s="5"/>
      <c r="AA207" s="5"/>
      <c r="AB207" s="5"/>
      <c r="AC207" s="5"/>
      <c r="AD207" s="6"/>
    </row>
    <row r="208">
      <c r="A208" s="5"/>
      <c r="B208" s="5"/>
      <c r="C208" s="73"/>
      <c r="D208" s="73"/>
      <c r="E208" s="5"/>
      <c r="F208" s="5"/>
      <c r="G208" s="5"/>
      <c r="H208" s="5"/>
      <c r="I208" s="73"/>
      <c r="J208" s="5"/>
      <c r="K208" s="5"/>
      <c r="L208" s="73"/>
      <c r="M208" s="5"/>
      <c r="N208" s="5"/>
      <c r="O208" s="5"/>
      <c r="P208" s="5"/>
      <c r="Q208" s="5"/>
      <c r="R208" s="5"/>
      <c r="S208" s="5"/>
      <c r="T208" s="5"/>
      <c r="U208" s="5"/>
      <c r="V208" s="5"/>
      <c r="W208" s="5"/>
      <c r="X208" s="5"/>
      <c r="Y208" s="5"/>
      <c r="Z208" s="5"/>
      <c r="AA208" s="5"/>
      <c r="AB208" s="5"/>
      <c r="AC208" s="5"/>
      <c r="AD208" s="6"/>
    </row>
    <row r="209">
      <c r="A209" s="5"/>
      <c r="B209" s="5"/>
      <c r="C209" s="73"/>
      <c r="D209" s="73"/>
      <c r="E209" s="5"/>
      <c r="F209" s="5"/>
      <c r="G209" s="5"/>
      <c r="H209" s="5"/>
      <c r="I209" s="73"/>
      <c r="J209" s="5"/>
      <c r="K209" s="5"/>
      <c r="L209" s="73"/>
      <c r="M209" s="5"/>
      <c r="N209" s="5"/>
      <c r="O209" s="5"/>
      <c r="P209" s="5"/>
      <c r="Q209" s="5"/>
      <c r="R209" s="5"/>
      <c r="S209" s="5"/>
      <c r="T209" s="5"/>
      <c r="U209" s="5"/>
      <c r="V209" s="5"/>
      <c r="W209" s="5"/>
      <c r="X209" s="5"/>
      <c r="Y209" s="5"/>
      <c r="Z209" s="5"/>
      <c r="AA209" s="5"/>
      <c r="AB209" s="5"/>
      <c r="AC209" s="5"/>
      <c r="AD209" s="6"/>
    </row>
    <row r="210">
      <c r="A210" s="5"/>
      <c r="B210" s="5"/>
      <c r="C210" s="73"/>
      <c r="D210" s="73"/>
      <c r="E210" s="5"/>
      <c r="F210" s="5"/>
      <c r="G210" s="5"/>
      <c r="H210" s="5"/>
      <c r="I210" s="73"/>
      <c r="J210" s="5"/>
      <c r="K210" s="5"/>
      <c r="L210" s="73"/>
      <c r="M210" s="5"/>
      <c r="N210" s="5"/>
      <c r="O210" s="5"/>
      <c r="P210" s="5"/>
      <c r="Q210" s="5"/>
      <c r="R210" s="5"/>
      <c r="S210" s="5"/>
      <c r="T210" s="5"/>
      <c r="U210" s="5"/>
      <c r="V210" s="5"/>
      <c r="W210" s="5"/>
      <c r="X210" s="5"/>
      <c r="Y210" s="5"/>
      <c r="Z210" s="5"/>
      <c r="AA210" s="5"/>
      <c r="AB210" s="5"/>
      <c r="AC210" s="5"/>
      <c r="AD210" s="6"/>
    </row>
    <row r="211">
      <c r="A211" s="5"/>
      <c r="B211" s="5"/>
      <c r="C211" s="73"/>
      <c r="D211" s="73"/>
      <c r="E211" s="5"/>
      <c r="F211" s="5"/>
      <c r="G211" s="5"/>
      <c r="H211" s="5"/>
      <c r="I211" s="73"/>
      <c r="J211" s="5"/>
      <c r="K211" s="5"/>
      <c r="L211" s="73"/>
      <c r="M211" s="5"/>
      <c r="N211" s="5"/>
      <c r="O211" s="5"/>
      <c r="P211" s="5"/>
      <c r="Q211" s="5"/>
      <c r="R211" s="5"/>
      <c r="S211" s="5"/>
      <c r="T211" s="5"/>
      <c r="U211" s="5"/>
      <c r="V211" s="5"/>
      <c r="W211" s="5"/>
      <c r="X211" s="5"/>
      <c r="Y211" s="5"/>
      <c r="Z211" s="5"/>
      <c r="AA211" s="5"/>
      <c r="AB211" s="5"/>
      <c r="AC211" s="5"/>
      <c r="AD211" s="6"/>
    </row>
    <row r="212">
      <c r="A212" s="5"/>
      <c r="B212" s="5"/>
      <c r="C212" s="73"/>
      <c r="D212" s="73"/>
      <c r="E212" s="5"/>
      <c r="F212" s="5"/>
      <c r="G212" s="5"/>
      <c r="H212" s="5"/>
      <c r="I212" s="73"/>
      <c r="J212" s="5"/>
      <c r="K212" s="5"/>
      <c r="L212" s="73"/>
      <c r="M212" s="5"/>
      <c r="N212" s="5"/>
      <c r="O212" s="5"/>
      <c r="P212" s="5"/>
      <c r="Q212" s="5"/>
      <c r="R212" s="5"/>
      <c r="S212" s="5"/>
      <c r="T212" s="5"/>
      <c r="U212" s="5"/>
      <c r="V212" s="5"/>
      <c r="W212" s="5"/>
      <c r="X212" s="5"/>
      <c r="Y212" s="5"/>
      <c r="Z212" s="5"/>
      <c r="AA212" s="5"/>
      <c r="AB212" s="5"/>
      <c r="AC212" s="5"/>
      <c r="AD212" s="6"/>
    </row>
    <row r="213">
      <c r="A213" s="5"/>
      <c r="B213" s="5"/>
      <c r="C213" s="73"/>
      <c r="D213" s="73"/>
      <c r="E213" s="5"/>
      <c r="F213" s="5"/>
      <c r="G213" s="5"/>
      <c r="H213" s="5"/>
      <c r="I213" s="73"/>
      <c r="J213" s="5"/>
      <c r="K213" s="5"/>
      <c r="L213" s="73"/>
      <c r="M213" s="5"/>
      <c r="N213" s="5"/>
      <c r="O213" s="5"/>
      <c r="P213" s="5"/>
      <c r="Q213" s="5"/>
      <c r="R213" s="5"/>
      <c r="S213" s="5"/>
      <c r="T213" s="5"/>
      <c r="U213" s="5"/>
      <c r="V213" s="5"/>
      <c r="W213" s="5"/>
      <c r="X213" s="5"/>
      <c r="Y213" s="5"/>
      <c r="Z213" s="5"/>
      <c r="AA213" s="5"/>
      <c r="AB213" s="5"/>
      <c r="AC213" s="5"/>
      <c r="AD213" s="6"/>
    </row>
    <row r="214">
      <c r="A214" s="5"/>
      <c r="B214" s="5"/>
      <c r="C214" s="73"/>
      <c r="D214" s="73"/>
      <c r="E214" s="5"/>
      <c r="F214" s="5"/>
      <c r="G214" s="5"/>
      <c r="H214" s="5"/>
      <c r="I214" s="73"/>
      <c r="J214" s="5"/>
      <c r="K214" s="5"/>
      <c r="L214" s="73"/>
      <c r="M214" s="5"/>
      <c r="N214" s="5"/>
      <c r="O214" s="5"/>
      <c r="P214" s="5"/>
      <c r="Q214" s="5"/>
      <c r="R214" s="5"/>
      <c r="S214" s="5"/>
      <c r="T214" s="5"/>
      <c r="U214" s="5"/>
      <c r="V214" s="5"/>
      <c r="W214" s="5"/>
      <c r="X214" s="5"/>
      <c r="Y214" s="5"/>
      <c r="Z214" s="5"/>
      <c r="AA214" s="5"/>
      <c r="AB214" s="5"/>
      <c r="AC214" s="5"/>
      <c r="AD214" s="6"/>
    </row>
    <row r="215">
      <c r="A215" s="5"/>
      <c r="B215" s="5"/>
      <c r="C215" s="73"/>
      <c r="D215" s="73"/>
      <c r="E215" s="5"/>
      <c r="F215" s="5"/>
      <c r="G215" s="5"/>
      <c r="H215" s="5"/>
      <c r="I215" s="73"/>
      <c r="J215" s="5"/>
      <c r="K215" s="5"/>
      <c r="L215" s="73"/>
      <c r="M215" s="5"/>
      <c r="N215" s="5"/>
      <c r="O215" s="5"/>
      <c r="P215" s="5"/>
      <c r="Q215" s="5"/>
      <c r="R215" s="5"/>
      <c r="S215" s="5"/>
      <c r="T215" s="5"/>
      <c r="U215" s="5"/>
      <c r="V215" s="5"/>
      <c r="W215" s="5"/>
      <c r="X215" s="5"/>
      <c r="Y215" s="5"/>
      <c r="Z215" s="5"/>
      <c r="AA215" s="5"/>
      <c r="AB215" s="5"/>
      <c r="AC215" s="5"/>
      <c r="AD215" s="6"/>
    </row>
    <row r="216">
      <c r="A216" s="5"/>
      <c r="B216" s="5"/>
      <c r="C216" s="73"/>
      <c r="D216" s="73"/>
      <c r="E216" s="5"/>
      <c r="F216" s="5"/>
      <c r="G216" s="5"/>
      <c r="H216" s="5"/>
      <c r="I216" s="73"/>
      <c r="J216" s="5"/>
      <c r="K216" s="5"/>
      <c r="L216" s="73"/>
      <c r="M216" s="5"/>
      <c r="N216" s="5"/>
      <c r="O216" s="5"/>
      <c r="P216" s="5"/>
      <c r="Q216" s="5"/>
      <c r="R216" s="5"/>
      <c r="S216" s="5"/>
      <c r="T216" s="5"/>
      <c r="U216" s="5"/>
      <c r="V216" s="5"/>
      <c r="W216" s="5"/>
      <c r="X216" s="5"/>
      <c r="Y216" s="5"/>
      <c r="Z216" s="5"/>
      <c r="AA216" s="5"/>
      <c r="AB216" s="5"/>
      <c r="AC216" s="5"/>
      <c r="AD216" s="6"/>
    </row>
    <row r="217">
      <c r="A217" s="5"/>
      <c r="B217" s="5"/>
      <c r="C217" s="73"/>
      <c r="D217" s="73"/>
      <c r="E217" s="5"/>
      <c r="F217" s="5"/>
      <c r="G217" s="5"/>
      <c r="H217" s="5"/>
      <c r="I217" s="73"/>
      <c r="J217" s="5"/>
      <c r="K217" s="5"/>
      <c r="L217" s="73"/>
      <c r="M217" s="5"/>
      <c r="N217" s="5"/>
      <c r="O217" s="5"/>
      <c r="P217" s="5"/>
      <c r="Q217" s="5"/>
      <c r="R217" s="5"/>
      <c r="S217" s="5"/>
      <c r="T217" s="5"/>
      <c r="U217" s="5"/>
      <c r="V217" s="5"/>
      <c r="W217" s="5"/>
      <c r="X217" s="5"/>
      <c r="Y217" s="5"/>
      <c r="Z217" s="5"/>
      <c r="AA217" s="5"/>
      <c r="AB217" s="5"/>
      <c r="AC217" s="5"/>
      <c r="AD217" s="6"/>
    </row>
    <row r="218">
      <c r="A218" s="5"/>
      <c r="B218" s="5"/>
      <c r="C218" s="73"/>
      <c r="D218" s="73"/>
      <c r="E218" s="5"/>
      <c r="F218" s="5"/>
      <c r="G218" s="5"/>
      <c r="H218" s="5"/>
      <c r="I218" s="73"/>
      <c r="J218" s="5"/>
      <c r="K218" s="5"/>
      <c r="L218" s="73"/>
      <c r="M218" s="5"/>
      <c r="N218" s="5"/>
      <c r="O218" s="5"/>
      <c r="P218" s="5"/>
      <c r="Q218" s="5"/>
      <c r="R218" s="5"/>
      <c r="S218" s="5"/>
      <c r="T218" s="5"/>
      <c r="U218" s="5"/>
      <c r="V218" s="5"/>
      <c r="W218" s="5"/>
      <c r="X218" s="5"/>
      <c r="Y218" s="5"/>
      <c r="Z218" s="5"/>
      <c r="AA218" s="5"/>
      <c r="AB218" s="5"/>
      <c r="AC218" s="5"/>
      <c r="AD218" s="6"/>
    </row>
    <row r="219">
      <c r="A219" s="5"/>
      <c r="B219" s="5"/>
      <c r="C219" s="73"/>
      <c r="D219" s="73"/>
      <c r="E219" s="5"/>
      <c r="F219" s="5"/>
      <c r="G219" s="5"/>
      <c r="H219" s="5"/>
      <c r="I219" s="73"/>
      <c r="J219" s="5"/>
      <c r="K219" s="5"/>
      <c r="L219" s="73"/>
      <c r="M219" s="5"/>
      <c r="N219" s="5"/>
      <c r="O219" s="5"/>
      <c r="P219" s="5"/>
      <c r="Q219" s="5"/>
      <c r="R219" s="5"/>
      <c r="S219" s="5"/>
      <c r="T219" s="5"/>
      <c r="U219" s="5"/>
      <c r="V219" s="5"/>
      <c r="W219" s="5"/>
      <c r="X219" s="5"/>
      <c r="Y219" s="5"/>
      <c r="Z219" s="5"/>
      <c r="AA219" s="5"/>
      <c r="AB219" s="5"/>
      <c r="AC219" s="5"/>
      <c r="AD219" s="6"/>
    </row>
    <row r="220">
      <c r="A220" s="5"/>
      <c r="B220" s="5"/>
      <c r="C220" s="73"/>
      <c r="D220" s="73"/>
      <c r="E220" s="5"/>
      <c r="F220" s="5"/>
      <c r="G220" s="5"/>
      <c r="H220" s="5"/>
      <c r="I220" s="73"/>
      <c r="J220" s="5"/>
      <c r="K220" s="5"/>
      <c r="L220" s="73"/>
      <c r="M220" s="5"/>
      <c r="N220" s="5"/>
      <c r="O220" s="5"/>
      <c r="P220" s="5"/>
      <c r="Q220" s="5"/>
      <c r="R220" s="5"/>
      <c r="S220" s="5"/>
      <c r="T220" s="5"/>
      <c r="U220" s="5"/>
      <c r="V220" s="5"/>
      <c r="W220" s="5"/>
      <c r="X220" s="5"/>
      <c r="Y220" s="5"/>
      <c r="Z220" s="5"/>
      <c r="AA220" s="5"/>
      <c r="AB220" s="5"/>
      <c r="AC220" s="5"/>
      <c r="AD220" s="6"/>
    </row>
    <row r="221">
      <c r="A221" s="5"/>
      <c r="B221" s="5"/>
      <c r="C221" s="73"/>
      <c r="D221" s="73"/>
      <c r="E221" s="5"/>
      <c r="F221" s="5"/>
      <c r="G221" s="5"/>
      <c r="H221" s="5"/>
      <c r="I221" s="73"/>
      <c r="J221" s="5"/>
      <c r="K221" s="5"/>
      <c r="L221" s="73"/>
      <c r="M221" s="5"/>
      <c r="N221" s="5"/>
      <c r="O221" s="5"/>
      <c r="P221" s="5"/>
      <c r="Q221" s="5"/>
      <c r="R221" s="5"/>
      <c r="S221" s="5"/>
      <c r="T221" s="5"/>
      <c r="U221" s="5"/>
      <c r="V221" s="5"/>
      <c r="W221" s="5"/>
      <c r="X221" s="5"/>
      <c r="Y221" s="5"/>
      <c r="Z221" s="5"/>
      <c r="AA221" s="5"/>
      <c r="AB221" s="5"/>
      <c r="AC221" s="5"/>
      <c r="AD221" s="6"/>
    </row>
    <row r="222">
      <c r="A222" s="5"/>
      <c r="B222" s="5"/>
      <c r="C222" s="73"/>
      <c r="D222" s="73"/>
      <c r="E222" s="5"/>
      <c r="F222" s="5"/>
      <c r="G222" s="5"/>
      <c r="H222" s="5"/>
      <c r="I222" s="73"/>
      <c r="J222" s="5"/>
      <c r="K222" s="5"/>
      <c r="L222" s="73"/>
      <c r="M222" s="5"/>
      <c r="N222" s="5"/>
      <c r="O222" s="5"/>
      <c r="P222" s="5"/>
      <c r="Q222" s="5"/>
      <c r="R222" s="5"/>
      <c r="S222" s="5"/>
      <c r="T222" s="5"/>
      <c r="U222" s="5"/>
      <c r="V222" s="5"/>
      <c r="W222" s="5"/>
      <c r="X222" s="5"/>
      <c r="Y222" s="5"/>
      <c r="Z222" s="5"/>
      <c r="AA222" s="5"/>
      <c r="AB222" s="5"/>
      <c r="AC222" s="5"/>
      <c r="AD222" s="6"/>
    </row>
    <row r="223">
      <c r="A223" s="5"/>
      <c r="B223" s="5"/>
      <c r="C223" s="73"/>
      <c r="D223" s="73"/>
      <c r="E223" s="5"/>
      <c r="F223" s="5"/>
      <c r="G223" s="5"/>
      <c r="H223" s="5"/>
      <c r="I223" s="73"/>
      <c r="J223" s="5"/>
      <c r="K223" s="5"/>
      <c r="L223" s="73"/>
      <c r="M223" s="5"/>
      <c r="N223" s="5"/>
      <c r="O223" s="5"/>
      <c r="P223" s="5"/>
      <c r="Q223" s="5"/>
      <c r="R223" s="5"/>
      <c r="S223" s="5"/>
      <c r="T223" s="5"/>
      <c r="U223" s="5"/>
      <c r="V223" s="5"/>
      <c r="W223" s="5"/>
      <c r="X223" s="5"/>
      <c r="Y223" s="5"/>
      <c r="Z223" s="5"/>
      <c r="AA223" s="5"/>
      <c r="AB223" s="5"/>
      <c r="AC223" s="5"/>
      <c r="AD223" s="6"/>
    </row>
    <row r="224">
      <c r="A224" s="5"/>
      <c r="B224" s="5"/>
      <c r="C224" s="73"/>
      <c r="D224" s="73"/>
      <c r="E224" s="5"/>
      <c r="F224" s="5"/>
      <c r="G224" s="5"/>
      <c r="H224" s="5"/>
      <c r="I224" s="73"/>
      <c r="J224" s="5"/>
      <c r="K224" s="5"/>
      <c r="L224" s="73"/>
      <c r="M224" s="5"/>
      <c r="N224" s="5"/>
      <c r="O224" s="5"/>
      <c r="P224" s="5"/>
      <c r="Q224" s="5"/>
      <c r="R224" s="5"/>
      <c r="S224" s="5"/>
      <c r="T224" s="5"/>
      <c r="U224" s="5"/>
      <c r="V224" s="5"/>
      <c r="W224" s="5"/>
      <c r="X224" s="5"/>
      <c r="Y224" s="5"/>
      <c r="Z224" s="5"/>
      <c r="AA224" s="5"/>
      <c r="AB224" s="5"/>
      <c r="AC224" s="5"/>
      <c r="AD224" s="6"/>
    </row>
    <row r="225">
      <c r="A225" s="5"/>
      <c r="B225" s="5"/>
      <c r="C225" s="73"/>
      <c r="D225" s="73"/>
      <c r="E225" s="5"/>
      <c r="F225" s="5"/>
      <c r="G225" s="5"/>
      <c r="H225" s="5"/>
      <c r="I225" s="73"/>
      <c r="J225" s="5"/>
      <c r="K225" s="5"/>
      <c r="L225" s="73"/>
      <c r="M225" s="5"/>
      <c r="N225" s="5"/>
      <c r="O225" s="5"/>
      <c r="P225" s="5"/>
      <c r="Q225" s="5"/>
      <c r="R225" s="5"/>
      <c r="S225" s="5"/>
      <c r="T225" s="5"/>
      <c r="U225" s="5"/>
      <c r="V225" s="5"/>
      <c r="W225" s="5"/>
      <c r="X225" s="5"/>
      <c r="Y225" s="5"/>
      <c r="Z225" s="5"/>
      <c r="AA225" s="5"/>
      <c r="AB225" s="5"/>
      <c r="AC225" s="5"/>
      <c r="AD225" s="6"/>
    </row>
    <row r="226">
      <c r="A226" s="5"/>
      <c r="B226" s="5"/>
      <c r="C226" s="73"/>
      <c r="D226" s="73"/>
      <c r="E226" s="5"/>
      <c r="F226" s="5"/>
      <c r="G226" s="5"/>
      <c r="H226" s="5"/>
      <c r="I226" s="73"/>
      <c r="J226" s="5"/>
      <c r="K226" s="5"/>
      <c r="L226" s="73"/>
      <c r="M226" s="5"/>
      <c r="N226" s="5"/>
      <c r="O226" s="5"/>
      <c r="P226" s="5"/>
      <c r="Q226" s="5"/>
      <c r="R226" s="5"/>
      <c r="S226" s="5"/>
      <c r="T226" s="5"/>
      <c r="U226" s="5"/>
      <c r="V226" s="5"/>
      <c r="W226" s="5"/>
      <c r="X226" s="5"/>
      <c r="Y226" s="5"/>
      <c r="Z226" s="5"/>
      <c r="AA226" s="5"/>
      <c r="AB226" s="5"/>
      <c r="AC226" s="5"/>
      <c r="AD226" s="6"/>
    </row>
    <row r="227">
      <c r="A227" s="5"/>
      <c r="B227" s="5"/>
      <c r="C227" s="73"/>
      <c r="D227" s="73"/>
      <c r="E227" s="5"/>
      <c r="F227" s="5"/>
      <c r="G227" s="5"/>
      <c r="H227" s="5"/>
      <c r="I227" s="73"/>
      <c r="J227" s="5"/>
      <c r="K227" s="5"/>
      <c r="L227" s="73"/>
      <c r="M227" s="5"/>
      <c r="N227" s="5"/>
      <c r="O227" s="5"/>
      <c r="P227" s="5"/>
      <c r="Q227" s="5"/>
      <c r="R227" s="5"/>
      <c r="S227" s="5"/>
      <c r="T227" s="5"/>
      <c r="U227" s="5"/>
      <c r="V227" s="5"/>
      <c r="W227" s="5"/>
      <c r="X227" s="5"/>
      <c r="Y227" s="5"/>
      <c r="Z227" s="5"/>
      <c r="AA227" s="5"/>
      <c r="AB227" s="5"/>
      <c r="AC227" s="5"/>
      <c r="AD227" s="6"/>
    </row>
    <row r="228">
      <c r="A228" s="5"/>
      <c r="B228" s="5"/>
      <c r="C228" s="73"/>
      <c r="D228" s="73"/>
      <c r="E228" s="5"/>
      <c r="F228" s="5"/>
      <c r="G228" s="5"/>
      <c r="H228" s="5"/>
      <c r="I228" s="73"/>
      <c r="J228" s="5"/>
      <c r="K228" s="5"/>
      <c r="L228" s="73"/>
      <c r="M228" s="5"/>
      <c r="N228" s="5"/>
      <c r="O228" s="5"/>
      <c r="P228" s="5"/>
      <c r="Q228" s="5"/>
      <c r="R228" s="5"/>
      <c r="S228" s="5"/>
      <c r="T228" s="5"/>
      <c r="U228" s="5"/>
      <c r="V228" s="5"/>
      <c r="W228" s="5"/>
      <c r="X228" s="5"/>
      <c r="Y228" s="5"/>
      <c r="Z228" s="5"/>
      <c r="AA228" s="5"/>
      <c r="AB228" s="5"/>
      <c r="AC228" s="5"/>
      <c r="AD228" s="6"/>
    </row>
    <row r="229">
      <c r="A229" s="5"/>
      <c r="B229" s="5"/>
      <c r="C229" s="73"/>
      <c r="D229" s="73"/>
      <c r="E229" s="5"/>
      <c r="F229" s="5"/>
      <c r="G229" s="5"/>
      <c r="H229" s="5"/>
      <c r="I229" s="73"/>
      <c r="J229" s="5"/>
      <c r="K229" s="5"/>
      <c r="L229" s="73"/>
      <c r="M229" s="5"/>
      <c r="N229" s="5"/>
      <c r="O229" s="5"/>
      <c r="P229" s="5"/>
      <c r="Q229" s="5"/>
      <c r="R229" s="5"/>
      <c r="S229" s="5"/>
      <c r="T229" s="5"/>
      <c r="U229" s="5"/>
      <c r="V229" s="5"/>
      <c r="W229" s="5"/>
      <c r="X229" s="5"/>
      <c r="Y229" s="5"/>
      <c r="Z229" s="5"/>
      <c r="AA229" s="5"/>
      <c r="AB229" s="5"/>
      <c r="AC229" s="5"/>
      <c r="AD229" s="6"/>
    </row>
    <row r="230">
      <c r="A230" s="5"/>
      <c r="B230" s="5"/>
      <c r="C230" s="73"/>
      <c r="D230" s="73"/>
      <c r="E230" s="5"/>
      <c r="F230" s="5"/>
      <c r="G230" s="5"/>
      <c r="H230" s="5"/>
      <c r="I230" s="73"/>
      <c r="J230" s="5"/>
      <c r="K230" s="5"/>
      <c r="L230" s="73"/>
      <c r="M230" s="5"/>
      <c r="N230" s="5"/>
      <c r="O230" s="5"/>
      <c r="P230" s="5"/>
      <c r="Q230" s="5"/>
      <c r="R230" s="5"/>
      <c r="S230" s="5"/>
      <c r="T230" s="5"/>
      <c r="U230" s="5"/>
      <c r="V230" s="5"/>
      <c r="W230" s="5"/>
      <c r="X230" s="5"/>
      <c r="Y230" s="5"/>
      <c r="Z230" s="5"/>
      <c r="AA230" s="5"/>
      <c r="AB230" s="5"/>
      <c r="AC230" s="5"/>
      <c r="AD230" s="6"/>
    </row>
    <row r="231">
      <c r="A231" s="5"/>
      <c r="B231" s="5"/>
      <c r="C231" s="73"/>
      <c r="D231" s="73"/>
      <c r="E231" s="5"/>
      <c r="F231" s="5"/>
      <c r="G231" s="5"/>
      <c r="H231" s="5"/>
      <c r="I231" s="73"/>
      <c r="J231" s="5"/>
      <c r="K231" s="5"/>
      <c r="L231" s="73"/>
      <c r="M231" s="5"/>
      <c r="N231" s="5"/>
      <c r="O231" s="5"/>
      <c r="P231" s="5"/>
      <c r="Q231" s="5"/>
      <c r="R231" s="5"/>
      <c r="S231" s="5"/>
      <c r="T231" s="5"/>
      <c r="U231" s="5"/>
      <c r="V231" s="5"/>
      <c r="W231" s="5"/>
      <c r="X231" s="5"/>
      <c r="Y231" s="5"/>
      <c r="Z231" s="5"/>
      <c r="AA231" s="5"/>
      <c r="AB231" s="5"/>
      <c r="AC231" s="5"/>
      <c r="AD231" s="6"/>
    </row>
    <row r="232">
      <c r="A232" s="5"/>
      <c r="B232" s="5"/>
      <c r="C232" s="73"/>
      <c r="D232" s="73"/>
      <c r="E232" s="5"/>
      <c r="F232" s="5"/>
      <c r="G232" s="5"/>
      <c r="H232" s="5"/>
      <c r="I232" s="73"/>
      <c r="J232" s="5"/>
      <c r="K232" s="5"/>
      <c r="L232" s="73"/>
      <c r="M232" s="5"/>
      <c r="N232" s="5"/>
      <c r="O232" s="5"/>
      <c r="P232" s="5"/>
      <c r="Q232" s="5"/>
      <c r="R232" s="5"/>
      <c r="S232" s="5"/>
      <c r="T232" s="5"/>
      <c r="U232" s="5"/>
      <c r="V232" s="5"/>
      <c r="W232" s="5"/>
      <c r="X232" s="5"/>
      <c r="Y232" s="5"/>
      <c r="Z232" s="5"/>
      <c r="AA232" s="5"/>
      <c r="AB232" s="5"/>
      <c r="AC232" s="5"/>
      <c r="AD232" s="6"/>
    </row>
    <row r="233">
      <c r="A233" s="5"/>
      <c r="B233" s="5"/>
      <c r="C233" s="73"/>
      <c r="D233" s="73"/>
      <c r="E233" s="5"/>
      <c r="F233" s="5"/>
      <c r="G233" s="5"/>
      <c r="H233" s="5"/>
      <c r="I233" s="73"/>
      <c r="J233" s="5"/>
      <c r="K233" s="5"/>
      <c r="L233" s="73"/>
      <c r="M233" s="5"/>
      <c r="N233" s="5"/>
      <c r="O233" s="5"/>
      <c r="P233" s="5"/>
      <c r="Q233" s="5"/>
      <c r="R233" s="5"/>
      <c r="S233" s="5"/>
      <c r="T233" s="5"/>
      <c r="U233" s="5"/>
      <c r="V233" s="5"/>
      <c r="W233" s="5"/>
      <c r="X233" s="5"/>
      <c r="Y233" s="5"/>
      <c r="Z233" s="5"/>
      <c r="AA233" s="5"/>
      <c r="AB233" s="5"/>
      <c r="AC233" s="5"/>
      <c r="AD233" s="6"/>
    </row>
    <row r="234">
      <c r="A234" s="5"/>
      <c r="B234" s="5"/>
      <c r="C234" s="73"/>
      <c r="D234" s="73"/>
      <c r="E234" s="5"/>
      <c r="F234" s="5"/>
      <c r="G234" s="5"/>
      <c r="H234" s="5"/>
      <c r="I234" s="73"/>
      <c r="J234" s="5"/>
      <c r="K234" s="5"/>
      <c r="L234" s="73"/>
      <c r="M234" s="5"/>
      <c r="N234" s="5"/>
      <c r="O234" s="5"/>
      <c r="P234" s="5"/>
      <c r="Q234" s="5"/>
      <c r="R234" s="5"/>
      <c r="S234" s="5"/>
      <c r="T234" s="5"/>
      <c r="U234" s="5"/>
      <c r="V234" s="5"/>
      <c r="W234" s="5"/>
      <c r="X234" s="5"/>
      <c r="Y234" s="5"/>
      <c r="Z234" s="5"/>
      <c r="AA234" s="5"/>
      <c r="AB234" s="5"/>
      <c r="AC234" s="5"/>
      <c r="AD234" s="6"/>
    </row>
    <row r="235">
      <c r="A235" s="5"/>
      <c r="B235" s="5"/>
      <c r="C235" s="73"/>
      <c r="D235" s="73"/>
      <c r="E235" s="5"/>
      <c r="F235" s="5"/>
      <c r="G235" s="5"/>
      <c r="H235" s="5"/>
      <c r="I235" s="73"/>
      <c r="J235" s="5"/>
      <c r="K235" s="5"/>
      <c r="L235" s="73"/>
      <c r="M235" s="5"/>
      <c r="N235" s="5"/>
      <c r="O235" s="5"/>
      <c r="P235" s="5"/>
      <c r="Q235" s="5"/>
      <c r="R235" s="5"/>
      <c r="S235" s="5"/>
      <c r="T235" s="5"/>
      <c r="U235" s="5"/>
      <c r="V235" s="5"/>
      <c r="W235" s="5"/>
      <c r="X235" s="5"/>
      <c r="Y235" s="5"/>
      <c r="Z235" s="5"/>
      <c r="AA235" s="5"/>
      <c r="AB235" s="5"/>
      <c r="AC235" s="5"/>
      <c r="AD235" s="6"/>
    </row>
    <row r="236">
      <c r="A236" s="5"/>
      <c r="B236" s="5"/>
      <c r="C236" s="73"/>
      <c r="D236" s="73"/>
      <c r="E236" s="5"/>
      <c r="F236" s="5"/>
      <c r="G236" s="5"/>
      <c r="H236" s="5"/>
      <c r="I236" s="73"/>
      <c r="J236" s="5"/>
      <c r="K236" s="5"/>
      <c r="L236" s="73"/>
      <c r="M236" s="5"/>
      <c r="N236" s="5"/>
      <c r="O236" s="5"/>
      <c r="P236" s="5"/>
      <c r="Q236" s="5"/>
      <c r="R236" s="5"/>
      <c r="S236" s="5"/>
      <c r="T236" s="5"/>
      <c r="U236" s="5"/>
      <c r="V236" s="5"/>
      <c r="W236" s="5"/>
      <c r="X236" s="5"/>
      <c r="Y236" s="5"/>
      <c r="Z236" s="5"/>
      <c r="AA236" s="5"/>
      <c r="AB236" s="5"/>
      <c r="AC236" s="5"/>
      <c r="AD236" s="6"/>
    </row>
    <row r="237">
      <c r="A237" s="5"/>
      <c r="B237" s="5"/>
      <c r="C237" s="73"/>
      <c r="D237" s="73"/>
      <c r="E237" s="5"/>
      <c r="F237" s="5"/>
      <c r="G237" s="5"/>
      <c r="H237" s="5"/>
      <c r="I237" s="73"/>
      <c r="J237" s="5"/>
      <c r="K237" s="5"/>
      <c r="L237" s="73"/>
      <c r="M237" s="5"/>
      <c r="N237" s="5"/>
      <c r="O237" s="5"/>
      <c r="P237" s="5"/>
      <c r="Q237" s="5"/>
      <c r="R237" s="5"/>
      <c r="S237" s="5"/>
      <c r="T237" s="5"/>
      <c r="U237" s="5"/>
      <c r="V237" s="5"/>
      <c r="W237" s="5"/>
      <c r="X237" s="5"/>
      <c r="Y237" s="5"/>
      <c r="Z237" s="5"/>
      <c r="AA237" s="5"/>
      <c r="AB237" s="5"/>
      <c r="AC237" s="5"/>
      <c r="AD237" s="6"/>
    </row>
    <row r="238">
      <c r="A238" s="5"/>
      <c r="B238" s="5"/>
      <c r="C238" s="73"/>
      <c r="D238" s="73"/>
      <c r="E238" s="5"/>
      <c r="F238" s="5"/>
      <c r="G238" s="5"/>
      <c r="H238" s="5"/>
      <c r="I238" s="73"/>
      <c r="J238" s="5"/>
      <c r="K238" s="5"/>
      <c r="L238" s="73"/>
      <c r="M238" s="5"/>
      <c r="N238" s="5"/>
      <c r="O238" s="5"/>
      <c r="P238" s="5"/>
      <c r="Q238" s="5"/>
      <c r="R238" s="5"/>
      <c r="S238" s="5"/>
      <c r="T238" s="5"/>
      <c r="U238" s="5"/>
      <c r="V238" s="5"/>
      <c r="W238" s="5"/>
      <c r="X238" s="5"/>
      <c r="Y238" s="5"/>
      <c r="Z238" s="5"/>
      <c r="AA238" s="5"/>
      <c r="AB238" s="5"/>
      <c r="AC238" s="5"/>
      <c r="AD238" s="6"/>
    </row>
    <row r="239">
      <c r="A239" s="5"/>
      <c r="B239" s="5"/>
      <c r="C239" s="73"/>
      <c r="D239" s="73"/>
      <c r="E239" s="5"/>
      <c r="F239" s="5"/>
      <c r="G239" s="5"/>
      <c r="H239" s="5"/>
      <c r="I239" s="73"/>
      <c r="J239" s="5"/>
      <c r="K239" s="5"/>
      <c r="L239" s="73"/>
      <c r="M239" s="5"/>
      <c r="N239" s="5"/>
      <c r="O239" s="5"/>
      <c r="P239" s="5"/>
      <c r="Q239" s="5"/>
      <c r="R239" s="5"/>
      <c r="S239" s="5"/>
      <c r="T239" s="5"/>
      <c r="U239" s="5"/>
      <c r="V239" s="5"/>
      <c r="W239" s="5"/>
      <c r="X239" s="5"/>
      <c r="Y239" s="5"/>
      <c r="Z239" s="5"/>
      <c r="AA239" s="5"/>
      <c r="AB239" s="5"/>
      <c r="AC239" s="5"/>
      <c r="AD239" s="6"/>
    </row>
    <row r="240">
      <c r="A240" s="5"/>
      <c r="B240" s="5"/>
      <c r="C240" s="73"/>
      <c r="D240" s="73"/>
      <c r="E240" s="5"/>
      <c r="F240" s="5"/>
      <c r="G240" s="5"/>
      <c r="H240" s="5"/>
      <c r="I240" s="73"/>
      <c r="J240" s="5"/>
      <c r="K240" s="5"/>
      <c r="L240" s="73"/>
      <c r="M240" s="5"/>
      <c r="N240" s="5"/>
      <c r="O240" s="5"/>
      <c r="P240" s="5"/>
      <c r="Q240" s="5"/>
      <c r="R240" s="5"/>
      <c r="S240" s="5"/>
      <c r="T240" s="5"/>
      <c r="U240" s="5"/>
      <c r="V240" s="5"/>
      <c r="W240" s="5"/>
      <c r="X240" s="5"/>
      <c r="Y240" s="5"/>
      <c r="Z240" s="5"/>
      <c r="AA240" s="5"/>
      <c r="AB240" s="5"/>
      <c r="AC240" s="5"/>
      <c r="AD240" s="6"/>
    </row>
    <row r="241">
      <c r="A241" s="5"/>
      <c r="B241" s="5"/>
      <c r="C241" s="73"/>
      <c r="D241" s="73"/>
      <c r="E241" s="5"/>
      <c r="F241" s="5"/>
      <c r="G241" s="5"/>
      <c r="H241" s="5"/>
      <c r="I241" s="73"/>
      <c r="J241" s="5"/>
      <c r="K241" s="5"/>
      <c r="L241" s="73"/>
      <c r="M241" s="5"/>
      <c r="N241" s="5"/>
      <c r="O241" s="5"/>
      <c r="P241" s="5"/>
      <c r="Q241" s="5"/>
      <c r="R241" s="5"/>
      <c r="S241" s="5"/>
      <c r="T241" s="5"/>
      <c r="U241" s="5"/>
      <c r="V241" s="5"/>
      <c r="W241" s="5"/>
      <c r="X241" s="5"/>
      <c r="Y241" s="5"/>
      <c r="Z241" s="5"/>
      <c r="AA241" s="5"/>
      <c r="AB241" s="5"/>
      <c r="AC241" s="5"/>
      <c r="AD241" s="6"/>
    </row>
    <row r="242">
      <c r="A242" s="5"/>
      <c r="B242" s="5"/>
      <c r="C242" s="73"/>
      <c r="D242" s="73"/>
      <c r="E242" s="5"/>
      <c r="F242" s="5"/>
      <c r="G242" s="5"/>
      <c r="H242" s="5"/>
      <c r="I242" s="73"/>
      <c r="J242" s="5"/>
      <c r="K242" s="5"/>
      <c r="L242" s="73"/>
      <c r="M242" s="5"/>
      <c r="N242" s="5"/>
      <c r="O242" s="5"/>
      <c r="P242" s="5"/>
      <c r="Q242" s="5"/>
      <c r="R242" s="5"/>
      <c r="S242" s="5"/>
      <c r="T242" s="5"/>
      <c r="U242" s="5"/>
      <c r="V242" s="5"/>
      <c r="W242" s="5"/>
      <c r="X242" s="5"/>
      <c r="Y242" s="5"/>
      <c r="Z242" s="5"/>
      <c r="AA242" s="5"/>
      <c r="AB242" s="5"/>
      <c r="AC242" s="5"/>
      <c r="AD242" s="6"/>
    </row>
    <row r="243">
      <c r="A243" s="5"/>
      <c r="B243" s="5"/>
      <c r="C243" s="73"/>
      <c r="D243" s="73"/>
      <c r="E243" s="5"/>
      <c r="F243" s="5"/>
      <c r="G243" s="5"/>
      <c r="H243" s="5"/>
      <c r="I243" s="73"/>
      <c r="J243" s="5"/>
      <c r="K243" s="5"/>
      <c r="L243" s="73"/>
      <c r="M243" s="5"/>
      <c r="N243" s="5"/>
      <c r="O243" s="5"/>
      <c r="P243" s="5"/>
      <c r="Q243" s="5"/>
      <c r="R243" s="5"/>
      <c r="S243" s="5"/>
      <c r="T243" s="5"/>
      <c r="U243" s="5"/>
      <c r="V243" s="5"/>
      <c r="W243" s="5"/>
      <c r="X243" s="5"/>
      <c r="Y243" s="5"/>
      <c r="Z243" s="5"/>
      <c r="AA243" s="5"/>
      <c r="AB243" s="5"/>
      <c r="AC243" s="5"/>
      <c r="AD243" s="6"/>
    </row>
    <row r="244">
      <c r="A244" s="5"/>
      <c r="B244" s="5"/>
      <c r="C244" s="73"/>
      <c r="D244" s="73"/>
      <c r="E244" s="5"/>
      <c r="F244" s="5"/>
      <c r="G244" s="5"/>
      <c r="H244" s="5"/>
      <c r="I244" s="73"/>
      <c r="J244" s="5"/>
      <c r="K244" s="5"/>
      <c r="L244" s="73"/>
      <c r="M244" s="5"/>
      <c r="N244" s="5"/>
      <c r="O244" s="5"/>
      <c r="P244" s="5"/>
      <c r="Q244" s="5"/>
      <c r="R244" s="5"/>
      <c r="S244" s="5"/>
      <c r="T244" s="5"/>
      <c r="U244" s="5"/>
      <c r="V244" s="5"/>
      <c r="W244" s="5"/>
      <c r="X244" s="5"/>
      <c r="Y244" s="5"/>
      <c r="Z244" s="5"/>
      <c r="AA244" s="5"/>
      <c r="AB244" s="5"/>
      <c r="AC244" s="5"/>
      <c r="AD244" s="6"/>
    </row>
    <row r="245">
      <c r="A245" s="5"/>
      <c r="B245" s="5"/>
      <c r="C245" s="73"/>
      <c r="D245" s="73"/>
      <c r="E245" s="5"/>
      <c r="F245" s="5"/>
      <c r="G245" s="5"/>
      <c r="H245" s="5"/>
      <c r="I245" s="73"/>
      <c r="J245" s="5"/>
      <c r="K245" s="5"/>
      <c r="L245" s="73"/>
      <c r="M245" s="5"/>
      <c r="N245" s="5"/>
      <c r="O245" s="5"/>
      <c r="P245" s="5"/>
      <c r="Q245" s="5"/>
      <c r="R245" s="5"/>
      <c r="S245" s="5"/>
      <c r="T245" s="5"/>
      <c r="U245" s="5"/>
      <c r="V245" s="5"/>
      <c r="W245" s="5"/>
      <c r="X245" s="5"/>
      <c r="Y245" s="5"/>
      <c r="Z245" s="5"/>
      <c r="AA245" s="5"/>
      <c r="AB245" s="5"/>
      <c r="AC245" s="5"/>
      <c r="AD245" s="6"/>
    </row>
    <row r="246">
      <c r="A246" s="5"/>
      <c r="B246" s="5"/>
      <c r="C246" s="73"/>
      <c r="D246" s="73"/>
      <c r="E246" s="5"/>
      <c r="F246" s="5"/>
      <c r="G246" s="5"/>
      <c r="H246" s="5"/>
      <c r="I246" s="73"/>
      <c r="J246" s="5"/>
      <c r="K246" s="5"/>
      <c r="L246" s="73"/>
      <c r="M246" s="5"/>
      <c r="N246" s="5"/>
      <c r="O246" s="5"/>
      <c r="P246" s="5"/>
      <c r="Q246" s="5"/>
      <c r="R246" s="5"/>
      <c r="S246" s="5"/>
      <c r="T246" s="5"/>
      <c r="U246" s="5"/>
      <c r="V246" s="5"/>
      <c r="W246" s="5"/>
      <c r="X246" s="5"/>
      <c r="Y246" s="5"/>
      <c r="Z246" s="5"/>
      <c r="AA246" s="5"/>
      <c r="AB246" s="5"/>
      <c r="AC246" s="5"/>
      <c r="AD246" s="6"/>
    </row>
    <row r="247">
      <c r="A247" s="5"/>
      <c r="B247" s="5"/>
      <c r="C247" s="73"/>
      <c r="D247" s="73"/>
      <c r="E247" s="5"/>
      <c r="F247" s="5"/>
      <c r="G247" s="5"/>
      <c r="H247" s="5"/>
      <c r="I247" s="73"/>
      <c r="J247" s="5"/>
      <c r="K247" s="5"/>
      <c r="L247" s="73"/>
      <c r="M247" s="5"/>
      <c r="N247" s="5"/>
      <c r="O247" s="5"/>
      <c r="P247" s="5"/>
      <c r="Q247" s="5"/>
      <c r="R247" s="5"/>
      <c r="S247" s="5"/>
      <c r="T247" s="5"/>
      <c r="U247" s="5"/>
      <c r="V247" s="5"/>
      <c r="W247" s="5"/>
      <c r="X247" s="5"/>
      <c r="Y247" s="5"/>
      <c r="Z247" s="5"/>
      <c r="AA247" s="5"/>
      <c r="AB247" s="5"/>
      <c r="AC247" s="5"/>
      <c r="AD247" s="6"/>
    </row>
    <row r="248">
      <c r="A248" s="5"/>
      <c r="B248" s="5"/>
      <c r="C248" s="73"/>
      <c r="D248" s="73"/>
      <c r="E248" s="5"/>
      <c r="F248" s="5"/>
      <c r="G248" s="5"/>
      <c r="H248" s="5"/>
      <c r="I248" s="73"/>
      <c r="J248" s="5"/>
      <c r="K248" s="5"/>
      <c r="L248" s="73"/>
      <c r="M248" s="5"/>
      <c r="N248" s="5"/>
      <c r="O248" s="5"/>
      <c r="P248" s="5"/>
      <c r="Q248" s="5"/>
      <c r="R248" s="5"/>
      <c r="S248" s="5"/>
      <c r="T248" s="5"/>
      <c r="U248" s="5"/>
      <c r="V248" s="5"/>
      <c r="W248" s="5"/>
      <c r="X248" s="5"/>
      <c r="Y248" s="5"/>
      <c r="Z248" s="5"/>
      <c r="AA248" s="5"/>
      <c r="AB248" s="5"/>
      <c r="AC248" s="5"/>
      <c r="AD248" s="6"/>
    </row>
    <row r="249">
      <c r="A249" s="5"/>
      <c r="B249" s="5"/>
      <c r="C249" s="73"/>
      <c r="D249" s="73"/>
      <c r="E249" s="5"/>
      <c r="F249" s="5"/>
      <c r="G249" s="5"/>
      <c r="H249" s="5"/>
      <c r="I249" s="73"/>
      <c r="J249" s="5"/>
      <c r="K249" s="5"/>
      <c r="L249" s="73"/>
      <c r="M249" s="5"/>
      <c r="N249" s="5"/>
      <c r="O249" s="5"/>
      <c r="P249" s="5"/>
      <c r="Q249" s="5"/>
      <c r="R249" s="5"/>
      <c r="S249" s="5"/>
      <c r="T249" s="5"/>
      <c r="U249" s="5"/>
      <c r="V249" s="5"/>
      <c r="W249" s="5"/>
      <c r="X249" s="5"/>
      <c r="Y249" s="5"/>
      <c r="Z249" s="5"/>
      <c r="AA249" s="5"/>
      <c r="AB249" s="5"/>
      <c r="AC249" s="5"/>
      <c r="AD249" s="6"/>
    </row>
    <row r="250">
      <c r="A250" s="5"/>
      <c r="B250" s="5"/>
      <c r="C250" s="73"/>
      <c r="D250" s="73"/>
      <c r="E250" s="5"/>
      <c r="F250" s="5"/>
      <c r="G250" s="5"/>
      <c r="H250" s="5"/>
      <c r="I250" s="73"/>
      <c r="J250" s="5"/>
      <c r="K250" s="5"/>
      <c r="L250" s="73"/>
      <c r="M250" s="5"/>
      <c r="N250" s="5"/>
      <c r="O250" s="5"/>
      <c r="P250" s="5"/>
      <c r="Q250" s="5"/>
      <c r="R250" s="5"/>
      <c r="S250" s="5"/>
      <c r="T250" s="5"/>
      <c r="U250" s="5"/>
      <c r="V250" s="5"/>
      <c r="W250" s="5"/>
      <c r="X250" s="5"/>
      <c r="Y250" s="5"/>
      <c r="Z250" s="5"/>
      <c r="AA250" s="5"/>
      <c r="AB250" s="5"/>
      <c r="AC250" s="5"/>
      <c r="AD250" s="6"/>
    </row>
    <row r="251">
      <c r="A251" s="5"/>
      <c r="B251" s="5"/>
      <c r="C251" s="73"/>
      <c r="D251" s="73"/>
      <c r="E251" s="5"/>
      <c r="F251" s="5"/>
      <c r="G251" s="5"/>
      <c r="H251" s="5"/>
      <c r="I251" s="73"/>
      <c r="J251" s="5"/>
      <c r="K251" s="5"/>
      <c r="L251" s="73"/>
      <c r="M251" s="5"/>
      <c r="N251" s="5"/>
      <c r="O251" s="5"/>
      <c r="P251" s="5"/>
      <c r="Q251" s="5"/>
      <c r="R251" s="5"/>
      <c r="S251" s="5"/>
      <c r="T251" s="5"/>
      <c r="U251" s="5"/>
      <c r="V251" s="5"/>
      <c r="W251" s="5"/>
      <c r="X251" s="5"/>
      <c r="Y251" s="5"/>
      <c r="Z251" s="5"/>
      <c r="AA251" s="5"/>
      <c r="AB251" s="5"/>
      <c r="AC251" s="5"/>
      <c r="AD251" s="6"/>
    </row>
    <row r="252">
      <c r="A252" s="5"/>
      <c r="B252" s="5"/>
      <c r="C252" s="73"/>
      <c r="D252" s="73"/>
      <c r="E252" s="5"/>
      <c r="F252" s="5"/>
      <c r="G252" s="5"/>
      <c r="H252" s="5"/>
      <c r="I252" s="73"/>
      <c r="J252" s="5"/>
      <c r="K252" s="5"/>
      <c r="L252" s="73"/>
      <c r="M252" s="5"/>
      <c r="N252" s="5"/>
      <c r="O252" s="5"/>
      <c r="P252" s="5"/>
      <c r="Q252" s="5"/>
      <c r="R252" s="5"/>
      <c r="S252" s="5"/>
      <c r="T252" s="5"/>
      <c r="U252" s="5"/>
      <c r="V252" s="5"/>
      <c r="W252" s="5"/>
      <c r="X252" s="5"/>
      <c r="Y252" s="5"/>
      <c r="Z252" s="5"/>
      <c r="AA252" s="5"/>
      <c r="AB252" s="5"/>
      <c r="AC252" s="5"/>
      <c r="AD252" s="6"/>
    </row>
    <row r="253">
      <c r="A253" s="5"/>
      <c r="B253" s="5"/>
      <c r="C253" s="73"/>
      <c r="D253" s="73"/>
      <c r="E253" s="5"/>
      <c r="F253" s="5"/>
      <c r="G253" s="5"/>
      <c r="H253" s="5"/>
      <c r="I253" s="73"/>
      <c r="J253" s="5"/>
      <c r="K253" s="5"/>
      <c r="L253" s="73"/>
      <c r="M253" s="5"/>
      <c r="N253" s="5"/>
      <c r="O253" s="5"/>
      <c r="P253" s="5"/>
      <c r="Q253" s="5"/>
      <c r="R253" s="5"/>
      <c r="S253" s="5"/>
      <c r="T253" s="5"/>
      <c r="U253" s="5"/>
      <c r="V253" s="5"/>
      <c r="W253" s="5"/>
      <c r="X253" s="5"/>
      <c r="Y253" s="5"/>
      <c r="Z253" s="5"/>
      <c r="AA253" s="5"/>
      <c r="AB253" s="5"/>
      <c r="AC253" s="5"/>
      <c r="AD253" s="6"/>
    </row>
    <row r="254">
      <c r="A254" s="5"/>
      <c r="B254" s="5"/>
      <c r="C254" s="73"/>
      <c r="D254" s="73"/>
      <c r="E254" s="5"/>
      <c r="F254" s="5"/>
      <c r="G254" s="5"/>
      <c r="H254" s="5"/>
      <c r="I254" s="73"/>
      <c r="J254" s="5"/>
      <c r="K254" s="5"/>
      <c r="L254" s="73"/>
      <c r="M254" s="5"/>
      <c r="N254" s="5"/>
      <c r="O254" s="5"/>
      <c r="P254" s="5"/>
      <c r="Q254" s="5"/>
      <c r="R254" s="5"/>
      <c r="S254" s="5"/>
      <c r="T254" s="5"/>
      <c r="U254" s="5"/>
      <c r="V254" s="5"/>
      <c r="W254" s="5"/>
      <c r="X254" s="5"/>
      <c r="Y254" s="5"/>
      <c r="Z254" s="5"/>
      <c r="AA254" s="5"/>
      <c r="AB254" s="5"/>
      <c r="AC254" s="5"/>
      <c r="AD254" s="6"/>
    </row>
    <row r="255">
      <c r="A255" s="5"/>
      <c r="B255" s="5"/>
      <c r="C255" s="73"/>
      <c r="D255" s="73"/>
      <c r="E255" s="5"/>
      <c r="F255" s="5"/>
      <c r="G255" s="5"/>
      <c r="H255" s="5"/>
      <c r="I255" s="73"/>
      <c r="J255" s="5"/>
      <c r="K255" s="5"/>
      <c r="L255" s="73"/>
      <c r="M255" s="5"/>
      <c r="N255" s="5"/>
      <c r="O255" s="5"/>
      <c r="P255" s="5"/>
      <c r="Q255" s="5"/>
      <c r="R255" s="5"/>
      <c r="S255" s="5"/>
      <c r="T255" s="5"/>
      <c r="U255" s="5"/>
      <c r="V255" s="5"/>
      <c r="W255" s="5"/>
      <c r="X255" s="5"/>
      <c r="Y255" s="5"/>
      <c r="Z255" s="5"/>
      <c r="AA255" s="5"/>
      <c r="AB255" s="5"/>
      <c r="AC255" s="5"/>
      <c r="AD255" s="6"/>
    </row>
    <row r="256">
      <c r="A256" s="5"/>
      <c r="B256" s="5"/>
      <c r="C256" s="73"/>
      <c r="D256" s="73"/>
      <c r="E256" s="5"/>
      <c r="F256" s="5"/>
      <c r="G256" s="5"/>
      <c r="H256" s="5"/>
      <c r="I256" s="73"/>
      <c r="J256" s="5"/>
      <c r="K256" s="5"/>
      <c r="L256" s="73"/>
      <c r="M256" s="5"/>
      <c r="N256" s="5"/>
      <c r="O256" s="5"/>
      <c r="P256" s="5"/>
      <c r="Q256" s="5"/>
      <c r="R256" s="5"/>
      <c r="S256" s="5"/>
      <c r="T256" s="5"/>
      <c r="U256" s="5"/>
      <c r="V256" s="5"/>
      <c r="W256" s="5"/>
      <c r="X256" s="5"/>
      <c r="Y256" s="5"/>
      <c r="Z256" s="5"/>
      <c r="AA256" s="5"/>
      <c r="AB256" s="5"/>
      <c r="AC256" s="5"/>
      <c r="AD256" s="6"/>
    </row>
    <row r="257">
      <c r="A257" s="5"/>
      <c r="B257" s="5"/>
      <c r="C257" s="73"/>
      <c r="D257" s="73"/>
      <c r="E257" s="5"/>
      <c r="F257" s="5"/>
      <c r="G257" s="5"/>
      <c r="H257" s="5"/>
      <c r="I257" s="73"/>
      <c r="J257" s="5"/>
      <c r="K257" s="5"/>
      <c r="L257" s="73"/>
      <c r="M257" s="5"/>
      <c r="N257" s="5"/>
      <c r="O257" s="5"/>
      <c r="P257" s="5"/>
      <c r="Q257" s="5"/>
      <c r="R257" s="5"/>
      <c r="S257" s="5"/>
      <c r="T257" s="5"/>
      <c r="U257" s="5"/>
      <c r="V257" s="5"/>
      <c r="W257" s="5"/>
      <c r="X257" s="5"/>
      <c r="Y257" s="5"/>
      <c r="Z257" s="5"/>
      <c r="AA257" s="5"/>
      <c r="AB257" s="5"/>
      <c r="AC257" s="5"/>
      <c r="AD257" s="6"/>
    </row>
    <row r="258">
      <c r="A258" s="5"/>
      <c r="B258" s="5"/>
      <c r="C258" s="73"/>
      <c r="D258" s="73"/>
      <c r="E258" s="5"/>
      <c r="F258" s="5"/>
      <c r="G258" s="5"/>
      <c r="H258" s="5"/>
      <c r="I258" s="73"/>
      <c r="J258" s="5"/>
      <c r="K258" s="5"/>
      <c r="L258" s="73"/>
      <c r="M258" s="5"/>
      <c r="N258" s="5"/>
      <c r="O258" s="5"/>
      <c r="P258" s="5"/>
      <c r="Q258" s="5"/>
      <c r="R258" s="5"/>
      <c r="S258" s="5"/>
      <c r="T258" s="5"/>
      <c r="U258" s="5"/>
      <c r="V258" s="5"/>
      <c r="W258" s="5"/>
      <c r="X258" s="5"/>
      <c r="Y258" s="5"/>
      <c r="Z258" s="5"/>
      <c r="AA258" s="5"/>
      <c r="AB258" s="5"/>
      <c r="AC258" s="5"/>
      <c r="AD258" s="6"/>
    </row>
    <row r="259">
      <c r="A259" s="5"/>
      <c r="B259" s="5"/>
      <c r="C259" s="73"/>
      <c r="D259" s="73"/>
      <c r="E259" s="5"/>
      <c r="F259" s="5"/>
      <c r="G259" s="5"/>
      <c r="H259" s="5"/>
      <c r="I259" s="73"/>
      <c r="J259" s="5"/>
      <c r="K259" s="5"/>
      <c r="L259" s="73"/>
      <c r="M259" s="5"/>
      <c r="N259" s="5"/>
      <c r="O259" s="5"/>
      <c r="P259" s="5"/>
      <c r="Q259" s="5"/>
      <c r="R259" s="5"/>
      <c r="S259" s="5"/>
      <c r="T259" s="5"/>
      <c r="U259" s="5"/>
      <c r="V259" s="5"/>
      <c r="W259" s="5"/>
      <c r="X259" s="5"/>
      <c r="Y259" s="5"/>
      <c r="Z259" s="5"/>
      <c r="AA259" s="5"/>
      <c r="AB259" s="5"/>
      <c r="AC259" s="5"/>
      <c r="AD259" s="6"/>
    </row>
    <row r="260">
      <c r="A260" s="5"/>
      <c r="B260" s="5"/>
      <c r="C260" s="73"/>
      <c r="D260" s="73"/>
      <c r="E260" s="5"/>
      <c r="F260" s="5"/>
      <c r="G260" s="5"/>
      <c r="H260" s="5"/>
      <c r="I260" s="73"/>
      <c r="J260" s="5"/>
      <c r="K260" s="5"/>
      <c r="L260" s="73"/>
      <c r="M260" s="5"/>
      <c r="N260" s="5"/>
      <c r="O260" s="5"/>
      <c r="P260" s="5"/>
      <c r="Q260" s="5"/>
      <c r="R260" s="5"/>
      <c r="S260" s="5"/>
      <c r="T260" s="5"/>
      <c r="U260" s="5"/>
      <c r="V260" s="5"/>
      <c r="W260" s="5"/>
      <c r="X260" s="5"/>
      <c r="Y260" s="5"/>
      <c r="Z260" s="5"/>
      <c r="AA260" s="5"/>
      <c r="AB260" s="5"/>
      <c r="AC260" s="5"/>
      <c r="AD260" s="6"/>
    </row>
    <row r="261">
      <c r="A261" s="5"/>
      <c r="B261" s="5"/>
      <c r="C261" s="73"/>
      <c r="D261" s="73"/>
      <c r="E261" s="5"/>
      <c r="F261" s="5"/>
      <c r="G261" s="5"/>
      <c r="H261" s="5"/>
      <c r="I261" s="73"/>
      <c r="J261" s="5"/>
      <c r="K261" s="5"/>
      <c r="L261" s="73"/>
      <c r="M261" s="5"/>
      <c r="N261" s="5"/>
      <c r="O261" s="5"/>
      <c r="P261" s="5"/>
      <c r="Q261" s="5"/>
      <c r="R261" s="5"/>
      <c r="S261" s="5"/>
      <c r="T261" s="5"/>
      <c r="U261" s="5"/>
      <c r="V261" s="5"/>
      <c r="W261" s="5"/>
      <c r="X261" s="5"/>
      <c r="Y261" s="5"/>
      <c r="Z261" s="5"/>
      <c r="AA261" s="5"/>
      <c r="AB261" s="5"/>
      <c r="AC261" s="5"/>
      <c r="AD261" s="6"/>
    </row>
    <row r="262">
      <c r="A262" s="5"/>
      <c r="B262" s="5"/>
      <c r="C262" s="73"/>
      <c r="D262" s="73"/>
      <c r="E262" s="5"/>
      <c r="F262" s="5"/>
      <c r="G262" s="5"/>
      <c r="H262" s="5"/>
      <c r="I262" s="73"/>
      <c r="J262" s="5"/>
      <c r="K262" s="5"/>
      <c r="L262" s="73"/>
      <c r="M262" s="5"/>
      <c r="N262" s="5"/>
      <c r="O262" s="5"/>
      <c r="P262" s="5"/>
      <c r="Q262" s="5"/>
      <c r="R262" s="5"/>
      <c r="S262" s="5"/>
      <c r="T262" s="5"/>
      <c r="U262" s="5"/>
      <c r="V262" s="5"/>
      <c r="W262" s="5"/>
      <c r="X262" s="5"/>
      <c r="Y262" s="5"/>
      <c r="Z262" s="5"/>
      <c r="AA262" s="5"/>
      <c r="AB262" s="5"/>
      <c r="AC262" s="5"/>
      <c r="AD262" s="6"/>
    </row>
    <row r="263">
      <c r="A263" s="5"/>
      <c r="B263" s="5"/>
      <c r="C263" s="73"/>
      <c r="D263" s="73"/>
      <c r="E263" s="5"/>
      <c r="F263" s="5"/>
      <c r="G263" s="5"/>
      <c r="H263" s="5"/>
      <c r="I263" s="73"/>
      <c r="J263" s="5"/>
      <c r="K263" s="5"/>
      <c r="L263" s="73"/>
      <c r="M263" s="5"/>
      <c r="N263" s="5"/>
      <c r="O263" s="5"/>
      <c r="P263" s="5"/>
      <c r="Q263" s="5"/>
      <c r="R263" s="5"/>
      <c r="S263" s="5"/>
      <c r="T263" s="5"/>
      <c r="U263" s="5"/>
      <c r="V263" s="5"/>
      <c r="W263" s="5"/>
      <c r="X263" s="5"/>
      <c r="Y263" s="5"/>
      <c r="Z263" s="5"/>
      <c r="AA263" s="5"/>
      <c r="AB263" s="5"/>
      <c r="AC263" s="5"/>
      <c r="AD263" s="6"/>
    </row>
    <row r="264">
      <c r="A264" s="5"/>
      <c r="B264" s="5"/>
      <c r="C264" s="73"/>
      <c r="D264" s="73"/>
      <c r="E264" s="5"/>
      <c r="F264" s="5"/>
      <c r="G264" s="5"/>
      <c r="H264" s="5"/>
      <c r="I264" s="73"/>
      <c r="J264" s="5"/>
      <c r="K264" s="5"/>
      <c r="L264" s="73"/>
      <c r="M264" s="5"/>
      <c r="N264" s="5"/>
      <c r="O264" s="5"/>
      <c r="P264" s="5"/>
      <c r="Q264" s="5"/>
      <c r="R264" s="5"/>
      <c r="S264" s="5"/>
      <c r="T264" s="5"/>
      <c r="U264" s="5"/>
      <c r="V264" s="5"/>
      <c r="W264" s="5"/>
      <c r="X264" s="5"/>
      <c r="Y264" s="5"/>
      <c r="Z264" s="5"/>
      <c r="AA264" s="5"/>
      <c r="AB264" s="5"/>
      <c r="AC264" s="5"/>
      <c r="AD264" s="6"/>
    </row>
    <row r="265">
      <c r="A265" s="5"/>
      <c r="B265" s="5"/>
      <c r="C265" s="73"/>
      <c r="D265" s="73"/>
      <c r="E265" s="5"/>
      <c r="F265" s="5"/>
      <c r="G265" s="5"/>
      <c r="H265" s="5"/>
      <c r="I265" s="73"/>
      <c r="J265" s="5"/>
      <c r="K265" s="5"/>
      <c r="L265" s="73"/>
      <c r="M265" s="5"/>
      <c r="N265" s="5"/>
      <c r="O265" s="5"/>
      <c r="P265" s="5"/>
      <c r="Q265" s="5"/>
      <c r="R265" s="5"/>
      <c r="S265" s="5"/>
      <c r="T265" s="5"/>
      <c r="U265" s="5"/>
      <c r="V265" s="5"/>
      <c r="W265" s="5"/>
      <c r="X265" s="5"/>
      <c r="Y265" s="5"/>
      <c r="Z265" s="5"/>
      <c r="AA265" s="5"/>
      <c r="AB265" s="5"/>
      <c r="AC265" s="5"/>
      <c r="AD265" s="6"/>
    </row>
    <row r="266">
      <c r="A266" s="5"/>
      <c r="B266" s="5"/>
      <c r="C266" s="73"/>
      <c r="D266" s="73"/>
      <c r="E266" s="5"/>
      <c r="F266" s="5"/>
      <c r="G266" s="5"/>
      <c r="H266" s="5"/>
      <c r="I266" s="73"/>
      <c r="J266" s="5"/>
      <c r="K266" s="5"/>
      <c r="L266" s="73"/>
      <c r="M266" s="5"/>
      <c r="N266" s="5"/>
      <c r="O266" s="5"/>
      <c r="P266" s="5"/>
      <c r="Q266" s="5"/>
      <c r="R266" s="5"/>
      <c r="S266" s="5"/>
      <c r="T266" s="5"/>
      <c r="U266" s="5"/>
      <c r="V266" s="5"/>
      <c r="W266" s="5"/>
      <c r="X266" s="5"/>
      <c r="Y266" s="5"/>
      <c r="Z266" s="5"/>
      <c r="AA266" s="5"/>
      <c r="AB266" s="5"/>
      <c r="AC266" s="5"/>
      <c r="AD266" s="6"/>
    </row>
    <row r="267">
      <c r="A267" s="5"/>
      <c r="B267" s="5"/>
      <c r="C267" s="73"/>
      <c r="D267" s="73"/>
      <c r="E267" s="5"/>
      <c r="F267" s="5"/>
      <c r="G267" s="5"/>
      <c r="H267" s="5"/>
      <c r="I267" s="73"/>
      <c r="J267" s="5"/>
      <c r="K267" s="5"/>
      <c r="L267" s="73"/>
      <c r="M267" s="5"/>
      <c r="N267" s="5"/>
      <c r="O267" s="5"/>
      <c r="P267" s="5"/>
      <c r="Q267" s="5"/>
      <c r="R267" s="5"/>
      <c r="S267" s="5"/>
      <c r="T267" s="5"/>
      <c r="U267" s="5"/>
      <c r="V267" s="5"/>
      <c r="W267" s="5"/>
      <c r="X267" s="5"/>
      <c r="Y267" s="5"/>
      <c r="Z267" s="5"/>
      <c r="AA267" s="5"/>
      <c r="AB267" s="5"/>
      <c r="AC267" s="5"/>
      <c r="AD267" s="6"/>
    </row>
    <row r="268">
      <c r="A268" s="5"/>
      <c r="B268" s="5"/>
      <c r="C268" s="73"/>
      <c r="D268" s="73"/>
      <c r="E268" s="5"/>
      <c r="F268" s="5"/>
      <c r="G268" s="5"/>
      <c r="H268" s="5"/>
      <c r="I268" s="73"/>
      <c r="J268" s="5"/>
      <c r="K268" s="5"/>
      <c r="L268" s="73"/>
      <c r="M268" s="5"/>
      <c r="N268" s="5"/>
      <c r="O268" s="5"/>
      <c r="P268" s="5"/>
      <c r="Q268" s="5"/>
      <c r="R268" s="5"/>
      <c r="S268" s="5"/>
      <c r="T268" s="5"/>
      <c r="U268" s="5"/>
      <c r="V268" s="5"/>
      <c r="W268" s="5"/>
      <c r="X268" s="5"/>
      <c r="Y268" s="5"/>
      <c r="Z268" s="5"/>
      <c r="AA268" s="5"/>
      <c r="AB268" s="5"/>
      <c r="AC268" s="5"/>
      <c r="AD268" s="6"/>
    </row>
    <row r="269">
      <c r="A269" s="5"/>
      <c r="B269" s="5"/>
      <c r="C269" s="73"/>
      <c r="D269" s="73"/>
      <c r="E269" s="5"/>
      <c r="F269" s="5"/>
      <c r="G269" s="5"/>
      <c r="H269" s="5"/>
      <c r="I269" s="73"/>
      <c r="J269" s="5"/>
      <c r="K269" s="5"/>
      <c r="L269" s="73"/>
      <c r="M269" s="5"/>
      <c r="N269" s="5"/>
      <c r="O269" s="5"/>
      <c r="P269" s="5"/>
      <c r="Q269" s="5"/>
      <c r="R269" s="5"/>
      <c r="S269" s="5"/>
      <c r="T269" s="5"/>
      <c r="U269" s="5"/>
      <c r="V269" s="5"/>
      <c r="W269" s="5"/>
      <c r="X269" s="5"/>
      <c r="Y269" s="5"/>
      <c r="Z269" s="5"/>
      <c r="AA269" s="5"/>
      <c r="AB269" s="5"/>
      <c r="AC269" s="5"/>
      <c r="AD269" s="6"/>
    </row>
    <row r="270">
      <c r="A270" s="5"/>
      <c r="B270" s="5"/>
      <c r="C270" s="73"/>
      <c r="D270" s="73"/>
      <c r="E270" s="5"/>
      <c r="F270" s="5"/>
      <c r="G270" s="5"/>
      <c r="H270" s="5"/>
      <c r="I270" s="73"/>
      <c r="J270" s="5"/>
      <c r="K270" s="5"/>
      <c r="L270" s="73"/>
      <c r="M270" s="5"/>
      <c r="N270" s="5"/>
      <c r="O270" s="5"/>
      <c r="P270" s="5"/>
      <c r="Q270" s="5"/>
      <c r="R270" s="5"/>
      <c r="S270" s="5"/>
      <c r="T270" s="5"/>
      <c r="U270" s="5"/>
      <c r="V270" s="5"/>
      <c r="W270" s="5"/>
      <c r="X270" s="5"/>
      <c r="Y270" s="5"/>
      <c r="Z270" s="5"/>
      <c r="AA270" s="5"/>
      <c r="AB270" s="5"/>
      <c r="AC270" s="5"/>
      <c r="AD270" s="6"/>
    </row>
    <row r="271">
      <c r="A271" s="5"/>
      <c r="B271" s="5"/>
      <c r="C271" s="73"/>
      <c r="D271" s="73"/>
      <c r="E271" s="5"/>
      <c r="F271" s="5"/>
      <c r="G271" s="5"/>
      <c r="H271" s="5"/>
      <c r="I271" s="73"/>
      <c r="J271" s="5"/>
      <c r="K271" s="5"/>
      <c r="L271" s="73"/>
      <c r="M271" s="5"/>
      <c r="N271" s="5"/>
      <c r="O271" s="5"/>
      <c r="P271" s="5"/>
      <c r="Q271" s="5"/>
      <c r="R271" s="5"/>
      <c r="S271" s="5"/>
      <c r="T271" s="5"/>
      <c r="U271" s="5"/>
      <c r="V271" s="5"/>
      <c r="W271" s="5"/>
      <c r="X271" s="5"/>
      <c r="Y271" s="5"/>
      <c r="Z271" s="5"/>
      <c r="AA271" s="5"/>
      <c r="AB271" s="5"/>
      <c r="AC271" s="5"/>
      <c r="AD271" s="6"/>
    </row>
    <row r="272">
      <c r="A272" s="5"/>
      <c r="B272" s="5"/>
      <c r="C272" s="73"/>
      <c r="D272" s="73"/>
      <c r="E272" s="5"/>
      <c r="F272" s="5"/>
      <c r="G272" s="5"/>
      <c r="H272" s="5"/>
      <c r="I272" s="73"/>
      <c r="J272" s="5"/>
      <c r="K272" s="5"/>
      <c r="L272" s="73"/>
      <c r="M272" s="5"/>
      <c r="N272" s="5"/>
      <c r="O272" s="5"/>
      <c r="P272" s="5"/>
      <c r="Q272" s="5"/>
      <c r="R272" s="5"/>
      <c r="S272" s="5"/>
      <c r="T272" s="5"/>
      <c r="U272" s="5"/>
      <c r="V272" s="5"/>
      <c r="W272" s="5"/>
      <c r="X272" s="5"/>
      <c r="Y272" s="5"/>
      <c r="Z272" s="5"/>
      <c r="AA272" s="5"/>
      <c r="AB272" s="5"/>
      <c r="AC272" s="5"/>
      <c r="AD272" s="6"/>
    </row>
    <row r="273">
      <c r="A273" s="5"/>
      <c r="B273" s="5"/>
      <c r="C273" s="73"/>
      <c r="D273" s="73"/>
      <c r="E273" s="5"/>
      <c r="F273" s="5"/>
      <c r="G273" s="5"/>
      <c r="H273" s="5"/>
      <c r="I273" s="73"/>
      <c r="J273" s="5"/>
      <c r="K273" s="5"/>
      <c r="L273" s="73"/>
      <c r="M273" s="5"/>
      <c r="N273" s="5"/>
      <c r="O273" s="5"/>
      <c r="P273" s="5"/>
      <c r="Q273" s="5"/>
      <c r="R273" s="5"/>
      <c r="S273" s="5"/>
      <c r="T273" s="5"/>
      <c r="U273" s="5"/>
      <c r="V273" s="5"/>
      <c r="W273" s="5"/>
      <c r="X273" s="5"/>
      <c r="Y273" s="5"/>
      <c r="Z273" s="5"/>
      <c r="AA273" s="5"/>
      <c r="AB273" s="5"/>
      <c r="AC273" s="5"/>
      <c r="AD273" s="6"/>
    </row>
    <row r="274">
      <c r="A274" s="5"/>
      <c r="B274" s="5"/>
      <c r="C274" s="73"/>
      <c r="D274" s="73"/>
      <c r="E274" s="5"/>
      <c r="F274" s="5"/>
      <c r="G274" s="5"/>
      <c r="H274" s="5"/>
      <c r="I274" s="73"/>
      <c r="J274" s="5"/>
      <c r="K274" s="5"/>
      <c r="L274" s="73"/>
      <c r="M274" s="5"/>
      <c r="N274" s="5"/>
      <c r="O274" s="5"/>
      <c r="P274" s="5"/>
      <c r="Q274" s="5"/>
      <c r="R274" s="5"/>
      <c r="S274" s="5"/>
      <c r="T274" s="5"/>
      <c r="U274" s="5"/>
      <c r="V274" s="5"/>
      <c r="W274" s="5"/>
      <c r="X274" s="5"/>
      <c r="Y274" s="5"/>
      <c r="Z274" s="5"/>
      <c r="AA274" s="5"/>
      <c r="AB274" s="5"/>
      <c r="AC274" s="5"/>
      <c r="AD274" s="6"/>
    </row>
    <row r="275">
      <c r="A275" s="5"/>
      <c r="B275" s="5"/>
      <c r="C275" s="73"/>
      <c r="D275" s="73"/>
      <c r="E275" s="5"/>
      <c r="F275" s="5"/>
      <c r="G275" s="5"/>
      <c r="H275" s="5"/>
      <c r="I275" s="73"/>
      <c r="J275" s="5"/>
      <c r="K275" s="5"/>
      <c r="L275" s="73"/>
      <c r="M275" s="5"/>
      <c r="N275" s="5"/>
      <c r="O275" s="5"/>
      <c r="P275" s="5"/>
      <c r="Q275" s="5"/>
      <c r="R275" s="5"/>
      <c r="S275" s="5"/>
      <c r="T275" s="5"/>
      <c r="U275" s="5"/>
      <c r="V275" s="5"/>
      <c r="W275" s="5"/>
      <c r="X275" s="5"/>
      <c r="Y275" s="5"/>
      <c r="Z275" s="5"/>
      <c r="AA275" s="5"/>
      <c r="AB275" s="5"/>
      <c r="AC275" s="5"/>
      <c r="AD275" s="6"/>
    </row>
    <row r="276">
      <c r="A276" s="5"/>
      <c r="B276" s="5"/>
      <c r="C276" s="73"/>
      <c r="D276" s="73"/>
      <c r="E276" s="5"/>
      <c r="F276" s="5"/>
      <c r="G276" s="5"/>
      <c r="H276" s="5"/>
      <c r="I276" s="73"/>
      <c r="J276" s="5"/>
      <c r="K276" s="5"/>
      <c r="L276" s="73"/>
      <c r="M276" s="5"/>
      <c r="N276" s="5"/>
      <c r="O276" s="5"/>
      <c r="P276" s="5"/>
      <c r="Q276" s="5"/>
      <c r="R276" s="5"/>
      <c r="S276" s="5"/>
      <c r="T276" s="5"/>
      <c r="U276" s="5"/>
      <c r="V276" s="5"/>
      <c r="W276" s="5"/>
      <c r="X276" s="5"/>
      <c r="Y276" s="5"/>
      <c r="Z276" s="5"/>
      <c r="AA276" s="5"/>
      <c r="AB276" s="5"/>
      <c r="AC276" s="5"/>
      <c r="AD276" s="6"/>
    </row>
    <row r="277">
      <c r="A277" s="5"/>
      <c r="B277" s="5"/>
      <c r="C277" s="73"/>
      <c r="D277" s="73"/>
      <c r="E277" s="5"/>
      <c r="F277" s="5"/>
      <c r="G277" s="5"/>
      <c r="H277" s="5"/>
      <c r="I277" s="73"/>
      <c r="J277" s="5"/>
      <c r="K277" s="5"/>
      <c r="L277" s="73"/>
      <c r="M277" s="5"/>
      <c r="N277" s="5"/>
      <c r="O277" s="5"/>
      <c r="P277" s="5"/>
      <c r="Q277" s="5"/>
      <c r="R277" s="5"/>
      <c r="S277" s="5"/>
      <c r="T277" s="5"/>
      <c r="U277" s="5"/>
      <c r="V277" s="5"/>
      <c r="W277" s="5"/>
      <c r="X277" s="5"/>
      <c r="Y277" s="5"/>
      <c r="Z277" s="5"/>
      <c r="AA277" s="5"/>
      <c r="AB277" s="5"/>
      <c r="AC277" s="5"/>
      <c r="AD277" s="6"/>
    </row>
    <row r="278">
      <c r="A278" s="5"/>
      <c r="B278" s="5"/>
      <c r="C278" s="73"/>
      <c r="D278" s="73"/>
      <c r="E278" s="5"/>
      <c r="F278" s="5"/>
      <c r="G278" s="5"/>
      <c r="H278" s="5"/>
      <c r="I278" s="73"/>
      <c r="J278" s="5"/>
      <c r="K278" s="5"/>
      <c r="L278" s="73"/>
      <c r="M278" s="5"/>
      <c r="N278" s="5"/>
      <c r="O278" s="5"/>
      <c r="P278" s="5"/>
      <c r="Q278" s="5"/>
      <c r="R278" s="5"/>
      <c r="S278" s="5"/>
      <c r="T278" s="5"/>
      <c r="U278" s="5"/>
      <c r="V278" s="5"/>
      <c r="W278" s="5"/>
      <c r="X278" s="5"/>
      <c r="Y278" s="5"/>
      <c r="Z278" s="5"/>
      <c r="AA278" s="5"/>
      <c r="AB278" s="5"/>
      <c r="AC278" s="5"/>
      <c r="AD278" s="6"/>
    </row>
    <row r="279">
      <c r="A279" s="5"/>
      <c r="B279" s="5"/>
      <c r="C279" s="73"/>
      <c r="D279" s="73"/>
      <c r="E279" s="5"/>
      <c r="F279" s="5"/>
      <c r="G279" s="5"/>
      <c r="H279" s="5"/>
      <c r="I279" s="73"/>
      <c r="J279" s="5"/>
      <c r="K279" s="5"/>
      <c r="L279" s="73"/>
      <c r="M279" s="5"/>
      <c r="N279" s="5"/>
      <c r="O279" s="5"/>
      <c r="P279" s="5"/>
      <c r="Q279" s="5"/>
      <c r="R279" s="5"/>
      <c r="S279" s="5"/>
      <c r="T279" s="5"/>
      <c r="U279" s="5"/>
      <c r="V279" s="5"/>
      <c r="W279" s="5"/>
      <c r="X279" s="5"/>
      <c r="Y279" s="5"/>
      <c r="Z279" s="5"/>
      <c r="AA279" s="5"/>
      <c r="AB279" s="5"/>
      <c r="AC279" s="5"/>
      <c r="AD279" s="6"/>
    </row>
    <row r="280">
      <c r="A280" s="5"/>
      <c r="B280" s="5"/>
      <c r="C280" s="73"/>
      <c r="D280" s="73"/>
      <c r="E280" s="5"/>
      <c r="F280" s="5"/>
      <c r="G280" s="5"/>
      <c r="H280" s="5"/>
      <c r="I280" s="73"/>
      <c r="J280" s="5"/>
      <c r="K280" s="5"/>
      <c r="L280" s="73"/>
      <c r="M280" s="5"/>
      <c r="N280" s="5"/>
      <c r="O280" s="5"/>
      <c r="P280" s="5"/>
      <c r="Q280" s="5"/>
      <c r="R280" s="5"/>
      <c r="S280" s="5"/>
      <c r="T280" s="5"/>
      <c r="U280" s="5"/>
      <c r="V280" s="5"/>
      <c r="W280" s="5"/>
      <c r="X280" s="5"/>
      <c r="Y280" s="5"/>
      <c r="Z280" s="5"/>
      <c r="AA280" s="5"/>
      <c r="AB280" s="5"/>
      <c r="AC280" s="5"/>
      <c r="AD280" s="6"/>
    </row>
    <row r="281">
      <c r="A281" s="5"/>
      <c r="B281" s="5"/>
      <c r="C281" s="73"/>
      <c r="D281" s="73"/>
      <c r="E281" s="5"/>
      <c r="F281" s="5"/>
      <c r="G281" s="5"/>
      <c r="H281" s="5"/>
      <c r="I281" s="73"/>
      <c r="J281" s="5"/>
      <c r="K281" s="5"/>
      <c r="L281" s="73"/>
      <c r="M281" s="5"/>
      <c r="N281" s="5"/>
      <c r="O281" s="5"/>
      <c r="P281" s="5"/>
      <c r="Q281" s="5"/>
      <c r="R281" s="5"/>
      <c r="S281" s="5"/>
      <c r="T281" s="5"/>
      <c r="U281" s="5"/>
      <c r="V281" s="5"/>
      <c r="W281" s="5"/>
      <c r="X281" s="5"/>
      <c r="Y281" s="5"/>
      <c r="Z281" s="5"/>
      <c r="AA281" s="5"/>
      <c r="AB281" s="5"/>
      <c r="AC281" s="5"/>
      <c r="AD281" s="6"/>
    </row>
    <row r="282">
      <c r="A282" s="5"/>
      <c r="B282" s="5"/>
      <c r="C282" s="73"/>
      <c r="D282" s="73"/>
      <c r="E282" s="5"/>
      <c r="F282" s="5"/>
      <c r="G282" s="5"/>
      <c r="H282" s="5"/>
      <c r="I282" s="73"/>
      <c r="J282" s="5"/>
      <c r="K282" s="5"/>
      <c r="L282" s="73"/>
      <c r="M282" s="5"/>
      <c r="N282" s="5"/>
      <c r="O282" s="5"/>
      <c r="P282" s="5"/>
      <c r="Q282" s="5"/>
      <c r="R282" s="5"/>
      <c r="S282" s="5"/>
      <c r="T282" s="5"/>
      <c r="U282" s="5"/>
      <c r="V282" s="5"/>
      <c r="W282" s="5"/>
      <c r="X282" s="5"/>
      <c r="Y282" s="5"/>
      <c r="Z282" s="5"/>
      <c r="AA282" s="5"/>
      <c r="AB282" s="5"/>
      <c r="AC282" s="5"/>
      <c r="AD282" s="6"/>
    </row>
    <row r="283">
      <c r="A283" s="5"/>
      <c r="B283" s="5"/>
      <c r="C283" s="73"/>
      <c r="D283" s="73"/>
      <c r="E283" s="5"/>
      <c r="F283" s="5"/>
      <c r="G283" s="5"/>
      <c r="H283" s="5"/>
      <c r="I283" s="73"/>
      <c r="J283" s="5"/>
      <c r="K283" s="5"/>
      <c r="L283" s="73"/>
      <c r="M283" s="5"/>
      <c r="N283" s="5"/>
      <c r="O283" s="5"/>
      <c r="P283" s="5"/>
      <c r="Q283" s="5"/>
      <c r="R283" s="5"/>
      <c r="S283" s="5"/>
      <c r="T283" s="5"/>
      <c r="U283" s="5"/>
      <c r="V283" s="5"/>
      <c r="W283" s="5"/>
      <c r="X283" s="5"/>
      <c r="Y283" s="5"/>
      <c r="Z283" s="5"/>
      <c r="AA283" s="5"/>
      <c r="AB283" s="5"/>
      <c r="AC283" s="5"/>
      <c r="AD283" s="6"/>
    </row>
    <row r="284">
      <c r="A284" s="5"/>
      <c r="B284" s="5"/>
      <c r="C284" s="73"/>
      <c r="D284" s="73"/>
      <c r="E284" s="5"/>
      <c r="F284" s="5"/>
      <c r="G284" s="5"/>
      <c r="H284" s="5"/>
      <c r="I284" s="73"/>
      <c r="J284" s="5"/>
      <c r="K284" s="5"/>
      <c r="L284" s="73"/>
      <c r="M284" s="5"/>
      <c r="N284" s="5"/>
      <c r="O284" s="5"/>
      <c r="P284" s="5"/>
      <c r="Q284" s="5"/>
      <c r="R284" s="5"/>
      <c r="S284" s="5"/>
      <c r="T284" s="5"/>
      <c r="U284" s="5"/>
      <c r="V284" s="5"/>
      <c r="W284" s="5"/>
      <c r="X284" s="5"/>
      <c r="Y284" s="5"/>
      <c r="Z284" s="5"/>
      <c r="AA284" s="5"/>
      <c r="AB284" s="5"/>
      <c r="AC284" s="5"/>
      <c r="AD284" s="6"/>
    </row>
    <row r="285">
      <c r="A285" s="5"/>
      <c r="B285" s="5"/>
      <c r="C285" s="73"/>
      <c r="D285" s="73"/>
      <c r="E285" s="5"/>
      <c r="F285" s="5"/>
      <c r="G285" s="5"/>
      <c r="H285" s="5"/>
      <c r="I285" s="73"/>
      <c r="J285" s="5"/>
      <c r="K285" s="5"/>
      <c r="L285" s="73"/>
      <c r="M285" s="5"/>
      <c r="N285" s="5"/>
      <c r="O285" s="5"/>
      <c r="P285" s="5"/>
      <c r="Q285" s="5"/>
      <c r="R285" s="5"/>
      <c r="S285" s="5"/>
      <c r="T285" s="5"/>
      <c r="U285" s="5"/>
      <c r="V285" s="5"/>
      <c r="W285" s="5"/>
      <c r="X285" s="5"/>
      <c r="Y285" s="5"/>
      <c r="Z285" s="5"/>
      <c r="AA285" s="5"/>
      <c r="AB285" s="5"/>
      <c r="AC285" s="5"/>
      <c r="AD285" s="6"/>
    </row>
    <row r="286">
      <c r="A286" s="5"/>
      <c r="B286" s="5"/>
      <c r="C286" s="73"/>
      <c r="D286" s="73"/>
      <c r="E286" s="5"/>
      <c r="F286" s="5"/>
      <c r="G286" s="5"/>
      <c r="H286" s="5"/>
      <c r="I286" s="73"/>
      <c r="J286" s="5"/>
      <c r="K286" s="5"/>
      <c r="L286" s="73"/>
      <c r="M286" s="5"/>
      <c r="N286" s="5"/>
      <c r="O286" s="5"/>
      <c r="P286" s="5"/>
      <c r="Q286" s="5"/>
      <c r="R286" s="5"/>
      <c r="S286" s="5"/>
      <c r="T286" s="5"/>
      <c r="U286" s="5"/>
      <c r="V286" s="5"/>
      <c r="W286" s="5"/>
      <c r="X286" s="5"/>
      <c r="Y286" s="5"/>
      <c r="Z286" s="5"/>
      <c r="AA286" s="5"/>
      <c r="AB286" s="5"/>
      <c r="AC286" s="5"/>
      <c r="AD286" s="6"/>
    </row>
    <row r="287">
      <c r="A287" s="5"/>
      <c r="B287" s="5"/>
      <c r="C287" s="73"/>
      <c r="D287" s="73"/>
      <c r="E287" s="5"/>
      <c r="F287" s="5"/>
      <c r="G287" s="5"/>
      <c r="H287" s="5"/>
      <c r="I287" s="73"/>
      <c r="J287" s="5"/>
      <c r="K287" s="5"/>
      <c r="L287" s="73"/>
      <c r="M287" s="5"/>
      <c r="N287" s="5"/>
      <c r="O287" s="5"/>
      <c r="P287" s="5"/>
      <c r="Q287" s="5"/>
      <c r="R287" s="5"/>
      <c r="S287" s="5"/>
      <c r="T287" s="5"/>
      <c r="U287" s="5"/>
      <c r="V287" s="5"/>
      <c r="W287" s="5"/>
      <c r="X287" s="5"/>
      <c r="Y287" s="5"/>
      <c r="Z287" s="5"/>
      <c r="AA287" s="5"/>
      <c r="AB287" s="5"/>
      <c r="AC287" s="5"/>
      <c r="AD287" s="6"/>
    </row>
    <row r="288">
      <c r="A288" s="5"/>
      <c r="B288" s="5"/>
      <c r="C288" s="73"/>
      <c r="D288" s="73"/>
      <c r="E288" s="5"/>
      <c r="F288" s="5"/>
      <c r="G288" s="5"/>
      <c r="H288" s="5"/>
      <c r="I288" s="73"/>
      <c r="J288" s="5"/>
      <c r="K288" s="5"/>
      <c r="L288" s="73"/>
      <c r="M288" s="5"/>
      <c r="N288" s="5"/>
      <c r="O288" s="5"/>
      <c r="P288" s="5"/>
      <c r="Q288" s="5"/>
      <c r="R288" s="5"/>
      <c r="S288" s="5"/>
      <c r="T288" s="5"/>
      <c r="U288" s="5"/>
      <c r="V288" s="5"/>
      <c r="W288" s="5"/>
      <c r="X288" s="5"/>
      <c r="Y288" s="5"/>
      <c r="Z288" s="5"/>
      <c r="AA288" s="5"/>
      <c r="AB288" s="5"/>
      <c r="AC288" s="5"/>
      <c r="AD288" s="6"/>
    </row>
    <row r="289">
      <c r="A289" s="5"/>
      <c r="B289" s="5"/>
      <c r="C289" s="73"/>
      <c r="D289" s="73"/>
      <c r="E289" s="5"/>
      <c r="F289" s="5"/>
      <c r="G289" s="5"/>
      <c r="H289" s="5"/>
      <c r="I289" s="73"/>
      <c r="J289" s="5"/>
      <c r="K289" s="5"/>
      <c r="L289" s="73"/>
      <c r="M289" s="5"/>
      <c r="N289" s="5"/>
      <c r="O289" s="5"/>
      <c r="P289" s="5"/>
      <c r="Q289" s="5"/>
      <c r="R289" s="5"/>
      <c r="S289" s="5"/>
      <c r="T289" s="5"/>
      <c r="U289" s="5"/>
      <c r="V289" s="5"/>
      <c r="W289" s="5"/>
      <c r="X289" s="5"/>
      <c r="Y289" s="5"/>
      <c r="Z289" s="5"/>
      <c r="AA289" s="5"/>
      <c r="AB289" s="5"/>
      <c r="AC289" s="5"/>
      <c r="AD289" s="6"/>
    </row>
    <row r="290">
      <c r="A290" s="5"/>
      <c r="B290" s="5"/>
      <c r="C290" s="73"/>
      <c r="D290" s="73"/>
      <c r="E290" s="5"/>
      <c r="F290" s="5"/>
      <c r="G290" s="5"/>
      <c r="H290" s="5"/>
      <c r="I290" s="73"/>
      <c r="J290" s="5"/>
      <c r="K290" s="5"/>
      <c r="L290" s="73"/>
      <c r="M290" s="5"/>
      <c r="N290" s="5"/>
      <c r="O290" s="5"/>
      <c r="P290" s="5"/>
      <c r="Q290" s="5"/>
      <c r="R290" s="5"/>
      <c r="S290" s="5"/>
      <c r="T290" s="5"/>
      <c r="U290" s="5"/>
      <c r="V290" s="5"/>
      <c r="W290" s="5"/>
      <c r="X290" s="5"/>
      <c r="Y290" s="5"/>
      <c r="Z290" s="5"/>
      <c r="AA290" s="5"/>
      <c r="AB290" s="5"/>
      <c r="AC290" s="5"/>
      <c r="AD290" s="6"/>
    </row>
    <row r="291">
      <c r="A291" s="5"/>
      <c r="B291" s="5"/>
      <c r="C291" s="73"/>
      <c r="D291" s="73"/>
      <c r="E291" s="5"/>
      <c r="F291" s="5"/>
      <c r="G291" s="5"/>
      <c r="H291" s="5"/>
      <c r="I291" s="73"/>
      <c r="J291" s="5"/>
      <c r="K291" s="5"/>
      <c r="L291" s="73"/>
      <c r="M291" s="5"/>
      <c r="N291" s="5"/>
      <c r="O291" s="5"/>
      <c r="P291" s="5"/>
      <c r="Q291" s="5"/>
      <c r="R291" s="5"/>
      <c r="S291" s="5"/>
      <c r="T291" s="5"/>
      <c r="U291" s="5"/>
      <c r="V291" s="5"/>
      <c r="W291" s="5"/>
      <c r="X291" s="5"/>
      <c r="Y291" s="5"/>
      <c r="Z291" s="5"/>
      <c r="AA291" s="5"/>
      <c r="AB291" s="5"/>
      <c r="AC291" s="5"/>
      <c r="AD291" s="6"/>
    </row>
    <row r="292">
      <c r="A292" s="5"/>
      <c r="B292" s="5"/>
      <c r="C292" s="73"/>
      <c r="D292" s="73"/>
      <c r="E292" s="5"/>
      <c r="F292" s="5"/>
      <c r="G292" s="5"/>
      <c r="H292" s="5"/>
      <c r="I292" s="73"/>
      <c r="J292" s="5"/>
      <c r="K292" s="5"/>
      <c r="L292" s="73"/>
      <c r="M292" s="5"/>
      <c r="N292" s="5"/>
      <c r="O292" s="5"/>
      <c r="P292" s="5"/>
      <c r="Q292" s="5"/>
      <c r="R292" s="5"/>
      <c r="S292" s="5"/>
      <c r="T292" s="5"/>
      <c r="U292" s="5"/>
      <c r="V292" s="5"/>
      <c r="W292" s="5"/>
      <c r="X292" s="5"/>
      <c r="Y292" s="5"/>
      <c r="Z292" s="5"/>
      <c r="AA292" s="5"/>
      <c r="AB292" s="5"/>
      <c r="AC292" s="5"/>
      <c r="AD292" s="6"/>
    </row>
    <row r="293">
      <c r="A293" s="5"/>
      <c r="B293" s="5"/>
      <c r="C293" s="73"/>
      <c r="D293" s="73"/>
      <c r="E293" s="5"/>
      <c r="F293" s="5"/>
      <c r="G293" s="5"/>
      <c r="H293" s="5"/>
      <c r="I293" s="73"/>
      <c r="J293" s="5"/>
      <c r="K293" s="5"/>
      <c r="L293" s="73"/>
      <c r="M293" s="5"/>
      <c r="N293" s="5"/>
      <c r="O293" s="5"/>
      <c r="P293" s="5"/>
      <c r="Q293" s="5"/>
      <c r="R293" s="5"/>
      <c r="S293" s="5"/>
      <c r="T293" s="5"/>
      <c r="U293" s="5"/>
      <c r="V293" s="5"/>
      <c r="W293" s="5"/>
      <c r="X293" s="5"/>
      <c r="Y293" s="5"/>
      <c r="Z293" s="5"/>
      <c r="AA293" s="5"/>
      <c r="AB293" s="5"/>
      <c r="AC293" s="5"/>
      <c r="AD293" s="6"/>
    </row>
    <row r="294">
      <c r="A294" s="5"/>
      <c r="B294" s="5"/>
      <c r="C294" s="73"/>
      <c r="D294" s="73"/>
      <c r="E294" s="5"/>
      <c r="F294" s="5"/>
      <c r="G294" s="5"/>
      <c r="H294" s="5"/>
      <c r="I294" s="73"/>
      <c r="J294" s="5"/>
      <c r="K294" s="5"/>
      <c r="L294" s="73"/>
      <c r="M294" s="5"/>
      <c r="N294" s="5"/>
      <c r="O294" s="5"/>
      <c r="P294" s="5"/>
      <c r="Q294" s="5"/>
      <c r="R294" s="5"/>
      <c r="S294" s="5"/>
      <c r="T294" s="5"/>
      <c r="U294" s="5"/>
      <c r="V294" s="5"/>
      <c r="W294" s="5"/>
      <c r="X294" s="5"/>
      <c r="Y294" s="5"/>
      <c r="Z294" s="5"/>
      <c r="AA294" s="5"/>
      <c r="AB294" s="5"/>
      <c r="AC294" s="5"/>
      <c r="AD294" s="6"/>
    </row>
    <row r="295">
      <c r="A295" s="5"/>
      <c r="B295" s="5"/>
      <c r="C295" s="73"/>
      <c r="D295" s="73"/>
      <c r="E295" s="5"/>
      <c r="F295" s="5"/>
      <c r="G295" s="5"/>
      <c r="H295" s="5"/>
      <c r="I295" s="73"/>
      <c r="J295" s="5"/>
      <c r="K295" s="5"/>
      <c r="L295" s="73"/>
      <c r="M295" s="5"/>
      <c r="N295" s="5"/>
      <c r="O295" s="5"/>
      <c r="P295" s="5"/>
      <c r="Q295" s="5"/>
      <c r="R295" s="5"/>
      <c r="S295" s="5"/>
      <c r="T295" s="5"/>
      <c r="U295" s="5"/>
      <c r="V295" s="5"/>
      <c r="W295" s="5"/>
      <c r="X295" s="5"/>
      <c r="Y295" s="5"/>
      <c r="Z295" s="5"/>
      <c r="AA295" s="5"/>
      <c r="AB295" s="5"/>
      <c r="AC295" s="5"/>
      <c r="AD295" s="6"/>
    </row>
    <row r="296">
      <c r="A296" s="5"/>
      <c r="B296" s="5"/>
      <c r="C296" s="73"/>
      <c r="D296" s="73"/>
      <c r="E296" s="5"/>
      <c r="F296" s="5"/>
      <c r="G296" s="5"/>
      <c r="H296" s="5"/>
      <c r="I296" s="73"/>
      <c r="J296" s="5"/>
      <c r="K296" s="5"/>
      <c r="L296" s="73"/>
      <c r="M296" s="5"/>
      <c r="N296" s="5"/>
      <c r="O296" s="5"/>
      <c r="P296" s="5"/>
      <c r="Q296" s="5"/>
      <c r="R296" s="5"/>
      <c r="S296" s="5"/>
      <c r="T296" s="5"/>
      <c r="U296" s="5"/>
      <c r="V296" s="5"/>
      <c r="W296" s="5"/>
      <c r="X296" s="5"/>
      <c r="Y296" s="5"/>
      <c r="Z296" s="5"/>
      <c r="AA296" s="5"/>
      <c r="AB296" s="5"/>
      <c r="AC296" s="5"/>
      <c r="AD296" s="6"/>
    </row>
    <row r="297">
      <c r="A297" s="5"/>
      <c r="B297" s="5"/>
      <c r="C297" s="73"/>
      <c r="D297" s="73"/>
      <c r="E297" s="5"/>
      <c r="F297" s="5"/>
      <c r="G297" s="5"/>
      <c r="H297" s="5"/>
      <c r="I297" s="73"/>
      <c r="J297" s="5"/>
      <c r="K297" s="5"/>
      <c r="L297" s="73"/>
      <c r="M297" s="5"/>
      <c r="N297" s="5"/>
      <c r="O297" s="5"/>
      <c r="P297" s="5"/>
      <c r="Q297" s="5"/>
      <c r="R297" s="5"/>
      <c r="S297" s="5"/>
      <c r="T297" s="5"/>
      <c r="U297" s="5"/>
      <c r="V297" s="5"/>
      <c r="W297" s="5"/>
      <c r="X297" s="5"/>
      <c r="Y297" s="5"/>
      <c r="Z297" s="5"/>
      <c r="AA297" s="5"/>
      <c r="AB297" s="5"/>
      <c r="AC297" s="5"/>
      <c r="AD297" s="6"/>
    </row>
    <row r="298">
      <c r="A298" s="5"/>
      <c r="B298" s="5"/>
      <c r="C298" s="73"/>
      <c r="D298" s="73"/>
      <c r="E298" s="5"/>
      <c r="F298" s="5"/>
      <c r="G298" s="5"/>
      <c r="H298" s="5"/>
      <c r="I298" s="73"/>
      <c r="J298" s="5"/>
      <c r="K298" s="5"/>
      <c r="L298" s="73"/>
      <c r="M298" s="5"/>
      <c r="N298" s="5"/>
      <c r="O298" s="5"/>
      <c r="P298" s="5"/>
      <c r="Q298" s="5"/>
      <c r="R298" s="5"/>
      <c r="S298" s="5"/>
      <c r="T298" s="5"/>
      <c r="U298" s="5"/>
      <c r="V298" s="5"/>
      <c r="W298" s="5"/>
      <c r="X298" s="5"/>
      <c r="Y298" s="5"/>
      <c r="Z298" s="5"/>
      <c r="AA298" s="5"/>
      <c r="AB298" s="5"/>
      <c r="AC298" s="5"/>
      <c r="AD298" s="6"/>
    </row>
    <row r="299">
      <c r="A299" s="5"/>
      <c r="B299" s="5"/>
      <c r="C299" s="73"/>
      <c r="D299" s="73"/>
      <c r="E299" s="5"/>
      <c r="F299" s="5"/>
      <c r="G299" s="5"/>
      <c r="H299" s="5"/>
      <c r="I299" s="73"/>
      <c r="J299" s="5"/>
      <c r="K299" s="5"/>
      <c r="L299" s="73"/>
      <c r="M299" s="5"/>
      <c r="N299" s="5"/>
      <c r="O299" s="5"/>
      <c r="P299" s="5"/>
      <c r="Q299" s="5"/>
      <c r="R299" s="5"/>
      <c r="S299" s="5"/>
      <c r="T299" s="5"/>
      <c r="U299" s="5"/>
      <c r="V299" s="5"/>
      <c r="W299" s="5"/>
      <c r="X299" s="5"/>
      <c r="Y299" s="5"/>
      <c r="Z299" s="5"/>
      <c r="AA299" s="5"/>
      <c r="AB299" s="5"/>
      <c r="AC299" s="5"/>
      <c r="AD299" s="6"/>
    </row>
    <row r="300">
      <c r="A300" s="5"/>
      <c r="B300" s="5"/>
      <c r="C300" s="73"/>
      <c r="D300" s="73"/>
      <c r="E300" s="5"/>
      <c r="F300" s="5"/>
      <c r="G300" s="5"/>
      <c r="H300" s="5"/>
      <c r="I300" s="73"/>
      <c r="J300" s="5"/>
      <c r="K300" s="5"/>
      <c r="L300" s="73"/>
      <c r="M300" s="5"/>
      <c r="N300" s="5"/>
      <c r="O300" s="5"/>
      <c r="P300" s="5"/>
      <c r="Q300" s="5"/>
      <c r="R300" s="5"/>
      <c r="S300" s="5"/>
      <c r="T300" s="5"/>
      <c r="U300" s="5"/>
      <c r="V300" s="5"/>
      <c r="W300" s="5"/>
      <c r="X300" s="5"/>
      <c r="Y300" s="5"/>
      <c r="Z300" s="5"/>
      <c r="AA300" s="5"/>
      <c r="AB300" s="5"/>
      <c r="AC300" s="5"/>
      <c r="AD300" s="6"/>
    </row>
    <row r="301">
      <c r="A301" s="5"/>
      <c r="B301" s="5"/>
      <c r="C301" s="73"/>
      <c r="D301" s="73"/>
      <c r="E301" s="5"/>
      <c r="F301" s="5"/>
      <c r="G301" s="5"/>
      <c r="H301" s="5"/>
      <c r="I301" s="73"/>
      <c r="J301" s="5"/>
      <c r="K301" s="5"/>
      <c r="L301" s="73"/>
      <c r="M301" s="5"/>
      <c r="N301" s="5"/>
      <c r="O301" s="5"/>
      <c r="P301" s="5"/>
      <c r="Q301" s="5"/>
      <c r="R301" s="5"/>
      <c r="S301" s="5"/>
      <c r="T301" s="5"/>
      <c r="U301" s="5"/>
      <c r="V301" s="5"/>
      <c r="W301" s="5"/>
      <c r="X301" s="5"/>
      <c r="Y301" s="5"/>
      <c r="Z301" s="5"/>
      <c r="AA301" s="5"/>
      <c r="AB301" s="5"/>
      <c r="AC301" s="5"/>
      <c r="AD301" s="6"/>
    </row>
    <row r="302">
      <c r="A302" s="5"/>
      <c r="B302" s="5"/>
      <c r="C302" s="73"/>
      <c r="D302" s="73"/>
      <c r="E302" s="5"/>
      <c r="F302" s="5"/>
      <c r="G302" s="5"/>
      <c r="H302" s="5"/>
      <c r="I302" s="73"/>
      <c r="J302" s="5"/>
      <c r="K302" s="5"/>
      <c r="L302" s="73"/>
      <c r="M302" s="5"/>
      <c r="N302" s="5"/>
      <c r="O302" s="5"/>
      <c r="P302" s="5"/>
      <c r="Q302" s="5"/>
      <c r="R302" s="5"/>
      <c r="S302" s="5"/>
      <c r="T302" s="5"/>
      <c r="U302" s="5"/>
      <c r="V302" s="5"/>
      <c r="W302" s="5"/>
      <c r="X302" s="5"/>
      <c r="Y302" s="5"/>
      <c r="Z302" s="5"/>
      <c r="AA302" s="5"/>
      <c r="AB302" s="5"/>
      <c r="AC302" s="5"/>
      <c r="AD302" s="6"/>
    </row>
    <row r="303">
      <c r="A303" s="5"/>
      <c r="B303" s="5"/>
      <c r="C303" s="73"/>
      <c r="D303" s="73"/>
      <c r="E303" s="5"/>
      <c r="F303" s="5"/>
      <c r="G303" s="5"/>
      <c r="H303" s="5"/>
      <c r="I303" s="73"/>
      <c r="J303" s="5"/>
      <c r="K303" s="5"/>
      <c r="L303" s="73"/>
      <c r="M303" s="5"/>
      <c r="N303" s="5"/>
      <c r="O303" s="5"/>
      <c r="P303" s="5"/>
      <c r="Q303" s="5"/>
      <c r="R303" s="5"/>
      <c r="S303" s="5"/>
      <c r="T303" s="5"/>
      <c r="U303" s="5"/>
      <c r="V303" s="5"/>
      <c r="W303" s="5"/>
      <c r="X303" s="5"/>
      <c r="Y303" s="5"/>
      <c r="Z303" s="5"/>
      <c r="AA303" s="5"/>
      <c r="AB303" s="5"/>
      <c r="AC303" s="5"/>
      <c r="AD303" s="6"/>
    </row>
    <row r="304">
      <c r="A304" s="5"/>
      <c r="B304" s="5"/>
      <c r="C304" s="73"/>
      <c r="D304" s="73"/>
      <c r="E304" s="5"/>
      <c r="F304" s="5"/>
      <c r="G304" s="5"/>
      <c r="H304" s="5"/>
      <c r="I304" s="73"/>
      <c r="J304" s="5"/>
      <c r="K304" s="5"/>
      <c r="L304" s="73"/>
      <c r="M304" s="5"/>
      <c r="N304" s="5"/>
      <c r="O304" s="5"/>
      <c r="P304" s="5"/>
      <c r="Q304" s="5"/>
      <c r="R304" s="5"/>
      <c r="S304" s="5"/>
      <c r="T304" s="5"/>
      <c r="U304" s="5"/>
      <c r="V304" s="5"/>
      <c r="W304" s="5"/>
      <c r="X304" s="5"/>
      <c r="Y304" s="5"/>
      <c r="Z304" s="5"/>
      <c r="AA304" s="5"/>
      <c r="AB304" s="5"/>
      <c r="AC304" s="5"/>
      <c r="AD304" s="6"/>
    </row>
    <row r="305">
      <c r="A305" s="5"/>
      <c r="B305" s="5"/>
      <c r="C305" s="73"/>
      <c r="D305" s="73"/>
      <c r="E305" s="5"/>
      <c r="F305" s="5"/>
      <c r="G305" s="5"/>
      <c r="H305" s="5"/>
      <c r="I305" s="73"/>
      <c r="J305" s="5"/>
      <c r="K305" s="5"/>
      <c r="L305" s="73"/>
      <c r="M305" s="5"/>
      <c r="N305" s="5"/>
      <c r="O305" s="5"/>
      <c r="P305" s="5"/>
      <c r="Q305" s="5"/>
      <c r="R305" s="5"/>
      <c r="S305" s="5"/>
      <c r="T305" s="5"/>
      <c r="U305" s="5"/>
      <c r="V305" s="5"/>
      <c r="W305" s="5"/>
      <c r="X305" s="5"/>
      <c r="Y305" s="5"/>
      <c r="Z305" s="5"/>
      <c r="AA305" s="5"/>
      <c r="AB305" s="5"/>
      <c r="AC305" s="5"/>
      <c r="AD305" s="6"/>
    </row>
    <row r="306">
      <c r="A306" s="5"/>
      <c r="B306" s="5"/>
      <c r="C306" s="73"/>
      <c r="D306" s="73"/>
      <c r="E306" s="5"/>
      <c r="F306" s="5"/>
      <c r="G306" s="5"/>
      <c r="H306" s="5"/>
      <c r="I306" s="73"/>
      <c r="J306" s="5"/>
      <c r="K306" s="5"/>
      <c r="L306" s="73"/>
      <c r="M306" s="5"/>
      <c r="N306" s="5"/>
      <c r="O306" s="5"/>
      <c r="P306" s="5"/>
      <c r="Q306" s="5"/>
      <c r="R306" s="5"/>
      <c r="S306" s="5"/>
      <c r="T306" s="5"/>
      <c r="U306" s="5"/>
      <c r="V306" s="5"/>
      <c r="W306" s="5"/>
      <c r="X306" s="5"/>
      <c r="Y306" s="5"/>
      <c r="Z306" s="5"/>
      <c r="AA306" s="5"/>
      <c r="AB306" s="5"/>
      <c r="AC306" s="5"/>
      <c r="AD306" s="6"/>
    </row>
    <row r="307">
      <c r="A307" s="5"/>
      <c r="B307" s="5"/>
      <c r="C307" s="73"/>
      <c r="D307" s="73"/>
      <c r="E307" s="5"/>
      <c r="F307" s="5"/>
      <c r="G307" s="5"/>
      <c r="H307" s="5"/>
      <c r="I307" s="73"/>
      <c r="J307" s="5"/>
      <c r="K307" s="5"/>
      <c r="L307" s="73"/>
      <c r="M307" s="5"/>
      <c r="N307" s="5"/>
      <c r="O307" s="5"/>
      <c r="P307" s="5"/>
      <c r="Q307" s="5"/>
      <c r="R307" s="5"/>
      <c r="S307" s="5"/>
      <c r="T307" s="5"/>
      <c r="U307" s="5"/>
      <c r="V307" s="5"/>
      <c r="W307" s="5"/>
      <c r="X307" s="5"/>
      <c r="Y307" s="5"/>
      <c r="Z307" s="5"/>
      <c r="AA307" s="5"/>
      <c r="AB307" s="5"/>
      <c r="AC307" s="5"/>
      <c r="AD307" s="6"/>
    </row>
    <row r="308">
      <c r="A308" s="5"/>
      <c r="B308" s="5"/>
      <c r="C308" s="73"/>
      <c r="D308" s="73"/>
      <c r="E308" s="5"/>
      <c r="F308" s="5"/>
      <c r="G308" s="5"/>
      <c r="H308" s="5"/>
      <c r="I308" s="73"/>
      <c r="J308" s="5"/>
      <c r="K308" s="5"/>
      <c r="L308" s="73"/>
      <c r="M308" s="5"/>
      <c r="N308" s="5"/>
      <c r="O308" s="5"/>
      <c r="P308" s="5"/>
      <c r="Q308" s="5"/>
      <c r="R308" s="5"/>
      <c r="S308" s="5"/>
      <c r="T308" s="5"/>
      <c r="U308" s="5"/>
      <c r="V308" s="5"/>
      <c r="W308" s="5"/>
      <c r="X308" s="5"/>
      <c r="Y308" s="5"/>
      <c r="Z308" s="5"/>
      <c r="AA308" s="5"/>
      <c r="AB308" s="5"/>
      <c r="AC308" s="5"/>
      <c r="AD308" s="6"/>
    </row>
    <row r="309">
      <c r="A309" s="5"/>
      <c r="B309" s="5"/>
      <c r="C309" s="73"/>
      <c r="D309" s="73"/>
      <c r="E309" s="5"/>
      <c r="F309" s="5"/>
      <c r="G309" s="5"/>
      <c r="H309" s="5"/>
      <c r="I309" s="73"/>
      <c r="J309" s="5"/>
      <c r="K309" s="5"/>
      <c r="L309" s="73"/>
      <c r="M309" s="5"/>
      <c r="N309" s="5"/>
      <c r="O309" s="5"/>
      <c r="P309" s="5"/>
      <c r="Q309" s="5"/>
      <c r="R309" s="5"/>
      <c r="S309" s="5"/>
      <c r="T309" s="5"/>
      <c r="U309" s="5"/>
      <c r="V309" s="5"/>
      <c r="W309" s="5"/>
      <c r="X309" s="5"/>
      <c r="Y309" s="5"/>
      <c r="Z309" s="5"/>
      <c r="AA309" s="5"/>
      <c r="AB309" s="5"/>
      <c r="AC309" s="5"/>
      <c r="AD309" s="6"/>
    </row>
    <row r="310">
      <c r="A310" s="5"/>
      <c r="B310" s="5"/>
      <c r="C310" s="73"/>
      <c r="D310" s="73"/>
      <c r="E310" s="5"/>
      <c r="F310" s="5"/>
      <c r="G310" s="5"/>
      <c r="H310" s="5"/>
      <c r="I310" s="73"/>
      <c r="J310" s="5"/>
      <c r="K310" s="5"/>
      <c r="L310" s="73"/>
      <c r="M310" s="5"/>
      <c r="N310" s="5"/>
      <c r="O310" s="5"/>
      <c r="P310" s="5"/>
      <c r="Q310" s="5"/>
      <c r="R310" s="5"/>
      <c r="S310" s="5"/>
      <c r="T310" s="5"/>
      <c r="U310" s="5"/>
      <c r="V310" s="5"/>
      <c r="W310" s="5"/>
      <c r="X310" s="5"/>
      <c r="Y310" s="5"/>
      <c r="Z310" s="5"/>
      <c r="AA310" s="5"/>
      <c r="AB310" s="5"/>
      <c r="AC310" s="5"/>
      <c r="AD310" s="6"/>
    </row>
    <row r="311">
      <c r="A311" s="5"/>
      <c r="B311" s="5"/>
      <c r="C311" s="73"/>
      <c r="D311" s="73"/>
      <c r="E311" s="5"/>
      <c r="F311" s="5"/>
      <c r="G311" s="5"/>
      <c r="H311" s="5"/>
      <c r="I311" s="73"/>
      <c r="J311" s="5"/>
      <c r="K311" s="5"/>
      <c r="L311" s="73"/>
      <c r="M311" s="5"/>
      <c r="N311" s="5"/>
      <c r="O311" s="5"/>
      <c r="P311" s="5"/>
      <c r="Q311" s="5"/>
      <c r="R311" s="5"/>
      <c r="S311" s="5"/>
      <c r="T311" s="5"/>
      <c r="U311" s="5"/>
      <c r="V311" s="5"/>
      <c r="W311" s="5"/>
      <c r="X311" s="5"/>
      <c r="Y311" s="5"/>
      <c r="Z311" s="5"/>
      <c r="AA311" s="5"/>
      <c r="AB311" s="5"/>
      <c r="AC311" s="5"/>
      <c r="AD311" s="6"/>
    </row>
    <row r="312">
      <c r="A312" s="5"/>
      <c r="B312" s="5"/>
      <c r="C312" s="73"/>
      <c r="D312" s="73"/>
      <c r="E312" s="5"/>
      <c r="F312" s="5"/>
      <c r="G312" s="5"/>
      <c r="H312" s="5"/>
      <c r="I312" s="73"/>
      <c r="J312" s="5"/>
      <c r="K312" s="5"/>
      <c r="L312" s="73"/>
      <c r="M312" s="5"/>
      <c r="N312" s="5"/>
      <c r="O312" s="5"/>
      <c r="P312" s="5"/>
      <c r="Q312" s="5"/>
      <c r="R312" s="5"/>
      <c r="S312" s="5"/>
      <c r="T312" s="5"/>
      <c r="U312" s="5"/>
      <c r="V312" s="5"/>
      <c r="W312" s="5"/>
      <c r="X312" s="5"/>
      <c r="Y312" s="5"/>
      <c r="Z312" s="5"/>
      <c r="AA312" s="5"/>
      <c r="AB312" s="5"/>
      <c r="AC312" s="5"/>
      <c r="AD312" s="6"/>
    </row>
    <row r="313">
      <c r="A313" s="5"/>
      <c r="B313" s="5"/>
      <c r="C313" s="73"/>
      <c r="D313" s="73"/>
      <c r="E313" s="5"/>
      <c r="F313" s="5"/>
      <c r="G313" s="5"/>
      <c r="H313" s="5"/>
      <c r="I313" s="73"/>
      <c r="J313" s="5"/>
      <c r="K313" s="5"/>
      <c r="L313" s="73"/>
      <c r="M313" s="5"/>
      <c r="N313" s="5"/>
      <c r="O313" s="5"/>
      <c r="P313" s="5"/>
      <c r="Q313" s="5"/>
      <c r="R313" s="5"/>
      <c r="S313" s="5"/>
      <c r="T313" s="5"/>
      <c r="U313" s="5"/>
      <c r="V313" s="5"/>
      <c r="W313" s="5"/>
      <c r="X313" s="5"/>
      <c r="Y313" s="5"/>
      <c r="Z313" s="5"/>
      <c r="AA313" s="5"/>
      <c r="AB313" s="5"/>
      <c r="AC313" s="5"/>
      <c r="AD313" s="6"/>
    </row>
    <row r="314">
      <c r="A314" s="5"/>
      <c r="B314" s="5"/>
      <c r="C314" s="73"/>
      <c r="D314" s="73"/>
      <c r="E314" s="5"/>
      <c r="F314" s="5"/>
      <c r="G314" s="5"/>
      <c r="H314" s="5"/>
      <c r="I314" s="73"/>
      <c r="J314" s="5"/>
      <c r="K314" s="5"/>
      <c r="L314" s="73"/>
      <c r="M314" s="5"/>
      <c r="N314" s="5"/>
      <c r="O314" s="5"/>
      <c r="P314" s="5"/>
      <c r="Q314" s="5"/>
      <c r="R314" s="5"/>
      <c r="S314" s="5"/>
      <c r="T314" s="5"/>
      <c r="U314" s="5"/>
      <c r="V314" s="5"/>
      <c r="W314" s="5"/>
      <c r="X314" s="5"/>
      <c r="Y314" s="5"/>
      <c r="Z314" s="5"/>
      <c r="AA314" s="5"/>
      <c r="AB314" s="5"/>
      <c r="AC314" s="5"/>
      <c r="AD314" s="6"/>
    </row>
    <row r="315">
      <c r="A315" s="5"/>
      <c r="B315" s="5"/>
      <c r="C315" s="73"/>
      <c r="D315" s="73"/>
      <c r="E315" s="5"/>
      <c r="F315" s="5"/>
      <c r="G315" s="5"/>
      <c r="H315" s="5"/>
      <c r="I315" s="73"/>
      <c r="J315" s="5"/>
      <c r="K315" s="5"/>
      <c r="L315" s="73"/>
      <c r="M315" s="5"/>
      <c r="N315" s="5"/>
      <c r="O315" s="5"/>
      <c r="P315" s="5"/>
      <c r="Q315" s="5"/>
      <c r="R315" s="5"/>
      <c r="S315" s="5"/>
      <c r="T315" s="5"/>
      <c r="U315" s="5"/>
      <c r="V315" s="5"/>
      <c r="W315" s="5"/>
      <c r="X315" s="5"/>
      <c r="Y315" s="5"/>
      <c r="Z315" s="5"/>
      <c r="AA315" s="5"/>
      <c r="AB315" s="5"/>
      <c r="AC315" s="5"/>
      <c r="AD315" s="6"/>
    </row>
    <row r="316">
      <c r="A316" s="5"/>
      <c r="B316" s="5"/>
      <c r="C316" s="73"/>
      <c r="D316" s="73"/>
      <c r="E316" s="5"/>
      <c r="F316" s="5"/>
      <c r="G316" s="5"/>
      <c r="H316" s="5"/>
      <c r="I316" s="73"/>
      <c r="J316" s="5"/>
      <c r="K316" s="5"/>
      <c r="L316" s="73"/>
      <c r="M316" s="5"/>
      <c r="N316" s="5"/>
      <c r="O316" s="5"/>
      <c r="P316" s="5"/>
      <c r="Q316" s="5"/>
      <c r="R316" s="5"/>
      <c r="S316" s="5"/>
      <c r="T316" s="5"/>
      <c r="U316" s="5"/>
      <c r="V316" s="5"/>
      <c r="W316" s="5"/>
      <c r="X316" s="5"/>
      <c r="Y316" s="5"/>
      <c r="Z316" s="5"/>
      <c r="AA316" s="5"/>
      <c r="AB316" s="5"/>
      <c r="AC316" s="5"/>
      <c r="AD316" s="6"/>
    </row>
    <row r="317">
      <c r="A317" s="5"/>
      <c r="B317" s="5"/>
      <c r="C317" s="73"/>
      <c r="D317" s="73"/>
      <c r="E317" s="5"/>
      <c r="F317" s="5"/>
      <c r="G317" s="5"/>
      <c r="H317" s="5"/>
      <c r="I317" s="73"/>
      <c r="J317" s="5"/>
      <c r="K317" s="5"/>
      <c r="L317" s="73"/>
      <c r="M317" s="5"/>
      <c r="N317" s="5"/>
      <c r="O317" s="5"/>
      <c r="P317" s="5"/>
      <c r="Q317" s="5"/>
      <c r="R317" s="5"/>
      <c r="S317" s="5"/>
      <c r="T317" s="5"/>
      <c r="U317" s="5"/>
      <c r="V317" s="5"/>
      <c r="W317" s="5"/>
      <c r="X317" s="5"/>
      <c r="Y317" s="5"/>
      <c r="Z317" s="5"/>
      <c r="AA317" s="5"/>
      <c r="AB317" s="5"/>
      <c r="AC317" s="5"/>
      <c r="AD317" s="6"/>
    </row>
    <row r="318">
      <c r="A318" s="5"/>
      <c r="B318" s="5"/>
      <c r="C318" s="73"/>
      <c r="D318" s="73"/>
      <c r="E318" s="5"/>
      <c r="F318" s="5"/>
      <c r="G318" s="5"/>
      <c r="H318" s="5"/>
      <c r="I318" s="73"/>
      <c r="J318" s="5"/>
      <c r="K318" s="5"/>
      <c r="L318" s="73"/>
      <c r="M318" s="5"/>
      <c r="N318" s="5"/>
      <c r="O318" s="5"/>
      <c r="P318" s="5"/>
      <c r="Q318" s="5"/>
      <c r="R318" s="5"/>
      <c r="S318" s="5"/>
      <c r="T318" s="5"/>
      <c r="U318" s="5"/>
      <c r="V318" s="5"/>
      <c r="W318" s="5"/>
      <c r="X318" s="5"/>
      <c r="Y318" s="5"/>
      <c r="Z318" s="5"/>
      <c r="AA318" s="5"/>
      <c r="AB318" s="5"/>
      <c r="AC318" s="5"/>
      <c r="AD318" s="6"/>
    </row>
    <row r="319">
      <c r="A319" s="5"/>
      <c r="B319" s="5"/>
      <c r="C319" s="73"/>
      <c r="D319" s="73"/>
      <c r="E319" s="5"/>
      <c r="F319" s="5"/>
      <c r="G319" s="5"/>
      <c r="H319" s="5"/>
      <c r="I319" s="73"/>
      <c r="J319" s="5"/>
      <c r="K319" s="5"/>
      <c r="L319" s="73"/>
      <c r="M319" s="5"/>
      <c r="N319" s="5"/>
      <c r="O319" s="5"/>
      <c r="P319" s="5"/>
      <c r="Q319" s="5"/>
      <c r="R319" s="5"/>
      <c r="S319" s="5"/>
      <c r="T319" s="5"/>
      <c r="U319" s="5"/>
      <c r="V319" s="5"/>
      <c r="W319" s="5"/>
      <c r="X319" s="5"/>
      <c r="Y319" s="5"/>
      <c r="Z319" s="5"/>
      <c r="AA319" s="5"/>
      <c r="AB319" s="5"/>
      <c r="AC319" s="5"/>
      <c r="AD319" s="6"/>
    </row>
    <row r="320">
      <c r="A320" s="5"/>
      <c r="B320" s="5"/>
      <c r="C320" s="73"/>
      <c r="D320" s="73"/>
      <c r="E320" s="5"/>
      <c r="F320" s="5"/>
      <c r="G320" s="5"/>
      <c r="H320" s="5"/>
      <c r="I320" s="73"/>
      <c r="J320" s="5"/>
      <c r="K320" s="5"/>
      <c r="L320" s="73"/>
      <c r="M320" s="5"/>
      <c r="N320" s="5"/>
      <c r="O320" s="5"/>
      <c r="P320" s="5"/>
      <c r="Q320" s="5"/>
      <c r="R320" s="5"/>
      <c r="S320" s="5"/>
      <c r="T320" s="5"/>
      <c r="U320" s="5"/>
      <c r="V320" s="5"/>
      <c r="W320" s="5"/>
      <c r="X320" s="5"/>
      <c r="Y320" s="5"/>
      <c r="Z320" s="5"/>
      <c r="AA320" s="5"/>
      <c r="AB320" s="5"/>
      <c r="AC320" s="5"/>
      <c r="AD320" s="6"/>
    </row>
    <row r="321">
      <c r="A321" s="5"/>
      <c r="B321" s="5"/>
      <c r="C321" s="73"/>
      <c r="D321" s="73"/>
      <c r="E321" s="5"/>
      <c r="F321" s="5"/>
      <c r="G321" s="5"/>
      <c r="H321" s="5"/>
      <c r="I321" s="73"/>
      <c r="J321" s="5"/>
      <c r="K321" s="5"/>
      <c r="L321" s="73"/>
      <c r="M321" s="5"/>
      <c r="N321" s="5"/>
      <c r="O321" s="5"/>
      <c r="P321" s="5"/>
      <c r="Q321" s="5"/>
      <c r="R321" s="5"/>
      <c r="S321" s="5"/>
      <c r="T321" s="5"/>
      <c r="U321" s="5"/>
      <c r="V321" s="5"/>
      <c r="W321" s="5"/>
      <c r="X321" s="5"/>
      <c r="Y321" s="5"/>
      <c r="Z321" s="5"/>
      <c r="AA321" s="5"/>
      <c r="AB321" s="5"/>
      <c r="AC321" s="5"/>
      <c r="AD321" s="6"/>
    </row>
    <row r="322">
      <c r="A322" s="5"/>
      <c r="B322" s="5"/>
      <c r="C322" s="73"/>
      <c r="D322" s="73"/>
      <c r="E322" s="5"/>
      <c r="F322" s="5"/>
      <c r="G322" s="5"/>
      <c r="H322" s="5"/>
      <c r="I322" s="73"/>
      <c r="J322" s="5"/>
      <c r="K322" s="5"/>
      <c r="L322" s="73"/>
      <c r="M322" s="5"/>
      <c r="N322" s="5"/>
      <c r="O322" s="5"/>
      <c r="P322" s="5"/>
      <c r="Q322" s="5"/>
      <c r="R322" s="5"/>
      <c r="S322" s="5"/>
      <c r="T322" s="5"/>
      <c r="U322" s="5"/>
      <c r="V322" s="5"/>
      <c r="W322" s="5"/>
      <c r="X322" s="5"/>
      <c r="Y322" s="5"/>
      <c r="Z322" s="5"/>
      <c r="AA322" s="5"/>
      <c r="AB322" s="5"/>
      <c r="AC322" s="5"/>
      <c r="AD322" s="6"/>
    </row>
    <row r="323">
      <c r="A323" s="5"/>
      <c r="B323" s="5"/>
      <c r="C323" s="73"/>
      <c r="D323" s="73"/>
      <c r="E323" s="5"/>
      <c r="F323" s="5"/>
      <c r="G323" s="5"/>
      <c r="H323" s="5"/>
      <c r="I323" s="73"/>
      <c r="J323" s="5"/>
      <c r="K323" s="5"/>
      <c r="L323" s="73"/>
      <c r="M323" s="5"/>
      <c r="N323" s="5"/>
      <c r="O323" s="5"/>
      <c r="P323" s="5"/>
      <c r="Q323" s="5"/>
      <c r="R323" s="5"/>
      <c r="S323" s="5"/>
      <c r="T323" s="5"/>
      <c r="U323" s="5"/>
      <c r="V323" s="5"/>
      <c r="W323" s="5"/>
      <c r="X323" s="5"/>
      <c r="Y323" s="5"/>
      <c r="Z323" s="5"/>
      <c r="AA323" s="5"/>
      <c r="AB323" s="5"/>
      <c r="AC323" s="5"/>
      <c r="AD323" s="6"/>
    </row>
    <row r="324">
      <c r="A324" s="5"/>
      <c r="B324" s="5"/>
      <c r="C324" s="73"/>
      <c r="D324" s="73"/>
      <c r="E324" s="5"/>
      <c r="F324" s="5"/>
      <c r="G324" s="5"/>
      <c r="H324" s="5"/>
      <c r="I324" s="73"/>
      <c r="J324" s="5"/>
      <c r="K324" s="5"/>
      <c r="L324" s="73"/>
      <c r="M324" s="5"/>
      <c r="N324" s="5"/>
      <c r="O324" s="5"/>
      <c r="P324" s="5"/>
      <c r="Q324" s="5"/>
      <c r="R324" s="5"/>
      <c r="S324" s="5"/>
      <c r="T324" s="5"/>
      <c r="U324" s="5"/>
      <c r="V324" s="5"/>
      <c r="W324" s="5"/>
      <c r="X324" s="5"/>
      <c r="Y324" s="5"/>
      <c r="Z324" s="5"/>
      <c r="AA324" s="5"/>
      <c r="AB324" s="5"/>
      <c r="AC324" s="5"/>
      <c r="AD324" s="6"/>
    </row>
    <row r="325">
      <c r="A325" s="5"/>
      <c r="B325" s="5"/>
      <c r="C325" s="73"/>
      <c r="D325" s="73"/>
      <c r="E325" s="5"/>
      <c r="F325" s="5"/>
      <c r="G325" s="5"/>
      <c r="H325" s="5"/>
      <c r="I325" s="73"/>
      <c r="J325" s="5"/>
      <c r="K325" s="5"/>
      <c r="L325" s="73"/>
      <c r="M325" s="5"/>
      <c r="N325" s="5"/>
      <c r="O325" s="5"/>
      <c r="P325" s="5"/>
      <c r="Q325" s="5"/>
      <c r="R325" s="5"/>
      <c r="S325" s="5"/>
      <c r="T325" s="5"/>
      <c r="U325" s="5"/>
      <c r="V325" s="5"/>
      <c r="W325" s="5"/>
      <c r="X325" s="5"/>
      <c r="Y325" s="5"/>
      <c r="Z325" s="5"/>
      <c r="AA325" s="5"/>
      <c r="AB325" s="5"/>
      <c r="AC325" s="5"/>
      <c r="AD325" s="6"/>
    </row>
    <row r="326">
      <c r="A326" s="5"/>
      <c r="B326" s="5"/>
      <c r="C326" s="73"/>
      <c r="D326" s="73"/>
      <c r="E326" s="5"/>
      <c r="F326" s="5"/>
      <c r="G326" s="5"/>
      <c r="H326" s="5"/>
      <c r="I326" s="73"/>
      <c r="J326" s="5"/>
      <c r="K326" s="5"/>
      <c r="L326" s="73"/>
      <c r="M326" s="5"/>
      <c r="N326" s="5"/>
      <c r="O326" s="5"/>
      <c r="P326" s="5"/>
      <c r="Q326" s="5"/>
      <c r="R326" s="5"/>
      <c r="S326" s="5"/>
      <c r="T326" s="5"/>
      <c r="U326" s="5"/>
      <c r="V326" s="5"/>
      <c r="W326" s="5"/>
      <c r="X326" s="5"/>
      <c r="Y326" s="5"/>
      <c r="Z326" s="5"/>
      <c r="AA326" s="5"/>
      <c r="AB326" s="5"/>
      <c r="AC326" s="5"/>
      <c r="AD326" s="6"/>
    </row>
    <row r="327">
      <c r="A327" s="5"/>
      <c r="B327" s="5"/>
      <c r="C327" s="73"/>
      <c r="D327" s="73"/>
      <c r="E327" s="5"/>
      <c r="F327" s="5"/>
      <c r="G327" s="5"/>
      <c r="H327" s="5"/>
      <c r="I327" s="73"/>
      <c r="J327" s="5"/>
      <c r="K327" s="5"/>
      <c r="L327" s="73"/>
      <c r="M327" s="5"/>
      <c r="N327" s="5"/>
      <c r="O327" s="5"/>
      <c r="P327" s="5"/>
      <c r="Q327" s="5"/>
      <c r="R327" s="5"/>
      <c r="S327" s="5"/>
      <c r="T327" s="5"/>
      <c r="U327" s="5"/>
      <c r="V327" s="5"/>
      <c r="W327" s="5"/>
      <c r="X327" s="5"/>
      <c r="Y327" s="5"/>
      <c r="Z327" s="5"/>
      <c r="AA327" s="5"/>
      <c r="AB327" s="5"/>
      <c r="AC327" s="5"/>
      <c r="AD327" s="6"/>
    </row>
    <row r="328">
      <c r="A328" s="5"/>
      <c r="B328" s="5"/>
      <c r="C328" s="73"/>
      <c r="D328" s="73"/>
      <c r="E328" s="5"/>
      <c r="F328" s="5"/>
      <c r="G328" s="5"/>
      <c r="H328" s="5"/>
      <c r="I328" s="73"/>
      <c r="J328" s="5"/>
      <c r="K328" s="5"/>
      <c r="L328" s="73"/>
      <c r="M328" s="5"/>
      <c r="N328" s="5"/>
      <c r="O328" s="5"/>
      <c r="P328" s="5"/>
      <c r="Q328" s="5"/>
      <c r="R328" s="5"/>
      <c r="S328" s="5"/>
      <c r="T328" s="5"/>
      <c r="U328" s="5"/>
      <c r="V328" s="5"/>
      <c r="W328" s="5"/>
      <c r="X328" s="5"/>
      <c r="Y328" s="5"/>
      <c r="Z328" s="5"/>
      <c r="AA328" s="5"/>
      <c r="AB328" s="5"/>
      <c r="AC328" s="5"/>
      <c r="AD328" s="6"/>
    </row>
    <row r="329">
      <c r="A329" s="5"/>
      <c r="B329" s="5"/>
      <c r="C329" s="73"/>
      <c r="D329" s="73"/>
      <c r="E329" s="5"/>
      <c r="F329" s="5"/>
      <c r="G329" s="5"/>
      <c r="H329" s="5"/>
      <c r="I329" s="73"/>
      <c r="J329" s="5"/>
      <c r="K329" s="5"/>
      <c r="L329" s="73"/>
      <c r="M329" s="5"/>
      <c r="N329" s="5"/>
      <c r="O329" s="5"/>
      <c r="P329" s="5"/>
      <c r="Q329" s="5"/>
      <c r="R329" s="5"/>
      <c r="S329" s="5"/>
      <c r="T329" s="5"/>
      <c r="U329" s="5"/>
      <c r="V329" s="5"/>
      <c r="W329" s="5"/>
      <c r="X329" s="5"/>
      <c r="Y329" s="5"/>
      <c r="Z329" s="5"/>
      <c r="AA329" s="5"/>
      <c r="AB329" s="5"/>
      <c r="AC329" s="5"/>
      <c r="AD329" s="6"/>
    </row>
    <row r="330">
      <c r="A330" s="5"/>
      <c r="B330" s="5"/>
      <c r="C330" s="73"/>
      <c r="D330" s="73"/>
      <c r="E330" s="5"/>
      <c r="F330" s="5"/>
      <c r="G330" s="5"/>
      <c r="H330" s="5"/>
      <c r="I330" s="73"/>
      <c r="J330" s="5"/>
      <c r="K330" s="5"/>
      <c r="L330" s="73"/>
      <c r="M330" s="5"/>
      <c r="N330" s="5"/>
      <c r="O330" s="5"/>
      <c r="P330" s="5"/>
      <c r="Q330" s="5"/>
      <c r="R330" s="5"/>
      <c r="S330" s="5"/>
      <c r="T330" s="5"/>
      <c r="U330" s="5"/>
      <c r="V330" s="5"/>
      <c r="W330" s="5"/>
      <c r="X330" s="5"/>
      <c r="Y330" s="5"/>
      <c r="Z330" s="5"/>
      <c r="AA330" s="5"/>
      <c r="AB330" s="5"/>
      <c r="AC330" s="5"/>
      <c r="AD330" s="6"/>
    </row>
    <row r="331">
      <c r="A331" s="5"/>
      <c r="B331" s="5"/>
      <c r="C331" s="73"/>
      <c r="D331" s="73"/>
      <c r="E331" s="5"/>
      <c r="F331" s="5"/>
      <c r="G331" s="5"/>
      <c r="H331" s="5"/>
      <c r="I331" s="73"/>
      <c r="J331" s="5"/>
      <c r="K331" s="5"/>
      <c r="L331" s="73"/>
      <c r="M331" s="5"/>
      <c r="N331" s="5"/>
      <c r="O331" s="5"/>
      <c r="P331" s="5"/>
      <c r="Q331" s="5"/>
      <c r="R331" s="5"/>
      <c r="S331" s="5"/>
      <c r="T331" s="5"/>
      <c r="U331" s="5"/>
      <c r="V331" s="5"/>
      <c r="W331" s="5"/>
      <c r="X331" s="5"/>
      <c r="Y331" s="5"/>
      <c r="Z331" s="5"/>
      <c r="AA331" s="5"/>
      <c r="AB331" s="5"/>
      <c r="AC331" s="5"/>
      <c r="AD331" s="6"/>
    </row>
    <row r="332">
      <c r="A332" s="5"/>
      <c r="B332" s="5"/>
      <c r="C332" s="73"/>
      <c r="D332" s="73"/>
      <c r="E332" s="5"/>
      <c r="F332" s="5"/>
      <c r="G332" s="5"/>
      <c r="H332" s="5"/>
      <c r="I332" s="73"/>
      <c r="J332" s="5"/>
      <c r="K332" s="5"/>
      <c r="L332" s="73"/>
      <c r="M332" s="5"/>
      <c r="N332" s="5"/>
      <c r="O332" s="5"/>
      <c r="P332" s="5"/>
      <c r="Q332" s="5"/>
      <c r="R332" s="5"/>
      <c r="S332" s="5"/>
      <c r="T332" s="5"/>
      <c r="U332" s="5"/>
      <c r="V332" s="5"/>
      <c r="W332" s="5"/>
      <c r="X332" s="5"/>
      <c r="Y332" s="5"/>
      <c r="Z332" s="5"/>
      <c r="AA332" s="5"/>
      <c r="AB332" s="5"/>
      <c r="AC332" s="5"/>
      <c r="AD332" s="6"/>
    </row>
    <row r="333">
      <c r="A333" s="5"/>
      <c r="B333" s="5"/>
      <c r="C333" s="73"/>
      <c r="D333" s="73"/>
      <c r="E333" s="5"/>
      <c r="F333" s="5"/>
      <c r="G333" s="5"/>
      <c r="H333" s="5"/>
      <c r="I333" s="73"/>
      <c r="J333" s="5"/>
      <c r="K333" s="5"/>
      <c r="L333" s="73"/>
      <c r="M333" s="5"/>
      <c r="N333" s="5"/>
      <c r="O333" s="5"/>
      <c r="P333" s="5"/>
      <c r="Q333" s="5"/>
      <c r="R333" s="5"/>
      <c r="S333" s="5"/>
      <c r="T333" s="5"/>
      <c r="U333" s="5"/>
      <c r="V333" s="5"/>
      <c r="W333" s="5"/>
      <c r="X333" s="5"/>
      <c r="Y333" s="5"/>
      <c r="Z333" s="5"/>
      <c r="AA333" s="5"/>
      <c r="AB333" s="5"/>
      <c r="AC333" s="5"/>
      <c r="AD333" s="6"/>
    </row>
    <row r="334">
      <c r="A334" s="5"/>
      <c r="B334" s="5"/>
      <c r="C334" s="73"/>
      <c r="D334" s="73"/>
      <c r="E334" s="5"/>
      <c r="F334" s="5"/>
      <c r="G334" s="5"/>
      <c r="H334" s="5"/>
      <c r="I334" s="73"/>
      <c r="J334" s="5"/>
      <c r="K334" s="5"/>
      <c r="L334" s="73"/>
      <c r="M334" s="5"/>
      <c r="N334" s="5"/>
      <c r="O334" s="5"/>
      <c r="P334" s="5"/>
      <c r="Q334" s="5"/>
      <c r="R334" s="5"/>
      <c r="S334" s="5"/>
      <c r="T334" s="5"/>
      <c r="U334" s="5"/>
      <c r="V334" s="5"/>
      <c r="W334" s="5"/>
      <c r="X334" s="5"/>
      <c r="Y334" s="5"/>
      <c r="Z334" s="5"/>
      <c r="AA334" s="5"/>
      <c r="AB334" s="5"/>
      <c r="AC334" s="5"/>
      <c r="AD334" s="6"/>
    </row>
    <row r="335">
      <c r="A335" s="5"/>
      <c r="B335" s="5"/>
      <c r="C335" s="73"/>
      <c r="D335" s="73"/>
      <c r="E335" s="5"/>
      <c r="F335" s="5"/>
      <c r="G335" s="5"/>
      <c r="H335" s="5"/>
      <c r="I335" s="73"/>
      <c r="J335" s="5"/>
      <c r="K335" s="5"/>
      <c r="L335" s="73"/>
      <c r="M335" s="5"/>
      <c r="N335" s="5"/>
      <c r="O335" s="5"/>
      <c r="P335" s="5"/>
      <c r="Q335" s="5"/>
      <c r="R335" s="5"/>
      <c r="S335" s="5"/>
      <c r="T335" s="5"/>
      <c r="U335" s="5"/>
      <c r="V335" s="5"/>
      <c r="W335" s="5"/>
      <c r="X335" s="5"/>
      <c r="Y335" s="5"/>
      <c r="Z335" s="5"/>
      <c r="AA335" s="5"/>
      <c r="AB335" s="5"/>
      <c r="AC335" s="5"/>
      <c r="AD335" s="6"/>
    </row>
    <row r="336">
      <c r="A336" s="5"/>
      <c r="B336" s="5"/>
      <c r="C336" s="73"/>
      <c r="D336" s="73"/>
      <c r="E336" s="5"/>
      <c r="F336" s="5"/>
      <c r="G336" s="5"/>
      <c r="H336" s="5"/>
      <c r="I336" s="73"/>
      <c r="J336" s="5"/>
      <c r="K336" s="5"/>
      <c r="L336" s="73"/>
      <c r="M336" s="5"/>
      <c r="N336" s="5"/>
      <c r="O336" s="5"/>
      <c r="P336" s="5"/>
      <c r="Q336" s="5"/>
      <c r="R336" s="5"/>
      <c r="S336" s="5"/>
      <c r="T336" s="5"/>
      <c r="U336" s="5"/>
      <c r="V336" s="5"/>
      <c r="W336" s="5"/>
      <c r="X336" s="5"/>
      <c r="Y336" s="5"/>
      <c r="Z336" s="5"/>
      <c r="AA336" s="5"/>
      <c r="AB336" s="5"/>
      <c r="AC336" s="5"/>
      <c r="AD336" s="6"/>
    </row>
    <row r="337">
      <c r="A337" s="5"/>
      <c r="B337" s="5"/>
      <c r="C337" s="73"/>
      <c r="D337" s="73"/>
      <c r="E337" s="5"/>
      <c r="F337" s="5"/>
      <c r="G337" s="5"/>
      <c r="H337" s="5"/>
      <c r="I337" s="73"/>
      <c r="J337" s="5"/>
      <c r="K337" s="5"/>
      <c r="L337" s="73"/>
      <c r="M337" s="5"/>
      <c r="N337" s="5"/>
      <c r="O337" s="5"/>
      <c r="P337" s="5"/>
      <c r="Q337" s="5"/>
      <c r="R337" s="5"/>
      <c r="S337" s="5"/>
      <c r="T337" s="5"/>
      <c r="U337" s="5"/>
      <c r="V337" s="5"/>
      <c r="W337" s="5"/>
      <c r="X337" s="5"/>
      <c r="Y337" s="5"/>
      <c r="Z337" s="5"/>
      <c r="AA337" s="5"/>
      <c r="AB337" s="5"/>
      <c r="AC337" s="5"/>
      <c r="AD337" s="6"/>
    </row>
    <row r="338">
      <c r="A338" s="5"/>
      <c r="B338" s="5"/>
      <c r="C338" s="73"/>
      <c r="D338" s="73"/>
      <c r="E338" s="5"/>
      <c r="F338" s="5"/>
      <c r="G338" s="5"/>
      <c r="H338" s="5"/>
      <c r="I338" s="73"/>
      <c r="J338" s="5"/>
      <c r="K338" s="5"/>
      <c r="L338" s="73"/>
      <c r="M338" s="5"/>
      <c r="N338" s="5"/>
      <c r="O338" s="5"/>
      <c r="P338" s="5"/>
      <c r="Q338" s="5"/>
      <c r="R338" s="5"/>
      <c r="S338" s="5"/>
      <c r="T338" s="5"/>
      <c r="U338" s="5"/>
      <c r="V338" s="5"/>
      <c r="W338" s="5"/>
      <c r="X338" s="5"/>
      <c r="Y338" s="5"/>
      <c r="Z338" s="5"/>
      <c r="AA338" s="5"/>
      <c r="AB338" s="5"/>
      <c r="AC338" s="5"/>
      <c r="AD338" s="6"/>
    </row>
    <row r="339">
      <c r="A339" s="5"/>
      <c r="B339" s="5"/>
      <c r="C339" s="73"/>
      <c r="D339" s="73"/>
      <c r="E339" s="5"/>
      <c r="F339" s="5"/>
      <c r="G339" s="5"/>
      <c r="H339" s="5"/>
      <c r="I339" s="73"/>
      <c r="J339" s="5"/>
      <c r="K339" s="5"/>
      <c r="L339" s="73"/>
      <c r="M339" s="5"/>
      <c r="N339" s="5"/>
      <c r="O339" s="5"/>
      <c r="P339" s="5"/>
      <c r="Q339" s="5"/>
      <c r="R339" s="5"/>
      <c r="S339" s="5"/>
      <c r="T339" s="5"/>
      <c r="U339" s="5"/>
      <c r="V339" s="5"/>
      <c r="W339" s="5"/>
      <c r="X339" s="5"/>
      <c r="Y339" s="5"/>
      <c r="Z339" s="5"/>
      <c r="AA339" s="5"/>
      <c r="AB339" s="5"/>
      <c r="AC339" s="5"/>
      <c r="AD339" s="6"/>
    </row>
    <row r="340">
      <c r="A340" s="5"/>
      <c r="B340" s="5"/>
      <c r="C340" s="73"/>
      <c r="D340" s="73"/>
      <c r="E340" s="5"/>
      <c r="F340" s="5"/>
      <c r="G340" s="5"/>
      <c r="H340" s="5"/>
      <c r="I340" s="73"/>
      <c r="J340" s="5"/>
      <c r="K340" s="5"/>
      <c r="L340" s="73"/>
      <c r="M340" s="5"/>
      <c r="N340" s="5"/>
      <c r="O340" s="5"/>
      <c r="P340" s="5"/>
      <c r="Q340" s="5"/>
      <c r="R340" s="5"/>
      <c r="S340" s="5"/>
      <c r="T340" s="5"/>
      <c r="U340" s="5"/>
      <c r="V340" s="5"/>
      <c r="W340" s="5"/>
      <c r="X340" s="5"/>
      <c r="Y340" s="5"/>
      <c r="Z340" s="5"/>
      <c r="AA340" s="5"/>
      <c r="AB340" s="5"/>
      <c r="AC340" s="5"/>
      <c r="AD340" s="6"/>
    </row>
    <row r="341">
      <c r="A341" s="5"/>
      <c r="B341" s="5"/>
      <c r="C341" s="73"/>
      <c r="D341" s="73"/>
      <c r="E341" s="5"/>
      <c r="F341" s="5"/>
      <c r="G341" s="5"/>
      <c r="H341" s="5"/>
      <c r="I341" s="73"/>
      <c r="J341" s="5"/>
      <c r="K341" s="5"/>
      <c r="L341" s="73"/>
      <c r="M341" s="5"/>
      <c r="N341" s="5"/>
      <c r="O341" s="5"/>
      <c r="P341" s="5"/>
      <c r="Q341" s="5"/>
      <c r="R341" s="5"/>
      <c r="S341" s="5"/>
      <c r="T341" s="5"/>
      <c r="U341" s="5"/>
      <c r="V341" s="5"/>
      <c r="W341" s="5"/>
      <c r="X341" s="5"/>
      <c r="Y341" s="5"/>
      <c r="Z341" s="5"/>
      <c r="AA341" s="5"/>
      <c r="AB341" s="5"/>
      <c r="AC341" s="5"/>
      <c r="AD341" s="6"/>
    </row>
    <row r="342">
      <c r="A342" s="5"/>
      <c r="B342" s="5"/>
      <c r="C342" s="73"/>
      <c r="D342" s="73"/>
      <c r="E342" s="5"/>
      <c r="F342" s="5"/>
      <c r="G342" s="5"/>
      <c r="H342" s="5"/>
      <c r="I342" s="73"/>
      <c r="J342" s="5"/>
      <c r="K342" s="5"/>
      <c r="L342" s="73"/>
      <c r="M342" s="5"/>
      <c r="N342" s="5"/>
      <c r="O342" s="5"/>
      <c r="P342" s="5"/>
      <c r="Q342" s="5"/>
      <c r="R342" s="5"/>
      <c r="S342" s="5"/>
      <c r="T342" s="5"/>
      <c r="U342" s="5"/>
      <c r="V342" s="5"/>
      <c r="W342" s="5"/>
      <c r="X342" s="5"/>
      <c r="Y342" s="5"/>
      <c r="Z342" s="5"/>
      <c r="AA342" s="5"/>
      <c r="AB342" s="5"/>
      <c r="AC342" s="5"/>
      <c r="AD342" s="6"/>
    </row>
    <row r="343">
      <c r="A343" s="5"/>
      <c r="B343" s="5"/>
      <c r="C343" s="73"/>
      <c r="D343" s="73"/>
      <c r="E343" s="5"/>
      <c r="F343" s="5"/>
      <c r="G343" s="5"/>
      <c r="H343" s="5"/>
      <c r="I343" s="73"/>
      <c r="J343" s="5"/>
      <c r="K343" s="5"/>
      <c r="L343" s="73"/>
      <c r="M343" s="5"/>
      <c r="N343" s="5"/>
      <c r="O343" s="5"/>
      <c r="P343" s="5"/>
      <c r="Q343" s="5"/>
      <c r="R343" s="5"/>
      <c r="S343" s="5"/>
      <c r="T343" s="5"/>
      <c r="U343" s="5"/>
      <c r="V343" s="5"/>
      <c r="W343" s="5"/>
      <c r="X343" s="5"/>
      <c r="Y343" s="5"/>
      <c r="Z343" s="5"/>
      <c r="AA343" s="5"/>
      <c r="AB343" s="5"/>
      <c r="AC343" s="5"/>
      <c r="AD343" s="6"/>
    </row>
    <row r="344">
      <c r="A344" s="5"/>
      <c r="B344" s="5"/>
      <c r="C344" s="73"/>
      <c r="D344" s="73"/>
      <c r="E344" s="5"/>
      <c r="F344" s="5"/>
      <c r="G344" s="5"/>
      <c r="H344" s="5"/>
      <c r="I344" s="73"/>
      <c r="J344" s="5"/>
      <c r="K344" s="5"/>
      <c r="L344" s="73"/>
      <c r="M344" s="5"/>
      <c r="N344" s="5"/>
      <c r="O344" s="5"/>
      <c r="P344" s="5"/>
      <c r="Q344" s="5"/>
      <c r="R344" s="5"/>
      <c r="S344" s="5"/>
      <c r="T344" s="5"/>
      <c r="U344" s="5"/>
      <c r="V344" s="5"/>
      <c r="W344" s="5"/>
      <c r="X344" s="5"/>
      <c r="Y344" s="5"/>
      <c r="Z344" s="5"/>
      <c r="AA344" s="5"/>
      <c r="AB344" s="5"/>
      <c r="AC344" s="5"/>
      <c r="AD344" s="6"/>
    </row>
    <row r="345">
      <c r="A345" s="5"/>
      <c r="B345" s="5"/>
      <c r="C345" s="73"/>
      <c r="D345" s="73"/>
      <c r="E345" s="5"/>
      <c r="F345" s="5"/>
      <c r="G345" s="5"/>
      <c r="H345" s="5"/>
      <c r="I345" s="73"/>
      <c r="J345" s="5"/>
      <c r="K345" s="5"/>
      <c r="L345" s="73"/>
      <c r="M345" s="5"/>
      <c r="N345" s="5"/>
      <c r="O345" s="5"/>
      <c r="P345" s="5"/>
      <c r="Q345" s="5"/>
      <c r="R345" s="5"/>
      <c r="S345" s="5"/>
      <c r="T345" s="5"/>
      <c r="U345" s="5"/>
      <c r="V345" s="5"/>
      <c r="W345" s="5"/>
      <c r="X345" s="5"/>
      <c r="Y345" s="5"/>
      <c r="Z345" s="5"/>
      <c r="AA345" s="5"/>
      <c r="AB345" s="5"/>
      <c r="AC345" s="5"/>
      <c r="AD345" s="6"/>
    </row>
    <row r="346">
      <c r="A346" s="5"/>
      <c r="B346" s="5"/>
      <c r="C346" s="73"/>
      <c r="D346" s="73"/>
      <c r="E346" s="5"/>
      <c r="F346" s="5"/>
      <c r="G346" s="5"/>
      <c r="H346" s="5"/>
      <c r="I346" s="73"/>
      <c r="J346" s="5"/>
      <c r="K346" s="5"/>
      <c r="L346" s="73"/>
      <c r="M346" s="5"/>
      <c r="N346" s="5"/>
      <c r="O346" s="5"/>
      <c r="P346" s="5"/>
      <c r="Q346" s="5"/>
      <c r="R346" s="5"/>
      <c r="S346" s="5"/>
      <c r="T346" s="5"/>
      <c r="U346" s="5"/>
      <c r="V346" s="5"/>
      <c r="W346" s="5"/>
      <c r="X346" s="5"/>
      <c r="Y346" s="5"/>
      <c r="Z346" s="5"/>
      <c r="AA346" s="5"/>
      <c r="AB346" s="5"/>
      <c r="AC346" s="5"/>
      <c r="AD346" s="6"/>
    </row>
    <row r="347">
      <c r="A347" s="5"/>
      <c r="B347" s="5"/>
      <c r="C347" s="73"/>
      <c r="D347" s="73"/>
      <c r="E347" s="5"/>
      <c r="F347" s="5"/>
      <c r="G347" s="5"/>
      <c r="H347" s="5"/>
      <c r="I347" s="73"/>
      <c r="J347" s="5"/>
      <c r="K347" s="5"/>
      <c r="L347" s="73"/>
      <c r="M347" s="5"/>
      <c r="N347" s="5"/>
      <c r="O347" s="5"/>
      <c r="P347" s="5"/>
      <c r="Q347" s="5"/>
      <c r="R347" s="5"/>
      <c r="S347" s="5"/>
      <c r="T347" s="5"/>
      <c r="U347" s="5"/>
      <c r="V347" s="5"/>
      <c r="W347" s="5"/>
      <c r="X347" s="5"/>
      <c r="Y347" s="5"/>
      <c r="Z347" s="5"/>
      <c r="AA347" s="5"/>
      <c r="AB347" s="5"/>
      <c r="AC347" s="5"/>
      <c r="AD347" s="6"/>
    </row>
    <row r="348">
      <c r="A348" s="5"/>
      <c r="B348" s="5"/>
      <c r="C348" s="73"/>
      <c r="D348" s="73"/>
      <c r="E348" s="5"/>
      <c r="F348" s="5"/>
      <c r="G348" s="5"/>
      <c r="H348" s="5"/>
      <c r="I348" s="73"/>
      <c r="J348" s="5"/>
      <c r="K348" s="5"/>
      <c r="L348" s="73"/>
      <c r="M348" s="5"/>
      <c r="N348" s="5"/>
      <c r="O348" s="5"/>
      <c r="P348" s="5"/>
      <c r="Q348" s="5"/>
      <c r="R348" s="5"/>
      <c r="S348" s="5"/>
      <c r="T348" s="5"/>
      <c r="U348" s="5"/>
      <c r="V348" s="5"/>
      <c r="W348" s="5"/>
      <c r="X348" s="5"/>
      <c r="Y348" s="5"/>
      <c r="Z348" s="5"/>
      <c r="AA348" s="5"/>
      <c r="AB348" s="5"/>
      <c r="AC348" s="5"/>
      <c r="AD348" s="6"/>
    </row>
    <row r="349">
      <c r="A349" s="5"/>
      <c r="B349" s="5"/>
      <c r="C349" s="73"/>
      <c r="D349" s="73"/>
      <c r="E349" s="5"/>
      <c r="F349" s="5"/>
      <c r="G349" s="5"/>
      <c r="H349" s="5"/>
      <c r="I349" s="73"/>
      <c r="J349" s="5"/>
      <c r="K349" s="5"/>
      <c r="L349" s="73"/>
      <c r="M349" s="5"/>
      <c r="N349" s="5"/>
      <c r="O349" s="5"/>
      <c r="P349" s="5"/>
      <c r="Q349" s="5"/>
      <c r="R349" s="5"/>
      <c r="S349" s="5"/>
      <c r="T349" s="5"/>
      <c r="U349" s="5"/>
      <c r="V349" s="5"/>
      <c r="W349" s="5"/>
      <c r="X349" s="5"/>
      <c r="Y349" s="5"/>
      <c r="Z349" s="5"/>
      <c r="AA349" s="5"/>
      <c r="AB349" s="5"/>
      <c r="AC349" s="5"/>
      <c r="AD349" s="6"/>
    </row>
    <row r="350">
      <c r="A350" s="5"/>
      <c r="B350" s="5"/>
      <c r="C350" s="73"/>
      <c r="D350" s="73"/>
      <c r="E350" s="5"/>
      <c r="F350" s="5"/>
      <c r="G350" s="5"/>
      <c r="H350" s="5"/>
      <c r="I350" s="73"/>
      <c r="J350" s="5"/>
      <c r="K350" s="5"/>
      <c r="L350" s="73"/>
      <c r="M350" s="5"/>
      <c r="N350" s="5"/>
      <c r="O350" s="5"/>
      <c r="P350" s="5"/>
      <c r="Q350" s="5"/>
      <c r="R350" s="5"/>
      <c r="S350" s="5"/>
      <c r="T350" s="5"/>
      <c r="U350" s="5"/>
      <c r="V350" s="5"/>
      <c r="W350" s="5"/>
      <c r="X350" s="5"/>
      <c r="Y350" s="5"/>
      <c r="Z350" s="5"/>
      <c r="AA350" s="5"/>
      <c r="AB350" s="5"/>
      <c r="AC350" s="5"/>
      <c r="AD350" s="6"/>
    </row>
    <row r="351">
      <c r="A351" s="5"/>
      <c r="B351" s="5"/>
      <c r="C351" s="73"/>
      <c r="D351" s="73"/>
      <c r="E351" s="5"/>
      <c r="F351" s="5"/>
      <c r="G351" s="5"/>
      <c r="H351" s="5"/>
      <c r="I351" s="73"/>
      <c r="J351" s="5"/>
      <c r="K351" s="5"/>
      <c r="L351" s="73"/>
      <c r="M351" s="5"/>
      <c r="N351" s="5"/>
      <c r="O351" s="5"/>
      <c r="P351" s="5"/>
      <c r="Q351" s="5"/>
      <c r="R351" s="5"/>
      <c r="S351" s="5"/>
      <c r="T351" s="5"/>
      <c r="U351" s="5"/>
      <c r="V351" s="5"/>
      <c r="W351" s="5"/>
      <c r="X351" s="5"/>
      <c r="Y351" s="5"/>
      <c r="Z351" s="5"/>
      <c r="AA351" s="5"/>
      <c r="AB351" s="5"/>
      <c r="AC351" s="5"/>
      <c r="AD351" s="6"/>
    </row>
    <row r="352">
      <c r="A352" s="5"/>
      <c r="B352" s="5"/>
      <c r="C352" s="73"/>
      <c r="D352" s="73"/>
      <c r="E352" s="5"/>
      <c r="F352" s="5"/>
      <c r="G352" s="5"/>
      <c r="H352" s="5"/>
      <c r="I352" s="73"/>
      <c r="J352" s="5"/>
      <c r="K352" s="5"/>
      <c r="L352" s="73"/>
      <c r="M352" s="5"/>
      <c r="N352" s="5"/>
      <c r="O352" s="5"/>
      <c r="P352" s="5"/>
      <c r="Q352" s="5"/>
      <c r="R352" s="5"/>
      <c r="S352" s="5"/>
      <c r="T352" s="5"/>
      <c r="U352" s="5"/>
      <c r="V352" s="5"/>
      <c r="W352" s="5"/>
      <c r="X352" s="5"/>
      <c r="Y352" s="5"/>
      <c r="Z352" s="5"/>
      <c r="AA352" s="5"/>
      <c r="AB352" s="5"/>
      <c r="AC352" s="5"/>
      <c r="AD352" s="6"/>
    </row>
    <row r="353">
      <c r="A353" s="5"/>
      <c r="B353" s="5"/>
      <c r="C353" s="73"/>
      <c r="D353" s="73"/>
      <c r="E353" s="5"/>
      <c r="F353" s="5"/>
      <c r="G353" s="5"/>
      <c r="H353" s="5"/>
      <c r="I353" s="73"/>
      <c r="J353" s="5"/>
      <c r="K353" s="5"/>
      <c r="L353" s="73"/>
      <c r="M353" s="5"/>
      <c r="N353" s="5"/>
      <c r="O353" s="5"/>
      <c r="P353" s="5"/>
      <c r="Q353" s="5"/>
      <c r="R353" s="5"/>
      <c r="S353" s="5"/>
      <c r="T353" s="5"/>
      <c r="U353" s="5"/>
      <c r="V353" s="5"/>
      <c r="W353" s="5"/>
      <c r="X353" s="5"/>
      <c r="Y353" s="5"/>
      <c r="Z353" s="5"/>
      <c r="AA353" s="5"/>
      <c r="AB353" s="5"/>
      <c r="AC353" s="5"/>
      <c r="AD353" s="6"/>
    </row>
    <row r="354">
      <c r="A354" s="5"/>
      <c r="B354" s="5"/>
      <c r="C354" s="73"/>
      <c r="D354" s="73"/>
      <c r="E354" s="5"/>
      <c r="F354" s="5"/>
      <c r="G354" s="5"/>
      <c r="H354" s="5"/>
      <c r="I354" s="73"/>
      <c r="J354" s="5"/>
      <c r="K354" s="5"/>
      <c r="L354" s="73"/>
      <c r="M354" s="5"/>
      <c r="N354" s="5"/>
      <c r="O354" s="5"/>
      <c r="P354" s="5"/>
      <c r="Q354" s="5"/>
      <c r="R354" s="5"/>
      <c r="S354" s="5"/>
      <c r="T354" s="5"/>
      <c r="U354" s="5"/>
      <c r="V354" s="5"/>
      <c r="W354" s="5"/>
      <c r="X354" s="5"/>
      <c r="Y354" s="5"/>
      <c r="Z354" s="5"/>
      <c r="AA354" s="5"/>
      <c r="AB354" s="5"/>
      <c r="AC354" s="5"/>
      <c r="AD354" s="6"/>
    </row>
    <row r="355">
      <c r="A355" s="5"/>
      <c r="B355" s="5"/>
      <c r="C355" s="73"/>
      <c r="D355" s="73"/>
      <c r="E355" s="5"/>
      <c r="F355" s="5"/>
      <c r="G355" s="5"/>
      <c r="H355" s="5"/>
      <c r="I355" s="73"/>
      <c r="J355" s="5"/>
      <c r="K355" s="5"/>
      <c r="L355" s="73"/>
      <c r="M355" s="5"/>
      <c r="N355" s="5"/>
      <c r="O355" s="5"/>
      <c r="P355" s="5"/>
      <c r="Q355" s="5"/>
      <c r="R355" s="5"/>
      <c r="S355" s="5"/>
      <c r="T355" s="5"/>
      <c r="U355" s="5"/>
      <c r="V355" s="5"/>
      <c r="W355" s="5"/>
      <c r="X355" s="5"/>
      <c r="Y355" s="5"/>
      <c r="Z355" s="5"/>
      <c r="AA355" s="5"/>
      <c r="AB355" s="5"/>
      <c r="AC355" s="5"/>
      <c r="AD355" s="6"/>
    </row>
    <row r="356">
      <c r="A356" s="5"/>
      <c r="B356" s="5"/>
      <c r="C356" s="73"/>
      <c r="D356" s="73"/>
      <c r="E356" s="5"/>
      <c r="F356" s="5"/>
      <c r="G356" s="5"/>
      <c r="H356" s="5"/>
      <c r="I356" s="73"/>
      <c r="J356" s="5"/>
      <c r="K356" s="5"/>
      <c r="L356" s="73"/>
      <c r="M356" s="5"/>
      <c r="N356" s="5"/>
      <c r="O356" s="5"/>
      <c r="P356" s="5"/>
      <c r="Q356" s="5"/>
      <c r="R356" s="5"/>
      <c r="S356" s="5"/>
      <c r="T356" s="5"/>
      <c r="U356" s="5"/>
      <c r="V356" s="5"/>
      <c r="W356" s="5"/>
      <c r="X356" s="5"/>
      <c r="Y356" s="5"/>
      <c r="Z356" s="5"/>
      <c r="AA356" s="5"/>
      <c r="AB356" s="5"/>
      <c r="AC356" s="5"/>
      <c r="AD356" s="6"/>
    </row>
    <row r="357">
      <c r="A357" s="5"/>
      <c r="B357" s="5"/>
      <c r="C357" s="73"/>
      <c r="D357" s="73"/>
      <c r="E357" s="5"/>
      <c r="F357" s="5"/>
      <c r="G357" s="5"/>
      <c r="H357" s="5"/>
      <c r="I357" s="73"/>
      <c r="J357" s="5"/>
      <c r="K357" s="5"/>
      <c r="L357" s="73"/>
      <c r="M357" s="5"/>
      <c r="N357" s="5"/>
      <c r="O357" s="5"/>
      <c r="P357" s="5"/>
      <c r="Q357" s="5"/>
      <c r="R357" s="5"/>
      <c r="S357" s="5"/>
      <c r="T357" s="5"/>
      <c r="U357" s="5"/>
      <c r="V357" s="5"/>
      <c r="W357" s="5"/>
      <c r="X357" s="5"/>
      <c r="Y357" s="5"/>
      <c r="Z357" s="5"/>
      <c r="AA357" s="5"/>
      <c r="AB357" s="5"/>
      <c r="AC357" s="5"/>
      <c r="AD357" s="6"/>
    </row>
    <row r="358">
      <c r="A358" s="5"/>
      <c r="B358" s="5"/>
      <c r="C358" s="73"/>
      <c r="D358" s="73"/>
      <c r="E358" s="5"/>
      <c r="F358" s="5"/>
      <c r="G358" s="5"/>
      <c r="H358" s="5"/>
      <c r="I358" s="73"/>
      <c r="J358" s="5"/>
      <c r="K358" s="5"/>
      <c r="L358" s="73"/>
      <c r="M358" s="5"/>
      <c r="N358" s="5"/>
      <c r="O358" s="5"/>
      <c r="P358" s="5"/>
      <c r="Q358" s="5"/>
      <c r="R358" s="5"/>
      <c r="S358" s="5"/>
      <c r="T358" s="5"/>
      <c r="U358" s="5"/>
      <c r="V358" s="5"/>
      <c r="W358" s="5"/>
      <c r="X358" s="5"/>
      <c r="Y358" s="5"/>
      <c r="Z358" s="5"/>
      <c r="AA358" s="5"/>
      <c r="AB358" s="5"/>
      <c r="AC358" s="5"/>
      <c r="AD358" s="6"/>
    </row>
    <row r="359">
      <c r="A359" s="5"/>
      <c r="B359" s="5"/>
      <c r="C359" s="73"/>
      <c r="D359" s="73"/>
      <c r="E359" s="5"/>
      <c r="F359" s="5"/>
      <c r="G359" s="5"/>
      <c r="H359" s="5"/>
      <c r="I359" s="73"/>
      <c r="J359" s="5"/>
      <c r="K359" s="5"/>
      <c r="L359" s="73"/>
      <c r="M359" s="5"/>
      <c r="N359" s="5"/>
      <c r="O359" s="5"/>
      <c r="P359" s="5"/>
      <c r="Q359" s="5"/>
      <c r="R359" s="5"/>
      <c r="S359" s="5"/>
      <c r="T359" s="5"/>
      <c r="U359" s="5"/>
      <c r="V359" s="5"/>
      <c r="W359" s="5"/>
      <c r="X359" s="5"/>
      <c r="Y359" s="5"/>
      <c r="Z359" s="5"/>
      <c r="AA359" s="5"/>
      <c r="AB359" s="5"/>
      <c r="AC359" s="5"/>
      <c r="AD359" s="6"/>
    </row>
    <row r="360">
      <c r="A360" s="5"/>
      <c r="B360" s="5"/>
      <c r="C360" s="73"/>
      <c r="D360" s="73"/>
      <c r="E360" s="5"/>
      <c r="F360" s="5"/>
      <c r="G360" s="5"/>
      <c r="H360" s="5"/>
      <c r="I360" s="73"/>
      <c r="J360" s="5"/>
      <c r="K360" s="5"/>
      <c r="L360" s="73"/>
      <c r="M360" s="5"/>
      <c r="N360" s="5"/>
      <c r="O360" s="5"/>
      <c r="P360" s="5"/>
      <c r="Q360" s="5"/>
      <c r="R360" s="5"/>
      <c r="S360" s="5"/>
      <c r="T360" s="5"/>
      <c r="U360" s="5"/>
      <c r="V360" s="5"/>
      <c r="W360" s="5"/>
      <c r="X360" s="5"/>
      <c r="Y360" s="5"/>
      <c r="Z360" s="5"/>
      <c r="AA360" s="5"/>
      <c r="AB360" s="5"/>
      <c r="AC360" s="5"/>
      <c r="AD360" s="6"/>
    </row>
    <row r="361">
      <c r="A361" s="5"/>
      <c r="B361" s="5"/>
      <c r="C361" s="73"/>
      <c r="D361" s="73"/>
      <c r="E361" s="5"/>
      <c r="F361" s="5"/>
      <c r="G361" s="5"/>
      <c r="H361" s="5"/>
      <c r="I361" s="73"/>
      <c r="J361" s="5"/>
      <c r="K361" s="5"/>
      <c r="L361" s="73"/>
      <c r="M361" s="5"/>
      <c r="N361" s="5"/>
      <c r="O361" s="5"/>
      <c r="P361" s="5"/>
      <c r="Q361" s="5"/>
      <c r="R361" s="5"/>
      <c r="S361" s="5"/>
      <c r="T361" s="5"/>
      <c r="U361" s="5"/>
      <c r="V361" s="5"/>
      <c r="W361" s="5"/>
      <c r="X361" s="5"/>
      <c r="Y361" s="5"/>
      <c r="Z361" s="5"/>
      <c r="AA361" s="5"/>
      <c r="AB361" s="5"/>
      <c r="AC361" s="5"/>
      <c r="AD361" s="6"/>
    </row>
    <row r="362">
      <c r="A362" s="5"/>
      <c r="B362" s="5"/>
      <c r="C362" s="73"/>
      <c r="D362" s="73"/>
      <c r="E362" s="5"/>
      <c r="F362" s="5"/>
      <c r="G362" s="5"/>
      <c r="H362" s="5"/>
      <c r="I362" s="73"/>
      <c r="J362" s="5"/>
      <c r="K362" s="5"/>
      <c r="L362" s="73"/>
      <c r="M362" s="5"/>
      <c r="N362" s="5"/>
      <c r="O362" s="5"/>
      <c r="P362" s="5"/>
      <c r="Q362" s="5"/>
      <c r="R362" s="5"/>
      <c r="S362" s="5"/>
      <c r="T362" s="5"/>
      <c r="U362" s="5"/>
      <c r="V362" s="5"/>
      <c r="W362" s="5"/>
      <c r="X362" s="5"/>
      <c r="Y362" s="5"/>
      <c r="Z362" s="5"/>
      <c r="AA362" s="5"/>
      <c r="AB362" s="5"/>
      <c r="AC362" s="5"/>
      <c r="AD362" s="6"/>
    </row>
    <row r="363">
      <c r="A363" s="5"/>
      <c r="B363" s="5"/>
      <c r="C363" s="73"/>
      <c r="D363" s="73"/>
      <c r="E363" s="5"/>
      <c r="F363" s="5"/>
      <c r="G363" s="5"/>
      <c r="H363" s="5"/>
      <c r="I363" s="73"/>
      <c r="J363" s="5"/>
      <c r="K363" s="5"/>
      <c r="L363" s="73"/>
      <c r="M363" s="5"/>
      <c r="N363" s="5"/>
      <c r="O363" s="5"/>
      <c r="P363" s="5"/>
      <c r="Q363" s="5"/>
      <c r="R363" s="5"/>
      <c r="S363" s="5"/>
      <c r="T363" s="5"/>
      <c r="U363" s="5"/>
      <c r="V363" s="5"/>
      <c r="W363" s="5"/>
      <c r="X363" s="5"/>
      <c r="Y363" s="5"/>
      <c r="Z363" s="5"/>
      <c r="AA363" s="5"/>
      <c r="AB363" s="5"/>
      <c r="AC363" s="5"/>
      <c r="AD363" s="6"/>
    </row>
    <row r="364">
      <c r="A364" s="5"/>
      <c r="B364" s="5"/>
      <c r="C364" s="73"/>
      <c r="D364" s="73"/>
      <c r="E364" s="5"/>
      <c r="F364" s="5"/>
      <c r="G364" s="5"/>
      <c r="H364" s="5"/>
      <c r="I364" s="73"/>
      <c r="J364" s="5"/>
      <c r="K364" s="5"/>
      <c r="L364" s="73"/>
      <c r="M364" s="5"/>
      <c r="N364" s="5"/>
      <c r="O364" s="5"/>
      <c r="P364" s="5"/>
      <c r="Q364" s="5"/>
      <c r="R364" s="5"/>
      <c r="S364" s="5"/>
      <c r="T364" s="5"/>
      <c r="U364" s="5"/>
      <c r="V364" s="5"/>
      <c r="W364" s="5"/>
      <c r="X364" s="5"/>
      <c r="Y364" s="5"/>
      <c r="Z364" s="5"/>
      <c r="AA364" s="5"/>
      <c r="AB364" s="5"/>
      <c r="AC364" s="5"/>
      <c r="AD364" s="6"/>
    </row>
    <row r="365">
      <c r="A365" s="5"/>
      <c r="B365" s="5"/>
      <c r="C365" s="73"/>
      <c r="D365" s="73"/>
      <c r="E365" s="5"/>
      <c r="F365" s="5"/>
      <c r="G365" s="5"/>
      <c r="H365" s="5"/>
      <c r="I365" s="73"/>
      <c r="J365" s="5"/>
      <c r="K365" s="5"/>
      <c r="L365" s="73"/>
      <c r="M365" s="5"/>
      <c r="N365" s="5"/>
      <c r="O365" s="5"/>
      <c r="P365" s="5"/>
      <c r="Q365" s="5"/>
      <c r="R365" s="5"/>
      <c r="S365" s="5"/>
      <c r="T365" s="5"/>
      <c r="U365" s="5"/>
      <c r="V365" s="5"/>
      <c r="W365" s="5"/>
      <c r="X365" s="5"/>
      <c r="Y365" s="5"/>
      <c r="Z365" s="5"/>
      <c r="AA365" s="5"/>
      <c r="AB365" s="5"/>
      <c r="AC365" s="5"/>
      <c r="AD365" s="6"/>
    </row>
    <row r="366">
      <c r="A366" s="5"/>
      <c r="B366" s="5"/>
      <c r="C366" s="73"/>
      <c r="D366" s="73"/>
      <c r="E366" s="5"/>
      <c r="F366" s="5"/>
      <c r="G366" s="5"/>
      <c r="H366" s="5"/>
      <c r="I366" s="73"/>
      <c r="J366" s="5"/>
      <c r="K366" s="5"/>
      <c r="L366" s="73"/>
      <c r="M366" s="5"/>
      <c r="N366" s="5"/>
      <c r="O366" s="5"/>
      <c r="P366" s="5"/>
      <c r="Q366" s="5"/>
      <c r="R366" s="5"/>
      <c r="S366" s="5"/>
      <c r="T366" s="5"/>
      <c r="U366" s="5"/>
      <c r="V366" s="5"/>
      <c r="W366" s="5"/>
      <c r="X366" s="5"/>
      <c r="Y366" s="5"/>
      <c r="Z366" s="5"/>
      <c r="AA366" s="5"/>
      <c r="AB366" s="5"/>
      <c r="AC366" s="5"/>
      <c r="AD366" s="6"/>
    </row>
    <row r="367">
      <c r="A367" s="5"/>
      <c r="B367" s="5"/>
      <c r="C367" s="73"/>
      <c r="D367" s="73"/>
      <c r="E367" s="5"/>
      <c r="F367" s="5"/>
      <c r="G367" s="5"/>
      <c r="H367" s="5"/>
      <c r="I367" s="73"/>
      <c r="J367" s="5"/>
      <c r="K367" s="5"/>
      <c r="L367" s="73"/>
      <c r="M367" s="5"/>
      <c r="N367" s="5"/>
      <c r="O367" s="5"/>
      <c r="P367" s="5"/>
      <c r="Q367" s="5"/>
      <c r="R367" s="5"/>
      <c r="S367" s="5"/>
      <c r="T367" s="5"/>
      <c r="U367" s="5"/>
      <c r="V367" s="5"/>
      <c r="W367" s="5"/>
      <c r="X367" s="5"/>
      <c r="Y367" s="5"/>
      <c r="Z367" s="5"/>
      <c r="AA367" s="5"/>
      <c r="AB367" s="5"/>
      <c r="AC367" s="5"/>
      <c r="AD367" s="6"/>
    </row>
    <row r="368">
      <c r="A368" s="5"/>
      <c r="B368" s="5"/>
      <c r="C368" s="73"/>
      <c r="D368" s="73"/>
      <c r="E368" s="5"/>
      <c r="F368" s="5"/>
      <c r="G368" s="5"/>
      <c r="H368" s="5"/>
      <c r="I368" s="73"/>
      <c r="J368" s="5"/>
      <c r="K368" s="5"/>
      <c r="L368" s="73"/>
      <c r="M368" s="5"/>
      <c r="N368" s="5"/>
      <c r="O368" s="5"/>
      <c r="P368" s="5"/>
      <c r="Q368" s="5"/>
      <c r="R368" s="5"/>
      <c r="S368" s="5"/>
      <c r="T368" s="5"/>
      <c r="U368" s="5"/>
      <c r="V368" s="5"/>
      <c r="W368" s="5"/>
      <c r="X368" s="5"/>
      <c r="Y368" s="5"/>
      <c r="Z368" s="5"/>
      <c r="AA368" s="5"/>
      <c r="AB368" s="5"/>
      <c r="AC368" s="5"/>
      <c r="AD368" s="6"/>
    </row>
    <row r="369">
      <c r="A369" s="5"/>
      <c r="B369" s="5"/>
      <c r="C369" s="73"/>
      <c r="D369" s="73"/>
      <c r="E369" s="5"/>
      <c r="F369" s="5"/>
      <c r="G369" s="5"/>
      <c r="H369" s="5"/>
      <c r="I369" s="73"/>
      <c r="J369" s="5"/>
      <c r="K369" s="5"/>
      <c r="L369" s="73"/>
      <c r="M369" s="5"/>
      <c r="N369" s="5"/>
      <c r="O369" s="5"/>
      <c r="P369" s="5"/>
      <c r="Q369" s="5"/>
      <c r="R369" s="5"/>
      <c r="S369" s="5"/>
      <c r="T369" s="5"/>
      <c r="U369" s="5"/>
      <c r="V369" s="5"/>
      <c r="W369" s="5"/>
      <c r="X369" s="5"/>
      <c r="Y369" s="5"/>
      <c r="Z369" s="5"/>
      <c r="AA369" s="5"/>
      <c r="AB369" s="5"/>
      <c r="AC369" s="5"/>
      <c r="AD369" s="6"/>
    </row>
    <row r="370">
      <c r="A370" s="5"/>
      <c r="B370" s="5"/>
      <c r="C370" s="73"/>
      <c r="D370" s="73"/>
      <c r="E370" s="5"/>
      <c r="F370" s="5"/>
      <c r="G370" s="5"/>
      <c r="H370" s="5"/>
      <c r="I370" s="73"/>
      <c r="J370" s="5"/>
      <c r="K370" s="5"/>
      <c r="L370" s="73"/>
      <c r="M370" s="5"/>
      <c r="N370" s="5"/>
      <c r="O370" s="5"/>
      <c r="P370" s="5"/>
      <c r="Q370" s="5"/>
      <c r="R370" s="5"/>
      <c r="S370" s="5"/>
      <c r="T370" s="5"/>
      <c r="U370" s="5"/>
      <c r="V370" s="5"/>
      <c r="W370" s="5"/>
      <c r="X370" s="5"/>
      <c r="Y370" s="5"/>
      <c r="Z370" s="5"/>
      <c r="AA370" s="5"/>
      <c r="AB370" s="5"/>
      <c r="AC370" s="5"/>
      <c r="AD370" s="6"/>
    </row>
    <row r="371">
      <c r="A371" s="5"/>
      <c r="B371" s="5"/>
      <c r="C371" s="73"/>
      <c r="D371" s="73"/>
      <c r="E371" s="5"/>
      <c r="F371" s="5"/>
      <c r="G371" s="5"/>
      <c r="H371" s="5"/>
      <c r="I371" s="73"/>
      <c r="J371" s="5"/>
      <c r="K371" s="5"/>
      <c r="L371" s="73"/>
      <c r="M371" s="5"/>
      <c r="N371" s="5"/>
      <c r="O371" s="5"/>
      <c r="P371" s="5"/>
      <c r="Q371" s="5"/>
      <c r="R371" s="5"/>
      <c r="S371" s="5"/>
      <c r="T371" s="5"/>
      <c r="U371" s="5"/>
      <c r="V371" s="5"/>
      <c r="W371" s="5"/>
      <c r="X371" s="5"/>
      <c r="Y371" s="5"/>
      <c r="Z371" s="5"/>
      <c r="AA371" s="5"/>
      <c r="AB371" s="5"/>
      <c r="AC371" s="5"/>
      <c r="AD371" s="6"/>
    </row>
    <row r="372">
      <c r="A372" s="5"/>
      <c r="B372" s="5"/>
      <c r="C372" s="73"/>
      <c r="D372" s="73"/>
      <c r="E372" s="5"/>
      <c r="F372" s="5"/>
      <c r="G372" s="5"/>
      <c r="H372" s="5"/>
      <c r="I372" s="73"/>
      <c r="J372" s="5"/>
      <c r="K372" s="5"/>
      <c r="L372" s="73"/>
      <c r="M372" s="5"/>
      <c r="N372" s="5"/>
      <c r="O372" s="5"/>
      <c r="P372" s="5"/>
      <c r="Q372" s="5"/>
      <c r="R372" s="5"/>
      <c r="S372" s="5"/>
      <c r="T372" s="5"/>
      <c r="U372" s="5"/>
      <c r="V372" s="5"/>
      <c r="W372" s="5"/>
      <c r="X372" s="5"/>
      <c r="Y372" s="5"/>
      <c r="Z372" s="5"/>
      <c r="AA372" s="5"/>
      <c r="AB372" s="5"/>
      <c r="AC372" s="5"/>
      <c r="AD372" s="6"/>
    </row>
    <row r="373">
      <c r="A373" s="5"/>
      <c r="B373" s="5"/>
      <c r="C373" s="73"/>
      <c r="D373" s="73"/>
      <c r="E373" s="5"/>
      <c r="F373" s="5"/>
      <c r="G373" s="5"/>
      <c r="H373" s="5"/>
      <c r="I373" s="73"/>
      <c r="J373" s="5"/>
      <c r="K373" s="5"/>
      <c r="L373" s="73"/>
      <c r="M373" s="5"/>
      <c r="N373" s="5"/>
      <c r="O373" s="5"/>
      <c r="P373" s="5"/>
      <c r="Q373" s="5"/>
      <c r="R373" s="5"/>
      <c r="S373" s="5"/>
      <c r="T373" s="5"/>
      <c r="U373" s="5"/>
      <c r="V373" s="5"/>
      <c r="W373" s="5"/>
      <c r="X373" s="5"/>
      <c r="Y373" s="5"/>
      <c r="Z373" s="5"/>
      <c r="AA373" s="5"/>
      <c r="AB373" s="5"/>
      <c r="AC373" s="5"/>
      <c r="AD373" s="6"/>
    </row>
    <row r="374">
      <c r="A374" s="5"/>
      <c r="B374" s="5"/>
      <c r="C374" s="73"/>
      <c r="D374" s="73"/>
      <c r="E374" s="5"/>
      <c r="F374" s="5"/>
      <c r="G374" s="5"/>
      <c r="H374" s="5"/>
      <c r="I374" s="73"/>
      <c r="J374" s="5"/>
      <c r="K374" s="5"/>
      <c r="L374" s="73"/>
      <c r="M374" s="5"/>
      <c r="N374" s="5"/>
      <c r="O374" s="5"/>
      <c r="P374" s="5"/>
      <c r="Q374" s="5"/>
      <c r="R374" s="5"/>
      <c r="S374" s="5"/>
      <c r="T374" s="5"/>
      <c r="U374" s="5"/>
      <c r="V374" s="5"/>
      <c r="W374" s="5"/>
      <c r="X374" s="5"/>
      <c r="Y374" s="5"/>
      <c r="Z374" s="5"/>
      <c r="AA374" s="5"/>
      <c r="AB374" s="5"/>
      <c r="AC374" s="5"/>
      <c r="AD374" s="6"/>
    </row>
    <row r="375">
      <c r="A375" s="5"/>
      <c r="B375" s="5"/>
      <c r="C375" s="73"/>
      <c r="D375" s="73"/>
      <c r="E375" s="5"/>
      <c r="F375" s="5"/>
      <c r="G375" s="5"/>
      <c r="H375" s="5"/>
      <c r="I375" s="73"/>
      <c r="J375" s="5"/>
      <c r="K375" s="5"/>
      <c r="L375" s="73"/>
      <c r="M375" s="5"/>
      <c r="N375" s="5"/>
      <c r="O375" s="5"/>
      <c r="P375" s="5"/>
      <c r="Q375" s="5"/>
      <c r="R375" s="5"/>
      <c r="S375" s="5"/>
      <c r="T375" s="5"/>
      <c r="U375" s="5"/>
      <c r="V375" s="5"/>
      <c r="W375" s="5"/>
      <c r="X375" s="5"/>
      <c r="Y375" s="5"/>
      <c r="Z375" s="5"/>
      <c r="AA375" s="5"/>
      <c r="AB375" s="5"/>
      <c r="AC375" s="5"/>
      <c r="AD375" s="6"/>
    </row>
    <row r="376">
      <c r="A376" s="5"/>
      <c r="B376" s="5"/>
      <c r="C376" s="73"/>
      <c r="D376" s="73"/>
      <c r="E376" s="5"/>
      <c r="F376" s="5"/>
      <c r="G376" s="5"/>
      <c r="H376" s="5"/>
      <c r="I376" s="73"/>
      <c r="J376" s="5"/>
      <c r="K376" s="5"/>
      <c r="L376" s="73"/>
      <c r="M376" s="5"/>
      <c r="N376" s="5"/>
      <c r="O376" s="5"/>
      <c r="P376" s="5"/>
      <c r="Q376" s="5"/>
      <c r="R376" s="5"/>
      <c r="S376" s="5"/>
      <c r="T376" s="5"/>
      <c r="U376" s="5"/>
      <c r="V376" s="5"/>
      <c r="W376" s="5"/>
      <c r="X376" s="5"/>
      <c r="Y376" s="5"/>
      <c r="Z376" s="5"/>
      <c r="AA376" s="5"/>
      <c r="AB376" s="5"/>
      <c r="AC376" s="5"/>
      <c r="AD376" s="6"/>
    </row>
    <row r="377">
      <c r="A377" s="5"/>
      <c r="B377" s="5"/>
      <c r="C377" s="73"/>
      <c r="D377" s="73"/>
      <c r="E377" s="5"/>
      <c r="F377" s="5"/>
      <c r="G377" s="5"/>
      <c r="H377" s="5"/>
      <c r="I377" s="73"/>
      <c r="J377" s="5"/>
      <c r="K377" s="5"/>
      <c r="L377" s="73"/>
      <c r="M377" s="5"/>
      <c r="N377" s="5"/>
      <c r="O377" s="5"/>
      <c r="P377" s="5"/>
      <c r="Q377" s="5"/>
      <c r="R377" s="5"/>
      <c r="S377" s="5"/>
      <c r="T377" s="5"/>
      <c r="U377" s="5"/>
      <c r="V377" s="5"/>
      <c r="W377" s="5"/>
      <c r="X377" s="5"/>
      <c r="Y377" s="5"/>
      <c r="Z377" s="5"/>
      <c r="AA377" s="5"/>
      <c r="AB377" s="5"/>
      <c r="AC377" s="5"/>
      <c r="AD377" s="6"/>
    </row>
    <row r="378">
      <c r="A378" s="5"/>
      <c r="B378" s="5"/>
      <c r="C378" s="73"/>
      <c r="D378" s="73"/>
      <c r="E378" s="5"/>
      <c r="F378" s="5"/>
      <c r="G378" s="5"/>
      <c r="H378" s="5"/>
      <c r="I378" s="73"/>
      <c r="J378" s="5"/>
      <c r="K378" s="5"/>
      <c r="L378" s="73"/>
      <c r="M378" s="5"/>
      <c r="N378" s="5"/>
      <c r="O378" s="5"/>
      <c r="P378" s="5"/>
      <c r="Q378" s="5"/>
      <c r="R378" s="5"/>
      <c r="S378" s="5"/>
      <c r="T378" s="5"/>
      <c r="U378" s="5"/>
      <c r="V378" s="5"/>
      <c r="W378" s="5"/>
      <c r="X378" s="5"/>
      <c r="Y378" s="5"/>
      <c r="Z378" s="5"/>
      <c r="AA378" s="5"/>
      <c r="AB378" s="5"/>
      <c r="AC378" s="5"/>
      <c r="AD378" s="6"/>
    </row>
    <row r="379">
      <c r="A379" s="5"/>
      <c r="B379" s="5"/>
      <c r="C379" s="73"/>
      <c r="D379" s="73"/>
      <c r="E379" s="5"/>
      <c r="F379" s="5"/>
      <c r="G379" s="5"/>
      <c r="H379" s="5"/>
      <c r="I379" s="73"/>
      <c r="J379" s="5"/>
      <c r="K379" s="5"/>
      <c r="L379" s="73"/>
      <c r="M379" s="5"/>
      <c r="N379" s="5"/>
      <c r="O379" s="5"/>
      <c r="P379" s="5"/>
      <c r="Q379" s="5"/>
      <c r="R379" s="5"/>
      <c r="S379" s="5"/>
      <c r="T379" s="5"/>
      <c r="U379" s="5"/>
      <c r="V379" s="5"/>
      <c r="W379" s="5"/>
      <c r="X379" s="5"/>
      <c r="Y379" s="5"/>
      <c r="Z379" s="5"/>
      <c r="AA379" s="5"/>
      <c r="AB379" s="5"/>
      <c r="AC379" s="5"/>
      <c r="AD379" s="6"/>
    </row>
    <row r="380">
      <c r="A380" s="5"/>
      <c r="B380" s="5"/>
      <c r="C380" s="73"/>
      <c r="D380" s="73"/>
      <c r="E380" s="5"/>
      <c r="F380" s="5"/>
      <c r="G380" s="5"/>
      <c r="H380" s="5"/>
      <c r="I380" s="73"/>
      <c r="J380" s="5"/>
      <c r="K380" s="5"/>
      <c r="L380" s="73"/>
      <c r="M380" s="5"/>
      <c r="N380" s="5"/>
      <c r="O380" s="5"/>
      <c r="P380" s="5"/>
      <c r="Q380" s="5"/>
      <c r="R380" s="5"/>
      <c r="S380" s="5"/>
      <c r="T380" s="5"/>
      <c r="U380" s="5"/>
      <c r="V380" s="5"/>
      <c r="W380" s="5"/>
      <c r="X380" s="5"/>
      <c r="Y380" s="5"/>
      <c r="Z380" s="5"/>
      <c r="AA380" s="5"/>
      <c r="AB380" s="5"/>
      <c r="AC380" s="5"/>
      <c r="AD380" s="6"/>
    </row>
    <row r="381">
      <c r="A381" s="5"/>
      <c r="B381" s="5"/>
      <c r="C381" s="73"/>
      <c r="D381" s="73"/>
      <c r="E381" s="5"/>
      <c r="F381" s="5"/>
      <c r="G381" s="5"/>
      <c r="H381" s="5"/>
      <c r="I381" s="73"/>
      <c r="J381" s="5"/>
      <c r="K381" s="5"/>
      <c r="L381" s="73"/>
      <c r="M381" s="5"/>
      <c r="N381" s="5"/>
      <c r="O381" s="5"/>
      <c r="P381" s="5"/>
      <c r="Q381" s="5"/>
      <c r="R381" s="5"/>
      <c r="S381" s="5"/>
      <c r="T381" s="5"/>
      <c r="U381" s="5"/>
      <c r="V381" s="5"/>
      <c r="W381" s="5"/>
      <c r="X381" s="5"/>
      <c r="Y381" s="5"/>
      <c r="Z381" s="5"/>
      <c r="AA381" s="5"/>
      <c r="AB381" s="5"/>
      <c r="AC381" s="5"/>
      <c r="AD381" s="6"/>
    </row>
    <row r="382">
      <c r="A382" s="5"/>
      <c r="B382" s="5"/>
      <c r="C382" s="73"/>
      <c r="D382" s="73"/>
      <c r="E382" s="5"/>
      <c r="F382" s="5"/>
      <c r="G382" s="5"/>
      <c r="H382" s="5"/>
      <c r="I382" s="73"/>
      <c r="J382" s="5"/>
      <c r="K382" s="5"/>
      <c r="L382" s="73"/>
      <c r="M382" s="5"/>
      <c r="N382" s="5"/>
      <c r="O382" s="5"/>
      <c r="P382" s="5"/>
      <c r="Q382" s="5"/>
      <c r="R382" s="5"/>
      <c r="S382" s="5"/>
      <c r="T382" s="5"/>
      <c r="U382" s="5"/>
      <c r="V382" s="5"/>
      <c r="W382" s="5"/>
      <c r="X382" s="5"/>
      <c r="Y382" s="5"/>
      <c r="Z382" s="5"/>
      <c r="AA382" s="5"/>
      <c r="AB382" s="5"/>
      <c r="AC382" s="5"/>
      <c r="AD382" s="6"/>
    </row>
    <row r="383">
      <c r="A383" s="5"/>
      <c r="B383" s="5"/>
      <c r="C383" s="73"/>
      <c r="D383" s="73"/>
      <c r="E383" s="5"/>
      <c r="F383" s="5"/>
      <c r="G383" s="5"/>
      <c r="H383" s="5"/>
      <c r="I383" s="73"/>
      <c r="J383" s="5"/>
      <c r="K383" s="5"/>
      <c r="L383" s="73"/>
      <c r="M383" s="5"/>
      <c r="N383" s="5"/>
      <c r="O383" s="5"/>
      <c r="P383" s="5"/>
      <c r="Q383" s="5"/>
      <c r="R383" s="5"/>
      <c r="S383" s="5"/>
      <c r="T383" s="5"/>
      <c r="U383" s="5"/>
      <c r="V383" s="5"/>
      <c r="W383" s="5"/>
      <c r="X383" s="5"/>
      <c r="Y383" s="5"/>
      <c r="Z383" s="5"/>
      <c r="AA383" s="5"/>
      <c r="AB383" s="5"/>
      <c r="AC383" s="5"/>
      <c r="AD383" s="6"/>
    </row>
    <row r="384">
      <c r="A384" s="5"/>
      <c r="B384" s="5"/>
      <c r="C384" s="73"/>
      <c r="D384" s="73"/>
      <c r="E384" s="5"/>
      <c r="F384" s="5"/>
      <c r="G384" s="5"/>
      <c r="H384" s="5"/>
      <c r="I384" s="73"/>
      <c r="J384" s="5"/>
      <c r="K384" s="5"/>
      <c r="L384" s="73"/>
      <c r="M384" s="5"/>
      <c r="N384" s="5"/>
      <c r="O384" s="5"/>
      <c r="P384" s="5"/>
      <c r="Q384" s="5"/>
      <c r="R384" s="5"/>
      <c r="S384" s="5"/>
      <c r="T384" s="5"/>
      <c r="U384" s="5"/>
      <c r="V384" s="5"/>
      <c r="W384" s="5"/>
      <c r="X384" s="5"/>
      <c r="Y384" s="5"/>
      <c r="Z384" s="5"/>
      <c r="AA384" s="5"/>
      <c r="AB384" s="5"/>
      <c r="AC384" s="5"/>
      <c r="AD384" s="6"/>
    </row>
    <row r="385">
      <c r="A385" s="5"/>
      <c r="B385" s="5"/>
      <c r="C385" s="73"/>
      <c r="D385" s="73"/>
      <c r="E385" s="5"/>
      <c r="F385" s="5"/>
      <c r="G385" s="5"/>
      <c r="H385" s="5"/>
      <c r="I385" s="73"/>
      <c r="J385" s="5"/>
      <c r="K385" s="5"/>
      <c r="L385" s="73"/>
      <c r="M385" s="5"/>
      <c r="N385" s="5"/>
      <c r="O385" s="5"/>
      <c r="P385" s="5"/>
      <c r="Q385" s="5"/>
      <c r="R385" s="5"/>
      <c r="S385" s="5"/>
      <c r="T385" s="5"/>
      <c r="U385" s="5"/>
      <c r="V385" s="5"/>
      <c r="W385" s="5"/>
      <c r="X385" s="5"/>
      <c r="Y385" s="5"/>
      <c r="Z385" s="5"/>
      <c r="AA385" s="5"/>
      <c r="AB385" s="5"/>
      <c r="AC385" s="5"/>
      <c r="AD385" s="6"/>
    </row>
    <row r="386">
      <c r="A386" s="5"/>
      <c r="B386" s="5"/>
      <c r="C386" s="73"/>
      <c r="D386" s="73"/>
      <c r="E386" s="5"/>
      <c r="F386" s="5"/>
      <c r="G386" s="5"/>
      <c r="H386" s="5"/>
      <c r="I386" s="73"/>
      <c r="J386" s="5"/>
      <c r="K386" s="5"/>
      <c r="L386" s="73"/>
      <c r="M386" s="5"/>
      <c r="N386" s="5"/>
      <c r="O386" s="5"/>
      <c r="P386" s="5"/>
      <c r="Q386" s="5"/>
      <c r="R386" s="5"/>
      <c r="S386" s="5"/>
      <c r="T386" s="5"/>
      <c r="U386" s="5"/>
      <c r="V386" s="5"/>
      <c r="W386" s="5"/>
      <c r="X386" s="5"/>
      <c r="Y386" s="5"/>
      <c r="Z386" s="5"/>
      <c r="AA386" s="5"/>
      <c r="AB386" s="5"/>
      <c r="AC386" s="5"/>
      <c r="AD386" s="6"/>
    </row>
    <row r="387">
      <c r="A387" s="5"/>
      <c r="B387" s="5"/>
      <c r="C387" s="73"/>
      <c r="D387" s="73"/>
      <c r="E387" s="5"/>
      <c r="F387" s="5"/>
      <c r="G387" s="5"/>
      <c r="H387" s="5"/>
      <c r="I387" s="73"/>
      <c r="J387" s="5"/>
      <c r="K387" s="5"/>
      <c r="L387" s="73"/>
      <c r="M387" s="5"/>
      <c r="N387" s="5"/>
      <c r="O387" s="5"/>
      <c r="P387" s="5"/>
      <c r="Q387" s="5"/>
      <c r="R387" s="5"/>
      <c r="S387" s="5"/>
      <c r="T387" s="5"/>
      <c r="U387" s="5"/>
      <c r="V387" s="5"/>
      <c r="W387" s="5"/>
      <c r="X387" s="5"/>
      <c r="Y387" s="5"/>
      <c r="Z387" s="5"/>
      <c r="AA387" s="5"/>
      <c r="AB387" s="5"/>
      <c r="AC387" s="5"/>
      <c r="AD387" s="6"/>
    </row>
    <row r="388">
      <c r="A388" s="5"/>
      <c r="B388" s="5"/>
      <c r="C388" s="73"/>
      <c r="D388" s="73"/>
      <c r="E388" s="5"/>
      <c r="F388" s="5"/>
      <c r="G388" s="5"/>
      <c r="H388" s="5"/>
      <c r="I388" s="73"/>
      <c r="J388" s="5"/>
      <c r="K388" s="5"/>
      <c r="L388" s="73"/>
      <c r="M388" s="5"/>
      <c r="N388" s="5"/>
      <c r="O388" s="5"/>
      <c r="P388" s="5"/>
      <c r="Q388" s="5"/>
      <c r="R388" s="5"/>
      <c r="S388" s="5"/>
      <c r="T388" s="5"/>
      <c r="U388" s="5"/>
      <c r="V388" s="5"/>
      <c r="W388" s="5"/>
      <c r="X388" s="5"/>
      <c r="Y388" s="5"/>
      <c r="Z388" s="5"/>
      <c r="AA388" s="5"/>
      <c r="AB388" s="5"/>
      <c r="AC388" s="5"/>
      <c r="AD388" s="6"/>
    </row>
    <row r="389">
      <c r="A389" s="5"/>
      <c r="B389" s="5"/>
      <c r="C389" s="73"/>
      <c r="D389" s="73"/>
      <c r="E389" s="5"/>
      <c r="F389" s="5"/>
      <c r="G389" s="5"/>
      <c r="H389" s="5"/>
      <c r="I389" s="73"/>
      <c r="J389" s="5"/>
      <c r="K389" s="5"/>
      <c r="L389" s="73"/>
      <c r="M389" s="5"/>
      <c r="N389" s="5"/>
      <c r="O389" s="5"/>
      <c r="P389" s="5"/>
      <c r="Q389" s="5"/>
      <c r="R389" s="5"/>
      <c r="S389" s="5"/>
      <c r="T389" s="5"/>
      <c r="U389" s="5"/>
      <c r="V389" s="5"/>
      <c r="W389" s="5"/>
      <c r="X389" s="5"/>
      <c r="Y389" s="5"/>
      <c r="Z389" s="5"/>
      <c r="AA389" s="5"/>
      <c r="AB389" s="5"/>
      <c r="AC389" s="5"/>
      <c r="AD389" s="6"/>
    </row>
    <row r="390">
      <c r="A390" s="5"/>
      <c r="B390" s="5"/>
      <c r="C390" s="73"/>
      <c r="D390" s="73"/>
      <c r="E390" s="5"/>
      <c r="F390" s="5"/>
      <c r="G390" s="5"/>
      <c r="H390" s="5"/>
      <c r="I390" s="73"/>
      <c r="J390" s="5"/>
      <c r="K390" s="5"/>
      <c r="L390" s="73"/>
      <c r="M390" s="5"/>
      <c r="N390" s="5"/>
      <c r="O390" s="5"/>
      <c r="P390" s="5"/>
      <c r="Q390" s="5"/>
      <c r="R390" s="5"/>
      <c r="S390" s="5"/>
      <c r="T390" s="5"/>
      <c r="U390" s="5"/>
      <c r="V390" s="5"/>
      <c r="W390" s="5"/>
      <c r="X390" s="5"/>
      <c r="Y390" s="5"/>
      <c r="Z390" s="5"/>
      <c r="AA390" s="5"/>
      <c r="AB390" s="5"/>
      <c r="AC390" s="5"/>
      <c r="AD390" s="6"/>
    </row>
    <row r="391">
      <c r="A391" s="5"/>
      <c r="B391" s="5"/>
      <c r="C391" s="73"/>
      <c r="D391" s="73"/>
      <c r="E391" s="5"/>
      <c r="F391" s="5"/>
      <c r="G391" s="5"/>
      <c r="H391" s="5"/>
      <c r="I391" s="73"/>
      <c r="J391" s="5"/>
      <c r="K391" s="5"/>
      <c r="L391" s="73"/>
      <c r="M391" s="5"/>
      <c r="N391" s="5"/>
      <c r="O391" s="5"/>
      <c r="P391" s="5"/>
      <c r="Q391" s="5"/>
      <c r="R391" s="5"/>
      <c r="S391" s="5"/>
      <c r="T391" s="5"/>
      <c r="U391" s="5"/>
      <c r="V391" s="5"/>
      <c r="W391" s="5"/>
      <c r="X391" s="5"/>
      <c r="Y391" s="5"/>
      <c r="Z391" s="5"/>
      <c r="AA391" s="5"/>
      <c r="AB391" s="5"/>
      <c r="AC391" s="5"/>
      <c r="AD391" s="6"/>
    </row>
    <row r="392">
      <c r="A392" s="5"/>
      <c r="B392" s="5"/>
      <c r="C392" s="73"/>
      <c r="D392" s="73"/>
      <c r="E392" s="5"/>
      <c r="F392" s="5"/>
      <c r="G392" s="5"/>
      <c r="H392" s="5"/>
      <c r="I392" s="73"/>
      <c r="J392" s="5"/>
      <c r="K392" s="5"/>
      <c r="L392" s="73"/>
      <c r="M392" s="5"/>
      <c r="N392" s="5"/>
      <c r="O392" s="5"/>
      <c r="P392" s="5"/>
      <c r="Q392" s="5"/>
      <c r="R392" s="5"/>
      <c r="S392" s="5"/>
      <c r="T392" s="5"/>
      <c r="U392" s="5"/>
      <c r="V392" s="5"/>
      <c r="W392" s="5"/>
      <c r="X392" s="5"/>
      <c r="Y392" s="5"/>
      <c r="Z392" s="5"/>
      <c r="AA392" s="5"/>
      <c r="AB392" s="5"/>
      <c r="AC392" s="5"/>
      <c r="AD392" s="6"/>
    </row>
    <row r="393">
      <c r="A393" s="5"/>
      <c r="B393" s="5"/>
      <c r="C393" s="73"/>
      <c r="D393" s="73"/>
      <c r="E393" s="5"/>
      <c r="F393" s="5"/>
      <c r="G393" s="5"/>
      <c r="H393" s="5"/>
      <c r="I393" s="73"/>
      <c r="J393" s="5"/>
      <c r="K393" s="5"/>
      <c r="L393" s="73"/>
      <c r="M393" s="5"/>
      <c r="N393" s="5"/>
      <c r="O393" s="5"/>
      <c r="P393" s="5"/>
      <c r="Q393" s="5"/>
      <c r="R393" s="5"/>
      <c r="S393" s="5"/>
      <c r="T393" s="5"/>
      <c r="U393" s="5"/>
      <c r="V393" s="5"/>
      <c r="W393" s="5"/>
      <c r="X393" s="5"/>
      <c r="Y393" s="5"/>
      <c r="Z393" s="5"/>
      <c r="AA393" s="5"/>
      <c r="AB393" s="5"/>
      <c r="AC393" s="5"/>
      <c r="AD393" s="6"/>
    </row>
    <row r="394">
      <c r="A394" s="5"/>
      <c r="B394" s="5"/>
      <c r="C394" s="73"/>
      <c r="D394" s="73"/>
      <c r="E394" s="5"/>
      <c r="F394" s="5"/>
      <c r="G394" s="5"/>
      <c r="H394" s="5"/>
      <c r="I394" s="73"/>
      <c r="J394" s="5"/>
      <c r="K394" s="5"/>
      <c r="L394" s="73"/>
      <c r="M394" s="5"/>
      <c r="N394" s="5"/>
      <c r="O394" s="5"/>
      <c r="P394" s="5"/>
      <c r="Q394" s="5"/>
      <c r="R394" s="5"/>
      <c r="S394" s="5"/>
      <c r="T394" s="5"/>
      <c r="U394" s="5"/>
      <c r="V394" s="5"/>
      <c r="W394" s="5"/>
      <c r="X394" s="5"/>
      <c r="Y394" s="5"/>
      <c r="Z394" s="5"/>
      <c r="AA394" s="5"/>
      <c r="AB394" s="5"/>
      <c r="AC394" s="5"/>
      <c r="AD394" s="6"/>
    </row>
    <row r="395">
      <c r="A395" s="5"/>
      <c r="B395" s="5"/>
      <c r="C395" s="73"/>
      <c r="D395" s="73"/>
      <c r="E395" s="5"/>
      <c r="F395" s="5"/>
      <c r="G395" s="5"/>
      <c r="H395" s="5"/>
      <c r="I395" s="73"/>
      <c r="J395" s="5"/>
      <c r="K395" s="5"/>
      <c r="L395" s="73"/>
      <c r="M395" s="5"/>
      <c r="N395" s="5"/>
      <c r="O395" s="5"/>
      <c r="P395" s="5"/>
      <c r="Q395" s="5"/>
      <c r="R395" s="5"/>
      <c r="S395" s="5"/>
      <c r="T395" s="5"/>
      <c r="U395" s="5"/>
      <c r="V395" s="5"/>
      <c r="W395" s="5"/>
      <c r="X395" s="5"/>
      <c r="Y395" s="5"/>
      <c r="Z395" s="5"/>
      <c r="AA395" s="5"/>
      <c r="AB395" s="5"/>
      <c r="AC395" s="5"/>
      <c r="AD395" s="6"/>
    </row>
    <row r="396">
      <c r="A396" s="5"/>
      <c r="B396" s="5"/>
      <c r="C396" s="73"/>
      <c r="D396" s="73"/>
      <c r="E396" s="5"/>
      <c r="F396" s="5"/>
      <c r="G396" s="5"/>
      <c r="H396" s="5"/>
      <c r="I396" s="73"/>
      <c r="J396" s="5"/>
      <c r="K396" s="5"/>
      <c r="L396" s="73"/>
      <c r="M396" s="5"/>
      <c r="N396" s="5"/>
      <c r="O396" s="5"/>
      <c r="P396" s="5"/>
      <c r="Q396" s="5"/>
      <c r="R396" s="5"/>
      <c r="S396" s="5"/>
      <c r="T396" s="5"/>
      <c r="U396" s="5"/>
      <c r="V396" s="5"/>
      <c r="W396" s="5"/>
      <c r="X396" s="5"/>
      <c r="Y396" s="5"/>
      <c r="Z396" s="5"/>
      <c r="AA396" s="5"/>
      <c r="AB396" s="5"/>
      <c r="AC396" s="5"/>
      <c r="AD396" s="6"/>
    </row>
    <row r="397">
      <c r="A397" s="5"/>
      <c r="B397" s="5"/>
      <c r="C397" s="73"/>
      <c r="D397" s="73"/>
      <c r="E397" s="5"/>
      <c r="F397" s="5"/>
      <c r="G397" s="5"/>
      <c r="H397" s="5"/>
      <c r="I397" s="73"/>
      <c r="J397" s="5"/>
      <c r="K397" s="5"/>
      <c r="L397" s="73"/>
      <c r="M397" s="5"/>
      <c r="N397" s="5"/>
      <c r="O397" s="5"/>
      <c r="P397" s="5"/>
      <c r="Q397" s="5"/>
      <c r="R397" s="5"/>
      <c r="S397" s="5"/>
      <c r="T397" s="5"/>
      <c r="U397" s="5"/>
      <c r="V397" s="5"/>
      <c r="W397" s="5"/>
      <c r="X397" s="5"/>
      <c r="Y397" s="5"/>
      <c r="Z397" s="5"/>
      <c r="AA397" s="5"/>
      <c r="AB397" s="5"/>
      <c r="AC397" s="5"/>
      <c r="AD397" s="6"/>
    </row>
    <row r="398">
      <c r="A398" s="5"/>
      <c r="B398" s="5"/>
      <c r="C398" s="73"/>
      <c r="D398" s="73"/>
      <c r="E398" s="5"/>
      <c r="F398" s="5"/>
      <c r="G398" s="5"/>
      <c r="H398" s="5"/>
      <c r="I398" s="73"/>
      <c r="J398" s="5"/>
      <c r="K398" s="5"/>
      <c r="L398" s="73"/>
      <c r="M398" s="5"/>
      <c r="N398" s="5"/>
      <c r="O398" s="5"/>
      <c r="P398" s="5"/>
      <c r="Q398" s="5"/>
      <c r="R398" s="5"/>
      <c r="S398" s="5"/>
      <c r="T398" s="5"/>
      <c r="U398" s="5"/>
      <c r="V398" s="5"/>
      <c r="W398" s="5"/>
      <c r="X398" s="5"/>
      <c r="Y398" s="5"/>
      <c r="Z398" s="5"/>
      <c r="AA398" s="5"/>
      <c r="AB398" s="5"/>
      <c r="AC398" s="5"/>
      <c r="AD398" s="6"/>
    </row>
    <row r="399">
      <c r="A399" s="5"/>
      <c r="B399" s="5"/>
      <c r="C399" s="73"/>
      <c r="D399" s="73"/>
      <c r="E399" s="5"/>
      <c r="F399" s="5"/>
      <c r="G399" s="5"/>
      <c r="H399" s="5"/>
      <c r="I399" s="73"/>
      <c r="J399" s="5"/>
      <c r="K399" s="5"/>
      <c r="L399" s="73"/>
      <c r="M399" s="5"/>
      <c r="N399" s="5"/>
      <c r="O399" s="5"/>
      <c r="P399" s="5"/>
      <c r="Q399" s="5"/>
      <c r="R399" s="5"/>
      <c r="S399" s="5"/>
      <c r="T399" s="5"/>
      <c r="U399" s="5"/>
      <c r="V399" s="5"/>
      <c r="W399" s="5"/>
      <c r="X399" s="5"/>
      <c r="Y399" s="5"/>
      <c r="Z399" s="5"/>
      <c r="AA399" s="5"/>
      <c r="AB399" s="5"/>
      <c r="AC399" s="5"/>
      <c r="AD399" s="6"/>
    </row>
    <row r="400">
      <c r="A400" s="5"/>
      <c r="B400" s="5"/>
      <c r="C400" s="73"/>
      <c r="D400" s="73"/>
      <c r="E400" s="5"/>
      <c r="F400" s="5"/>
      <c r="G400" s="5"/>
      <c r="H400" s="5"/>
      <c r="I400" s="73"/>
      <c r="J400" s="5"/>
      <c r="K400" s="5"/>
      <c r="L400" s="73"/>
      <c r="M400" s="5"/>
      <c r="N400" s="5"/>
      <c r="O400" s="5"/>
      <c r="P400" s="5"/>
      <c r="Q400" s="5"/>
      <c r="R400" s="5"/>
      <c r="S400" s="5"/>
      <c r="T400" s="5"/>
      <c r="U400" s="5"/>
      <c r="V400" s="5"/>
      <c r="W400" s="5"/>
      <c r="X400" s="5"/>
      <c r="Y400" s="5"/>
      <c r="Z400" s="5"/>
      <c r="AA400" s="5"/>
      <c r="AB400" s="5"/>
      <c r="AC400" s="5"/>
      <c r="AD400" s="6"/>
    </row>
    <row r="401">
      <c r="A401" s="5"/>
      <c r="B401" s="5"/>
      <c r="C401" s="73"/>
      <c r="D401" s="73"/>
      <c r="E401" s="5"/>
      <c r="F401" s="5"/>
      <c r="G401" s="5"/>
      <c r="H401" s="5"/>
      <c r="I401" s="73"/>
      <c r="J401" s="5"/>
      <c r="K401" s="5"/>
      <c r="L401" s="73"/>
      <c r="M401" s="5"/>
      <c r="N401" s="5"/>
      <c r="O401" s="5"/>
      <c r="P401" s="5"/>
      <c r="Q401" s="5"/>
      <c r="R401" s="5"/>
      <c r="S401" s="5"/>
      <c r="T401" s="5"/>
      <c r="U401" s="5"/>
      <c r="V401" s="5"/>
      <c r="W401" s="5"/>
      <c r="X401" s="5"/>
      <c r="Y401" s="5"/>
      <c r="Z401" s="5"/>
      <c r="AA401" s="5"/>
      <c r="AB401" s="5"/>
      <c r="AC401" s="5"/>
      <c r="AD401" s="6"/>
    </row>
    <row r="402">
      <c r="A402" s="5"/>
      <c r="B402" s="5"/>
      <c r="C402" s="73"/>
      <c r="D402" s="73"/>
      <c r="E402" s="5"/>
      <c r="F402" s="5"/>
      <c r="G402" s="5"/>
      <c r="H402" s="5"/>
      <c r="I402" s="73"/>
      <c r="J402" s="5"/>
      <c r="K402" s="5"/>
      <c r="L402" s="73"/>
      <c r="M402" s="5"/>
      <c r="N402" s="5"/>
      <c r="O402" s="5"/>
      <c r="P402" s="5"/>
      <c r="Q402" s="5"/>
      <c r="R402" s="5"/>
      <c r="S402" s="5"/>
      <c r="T402" s="5"/>
      <c r="U402" s="5"/>
      <c r="V402" s="5"/>
      <c r="W402" s="5"/>
      <c r="X402" s="5"/>
      <c r="Y402" s="5"/>
      <c r="Z402" s="5"/>
      <c r="AA402" s="5"/>
      <c r="AB402" s="5"/>
      <c r="AC402" s="5"/>
      <c r="AD402" s="6"/>
    </row>
    <row r="403">
      <c r="A403" s="5"/>
      <c r="B403" s="5"/>
      <c r="C403" s="73"/>
      <c r="D403" s="73"/>
      <c r="E403" s="5"/>
      <c r="F403" s="5"/>
      <c r="G403" s="5"/>
      <c r="H403" s="5"/>
      <c r="I403" s="73"/>
      <c r="J403" s="5"/>
      <c r="K403" s="5"/>
      <c r="L403" s="73"/>
      <c r="M403" s="5"/>
      <c r="N403" s="5"/>
      <c r="O403" s="5"/>
      <c r="P403" s="5"/>
      <c r="Q403" s="5"/>
      <c r="R403" s="5"/>
      <c r="S403" s="5"/>
      <c r="T403" s="5"/>
      <c r="U403" s="5"/>
      <c r="V403" s="5"/>
      <c r="W403" s="5"/>
      <c r="X403" s="5"/>
      <c r="Y403" s="5"/>
      <c r="Z403" s="5"/>
      <c r="AA403" s="5"/>
      <c r="AB403" s="5"/>
      <c r="AC403" s="5"/>
      <c r="AD403" s="6"/>
    </row>
    <row r="404">
      <c r="A404" s="5"/>
      <c r="B404" s="5"/>
      <c r="C404" s="73"/>
      <c r="D404" s="73"/>
      <c r="E404" s="5"/>
      <c r="F404" s="5"/>
      <c r="G404" s="5"/>
      <c r="H404" s="5"/>
      <c r="I404" s="73"/>
      <c r="J404" s="5"/>
      <c r="K404" s="5"/>
      <c r="L404" s="73"/>
      <c r="M404" s="5"/>
      <c r="N404" s="5"/>
      <c r="O404" s="5"/>
      <c r="P404" s="5"/>
      <c r="Q404" s="5"/>
      <c r="R404" s="5"/>
      <c r="S404" s="5"/>
      <c r="T404" s="5"/>
      <c r="U404" s="5"/>
      <c r="V404" s="5"/>
      <c r="W404" s="5"/>
      <c r="X404" s="5"/>
      <c r="Y404" s="5"/>
      <c r="Z404" s="5"/>
      <c r="AA404" s="5"/>
      <c r="AB404" s="5"/>
      <c r="AC404" s="5"/>
      <c r="AD404" s="6"/>
    </row>
    <row r="405">
      <c r="A405" s="5"/>
      <c r="B405" s="5"/>
      <c r="C405" s="73"/>
      <c r="D405" s="73"/>
      <c r="E405" s="5"/>
      <c r="F405" s="5"/>
      <c r="G405" s="5"/>
      <c r="H405" s="5"/>
      <c r="I405" s="73"/>
      <c r="J405" s="5"/>
      <c r="K405" s="5"/>
      <c r="L405" s="73"/>
      <c r="M405" s="5"/>
      <c r="N405" s="5"/>
      <c r="O405" s="5"/>
      <c r="P405" s="5"/>
      <c r="Q405" s="5"/>
      <c r="R405" s="5"/>
      <c r="S405" s="5"/>
      <c r="T405" s="5"/>
      <c r="U405" s="5"/>
      <c r="V405" s="5"/>
      <c r="W405" s="5"/>
      <c r="X405" s="5"/>
      <c r="Y405" s="5"/>
      <c r="Z405" s="5"/>
      <c r="AA405" s="5"/>
      <c r="AB405" s="5"/>
      <c r="AC405" s="5"/>
      <c r="AD405" s="6"/>
    </row>
    <row r="406">
      <c r="A406" s="5"/>
      <c r="B406" s="5"/>
      <c r="C406" s="73"/>
      <c r="D406" s="73"/>
      <c r="E406" s="5"/>
      <c r="F406" s="5"/>
      <c r="G406" s="5"/>
      <c r="H406" s="5"/>
      <c r="I406" s="73"/>
      <c r="J406" s="5"/>
      <c r="K406" s="5"/>
      <c r="L406" s="73"/>
      <c r="M406" s="5"/>
      <c r="N406" s="5"/>
      <c r="O406" s="5"/>
      <c r="P406" s="5"/>
      <c r="Q406" s="5"/>
      <c r="R406" s="5"/>
      <c r="S406" s="5"/>
      <c r="T406" s="5"/>
      <c r="U406" s="5"/>
      <c r="V406" s="5"/>
      <c r="W406" s="5"/>
      <c r="X406" s="5"/>
      <c r="Y406" s="5"/>
      <c r="Z406" s="5"/>
      <c r="AA406" s="5"/>
      <c r="AB406" s="5"/>
      <c r="AC406" s="5"/>
      <c r="AD406" s="6"/>
    </row>
    <row r="407">
      <c r="A407" s="5"/>
      <c r="B407" s="5"/>
      <c r="C407" s="73"/>
      <c r="D407" s="73"/>
      <c r="E407" s="5"/>
      <c r="F407" s="5"/>
      <c r="G407" s="5"/>
      <c r="H407" s="5"/>
      <c r="I407" s="73"/>
      <c r="J407" s="5"/>
      <c r="K407" s="5"/>
      <c r="L407" s="73"/>
      <c r="M407" s="5"/>
      <c r="N407" s="5"/>
      <c r="O407" s="5"/>
      <c r="P407" s="5"/>
      <c r="Q407" s="5"/>
      <c r="R407" s="5"/>
      <c r="S407" s="5"/>
      <c r="T407" s="5"/>
      <c r="U407" s="5"/>
      <c r="V407" s="5"/>
      <c r="W407" s="5"/>
      <c r="X407" s="5"/>
      <c r="Y407" s="5"/>
      <c r="Z407" s="5"/>
      <c r="AA407" s="5"/>
      <c r="AB407" s="5"/>
      <c r="AC407" s="5"/>
      <c r="AD407" s="6"/>
    </row>
    <row r="408">
      <c r="A408" s="5"/>
      <c r="B408" s="5"/>
      <c r="C408" s="73"/>
      <c r="D408" s="73"/>
      <c r="E408" s="5"/>
      <c r="F408" s="5"/>
      <c r="G408" s="5"/>
      <c r="H408" s="5"/>
      <c r="I408" s="73"/>
      <c r="J408" s="5"/>
      <c r="K408" s="5"/>
      <c r="L408" s="73"/>
      <c r="M408" s="5"/>
      <c r="N408" s="5"/>
      <c r="O408" s="5"/>
      <c r="P408" s="5"/>
      <c r="Q408" s="5"/>
      <c r="R408" s="5"/>
      <c r="S408" s="5"/>
      <c r="T408" s="5"/>
      <c r="U408" s="5"/>
      <c r="V408" s="5"/>
      <c r="W408" s="5"/>
      <c r="X408" s="5"/>
      <c r="Y408" s="5"/>
      <c r="Z408" s="5"/>
      <c r="AA408" s="5"/>
      <c r="AB408" s="5"/>
      <c r="AC408" s="5"/>
      <c r="AD408" s="6"/>
    </row>
    <row r="409">
      <c r="A409" s="5"/>
      <c r="B409" s="5"/>
      <c r="C409" s="73"/>
      <c r="D409" s="73"/>
      <c r="E409" s="5"/>
      <c r="F409" s="5"/>
      <c r="G409" s="5"/>
      <c r="H409" s="5"/>
      <c r="I409" s="73"/>
      <c r="J409" s="5"/>
      <c r="K409" s="5"/>
      <c r="L409" s="73"/>
      <c r="M409" s="5"/>
      <c r="N409" s="5"/>
      <c r="O409" s="5"/>
      <c r="P409" s="5"/>
      <c r="Q409" s="5"/>
      <c r="R409" s="5"/>
      <c r="S409" s="5"/>
      <c r="T409" s="5"/>
      <c r="U409" s="5"/>
      <c r="V409" s="5"/>
      <c r="W409" s="5"/>
      <c r="X409" s="5"/>
      <c r="Y409" s="5"/>
      <c r="Z409" s="5"/>
      <c r="AA409" s="5"/>
      <c r="AB409" s="5"/>
      <c r="AC409" s="5"/>
      <c r="AD409" s="6"/>
    </row>
    <row r="410">
      <c r="A410" s="5"/>
      <c r="B410" s="5"/>
      <c r="C410" s="73"/>
      <c r="D410" s="73"/>
      <c r="E410" s="5"/>
      <c r="F410" s="5"/>
      <c r="G410" s="5"/>
      <c r="H410" s="5"/>
      <c r="I410" s="73"/>
      <c r="J410" s="5"/>
      <c r="K410" s="5"/>
      <c r="L410" s="73"/>
      <c r="M410" s="5"/>
      <c r="N410" s="5"/>
      <c r="O410" s="5"/>
      <c r="P410" s="5"/>
      <c r="Q410" s="5"/>
      <c r="R410" s="5"/>
      <c r="S410" s="5"/>
      <c r="T410" s="5"/>
      <c r="U410" s="5"/>
      <c r="V410" s="5"/>
      <c r="W410" s="5"/>
      <c r="X410" s="5"/>
      <c r="Y410" s="5"/>
      <c r="Z410" s="5"/>
      <c r="AA410" s="5"/>
      <c r="AB410" s="5"/>
      <c r="AC410" s="5"/>
      <c r="AD410" s="6"/>
    </row>
    <row r="411">
      <c r="A411" s="5"/>
      <c r="B411" s="5"/>
      <c r="C411" s="73"/>
      <c r="D411" s="73"/>
      <c r="E411" s="5"/>
      <c r="F411" s="5"/>
      <c r="G411" s="5"/>
      <c r="H411" s="5"/>
      <c r="I411" s="73"/>
      <c r="J411" s="5"/>
      <c r="K411" s="5"/>
      <c r="L411" s="73"/>
      <c r="M411" s="5"/>
      <c r="N411" s="5"/>
      <c r="O411" s="5"/>
      <c r="P411" s="5"/>
      <c r="Q411" s="5"/>
      <c r="R411" s="5"/>
      <c r="S411" s="5"/>
      <c r="T411" s="5"/>
      <c r="U411" s="5"/>
      <c r="V411" s="5"/>
      <c r="W411" s="5"/>
      <c r="X411" s="5"/>
      <c r="Y411" s="5"/>
      <c r="Z411" s="5"/>
      <c r="AA411" s="5"/>
      <c r="AB411" s="5"/>
      <c r="AC411" s="5"/>
      <c r="AD411" s="6"/>
    </row>
    <row r="412">
      <c r="A412" s="5"/>
      <c r="B412" s="5"/>
      <c r="C412" s="73"/>
      <c r="D412" s="73"/>
      <c r="E412" s="5"/>
      <c r="F412" s="5"/>
      <c r="G412" s="5"/>
      <c r="H412" s="5"/>
      <c r="I412" s="73"/>
      <c r="J412" s="5"/>
      <c r="K412" s="5"/>
      <c r="L412" s="73"/>
      <c r="M412" s="5"/>
      <c r="N412" s="5"/>
      <c r="O412" s="5"/>
      <c r="P412" s="5"/>
      <c r="Q412" s="5"/>
      <c r="R412" s="5"/>
      <c r="S412" s="5"/>
      <c r="T412" s="5"/>
      <c r="U412" s="5"/>
      <c r="V412" s="5"/>
      <c r="W412" s="5"/>
      <c r="X412" s="5"/>
      <c r="Y412" s="5"/>
      <c r="Z412" s="5"/>
      <c r="AA412" s="5"/>
      <c r="AB412" s="5"/>
      <c r="AC412" s="5"/>
      <c r="AD412" s="6"/>
    </row>
    <row r="413">
      <c r="A413" s="5"/>
      <c r="B413" s="5"/>
      <c r="C413" s="73"/>
      <c r="D413" s="73"/>
      <c r="E413" s="5"/>
      <c r="F413" s="5"/>
      <c r="G413" s="5"/>
      <c r="H413" s="5"/>
      <c r="I413" s="73"/>
      <c r="J413" s="5"/>
      <c r="K413" s="5"/>
      <c r="L413" s="73"/>
      <c r="M413" s="5"/>
      <c r="N413" s="5"/>
      <c r="O413" s="5"/>
      <c r="P413" s="5"/>
      <c r="Q413" s="5"/>
      <c r="R413" s="5"/>
      <c r="S413" s="5"/>
      <c r="T413" s="5"/>
      <c r="U413" s="5"/>
      <c r="V413" s="5"/>
      <c r="W413" s="5"/>
      <c r="X413" s="5"/>
      <c r="Y413" s="5"/>
      <c r="Z413" s="5"/>
      <c r="AA413" s="5"/>
      <c r="AB413" s="5"/>
      <c r="AC413" s="5"/>
      <c r="AD413" s="6"/>
    </row>
    <row r="414">
      <c r="A414" s="5"/>
      <c r="B414" s="5"/>
      <c r="C414" s="73"/>
      <c r="D414" s="73"/>
      <c r="E414" s="5"/>
      <c r="F414" s="5"/>
      <c r="G414" s="5"/>
      <c r="H414" s="5"/>
      <c r="I414" s="73"/>
      <c r="J414" s="5"/>
      <c r="K414" s="5"/>
      <c r="L414" s="73"/>
      <c r="M414" s="5"/>
      <c r="N414" s="5"/>
      <c r="O414" s="5"/>
      <c r="P414" s="5"/>
      <c r="Q414" s="5"/>
      <c r="R414" s="5"/>
      <c r="S414" s="5"/>
      <c r="T414" s="5"/>
      <c r="U414" s="5"/>
      <c r="V414" s="5"/>
      <c r="W414" s="5"/>
      <c r="X414" s="5"/>
      <c r="Y414" s="5"/>
      <c r="Z414" s="5"/>
      <c r="AA414" s="5"/>
      <c r="AB414" s="5"/>
      <c r="AC414" s="5"/>
      <c r="AD414" s="6"/>
    </row>
    <row r="415">
      <c r="A415" s="5"/>
      <c r="B415" s="5"/>
      <c r="C415" s="73"/>
      <c r="D415" s="73"/>
      <c r="E415" s="5"/>
      <c r="F415" s="5"/>
      <c r="G415" s="5"/>
      <c r="H415" s="5"/>
      <c r="I415" s="73"/>
      <c r="J415" s="5"/>
      <c r="K415" s="5"/>
      <c r="L415" s="73"/>
      <c r="M415" s="5"/>
      <c r="N415" s="5"/>
      <c r="O415" s="5"/>
      <c r="P415" s="5"/>
      <c r="Q415" s="5"/>
      <c r="R415" s="5"/>
      <c r="S415" s="5"/>
      <c r="T415" s="5"/>
      <c r="U415" s="5"/>
      <c r="V415" s="5"/>
      <c r="W415" s="5"/>
      <c r="X415" s="5"/>
      <c r="Y415" s="5"/>
      <c r="Z415" s="5"/>
      <c r="AA415" s="5"/>
      <c r="AB415" s="5"/>
      <c r="AC415" s="5"/>
      <c r="AD415" s="6"/>
    </row>
    <row r="416">
      <c r="A416" s="5"/>
      <c r="B416" s="5"/>
      <c r="C416" s="73"/>
      <c r="D416" s="73"/>
      <c r="E416" s="5"/>
      <c r="F416" s="5"/>
      <c r="G416" s="5"/>
      <c r="H416" s="5"/>
      <c r="I416" s="73"/>
      <c r="J416" s="5"/>
      <c r="K416" s="5"/>
      <c r="L416" s="73"/>
      <c r="M416" s="5"/>
      <c r="N416" s="5"/>
      <c r="O416" s="5"/>
      <c r="P416" s="5"/>
      <c r="Q416" s="5"/>
      <c r="R416" s="5"/>
      <c r="S416" s="5"/>
      <c r="T416" s="5"/>
      <c r="U416" s="5"/>
      <c r="V416" s="5"/>
      <c r="W416" s="5"/>
      <c r="X416" s="5"/>
      <c r="Y416" s="5"/>
      <c r="Z416" s="5"/>
      <c r="AA416" s="5"/>
      <c r="AB416" s="5"/>
      <c r="AC416" s="5"/>
      <c r="AD416" s="6"/>
    </row>
    <row r="417">
      <c r="A417" s="5"/>
      <c r="B417" s="5"/>
      <c r="C417" s="73"/>
      <c r="D417" s="73"/>
      <c r="E417" s="5"/>
      <c r="F417" s="5"/>
      <c r="G417" s="5"/>
      <c r="H417" s="5"/>
      <c r="I417" s="73"/>
      <c r="J417" s="5"/>
      <c r="K417" s="5"/>
      <c r="L417" s="73"/>
      <c r="M417" s="5"/>
      <c r="N417" s="5"/>
      <c r="O417" s="5"/>
      <c r="P417" s="5"/>
      <c r="Q417" s="5"/>
      <c r="R417" s="5"/>
      <c r="S417" s="5"/>
      <c r="T417" s="5"/>
      <c r="U417" s="5"/>
      <c r="V417" s="5"/>
      <c r="W417" s="5"/>
      <c r="X417" s="5"/>
      <c r="Y417" s="5"/>
      <c r="Z417" s="5"/>
      <c r="AA417" s="5"/>
      <c r="AB417" s="5"/>
      <c r="AC417" s="5"/>
      <c r="AD417" s="6"/>
    </row>
    <row r="418">
      <c r="A418" s="5"/>
      <c r="B418" s="5"/>
      <c r="C418" s="73"/>
      <c r="D418" s="73"/>
      <c r="E418" s="5"/>
      <c r="F418" s="5"/>
      <c r="G418" s="5"/>
      <c r="H418" s="5"/>
      <c r="I418" s="73"/>
      <c r="J418" s="5"/>
      <c r="K418" s="5"/>
      <c r="L418" s="73"/>
      <c r="M418" s="5"/>
      <c r="N418" s="5"/>
      <c r="O418" s="5"/>
      <c r="P418" s="5"/>
      <c r="Q418" s="5"/>
      <c r="R418" s="5"/>
      <c r="S418" s="5"/>
      <c r="T418" s="5"/>
      <c r="U418" s="5"/>
      <c r="V418" s="5"/>
      <c r="W418" s="5"/>
      <c r="X418" s="5"/>
      <c r="Y418" s="5"/>
      <c r="Z418" s="5"/>
      <c r="AA418" s="5"/>
      <c r="AB418" s="5"/>
      <c r="AC418" s="5"/>
      <c r="AD418" s="6"/>
    </row>
    <row r="419">
      <c r="A419" s="5"/>
      <c r="B419" s="5"/>
      <c r="C419" s="73"/>
      <c r="D419" s="73"/>
      <c r="E419" s="5"/>
      <c r="F419" s="5"/>
      <c r="G419" s="5"/>
      <c r="H419" s="5"/>
      <c r="I419" s="73"/>
      <c r="J419" s="5"/>
      <c r="K419" s="5"/>
      <c r="L419" s="73"/>
      <c r="M419" s="5"/>
      <c r="N419" s="5"/>
      <c r="O419" s="5"/>
      <c r="P419" s="5"/>
      <c r="Q419" s="5"/>
      <c r="R419" s="5"/>
      <c r="S419" s="5"/>
      <c r="T419" s="5"/>
      <c r="U419" s="5"/>
      <c r="V419" s="5"/>
      <c r="W419" s="5"/>
      <c r="X419" s="5"/>
      <c r="Y419" s="5"/>
      <c r="Z419" s="5"/>
      <c r="AA419" s="5"/>
      <c r="AB419" s="5"/>
      <c r="AC419" s="5"/>
      <c r="AD419" s="6"/>
    </row>
    <row r="420">
      <c r="A420" s="5"/>
      <c r="B420" s="5"/>
      <c r="C420" s="73"/>
      <c r="D420" s="73"/>
      <c r="E420" s="5"/>
      <c r="F420" s="5"/>
      <c r="G420" s="5"/>
      <c r="H420" s="5"/>
      <c r="I420" s="73"/>
      <c r="J420" s="5"/>
      <c r="K420" s="5"/>
      <c r="L420" s="73"/>
      <c r="M420" s="5"/>
      <c r="N420" s="5"/>
      <c r="O420" s="5"/>
      <c r="P420" s="5"/>
      <c r="Q420" s="5"/>
      <c r="R420" s="5"/>
      <c r="S420" s="5"/>
      <c r="T420" s="5"/>
      <c r="U420" s="5"/>
      <c r="V420" s="5"/>
      <c r="W420" s="5"/>
      <c r="X420" s="5"/>
      <c r="Y420" s="5"/>
      <c r="Z420" s="5"/>
      <c r="AA420" s="5"/>
      <c r="AB420" s="5"/>
      <c r="AC420" s="5"/>
      <c r="AD420" s="6"/>
    </row>
    <row r="421">
      <c r="A421" s="5"/>
      <c r="B421" s="5"/>
      <c r="C421" s="73"/>
      <c r="D421" s="73"/>
      <c r="E421" s="5"/>
      <c r="F421" s="5"/>
      <c r="G421" s="5"/>
      <c r="H421" s="5"/>
      <c r="I421" s="73"/>
      <c r="J421" s="5"/>
      <c r="K421" s="5"/>
      <c r="L421" s="73"/>
      <c r="M421" s="5"/>
      <c r="N421" s="5"/>
      <c r="O421" s="5"/>
      <c r="P421" s="5"/>
      <c r="Q421" s="5"/>
      <c r="R421" s="5"/>
      <c r="S421" s="5"/>
      <c r="T421" s="5"/>
      <c r="U421" s="5"/>
      <c r="V421" s="5"/>
      <c r="W421" s="5"/>
      <c r="X421" s="5"/>
      <c r="Y421" s="5"/>
      <c r="Z421" s="5"/>
      <c r="AA421" s="5"/>
      <c r="AB421" s="5"/>
      <c r="AC421" s="5"/>
      <c r="AD421" s="6"/>
    </row>
    <row r="422">
      <c r="A422" s="5"/>
      <c r="B422" s="5"/>
      <c r="C422" s="73"/>
      <c r="D422" s="73"/>
      <c r="E422" s="5"/>
      <c r="F422" s="5"/>
      <c r="G422" s="5"/>
      <c r="H422" s="5"/>
      <c r="I422" s="73"/>
      <c r="J422" s="5"/>
      <c r="K422" s="5"/>
      <c r="L422" s="73"/>
      <c r="M422" s="5"/>
      <c r="N422" s="5"/>
      <c r="O422" s="5"/>
      <c r="P422" s="5"/>
      <c r="Q422" s="5"/>
      <c r="R422" s="5"/>
      <c r="S422" s="5"/>
      <c r="T422" s="5"/>
      <c r="U422" s="5"/>
      <c r="V422" s="5"/>
      <c r="W422" s="5"/>
      <c r="X422" s="5"/>
      <c r="Y422" s="5"/>
      <c r="Z422" s="5"/>
      <c r="AA422" s="5"/>
      <c r="AB422" s="5"/>
      <c r="AC422" s="5"/>
      <c r="AD422" s="6"/>
    </row>
    <row r="423">
      <c r="A423" s="5"/>
      <c r="B423" s="5"/>
      <c r="C423" s="73"/>
      <c r="D423" s="73"/>
      <c r="E423" s="5"/>
      <c r="F423" s="5"/>
      <c r="G423" s="5"/>
      <c r="H423" s="5"/>
      <c r="I423" s="73"/>
      <c r="J423" s="5"/>
      <c r="K423" s="5"/>
      <c r="L423" s="73"/>
      <c r="M423" s="5"/>
      <c r="N423" s="5"/>
      <c r="O423" s="5"/>
      <c r="P423" s="5"/>
      <c r="Q423" s="5"/>
      <c r="R423" s="5"/>
      <c r="S423" s="5"/>
      <c r="T423" s="5"/>
      <c r="U423" s="5"/>
      <c r="V423" s="5"/>
      <c r="W423" s="5"/>
      <c r="X423" s="5"/>
      <c r="Y423" s="5"/>
      <c r="Z423" s="5"/>
      <c r="AA423" s="5"/>
      <c r="AB423" s="5"/>
      <c r="AC423" s="5"/>
      <c r="AD423" s="6"/>
    </row>
    <row r="424">
      <c r="A424" s="5"/>
      <c r="B424" s="5"/>
      <c r="C424" s="73"/>
      <c r="D424" s="73"/>
      <c r="E424" s="5"/>
      <c r="F424" s="5"/>
      <c r="G424" s="5"/>
      <c r="H424" s="5"/>
      <c r="I424" s="73"/>
      <c r="J424" s="5"/>
      <c r="K424" s="5"/>
      <c r="L424" s="73"/>
      <c r="M424" s="5"/>
      <c r="N424" s="5"/>
      <c r="O424" s="5"/>
      <c r="P424" s="5"/>
      <c r="Q424" s="5"/>
      <c r="R424" s="5"/>
      <c r="S424" s="5"/>
      <c r="T424" s="5"/>
      <c r="U424" s="5"/>
      <c r="V424" s="5"/>
      <c r="W424" s="5"/>
      <c r="X424" s="5"/>
      <c r="Y424" s="5"/>
      <c r="Z424" s="5"/>
      <c r="AA424" s="5"/>
      <c r="AB424" s="5"/>
      <c r="AC424" s="5"/>
      <c r="AD424" s="6"/>
    </row>
    <row r="425">
      <c r="A425" s="5"/>
      <c r="B425" s="5"/>
      <c r="C425" s="73"/>
      <c r="D425" s="73"/>
      <c r="E425" s="5"/>
      <c r="F425" s="5"/>
      <c r="G425" s="5"/>
      <c r="H425" s="5"/>
      <c r="I425" s="73"/>
      <c r="J425" s="5"/>
      <c r="K425" s="5"/>
      <c r="L425" s="73"/>
      <c r="M425" s="5"/>
      <c r="N425" s="5"/>
      <c r="O425" s="5"/>
      <c r="P425" s="5"/>
      <c r="Q425" s="5"/>
      <c r="R425" s="5"/>
      <c r="S425" s="5"/>
      <c r="T425" s="5"/>
      <c r="U425" s="5"/>
      <c r="V425" s="5"/>
      <c r="W425" s="5"/>
      <c r="X425" s="5"/>
      <c r="Y425" s="5"/>
      <c r="Z425" s="5"/>
      <c r="AA425" s="5"/>
      <c r="AB425" s="5"/>
      <c r="AC425" s="5"/>
      <c r="AD425" s="6"/>
    </row>
    <row r="426">
      <c r="A426" s="5"/>
      <c r="B426" s="5"/>
      <c r="C426" s="73"/>
      <c r="D426" s="73"/>
      <c r="E426" s="5"/>
      <c r="F426" s="5"/>
      <c r="G426" s="5"/>
      <c r="H426" s="5"/>
      <c r="I426" s="73"/>
      <c r="J426" s="5"/>
      <c r="K426" s="5"/>
      <c r="L426" s="73"/>
      <c r="M426" s="5"/>
      <c r="N426" s="5"/>
      <c r="O426" s="5"/>
      <c r="P426" s="5"/>
      <c r="Q426" s="5"/>
      <c r="R426" s="5"/>
      <c r="S426" s="5"/>
      <c r="T426" s="5"/>
      <c r="U426" s="5"/>
      <c r="V426" s="5"/>
      <c r="W426" s="5"/>
      <c r="X426" s="5"/>
      <c r="Y426" s="5"/>
      <c r="Z426" s="5"/>
      <c r="AA426" s="5"/>
      <c r="AB426" s="5"/>
      <c r="AC426" s="5"/>
      <c r="AD426" s="6"/>
    </row>
    <row r="427">
      <c r="A427" s="5"/>
      <c r="B427" s="5"/>
      <c r="C427" s="73"/>
      <c r="D427" s="73"/>
      <c r="E427" s="5"/>
      <c r="F427" s="5"/>
      <c r="G427" s="5"/>
      <c r="H427" s="5"/>
      <c r="I427" s="73"/>
      <c r="J427" s="5"/>
      <c r="K427" s="5"/>
      <c r="L427" s="73"/>
      <c r="M427" s="5"/>
      <c r="N427" s="5"/>
      <c r="O427" s="5"/>
      <c r="P427" s="5"/>
      <c r="Q427" s="5"/>
      <c r="R427" s="5"/>
      <c r="S427" s="5"/>
      <c r="T427" s="5"/>
      <c r="U427" s="5"/>
      <c r="V427" s="5"/>
      <c r="W427" s="5"/>
      <c r="X427" s="5"/>
      <c r="Y427" s="5"/>
      <c r="Z427" s="5"/>
      <c r="AA427" s="5"/>
      <c r="AB427" s="5"/>
      <c r="AC427" s="5"/>
      <c r="AD427" s="6"/>
    </row>
    <row r="428">
      <c r="A428" s="5"/>
      <c r="B428" s="5"/>
      <c r="C428" s="73"/>
      <c r="D428" s="73"/>
      <c r="E428" s="5"/>
      <c r="F428" s="5"/>
      <c r="G428" s="5"/>
      <c r="H428" s="5"/>
      <c r="I428" s="73"/>
      <c r="J428" s="5"/>
      <c r="K428" s="5"/>
      <c r="L428" s="73"/>
      <c r="M428" s="5"/>
      <c r="N428" s="5"/>
      <c r="O428" s="5"/>
      <c r="P428" s="5"/>
      <c r="Q428" s="5"/>
      <c r="R428" s="5"/>
      <c r="S428" s="5"/>
      <c r="T428" s="5"/>
      <c r="U428" s="5"/>
      <c r="V428" s="5"/>
      <c r="W428" s="5"/>
      <c r="X428" s="5"/>
      <c r="Y428" s="5"/>
      <c r="Z428" s="5"/>
      <c r="AA428" s="5"/>
      <c r="AB428" s="5"/>
      <c r="AC428" s="5"/>
      <c r="AD428" s="6"/>
    </row>
    <row r="429">
      <c r="A429" s="5"/>
      <c r="B429" s="5"/>
      <c r="C429" s="73"/>
      <c r="D429" s="73"/>
      <c r="E429" s="5"/>
      <c r="F429" s="5"/>
      <c r="G429" s="5"/>
      <c r="H429" s="5"/>
      <c r="I429" s="73"/>
      <c r="J429" s="5"/>
      <c r="K429" s="5"/>
      <c r="L429" s="73"/>
      <c r="M429" s="5"/>
      <c r="N429" s="5"/>
      <c r="O429" s="5"/>
      <c r="P429" s="5"/>
      <c r="Q429" s="5"/>
      <c r="R429" s="5"/>
      <c r="S429" s="5"/>
      <c r="T429" s="5"/>
      <c r="U429" s="5"/>
      <c r="V429" s="5"/>
      <c r="W429" s="5"/>
      <c r="X429" s="5"/>
      <c r="Y429" s="5"/>
      <c r="Z429" s="5"/>
      <c r="AA429" s="5"/>
      <c r="AB429" s="5"/>
      <c r="AC429" s="5"/>
      <c r="AD429" s="6"/>
    </row>
    <row r="430">
      <c r="A430" s="5"/>
      <c r="B430" s="5"/>
      <c r="C430" s="73"/>
      <c r="D430" s="73"/>
      <c r="E430" s="5"/>
      <c r="F430" s="5"/>
      <c r="G430" s="5"/>
      <c r="H430" s="5"/>
      <c r="I430" s="73"/>
      <c r="J430" s="5"/>
      <c r="K430" s="5"/>
      <c r="L430" s="73"/>
      <c r="M430" s="5"/>
      <c r="N430" s="5"/>
      <c r="O430" s="5"/>
      <c r="P430" s="5"/>
      <c r="Q430" s="5"/>
      <c r="R430" s="5"/>
      <c r="S430" s="5"/>
      <c r="T430" s="5"/>
      <c r="U430" s="5"/>
      <c r="V430" s="5"/>
      <c r="W430" s="5"/>
      <c r="X430" s="5"/>
      <c r="Y430" s="5"/>
      <c r="Z430" s="5"/>
      <c r="AA430" s="5"/>
      <c r="AB430" s="5"/>
      <c r="AC430" s="5"/>
      <c r="AD430" s="6"/>
    </row>
    <row r="431">
      <c r="A431" s="5"/>
      <c r="B431" s="5"/>
      <c r="C431" s="73"/>
      <c r="D431" s="73"/>
      <c r="E431" s="5"/>
      <c r="F431" s="5"/>
      <c r="G431" s="5"/>
      <c r="H431" s="5"/>
      <c r="I431" s="73"/>
      <c r="J431" s="5"/>
      <c r="K431" s="5"/>
      <c r="L431" s="73"/>
      <c r="M431" s="5"/>
      <c r="N431" s="5"/>
      <c r="O431" s="5"/>
      <c r="P431" s="5"/>
      <c r="Q431" s="5"/>
      <c r="R431" s="5"/>
      <c r="S431" s="5"/>
      <c r="T431" s="5"/>
      <c r="U431" s="5"/>
      <c r="V431" s="5"/>
      <c r="W431" s="5"/>
      <c r="X431" s="5"/>
      <c r="Y431" s="5"/>
      <c r="Z431" s="5"/>
      <c r="AA431" s="5"/>
      <c r="AB431" s="5"/>
      <c r="AC431" s="5"/>
      <c r="AD431" s="6"/>
    </row>
    <row r="432">
      <c r="A432" s="5"/>
      <c r="B432" s="5"/>
      <c r="C432" s="73"/>
      <c r="D432" s="73"/>
      <c r="E432" s="5"/>
      <c r="F432" s="5"/>
      <c r="G432" s="5"/>
      <c r="H432" s="5"/>
      <c r="I432" s="73"/>
      <c r="J432" s="5"/>
      <c r="K432" s="5"/>
      <c r="L432" s="73"/>
      <c r="M432" s="5"/>
      <c r="N432" s="5"/>
      <c r="O432" s="5"/>
      <c r="P432" s="5"/>
      <c r="Q432" s="5"/>
      <c r="R432" s="5"/>
      <c r="S432" s="5"/>
      <c r="T432" s="5"/>
      <c r="U432" s="5"/>
      <c r="V432" s="5"/>
      <c r="W432" s="5"/>
      <c r="X432" s="5"/>
      <c r="Y432" s="5"/>
      <c r="Z432" s="5"/>
      <c r="AA432" s="5"/>
      <c r="AB432" s="5"/>
      <c r="AC432" s="5"/>
      <c r="AD432" s="6"/>
    </row>
    <row r="433">
      <c r="A433" s="5"/>
      <c r="B433" s="5"/>
      <c r="C433" s="73"/>
      <c r="D433" s="73"/>
      <c r="E433" s="5"/>
      <c r="F433" s="5"/>
      <c r="G433" s="5"/>
      <c r="H433" s="5"/>
      <c r="I433" s="73"/>
      <c r="J433" s="5"/>
      <c r="K433" s="5"/>
      <c r="L433" s="73"/>
      <c r="M433" s="5"/>
      <c r="N433" s="5"/>
      <c r="O433" s="5"/>
      <c r="P433" s="5"/>
      <c r="Q433" s="5"/>
      <c r="R433" s="5"/>
      <c r="S433" s="5"/>
      <c r="T433" s="5"/>
      <c r="U433" s="5"/>
      <c r="V433" s="5"/>
      <c r="W433" s="5"/>
      <c r="X433" s="5"/>
      <c r="Y433" s="5"/>
      <c r="Z433" s="5"/>
      <c r="AA433" s="5"/>
      <c r="AB433" s="5"/>
      <c r="AC433" s="5"/>
      <c r="AD433" s="6"/>
    </row>
    <row r="434">
      <c r="A434" s="5"/>
      <c r="B434" s="5"/>
      <c r="C434" s="73"/>
      <c r="D434" s="73"/>
      <c r="E434" s="5"/>
      <c r="F434" s="5"/>
      <c r="G434" s="5"/>
      <c r="H434" s="5"/>
      <c r="I434" s="73"/>
      <c r="J434" s="5"/>
      <c r="K434" s="5"/>
      <c r="L434" s="73"/>
      <c r="M434" s="5"/>
      <c r="N434" s="5"/>
      <c r="O434" s="5"/>
      <c r="P434" s="5"/>
      <c r="Q434" s="5"/>
      <c r="R434" s="5"/>
      <c r="S434" s="5"/>
      <c r="T434" s="5"/>
      <c r="U434" s="5"/>
      <c r="V434" s="5"/>
      <c r="W434" s="5"/>
      <c r="X434" s="5"/>
      <c r="Y434" s="5"/>
      <c r="Z434" s="5"/>
      <c r="AA434" s="5"/>
      <c r="AB434" s="5"/>
      <c r="AC434" s="5"/>
      <c r="AD434" s="6"/>
    </row>
    <row r="435">
      <c r="A435" s="5"/>
      <c r="B435" s="5"/>
      <c r="C435" s="73"/>
      <c r="D435" s="73"/>
      <c r="E435" s="5"/>
      <c r="F435" s="5"/>
      <c r="G435" s="5"/>
      <c r="H435" s="5"/>
      <c r="I435" s="73"/>
      <c r="J435" s="5"/>
      <c r="K435" s="5"/>
      <c r="L435" s="73"/>
      <c r="M435" s="5"/>
      <c r="N435" s="5"/>
      <c r="O435" s="5"/>
      <c r="P435" s="5"/>
      <c r="Q435" s="5"/>
      <c r="R435" s="5"/>
      <c r="S435" s="5"/>
      <c r="T435" s="5"/>
      <c r="U435" s="5"/>
      <c r="V435" s="5"/>
      <c r="W435" s="5"/>
      <c r="X435" s="5"/>
      <c r="Y435" s="5"/>
      <c r="Z435" s="5"/>
      <c r="AA435" s="5"/>
      <c r="AB435" s="5"/>
      <c r="AC435" s="5"/>
      <c r="AD435" s="6"/>
    </row>
    <row r="436">
      <c r="A436" s="5"/>
      <c r="B436" s="5"/>
      <c r="C436" s="73"/>
      <c r="D436" s="73"/>
      <c r="E436" s="5"/>
      <c r="F436" s="5"/>
      <c r="G436" s="5"/>
      <c r="H436" s="5"/>
      <c r="I436" s="73"/>
      <c r="J436" s="5"/>
      <c r="K436" s="5"/>
      <c r="L436" s="73"/>
      <c r="M436" s="5"/>
      <c r="N436" s="5"/>
      <c r="O436" s="5"/>
      <c r="P436" s="5"/>
      <c r="Q436" s="5"/>
      <c r="R436" s="5"/>
      <c r="S436" s="5"/>
      <c r="T436" s="5"/>
      <c r="U436" s="5"/>
      <c r="V436" s="5"/>
      <c r="W436" s="5"/>
      <c r="X436" s="5"/>
      <c r="Y436" s="5"/>
      <c r="Z436" s="5"/>
      <c r="AA436" s="5"/>
      <c r="AB436" s="5"/>
      <c r="AC436" s="5"/>
      <c r="AD436" s="6"/>
    </row>
    <row r="437">
      <c r="A437" s="5"/>
      <c r="B437" s="5"/>
      <c r="C437" s="73"/>
      <c r="D437" s="73"/>
      <c r="E437" s="5"/>
      <c r="F437" s="5"/>
      <c r="G437" s="5"/>
      <c r="H437" s="5"/>
      <c r="I437" s="73"/>
      <c r="J437" s="5"/>
      <c r="K437" s="5"/>
      <c r="L437" s="73"/>
      <c r="M437" s="5"/>
      <c r="N437" s="5"/>
      <c r="O437" s="5"/>
      <c r="P437" s="5"/>
      <c r="Q437" s="5"/>
      <c r="R437" s="5"/>
      <c r="S437" s="5"/>
      <c r="T437" s="5"/>
      <c r="U437" s="5"/>
      <c r="V437" s="5"/>
      <c r="W437" s="5"/>
      <c r="X437" s="5"/>
      <c r="Y437" s="5"/>
      <c r="Z437" s="5"/>
      <c r="AA437" s="5"/>
      <c r="AB437" s="5"/>
      <c r="AC437" s="5"/>
      <c r="AD437" s="6"/>
    </row>
    <row r="438">
      <c r="A438" s="5"/>
      <c r="B438" s="5"/>
      <c r="C438" s="73"/>
      <c r="D438" s="73"/>
      <c r="E438" s="5"/>
      <c r="F438" s="5"/>
      <c r="G438" s="5"/>
      <c r="H438" s="5"/>
      <c r="I438" s="73"/>
      <c r="J438" s="5"/>
      <c r="K438" s="5"/>
      <c r="L438" s="73"/>
      <c r="M438" s="5"/>
      <c r="N438" s="5"/>
      <c r="O438" s="5"/>
      <c r="P438" s="5"/>
      <c r="Q438" s="5"/>
      <c r="R438" s="5"/>
      <c r="S438" s="5"/>
      <c r="T438" s="5"/>
      <c r="U438" s="5"/>
      <c r="V438" s="5"/>
      <c r="W438" s="5"/>
      <c r="X438" s="5"/>
      <c r="Y438" s="5"/>
      <c r="Z438" s="5"/>
      <c r="AA438" s="5"/>
      <c r="AB438" s="5"/>
      <c r="AC438" s="5"/>
      <c r="AD438" s="6"/>
    </row>
    <row r="439">
      <c r="A439" s="5"/>
      <c r="B439" s="5"/>
      <c r="C439" s="73"/>
      <c r="D439" s="73"/>
      <c r="E439" s="5"/>
      <c r="F439" s="5"/>
      <c r="G439" s="5"/>
      <c r="H439" s="5"/>
      <c r="I439" s="73"/>
      <c r="J439" s="5"/>
      <c r="K439" s="5"/>
      <c r="L439" s="73"/>
      <c r="M439" s="5"/>
      <c r="N439" s="5"/>
      <c r="O439" s="5"/>
      <c r="P439" s="5"/>
      <c r="Q439" s="5"/>
      <c r="R439" s="5"/>
      <c r="S439" s="5"/>
      <c r="T439" s="5"/>
      <c r="U439" s="5"/>
      <c r="V439" s="5"/>
      <c r="W439" s="5"/>
      <c r="X439" s="5"/>
      <c r="Y439" s="5"/>
      <c r="Z439" s="5"/>
      <c r="AA439" s="5"/>
      <c r="AB439" s="5"/>
      <c r="AC439" s="5"/>
      <c r="AD439" s="6"/>
    </row>
    <row r="440">
      <c r="A440" s="5"/>
      <c r="B440" s="5"/>
      <c r="C440" s="73"/>
      <c r="D440" s="73"/>
      <c r="E440" s="5"/>
      <c r="F440" s="5"/>
      <c r="G440" s="5"/>
      <c r="H440" s="5"/>
      <c r="I440" s="73"/>
      <c r="J440" s="5"/>
      <c r="K440" s="5"/>
      <c r="L440" s="73"/>
      <c r="M440" s="5"/>
      <c r="N440" s="5"/>
      <c r="O440" s="5"/>
      <c r="P440" s="5"/>
      <c r="Q440" s="5"/>
      <c r="R440" s="5"/>
      <c r="S440" s="5"/>
      <c r="T440" s="5"/>
      <c r="U440" s="5"/>
      <c r="V440" s="5"/>
      <c r="W440" s="5"/>
      <c r="X440" s="5"/>
      <c r="Y440" s="5"/>
      <c r="Z440" s="5"/>
      <c r="AA440" s="5"/>
      <c r="AB440" s="5"/>
      <c r="AC440" s="5"/>
      <c r="AD440" s="6"/>
    </row>
    <row r="441">
      <c r="A441" s="5"/>
      <c r="B441" s="5"/>
      <c r="C441" s="73"/>
      <c r="D441" s="73"/>
      <c r="E441" s="5"/>
      <c r="F441" s="5"/>
      <c r="G441" s="5"/>
      <c r="H441" s="5"/>
      <c r="I441" s="73"/>
      <c r="J441" s="5"/>
      <c r="K441" s="5"/>
      <c r="L441" s="73"/>
      <c r="M441" s="5"/>
      <c r="N441" s="5"/>
      <c r="O441" s="5"/>
      <c r="P441" s="5"/>
      <c r="Q441" s="5"/>
      <c r="R441" s="5"/>
      <c r="S441" s="5"/>
      <c r="T441" s="5"/>
      <c r="U441" s="5"/>
      <c r="V441" s="5"/>
      <c r="W441" s="5"/>
      <c r="X441" s="5"/>
      <c r="Y441" s="5"/>
      <c r="Z441" s="5"/>
      <c r="AA441" s="5"/>
      <c r="AB441" s="5"/>
      <c r="AC441" s="5"/>
      <c r="AD441" s="6"/>
    </row>
    <row r="442">
      <c r="A442" s="5"/>
      <c r="B442" s="5"/>
      <c r="C442" s="73"/>
      <c r="D442" s="73"/>
      <c r="E442" s="5"/>
      <c r="F442" s="5"/>
      <c r="G442" s="5"/>
      <c r="H442" s="5"/>
      <c r="I442" s="73"/>
      <c r="J442" s="5"/>
      <c r="K442" s="5"/>
      <c r="L442" s="73"/>
      <c r="M442" s="5"/>
      <c r="N442" s="5"/>
      <c r="O442" s="5"/>
      <c r="P442" s="5"/>
      <c r="Q442" s="5"/>
      <c r="R442" s="5"/>
      <c r="S442" s="5"/>
      <c r="T442" s="5"/>
      <c r="U442" s="5"/>
      <c r="V442" s="5"/>
      <c r="W442" s="5"/>
      <c r="X442" s="5"/>
      <c r="Y442" s="5"/>
      <c r="Z442" s="5"/>
      <c r="AA442" s="5"/>
      <c r="AB442" s="5"/>
      <c r="AC442" s="5"/>
      <c r="AD442" s="6"/>
    </row>
    <row r="443">
      <c r="A443" s="5"/>
      <c r="B443" s="5"/>
      <c r="C443" s="73"/>
      <c r="D443" s="73"/>
      <c r="E443" s="5"/>
      <c r="F443" s="5"/>
      <c r="G443" s="5"/>
      <c r="H443" s="5"/>
      <c r="I443" s="73"/>
      <c r="J443" s="5"/>
      <c r="K443" s="5"/>
      <c r="L443" s="73"/>
      <c r="M443" s="5"/>
      <c r="N443" s="5"/>
      <c r="O443" s="5"/>
      <c r="P443" s="5"/>
      <c r="Q443" s="5"/>
      <c r="R443" s="5"/>
      <c r="S443" s="5"/>
      <c r="T443" s="5"/>
      <c r="U443" s="5"/>
      <c r="V443" s="5"/>
      <c r="W443" s="5"/>
      <c r="X443" s="5"/>
      <c r="Y443" s="5"/>
      <c r="Z443" s="5"/>
      <c r="AA443" s="5"/>
      <c r="AB443" s="5"/>
      <c r="AC443" s="5"/>
      <c r="AD443" s="6"/>
    </row>
    <row r="444">
      <c r="A444" s="5"/>
      <c r="B444" s="5"/>
      <c r="C444" s="73"/>
      <c r="D444" s="73"/>
      <c r="E444" s="5"/>
      <c r="F444" s="5"/>
      <c r="G444" s="5"/>
      <c r="H444" s="5"/>
      <c r="I444" s="73"/>
      <c r="J444" s="5"/>
      <c r="K444" s="5"/>
      <c r="L444" s="73"/>
      <c r="M444" s="5"/>
      <c r="N444" s="5"/>
      <c r="O444" s="5"/>
      <c r="P444" s="5"/>
      <c r="Q444" s="5"/>
      <c r="R444" s="5"/>
      <c r="S444" s="5"/>
      <c r="T444" s="5"/>
      <c r="U444" s="5"/>
      <c r="V444" s="5"/>
      <c r="W444" s="5"/>
      <c r="X444" s="5"/>
      <c r="Y444" s="5"/>
      <c r="Z444" s="5"/>
      <c r="AA444" s="5"/>
      <c r="AB444" s="5"/>
      <c r="AC444" s="5"/>
      <c r="AD444" s="6"/>
    </row>
    <row r="445">
      <c r="A445" s="5"/>
      <c r="B445" s="5"/>
      <c r="C445" s="73"/>
      <c r="D445" s="73"/>
      <c r="E445" s="5"/>
      <c r="F445" s="5"/>
      <c r="G445" s="5"/>
      <c r="H445" s="5"/>
      <c r="I445" s="73"/>
      <c r="J445" s="5"/>
      <c r="K445" s="5"/>
      <c r="L445" s="73"/>
      <c r="M445" s="5"/>
      <c r="N445" s="5"/>
      <c r="O445" s="5"/>
      <c r="P445" s="5"/>
      <c r="Q445" s="5"/>
      <c r="R445" s="5"/>
      <c r="S445" s="5"/>
      <c r="T445" s="5"/>
      <c r="U445" s="5"/>
      <c r="V445" s="5"/>
      <c r="W445" s="5"/>
      <c r="X445" s="5"/>
      <c r="Y445" s="5"/>
      <c r="Z445" s="5"/>
      <c r="AA445" s="5"/>
      <c r="AB445" s="5"/>
      <c r="AC445" s="5"/>
      <c r="AD445" s="6"/>
    </row>
    <row r="446">
      <c r="A446" s="5"/>
      <c r="B446" s="5"/>
      <c r="C446" s="73"/>
      <c r="D446" s="73"/>
      <c r="E446" s="5"/>
      <c r="F446" s="5"/>
      <c r="G446" s="5"/>
      <c r="H446" s="5"/>
      <c r="I446" s="73"/>
      <c r="J446" s="5"/>
      <c r="K446" s="5"/>
      <c r="L446" s="73"/>
      <c r="M446" s="5"/>
      <c r="N446" s="5"/>
      <c r="O446" s="5"/>
      <c r="P446" s="5"/>
      <c r="Q446" s="5"/>
      <c r="R446" s="5"/>
      <c r="S446" s="5"/>
      <c r="T446" s="5"/>
      <c r="U446" s="5"/>
      <c r="V446" s="5"/>
      <c r="W446" s="5"/>
      <c r="X446" s="5"/>
      <c r="Y446" s="5"/>
      <c r="Z446" s="5"/>
      <c r="AA446" s="5"/>
      <c r="AB446" s="5"/>
      <c r="AC446" s="5"/>
      <c r="AD446" s="6"/>
    </row>
    <row r="447">
      <c r="A447" s="5"/>
      <c r="B447" s="5"/>
      <c r="C447" s="73"/>
      <c r="D447" s="73"/>
      <c r="E447" s="5"/>
      <c r="F447" s="5"/>
      <c r="G447" s="5"/>
      <c r="H447" s="5"/>
      <c r="I447" s="73"/>
      <c r="J447" s="5"/>
      <c r="K447" s="5"/>
      <c r="L447" s="73"/>
      <c r="M447" s="5"/>
      <c r="N447" s="5"/>
      <c r="O447" s="5"/>
      <c r="P447" s="5"/>
      <c r="Q447" s="5"/>
      <c r="R447" s="5"/>
      <c r="S447" s="5"/>
      <c r="T447" s="5"/>
      <c r="U447" s="5"/>
      <c r="V447" s="5"/>
      <c r="W447" s="5"/>
      <c r="X447" s="5"/>
      <c r="Y447" s="5"/>
      <c r="Z447" s="5"/>
      <c r="AA447" s="5"/>
      <c r="AB447" s="5"/>
      <c r="AC447" s="5"/>
      <c r="AD447" s="6"/>
    </row>
    <row r="448">
      <c r="A448" s="5"/>
      <c r="B448" s="5"/>
      <c r="C448" s="73"/>
      <c r="D448" s="73"/>
      <c r="E448" s="5"/>
      <c r="F448" s="5"/>
      <c r="G448" s="5"/>
      <c r="H448" s="5"/>
      <c r="I448" s="73"/>
      <c r="J448" s="5"/>
      <c r="K448" s="5"/>
      <c r="L448" s="73"/>
      <c r="M448" s="5"/>
      <c r="N448" s="5"/>
      <c r="O448" s="5"/>
      <c r="P448" s="5"/>
      <c r="Q448" s="5"/>
      <c r="R448" s="5"/>
      <c r="S448" s="5"/>
      <c r="T448" s="5"/>
      <c r="U448" s="5"/>
      <c r="V448" s="5"/>
      <c r="W448" s="5"/>
      <c r="X448" s="5"/>
      <c r="Y448" s="5"/>
      <c r="Z448" s="5"/>
      <c r="AA448" s="5"/>
      <c r="AB448" s="5"/>
      <c r="AC448" s="5"/>
      <c r="AD448" s="6"/>
    </row>
    <row r="449">
      <c r="A449" s="5"/>
      <c r="B449" s="5"/>
      <c r="C449" s="73"/>
      <c r="D449" s="73"/>
      <c r="E449" s="5"/>
      <c r="F449" s="5"/>
      <c r="G449" s="5"/>
      <c r="H449" s="5"/>
      <c r="I449" s="73"/>
      <c r="J449" s="5"/>
      <c r="K449" s="5"/>
      <c r="L449" s="73"/>
      <c r="M449" s="5"/>
      <c r="N449" s="5"/>
      <c r="O449" s="5"/>
      <c r="P449" s="5"/>
      <c r="Q449" s="5"/>
      <c r="R449" s="5"/>
      <c r="S449" s="5"/>
      <c r="T449" s="5"/>
      <c r="U449" s="5"/>
      <c r="V449" s="5"/>
      <c r="W449" s="5"/>
      <c r="X449" s="5"/>
      <c r="Y449" s="5"/>
      <c r="Z449" s="5"/>
      <c r="AA449" s="5"/>
      <c r="AB449" s="5"/>
      <c r="AC449" s="5"/>
      <c r="AD449" s="6"/>
    </row>
    <row r="450">
      <c r="A450" s="5"/>
      <c r="B450" s="5"/>
      <c r="C450" s="73"/>
      <c r="D450" s="73"/>
      <c r="E450" s="5"/>
      <c r="F450" s="5"/>
      <c r="G450" s="5"/>
      <c r="H450" s="5"/>
      <c r="I450" s="73"/>
      <c r="J450" s="5"/>
      <c r="K450" s="5"/>
      <c r="L450" s="73"/>
      <c r="M450" s="5"/>
      <c r="N450" s="5"/>
      <c r="O450" s="5"/>
      <c r="P450" s="5"/>
      <c r="Q450" s="5"/>
      <c r="R450" s="5"/>
      <c r="S450" s="5"/>
      <c r="T450" s="5"/>
      <c r="U450" s="5"/>
      <c r="V450" s="5"/>
      <c r="W450" s="5"/>
      <c r="X450" s="5"/>
      <c r="Y450" s="5"/>
      <c r="Z450" s="5"/>
      <c r="AA450" s="5"/>
      <c r="AB450" s="5"/>
      <c r="AC450" s="5"/>
      <c r="AD450" s="6"/>
    </row>
    <row r="451">
      <c r="A451" s="5"/>
      <c r="B451" s="5"/>
      <c r="C451" s="73"/>
      <c r="D451" s="73"/>
      <c r="E451" s="5"/>
      <c r="F451" s="5"/>
      <c r="G451" s="5"/>
      <c r="H451" s="5"/>
      <c r="I451" s="73"/>
      <c r="J451" s="5"/>
      <c r="K451" s="5"/>
      <c r="L451" s="73"/>
      <c r="M451" s="5"/>
      <c r="N451" s="5"/>
      <c r="O451" s="5"/>
      <c r="P451" s="5"/>
      <c r="Q451" s="5"/>
      <c r="R451" s="5"/>
      <c r="S451" s="5"/>
      <c r="T451" s="5"/>
      <c r="U451" s="5"/>
      <c r="V451" s="5"/>
      <c r="W451" s="5"/>
      <c r="X451" s="5"/>
      <c r="Y451" s="5"/>
      <c r="Z451" s="5"/>
      <c r="AA451" s="5"/>
      <c r="AB451" s="5"/>
      <c r="AC451" s="5"/>
      <c r="AD451" s="6"/>
    </row>
    <row r="452">
      <c r="A452" s="5"/>
      <c r="B452" s="5"/>
      <c r="C452" s="73"/>
      <c r="D452" s="73"/>
      <c r="E452" s="5"/>
      <c r="F452" s="5"/>
      <c r="G452" s="5"/>
      <c r="H452" s="5"/>
      <c r="I452" s="73"/>
      <c r="J452" s="5"/>
      <c r="K452" s="5"/>
      <c r="L452" s="73"/>
      <c r="M452" s="5"/>
      <c r="N452" s="5"/>
      <c r="O452" s="5"/>
      <c r="P452" s="5"/>
      <c r="Q452" s="5"/>
      <c r="R452" s="5"/>
      <c r="S452" s="5"/>
      <c r="T452" s="5"/>
      <c r="U452" s="5"/>
      <c r="V452" s="5"/>
      <c r="W452" s="5"/>
      <c r="X452" s="5"/>
      <c r="Y452" s="5"/>
      <c r="Z452" s="5"/>
      <c r="AA452" s="5"/>
      <c r="AB452" s="5"/>
      <c r="AC452" s="5"/>
      <c r="AD452" s="6"/>
    </row>
    <row r="453">
      <c r="A453" s="5"/>
      <c r="B453" s="5"/>
      <c r="C453" s="73"/>
      <c r="D453" s="73"/>
      <c r="E453" s="5"/>
      <c r="F453" s="5"/>
      <c r="G453" s="5"/>
      <c r="H453" s="5"/>
      <c r="I453" s="73"/>
      <c r="J453" s="5"/>
      <c r="K453" s="5"/>
      <c r="L453" s="73"/>
      <c r="M453" s="5"/>
      <c r="N453" s="5"/>
      <c r="O453" s="5"/>
      <c r="P453" s="5"/>
      <c r="Q453" s="5"/>
      <c r="R453" s="5"/>
      <c r="S453" s="5"/>
      <c r="T453" s="5"/>
      <c r="U453" s="5"/>
      <c r="V453" s="5"/>
      <c r="W453" s="5"/>
      <c r="X453" s="5"/>
      <c r="Y453" s="5"/>
      <c r="Z453" s="5"/>
      <c r="AA453" s="5"/>
      <c r="AB453" s="5"/>
      <c r="AC453" s="5"/>
      <c r="AD453" s="6"/>
    </row>
    <row r="454">
      <c r="A454" s="5"/>
      <c r="B454" s="5"/>
      <c r="C454" s="73"/>
      <c r="D454" s="73"/>
      <c r="E454" s="5"/>
      <c r="F454" s="5"/>
      <c r="G454" s="5"/>
      <c r="H454" s="5"/>
      <c r="I454" s="73"/>
      <c r="J454" s="5"/>
      <c r="K454" s="5"/>
      <c r="L454" s="73"/>
      <c r="M454" s="5"/>
      <c r="N454" s="5"/>
      <c r="O454" s="5"/>
      <c r="P454" s="5"/>
      <c r="Q454" s="5"/>
      <c r="R454" s="5"/>
      <c r="S454" s="5"/>
      <c r="T454" s="5"/>
      <c r="U454" s="5"/>
      <c r="V454" s="5"/>
      <c r="W454" s="5"/>
      <c r="X454" s="5"/>
      <c r="Y454" s="5"/>
      <c r="Z454" s="5"/>
      <c r="AA454" s="5"/>
      <c r="AB454" s="5"/>
      <c r="AC454" s="5"/>
      <c r="AD454" s="6"/>
    </row>
    <row r="455">
      <c r="A455" s="5"/>
      <c r="B455" s="5"/>
      <c r="C455" s="73"/>
      <c r="D455" s="73"/>
      <c r="E455" s="5"/>
      <c r="F455" s="5"/>
      <c r="G455" s="5"/>
      <c r="H455" s="5"/>
      <c r="I455" s="73"/>
      <c r="J455" s="5"/>
      <c r="K455" s="5"/>
      <c r="L455" s="73"/>
      <c r="M455" s="5"/>
      <c r="N455" s="5"/>
      <c r="O455" s="5"/>
      <c r="P455" s="5"/>
      <c r="Q455" s="5"/>
      <c r="R455" s="5"/>
      <c r="S455" s="5"/>
      <c r="T455" s="5"/>
      <c r="U455" s="5"/>
      <c r="V455" s="5"/>
      <c r="W455" s="5"/>
      <c r="X455" s="5"/>
      <c r="Y455" s="5"/>
      <c r="Z455" s="5"/>
      <c r="AA455" s="5"/>
      <c r="AB455" s="5"/>
      <c r="AC455" s="5"/>
      <c r="AD455" s="6"/>
    </row>
    <row r="456">
      <c r="A456" s="5"/>
      <c r="B456" s="5"/>
      <c r="C456" s="73"/>
      <c r="D456" s="73"/>
      <c r="E456" s="5"/>
      <c r="F456" s="5"/>
      <c r="G456" s="5"/>
      <c r="H456" s="5"/>
      <c r="I456" s="73"/>
      <c r="J456" s="5"/>
      <c r="K456" s="5"/>
      <c r="L456" s="73"/>
      <c r="M456" s="5"/>
      <c r="N456" s="5"/>
      <c r="O456" s="5"/>
      <c r="P456" s="5"/>
      <c r="Q456" s="5"/>
      <c r="R456" s="5"/>
      <c r="S456" s="5"/>
      <c r="T456" s="5"/>
      <c r="U456" s="5"/>
      <c r="V456" s="5"/>
      <c r="W456" s="5"/>
      <c r="X456" s="5"/>
      <c r="Y456" s="5"/>
      <c r="Z456" s="5"/>
      <c r="AA456" s="5"/>
      <c r="AB456" s="5"/>
      <c r="AC456" s="5"/>
      <c r="AD456" s="6"/>
    </row>
    <row r="457">
      <c r="A457" s="5"/>
      <c r="B457" s="5"/>
      <c r="C457" s="73"/>
      <c r="D457" s="73"/>
      <c r="E457" s="5"/>
      <c r="F457" s="5"/>
      <c r="G457" s="5"/>
      <c r="H457" s="5"/>
      <c r="I457" s="73"/>
      <c r="J457" s="5"/>
      <c r="K457" s="5"/>
      <c r="L457" s="73"/>
      <c r="M457" s="5"/>
      <c r="N457" s="5"/>
      <c r="O457" s="5"/>
      <c r="P457" s="5"/>
      <c r="Q457" s="5"/>
      <c r="R457" s="5"/>
      <c r="S457" s="5"/>
      <c r="T457" s="5"/>
      <c r="U457" s="5"/>
      <c r="V457" s="5"/>
      <c r="W457" s="5"/>
      <c r="X457" s="5"/>
      <c r="Y457" s="5"/>
      <c r="Z457" s="5"/>
      <c r="AA457" s="5"/>
      <c r="AB457" s="5"/>
      <c r="AC457" s="5"/>
      <c r="AD457" s="6"/>
    </row>
    <row r="458">
      <c r="A458" s="5"/>
      <c r="B458" s="5"/>
      <c r="C458" s="73"/>
      <c r="D458" s="73"/>
      <c r="E458" s="5"/>
      <c r="F458" s="5"/>
      <c r="G458" s="5"/>
      <c r="H458" s="5"/>
      <c r="I458" s="73"/>
      <c r="J458" s="5"/>
      <c r="K458" s="5"/>
      <c r="L458" s="73"/>
      <c r="M458" s="5"/>
      <c r="N458" s="5"/>
      <c r="O458" s="5"/>
      <c r="P458" s="5"/>
      <c r="Q458" s="5"/>
      <c r="R458" s="5"/>
      <c r="S458" s="5"/>
      <c r="T458" s="5"/>
      <c r="U458" s="5"/>
      <c r="V458" s="5"/>
      <c r="W458" s="5"/>
      <c r="X458" s="5"/>
      <c r="Y458" s="5"/>
      <c r="Z458" s="5"/>
      <c r="AA458" s="5"/>
      <c r="AB458" s="5"/>
      <c r="AC458" s="5"/>
      <c r="AD458" s="6"/>
    </row>
    <row r="459">
      <c r="A459" s="5"/>
      <c r="B459" s="5"/>
      <c r="C459" s="73"/>
      <c r="D459" s="73"/>
      <c r="E459" s="5"/>
      <c r="F459" s="5"/>
      <c r="G459" s="5"/>
      <c r="H459" s="5"/>
      <c r="I459" s="73"/>
      <c r="J459" s="5"/>
      <c r="K459" s="5"/>
      <c r="L459" s="73"/>
      <c r="M459" s="5"/>
      <c r="N459" s="5"/>
      <c r="O459" s="5"/>
      <c r="P459" s="5"/>
      <c r="Q459" s="5"/>
      <c r="R459" s="5"/>
      <c r="S459" s="5"/>
      <c r="T459" s="5"/>
      <c r="U459" s="5"/>
      <c r="V459" s="5"/>
      <c r="W459" s="5"/>
      <c r="X459" s="5"/>
      <c r="Y459" s="5"/>
      <c r="Z459" s="5"/>
      <c r="AA459" s="5"/>
      <c r="AB459" s="5"/>
      <c r="AC459" s="5"/>
      <c r="AD459" s="6"/>
    </row>
    <row r="460">
      <c r="A460" s="5"/>
      <c r="B460" s="5"/>
      <c r="C460" s="73"/>
      <c r="D460" s="73"/>
      <c r="E460" s="5"/>
      <c r="F460" s="5"/>
      <c r="G460" s="5"/>
      <c r="H460" s="5"/>
      <c r="I460" s="73"/>
      <c r="J460" s="5"/>
      <c r="K460" s="5"/>
      <c r="L460" s="73"/>
      <c r="M460" s="5"/>
      <c r="N460" s="5"/>
      <c r="O460" s="5"/>
      <c r="P460" s="5"/>
      <c r="Q460" s="5"/>
      <c r="R460" s="5"/>
      <c r="S460" s="5"/>
      <c r="T460" s="5"/>
      <c r="U460" s="5"/>
      <c r="V460" s="5"/>
      <c r="W460" s="5"/>
      <c r="X460" s="5"/>
      <c r="Y460" s="5"/>
      <c r="Z460" s="5"/>
      <c r="AA460" s="5"/>
      <c r="AB460" s="5"/>
      <c r="AC460" s="5"/>
      <c r="AD460" s="6"/>
    </row>
    <row r="461">
      <c r="A461" s="5"/>
      <c r="B461" s="5"/>
      <c r="C461" s="73"/>
      <c r="D461" s="73"/>
      <c r="E461" s="5"/>
      <c r="F461" s="5"/>
      <c r="G461" s="5"/>
      <c r="H461" s="5"/>
      <c r="I461" s="73"/>
      <c r="J461" s="5"/>
      <c r="K461" s="5"/>
      <c r="L461" s="73"/>
      <c r="M461" s="5"/>
      <c r="N461" s="5"/>
      <c r="O461" s="5"/>
      <c r="P461" s="5"/>
      <c r="Q461" s="5"/>
      <c r="R461" s="5"/>
      <c r="S461" s="5"/>
      <c r="T461" s="5"/>
      <c r="U461" s="5"/>
      <c r="V461" s="5"/>
      <c r="W461" s="5"/>
      <c r="X461" s="5"/>
      <c r="Y461" s="5"/>
      <c r="Z461" s="5"/>
      <c r="AA461" s="5"/>
      <c r="AB461" s="5"/>
      <c r="AC461" s="5"/>
      <c r="AD461" s="6"/>
    </row>
    <row r="462">
      <c r="A462" s="5"/>
      <c r="B462" s="5"/>
      <c r="C462" s="73"/>
      <c r="D462" s="73"/>
      <c r="E462" s="5"/>
      <c r="F462" s="5"/>
      <c r="G462" s="5"/>
      <c r="H462" s="5"/>
      <c r="I462" s="73"/>
      <c r="J462" s="5"/>
      <c r="K462" s="5"/>
      <c r="L462" s="73"/>
      <c r="M462" s="5"/>
      <c r="N462" s="5"/>
      <c r="O462" s="5"/>
      <c r="P462" s="5"/>
      <c r="Q462" s="5"/>
      <c r="R462" s="5"/>
      <c r="S462" s="5"/>
      <c r="T462" s="5"/>
      <c r="U462" s="5"/>
      <c r="V462" s="5"/>
      <c r="W462" s="5"/>
      <c r="X462" s="5"/>
      <c r="Y462" s="5"/>
      <c r="Z462" s="5"/>
      <c r="AA462" s="5"/>
      <c r="AB462" s="5"/>
      <c r="AC462" s="5"/>
      <c r="AD462" s="6"/>
    </row>
    <row r="463">
      <c r="A463" s="5"/>
      <c r="B463" s="5"/>
      <c r="C463" s="73"/>
      <c r="D463" s="73"/>
      <c r="E463" s="5"/>
      <c r="F463" s="5"/>
      <c r="G463" s="5"/>
      <c r="H463" s="5"/>
      <c r="I463" s="73"/>
      <c r="J463" s="5"/>
      <c r="K463" s="5"/>
      <c r="L463" s="73"/>
      <c r="M463" s="5"/>
      <c r="N463" s="5"/>
      <c r="O463" s="5"/>
      <c r="P463" s="5"/>
      <c r="Q463" s="5"/>
      <c r="R463" s="5"/>
      <c r="S463" s="5"/>
      <c r="T463" s="5"/>
      <c r="U463" s="5"/>
      <c r="V463" s="5"/>
      <c r="W463" s="5"/>
      <c r="X463" s="5"/>
      <c r="Y463" s="5"/>
      <c r="Z463" s="5"/>
      <c r="AA463" s="5"/>
      <c r="AB463" s="5"/>
      <c r="AC463" s="5"/>
      <c r="AD463" s="6"/>
    </row>
    <row r="464">
      <c r="A464" s="5"/>
      <c r="B464" s="5"/>
      <c r="C464" s="73"/>
      <c r="D464" s="73"/>
      <c r="E464" s="5"/>
      <c r="F464" s="5"/>
      <c r="G464" s="5"/>
      <c r="H464" s="5"/>
      <c r="I464" s="73"/>
      <c r="J464" s="5"/>
      <c r="K464" s="5"/>
      <c r="L464" s="73"/>
      <c r="M464" s="5"/>
      <c r="N464" s="5"/>
      <c r="O464" s="5"/>
      <c r="P464" s="5"/>
      <c r="Q464" s="5"/>
      <c r="R464" s="5"/>
      <c r="S464" s="5"/>
      <c r="T464" s="5"/>
      <c r="U464" s="5"/>
      <c r="V464" s="5"/>
      <c r="W464" s="5"/>
      <c r="X464" s="5"/>
      <c r="Y464" s="5"/>
      <c r="Z464" s="5"/>
      <c r="AA464" s="5"/>
      <c r="AB464" s="5"/>
      <c r="AC464" s="5"/>
      <c r="AD464" s="6"/>
    </row>
    <row r="465">
      <c r="A465" s="5"/>
      <c r="B465" s="5"/>
      <c r="C465" s="73"/>
      <c r="D465" s="73"/>
      <c r="E465" s="5"/>
      <c r="F465" s="5"/>
      <c r="G465" s="5"/>
      <c r="H465" s="5"/>
      <c r="I465" s="73"/>
      <c r="J465" s="5"/>
      <c r="K465" s="5"/>
      <c r="L465" s="73"/>
      <c r="M465" s="5"/>
      <c r="N465" s="5"/>
      <c r="O465" s="5"/>
      <c r="P465" s="5"/>
      <c r="Q465" s="5"/>
      <c r="R465" s="5"/>
      <c r="S465" s="5"/>
      <c r="T465" s="5"/>
      <c r="U465" s="5"/>
      <c r="V465" s="5"/>
      <c r="W465" s="5"/>
      <c r="X465" s="5"/>
      <c r="Y465" s="5"/>
      <c r="Z465" s="5"/>
      <c r="AA465" s="5"/>
      <c r="AB465" s="5"/>
      <c r="AC465" s="5"/>
      <c r="AD465" s="6"/>
    </row>
    <row r="466">
      <c r="A466" s="5"/>
      <c r="B466" s="5"/>
      <c r="C466" s="73"/>
      <c r="D466" s="73"/>
      <c r="E466" s="5"/>
      <c r="F466" s="5"/>
      <c r="G466" s="5"/>
      <c r="H466" s="5"/>
      <c r="I466" s="73"/>
      <c r="J466" s="5"/>
      <c r="K466" s="5"/>
      <c r="L466" s="73"/>
      <c r="M466" s="5"/>
      <c r="N466" s="5"/>
      <c r="O466" s="5"/>
      <c r="P466" s="5"/>
      <c r="Q466" s="5"/>
      <c r="R466" s="5"/>
      <c r="S466" s="5"/>
      <c r="T466" s="5"/>
      <c r="U466" s="5"/>
      <c r="V466" s="5"/>
      <c r="W466" s="5"/>
      <c r="X466" s="5"/>
      <c r="Y466" s="5"/>
      <c r="Z466" s="5"/>
      <c r="AA466" s="5"/>
      <c r="AB466" s="5"/>
      <c r="AC466" s="5"/>
      <c r="AD466" s="6"/>
    </row>
    <row r="467">
      <c r="A467" s="5"/>
      <c r="B467" s="5"/>
      <c r="C467" s="73"/>
      <c r="D467" s="73"/>
      <c r="E467" s="5"/>
      <c r="F467" s="5"/>
      <c r="G467" s="5"/>
      <c r="H467" s="5"/>
      <c r="I467" s="73"/>
      <c r="J467" s="5"/>
      <c r="K467" s="5"/>
      <c r="L467" s="73"/>
      <c r="M467" s="5"/>
      <c r="N467" s="5"/>
      <c r="O467" s="5"/>
      <c r="P467" s="5"/>
      <c r="Q467" s="5"/>
      <c r="R467" s="5"/>
      <c r="S467" s="5"/>
      <c r="T467" s="5"/>
      <c r="U467" s="5"/>
      <c r="V467" s="5"/>
      <c r="W467" s="5"/>
      <c r="X467" s="5"/>
      <c r="Y467" s="5"/>
      <c r="Z467" s="5"/>
      <c r="AA467" s="5"/>
      <c r="AB467" s="5"/>
      <c r="AC467" s="5"/>
      <c r="AD467" s="6"/>
    </row>
    <row r="468">
      <c r="A468" s="5"/>
      <c r="B468" s="5"/>
      <c r="C468" s="73"/>
      <c r="D468" s="73"/>
      <c r="E468" s="5"/>
      <c r="F468" s="5"/>
      <c r="G468" s="5"/>
      <c r="H468" s="5"/>
      <c r="I468" s="73"/>
      <c r="J468" s="5"/>
      <c r="K468" s="5"/>
      <c r="L468" s="73"/>
      <c r="M468" s="5"/>
      <c r="N468" s="5"/>
      <c r="O468" s="5"/>
      <c r="P468" s="5"/>
      <c r="Q468" s="5"/>
      <c r="R468" s="5"/>
      <c r="S468" s="5"/>
      <c r="T468" s="5"/>
      <c r="U468" s="5"/>
      <c r="V468" s="5"/>
      <c r="W468" s="5"/>
      <c r="X468" s="5"/>
      <c r="Y468" s="5"/>
      <c r="Z468" s="5"/>
      <c r="AA468" s="5"/>
      <c r="AB468" s="5"/>
      <c r="AC468" s="5"/>
      <c r="AD468" s="6"/>
    </row>
    <row r="469">
      <c r="A469" s="5"/>
      <c r="B469" s="5"/>
      <c r="C469" s="73"/>
      <c r="D469" s="73"/>
      <c r="E469" s="5"/>
      <c r="F469" s="5"/>
      <c r="G469" s="5"/>
      <c r="H469" s="5"/>
      <c r="I469" s="73"/>
      <c r="J469" s="5"/>
      <c r="K469" s="5"/>
      <c r="L469" s="73"/>
      <c r="M469" s="5"/>
      <c r="N469" s="5"/>
      <c r="O469" s="5"/>
      <c r="P469" s="5"/>
      <c r="Q469" s="5"/>
      <c r="R469" s="5"/>
      <c r="S469" s="5"/>
      <c r="T469" s="5"/>
      <c r="U469" s="5"/>
      <c r="V469" s="5"/>
      <c r="W469" s="5"/>
      <c r="X469" s="5"/>
      <c r="Y469" s="5"/>
      <c r="Z469" s="5"/>
      <c r="AA469" s="5"/>
      <c r="AB469" s="5"/>
      <c r="AC469" s="5"/>
      <c r="AD469" s="6"/>
    </row>
    <row r="470">
      <c r="A470" s="5"/>
      <c r="B470" s="5"/>
      <c r="C470" s="73"/>
      <c r="D470" s="73"/>
      <c r="E470" s="5"/>
      <c r="F470" s="5"/>
      <c r="G470" s="5"/>
      <c r="H470" s="5"/>
      <c r="I470" s="73"/>
      <c r="J470" s="5"/>
      <c r="K470" s="5"/>
      <c r="L470" s="73"/>
      <c r="M470" s="5"/>
      <c r="N470" s="5"/>
      <c r="O470" s="5"/>
      <c r="P470" s="5"/>
      <c r="Q470" s="5"/>
      <c r="R470" s="5"/>
      <c r="S470" s="5"/>
      <c r="T470" s="5"/>
      <c r="U470" s="5"/>
      <c r="V470" s="5"/>
      <c r="W470" s="5"/>
      <c r="X470" s="5"/>
      <c r="Y470" s="5"/>
      <c r="Z470" s="5"/>
      <c r="AA470" s="5"/>
      <c r="AB470" s="5"/>
      <c r="AC470" s="5"/>
      <c r="AD470" s="6"/>
    </row>
    <row r="471">
      <c r="A471" s="5"/>
      <c r="B471" s="5"/>
      <c r="C471" s="73"/>
      <c r="D471" s="73"/>
      <c r="E471" s="5"/>
      <c r="F471" s="5"/>
      <c r="G471" s="5"/>
      <c r="H471" s="5"/>
      <c r="I471" s="73"/>
      <c r="J471" s="5"/>
      <c r="K471" s="5"/>
      <c r="L471" s="73"/>
      <c r="M471" s="5"/>
      <c r="N471" s="5"/>
      <c r="O471" s="5"/>
      <c r="P471" s="5"/>
      <c r="Q471" s="5"/>
      <c r="R471" s="5"/>
      <c r="S471" s="5"/>
      <c r="T471" s="5"/>
      <c r="U471" s="5"/>
      <c r="V471" s="5"/>
      <c r="W471" s="5"/>
      <c r="X471" s="5"/>
      <c r="Y471" s="5"/>
      <c r="Z471" s="5"/>
      <c r="AA471" s="5"/>
      <c r="AB471" s="5"/>
      <c r="AC471" s="5"/>
      <c r="AD471" s="6"/>
    </row>
    <row r="472">
      <c r="A472" s="5"/>
      <c r="B472" s="5"/>
      <c r="C472" s="73"/>
      <c r="D472" s="73"/>
      <c r="E472" s="5"/>
      <c r="F472" s="5"/>
      <c r="G472" s="5"/>
      <c r="H472" s="5"/>
      <c r="I472" s="73"/>
      <c r="J472" s="5"/>
      <c r="K472" s="5"/>
      <c r="L472" s="73"/>
      <c r="M472" s="5"/>
      <c r="N472" s="5"/>
      <c r="O472" s="5"/>
      <c r="P472" s="5"/>
      <c r="Q472" s="5"/>
      <c r="R472" s="5"/>
      <c r="S472" s="5"/>
      <c r="T472" s="5"/>
      <c r="U472" s="5"/>
      <c r="V472" s="5"/>
      <c r="W472" s="5"/>
      <c r="X472" s="5"/>
      <c r="Y472" s="5"/>
      <c r="Z472" s="5"/>
      <c r="AA472" s="5"/>
      <c r="AB472" s="5"/>
      <c r="AC472" s="5"/>
      <c r="AD472" s="6"/>
    </row>
    <row r="473">
      <c r="A473" s="5"/>
      <c r="B473" s="5"/>
      <c r="C473" s="73"/>
      <c r="D473" s="73"/>
      <c r="E473" s="5"/>
      <c r="F473" s="5"/>
      <c r="G473" s="5"/>
      <c r="H473" s="5"/>
      <c r="I473" s="73"/>
      <c r="J473" s="5"/>
      <c r="K473" s="5"/>
      <c r="L473" s="73"/>
      <c r="M473" s="5"/>
      <c r="N473" s="5"/>
      <c r="O473" s="5"/>
      <c r="P473" s="5"/>
      <c r="Q473" s="5"/>
      <c r="R473" s="5"/>
      <c r="S473" s="5"/>
      <c r="T473" s="5"/>
      <c r="U473" s="5"/>
      <c r="V473" s="5"/>
      <c r="W473" s="5"/>
      <c r="X473" s="5"/>
      <c r="Y473" s="5"/>
      <c r="Z473" s="5"/>
      <c r="AA473" s="5"/>
      <c r="AB473" s="5"/>
      <c r="AC473" s="5"/>
      <c r="AD473" s="6"/>
    </row>
    <row r="474">
      <c r="A474" s="5"/>
      <c r="B474" s="5"/>
      <c r="C474" s="73"/>
      <c r="D474" s="73"/>
      <c r="E474" s="5"/>
      <c r="F474" s="5"/>
      <c r="G474" s="5"/>
      <c r="H474" s="5"/>
      <c r="I474" s="73"/>
      <c r="J474" s="5"/>
      <c r="K474" s="5"/>
      <c r="L474" s="73"/>
      <c r="M474" s="5"/>
      <c r="N474" s="5"/>
      <c r="O474" s="5"/>
      <c r="P474" s="5"/>
      <c r="Q474" s="5"/>
      <c r="R474" s="5"/>
      <c r="S474" s="5"/>
      <c r="T474" s="5"/>
      <c r="U474" s="5"/>
      <c r="V474" s="5"/>
      <c r="W474" s="5"/>
      <c r="X474" s="5"/>
      <c r="Y474" s="5"/>
      <c r="Z474" s="5"/>
      <c r="AA474" s="5"/>
      <c r="AB474" s="5"/>
      <c r="AC474" s="5"/>
      <c r="AD474" s="6"/>
    </row>
    <row r="475">
      <c r="A475" s="5"/>
      <c r="B475" s="5"/>
      <c r="C475" s="73"/>
      <c r="D475" s="73"/>
      <c r="E475" s="5"/>
      <c r="F475" s="5"/>
      <c r="G475" s="5"/>
      <c r="H475" s="5"/>
      <c r="I475" s="73"/>
      <c r="J475" s="5"/>
      <c r="K475" s="5"/>
      <c r="L475" s="73"/>
      <c r="M475" s="5"/>
      <c r="N475" s="5"/>
      <c r="O475" s="5"/>
      <c r="P475" s="5"/>
      <c r="Q475" s="5"/>
      <c r="R475" s="5"/>
      <c r="S475" s="5"/>
      <c r="T475" s="5"/>
      <c r="U475" s="5"/>
      <c r="V475" s="5"/>
      <c r="W475" s="5"/>
      <c r="X475" s="5"/>
      <c r="Y475" s="5"/>
      <c r="Z475" s="5"/>
      <c r="AA475" s="5"/>
      <c r="AB475" s="5"/>
      <c r="AC475" s="5"/>
      <c r="AD475" s="6"/>
    </row>
    <row r="476">
      <c r="A476" s="5"/>
      <c r="B476" s="5"/>
      <c r="C476" s="73"/>
      <c r="D476" s="73"/>
      <c r="E476" s="5"/>
      <c r="F476" s="5"/>
      <c r="G476" s="5"/>
      <c r="H476" s="5"/>
      <c r="I476" s="73"/>
      <c r="J476" s="5"/>
      <c r="K476" s="5"/>
      <c r="L476" s="73"/>
      <c r="M476" s="5"/>
      <c r="N476" s="5"/>
      <c r="O476" s="5"/>
      <c r="P476" s="5"/>
      <c r="Q476" s="5"/>
      <c r="R476" s="5"/>
      <c r="S476" s="5"/>
      <c r="T476" s="5"/>
      <c r="U476" s="5"/>
      <c r="V476" s="5"/>
      <c r="W476" s="5"/>
      <c r="X476" s="5"/>
      <c r="Y476" s="5"/>
      <c r="Z476" s="5"/>
      <c r="AA476" s="5"/>
      <c r="AB476" s="5"/>
      <c r="AC476" s="5"/>
      <c r="AD476" s="6"/>
    </row>
    <row r="477">
      <c r="A477" s="5"/>
      <c r="B477" s="5"/>
      <c r="C477" s="73"/>
      <c r="D477" s="73"/>
      <c r="E477" s="5"/>
      <c r="F477" s="5"/>
      <c r="G477" s="5"/>
      <c r="H477" s="5"/>
      <c r="I477" s="73"/>
      <c r="J477" s="5"/>
      <c r="K477" s="5"/>
      <c r="L477" s="73"/>
      <c r="M477" s="5"/>
      <c r="N477" s="5"/>
      <c r="O477" s="5"/>
      <c r="P477" s="5"/>
      <c r="Q477" s="5"/>
      <c r="R477" s="5"/>
      <c r="S477" s="5"/>
      <c r="T477" s="5"/>
      <c r="U477" s="5"/>
      <c r="V477" s="5"/>
      <c r="W477" s="5"/>
      <c r="X477" s="5"/>
      <c r="Y477" s="5"/>
      <c r="Z477" s="5"/>
      <c r="AA477" s="5"/>
      <c r="AB477" s="5"/>
      <c r="AC477" s="5"/>
      <c r="AD477" s="6"/>
    </row>
    <row r="478">
      <c r="A478" s="5"/>
      <c r="B478" s="5"/>
      <c r="C478" s="73"/>
      <c r="D478" s="73"/>
      <c r="E478" s="5"/>
      <c r="F478" s="5"/>
      <c r="G478" s="5"/>
      <c r="H478" s="5"/>
      <c r="I478" s="73"/>
      <c r="J478" s="5"/>
      <c r="K478" s="5"/>
      <c r="L478" s="73"/>
      <c r="M478" s="5"/>
      <c r="N478" s="5"/>
      <c r="O478" s="5"/>
      <c r="P478" s="5"/>
      <c r="Q478" s="5"/>
      <c r="R478" s="5"/>
      <c r="S478" s="5"/>
      <c r="T478" s="5"/>
      <c r="U478" s="5"/>
      <c r="V478" s="5"/>
      <c r="W478" s="5"/>
      <c r="X478" s="5"/>
      <c r="Y478" s="5"/>
      <c r="Z478" s="5"/>
      <c r="AA478" s="5"/>
      <c r="AB478" s="5"/>
      <c r="AC478" s="5"/>
      <c r="AD478" s="6"/>
    </row>
    <row r="479">
      <c r="A479" s="5"/>
      <c r="B479" s="5"/>
      <c r="C479" s="73"/>
      <c r="D479" s="73"/>
      <c r="E479" s="5"/>
      <c r="F479" s="5"/>
      <c r="G479" s="5"/>
      <c r="H479" s="5"/>
      <c r="I479" s="73"/>
      <c r="J479" s="5"/>
      <c r="K479" s="5"/>
      <c r="L479" s="73"/>
      <c r="M479" s="5"/>
      <c r="N479" s="5"/>
      <c r="O479" s="5"/>
      <c r="P479" s="5"/>
      <c r="Q479" s="5"/>
      <c r="R479" s="5"/>
      <c r="S479" s="5"/>
      <c r="T479" s="5"/>
      <c r="U479" s="5"/>
      <c r="V479" s="5"/>
      <c r="W479" s="5"/>
      <c r="X479" s="5"/>
      <c r="Y479" s="5"/>
      <c r="Z479" s="5"/>
      <c r="AA479" s="5"/>
      <c r="AB479" s="5"/>
      <c r="AC479" s="5"/>
      <c r="AD479" s="6"/>
    </row>
    <row r="480">
      <c r="A480" s="5"/>
      <c r="B480" s="5"/>
      <c r="C480" s="73"/>
      <c r="D480" s="73"/>
      <c r="E480" s="5"/>
      <c r="F480" s="5"/>
      <c r="G480" s="5"/>
      <c r="H480" s="5"/>
      <c r="I480" s="73"/>
      <c r="J480" s="5"/>
      <c r="K480" s="5"/>
      <c r="L480" s="73"/>
      <c r="M480" s="5"/>
      <c r="N480" s="5"/>
      <c r="O480" s="5"/>
      <c r="P480" s="5"/>
      <c r="Q480" s="5"/>
      <c r="R480" s="5"/>
      <c r="S480" s="5"/>
      <c r="T480" s="5"/>
      <c r="U480" s="5"/>
      <c r="V480" s="5"/>
      <c r="W480" s="5"/>
      <c r="X480" s="5"/>
      <c r="Y480" s="5"/>
      <c r="Z480" s="5"/>
      <c r="AA480" s="5"/>
      <c r="AB480" s="5"/>
      <c r="AC480" s="5"/>
      <c r="AD480" s="6"/>
    </row>
    <row r="481">
      <c r="A481" s="5"/>
      <c r="B481" s="5"/>
      <c r="C481" s="73"/>
      <c r="D481" s="73"/>
      <c r="E481" s="5"/>
      <c r="F481" s="5"/>
      <c r="G481" s="5"/>
      <c r="H481" s="5"/>
      <c r="I481" s="73"/>
      <c r="J481" s="5"/>
      <c r="K481" s="5"/>
      <c r="L481" s="73"/>
      <c r="M481" s="5"/>
      <c r="N481" s="5"/>
      <c r="O481" s="5"/>
      <c r="P481" s="5"/>
      <c r="Q481" s="5"/>
      <c r="R481" s="5"/>
      <c r="S481" s="5"/>
      <c r="T481" s="5"/>
      <c r="U481" s="5"/>
      <c r="V481" s="5"/>
      <c r="W481" s="5"/>
      <c r="X481" s="5"/>
      <c r="Y481" s="5"/>
      <c r="Z481" s="5"/>
      <c r="AA481" s="5"/>
      <c r="AB481" s="5"/>
      <c r="AC481" s="5"/>
      <c r="AD481" s="6"/>
    </row>
    <row r="482">
      <c r="A482" s="5"/>
      <c r="B482" s="5"/>
      <c r="C482" s="73"/>
      <c r="D482" s="73"/>
      <c r="E482" s="5"/>
      <c r="F482" s="5"/>
      <c r="G482" s="5"/>
      <c r="H482" s="5"/>
      <c r="I482" s="73"/>
      <c r="J482" s="5"/>
      <c r="K482" s="5"/>
      <c r="L482" s="73"/>
      <c r="M482" s="5"/>
      <c r="N482" s="5"/>
      <c r="O482" s="5"/>
      <c r="P482" s="5"/>
      <c r="Q482" s="5"/>
      <c r="R482" s="5"/>
      <c r="S482" s="5"/>
      <c r="T482" s="5"/>
      <c r="U482" s="5"/>
      <c r="V482" s="5"/>
      <c r="W482" s="5"/>
      <c r="X482" s="5"/>
      <c r="Y482" s="5"/>
      <c r="Z482" s="5"/>
      <c r="AA482" s="5"/>
      <c r="AB482" s="5"/>
      <c r="AC482" s="5"/>
      <c r="AD482" s="6"/>
    </row>
    <row r="483">
      <c r="A483" s="5"/>
      <c r="B483" s="5"/>
      <c r="C483" s="73"/>
      <c r="D483" s="73"/>
      <c r="E483" s="5"/>
      <c r="F483" s="5"/>
      <c r="G483" s="5"/>
      <c r="H483" s="5"/>
      <c r="I483" s="73"/>
      <c r="J483" s="5"/>
      <c r="K483" s="5"/>
      <c r="L483" s="73"/>
      <c r="M483" s="5"/>
      <c r="N483" s="5"/>
      <c r="O483" s="5"/>
      <c r="P483" s="5"/>
      <c r="Q483" s="5"/>
      <c r="R483" s="5"/>
      <c r="S483" s="5"/>
      <c r="T483" s="5"/>
      <c r="U483" s="5"/>
      <c r="V483" s="5"/>
      <c r="W483" s="5"/>
      <c r="X483" s="5"/>
      <c r="Y483" s="5"/>
      <c r="Z483" s="5"/>
      <c r="AA483" s="5"/>
      <c r="AB483" s="5"/>
      <c r="AC483" s="5"/>
      <c r="AD483" s="6"/>
    </row>
    <row r="484">
      <c r="A484" s="5"/>
      <c r="B484" s="5"/>
      <c r="C484" s="73"/>
      <c r="D484" s="73"/>
      <c r="E484" s="5"/>
      <c r="F484" s="5"/>
      <c r="G484" s="5"/>
      <c r="H484" s="5"/>
      <c r="I484" s="73"/>
      <c r="J484" s="5"/>
      <c r="K484" s="5"/>
      <c r="L484" s="73"/>
      <c r="M484" s="5"/>
      <c r="N484" s="5"/>
      <c r="O484" s="5"/>
      <c r="P484" s="5"/>
      <c r="Q484" s="5"/>
      <c r="R484" s="5"/>
      <c r="S484" s="5"/>
      <c r="T484" s="5"/>
      <c r="U484" s="5"/>
      <c r="V484" s="5"/>
      <c r="W484" s="5"/>
      <c r="X484" s="5"/>
      <c r="Y484" s="5"/>
      <c r="Z484" s="5"/>
      <c r="AA484" s="5"/>
      <c r="AB484" s="5"/>
      <c r="AC484" s="5"/>
      <c r="AD484" s="6"/>
    </row>
    <row r="485">
      <c r="A485" s="5"/>
      <c r="B485" s="5"/>
      <c r="C485" s="73"/>
      <c r="D485" s="73"/>
      <c r="E485" s="5"/>
      <c r="F485" s="5"/>
      <c r="G485" s="5"/>
      <c r="H485" s="5"/>
      <c r="I485" s="73"/>
      <c r="J485" s="5"/>
      <c r="K485" s="5"/>
      <c r="L485" s="73"/>
      <c r="M485" s="5"/>
      <c r="N485" s="5"/>
      <c r="O485" s="5"/>
      <c r="P485" s="5"/>
      <c r="Q485" s="5"/>
      <c r="R485" s="5"/>
      <c r="S485" s="5"/>
      <c r="T485" s="5"/>
      <c r="U485" s="5"/>
      <c r="V485" s="5"/>
      <c r="W485" s="5"/>
      <c r="X485" s="5"/>
      <c r="Y485" s="5"/>
      <c r="Z485" s="5"/>
      <c r="AA485" s="5"/>
      <c r="AB485" s="5"/>
      <c r="AC485" s="5"/>
      <c r="AD485" s="6"/>
    </row>
    <row r="486">
      <c r="A486" s="5"/>
      <c r="B486" s="5"/>
      <c r="C486" s="73"/>
      <c r="D486" s="73"/>
      <c r="E486" s="5"/>
      <c r="F486" s="5"/>
      <c r="G486" s="5"/>
      <c r="H486" s="5"/>
      <c r="I486" s="73"/>
      <c r="J486" s="5"/>
      <c r="K486" s="5"/>
      <c r="L486" s="73"/>
      <c r="M486" s="5"/>
      <c r="N486" s="5"/>
      <c r="O486" s="5"/>
      <c r="P486" s="5"/>
      <c r="Q486" s="5"/>
      <c r="R486" s="5"/>
      <c r="S486" s="5"/>
      <c r="T486" s="5"/>
      <c r="U486" s="5"/>
      <c r="V486" s="5"/>
      <c r="W486" s="5"/>
      <c r="X486" s="5"/>
      <c r="Y486" s="5"/>
      <c r="Z486" s="5"/>
      <c r="AA486" s="5"/>
      <c r="AB486" s="5"/>
      <c r="AC486" s="5"/>
      <c r="AD486" s="6"/>
    </row>
    <row r="487">
      <c r="A487" s="5"/>
      <c r="B487" s="5"/>
      <c r="C487" s="73"/>
      <c r="D487" s="73"/>
      <c r="E487" s="5"/>
      <c r="F487" s="5"/>
      <c r="G487" s="5"/>
      <c r="H487" s="5"/>
      <c r="I487" s="73"/>
      <c r="J487" s="5"/>
      <c r="K487" s="5"/>
      <c r="L487" s="73"/>
      <c r="M487" s="5"/>
      <c r="N487" s="5"/>
      <c r="O487" s="5"/>
      <c r="P487" s="5"/>
      <c r="Q487" s="5"/>
      <c r="R487" s="5"/>
      <c r="S487" s="5"/>
      <c r="T487" s="5"/>
      <c r="U487" s="5"/>
      <c r="V487" s="5"/>
      <c r="W487" s="5"/>
      <c r="X487" s="5"/>
      <c r="Y487" s="5"/>
      <c r="Z487" s="5"/>
      <c r="AA487" s="5"/>
      <c r="AB487" s="5"/>
      <c r="AC487" s="5"/>
      <c r="AD487" s="6"/>
    </row>
    <row r="488">
      <c r="A488" s="5"/>
      <c r="B488" s="5"/>
      <c r="C488" s="73"/>
      <c r="D488" s="73"/>
      <c r="E488" s="5"/>
      <c r="F488" s="5"/>
      <c r="G488" s="5"/>
      <c r="H488" s="5"/>
      <c r="I488" s="73"/>
      <c r="J488" s="5"/>
      <c r="K488" s="5"/>
      <c r="L488" s="73"/>
      <c r="M488" s="5"/>
      <c r="N488" s="5"/>
      <c r="O488" s="5"/>
      <c r="P488" s="5"/>
      <c r="Q488" s="5"/>
      <c r="R488" s="5"/>
      <c r="S488" s="5"/>
      <c r="T488" s="5"/>
      <c r="U488" s="5"/>
      <c r="V488" s="5"/>
      <c r="W488" s="5"/>
      <c r="X488" s="5"/>
      <c r="Y488" s="5"/>
      <c r="Z488" s="5"/>
      <c r="AA488" s="5"/>
      <c r="AB488" s="5"/>
      <c r="AC488" s="5"/>
      <c r="AD488" s="6"/>
    </row>
    <row r="489">
      <c r="A489" s="5"/>
      <c r="B489" s="5"/>
      <c r="C489" s="73"/>
      <c r="D489" s="73"/>
      <c r="E489" s="5"/>
      <c r="F489" s="5"/>
      <c r="G489" s="5"/>
      <c r="H489" s="5"/>
      <c r="I489" s="73"/>
      <c r="J489" s="5"/>
      <c r="K489" s="5"/>
      <c r="L489" s="73"/>
      <c r="M489" s="5"/>
      <c r="N489" s="5"/>
      <c r="O489" s="5"/>
      <c r="P489" s="5"/>
      <c r="Q489" s="5"/>
      <c r="R489" s="5"/>
      <c r="S489" s="5"/>
      <c r="T489" s="5"/>
      <c r="U489" s="5"/>
      <c r="V489" s="5"/>
      <c r="W489" s="5"/>
      <c r="X489" s="5"/>
      <c r="Y489" s="5"/>
      <c r="Z489" s="5"/>
      <c r="AA489" s="5"/>
      <c r="AB489" s="5"/>
      <c r="AC489" s="5"/>
      <c r="AD489" s="6"/>
    </row>
    <row r="490">
      <c r="A490" s="5"/>
      <c r="B490" s="5"/>
      <c r="C490" s="73"/>
      <c r="D490" s="73"/>
      <c r="E490" s="5"/>
      <c r="F490" s="5"/>
      <c r="G490" s="5"/>
      <c r="H490" s="5"/>
      <c r="I490" s="73"/>
      <c r="J490" s="5"/>
      <c r="K490" s="5"/>
      <c r="L490" s="73"/>
      <c r="M490" s="5"/>
      <c r="N490" s="5"/>
      <c r="O490" s="5"/>
      <c r="P490" s="5"/>
      <c r="Q490" s="5"/>
      <c r="R490" s="5"/>
      <c r="S490" s="5"/>
      <c r="T490" s="5"/>
      <c r="U490" s="5"/>
      <c r="V490" s="5"/>
      <c r="W490" s="5"/>
      <c r="X490" s="5"/>
      <c r="Y490" s="5"/>
      <c r="Z490" s="5"/>
      <c r="AA490" s="5"/>
      <c r="AB490" s="5"/>
      <c r="AC490" s="5"/>
      <c r="AD490" s="6"/>
    </row>
    <row r="491">
      <c r="A491" s="5"/>
      <c r="B491" s="5"/>
      <c r="C491" s="73"/>
      <c r="D491" s="73"/>
      <c r="E491" s="5"/>
      <c r="F491" s="5"/>
      <c r="G491" s="5"/>
      <c r="H491" s="5"/>
      <c r="I491" s="73"/>
      <c r="J491" s="5"/>
      <c r="K491" s="5"/>
      <c r="L491" s="73"/>
      <c r="M491" s="5"/>
      <c r="N491" s="5"/>
      <c r="O491" s="5"/>
      <c r="P491" s="5"/>
      <c r="Q491" s="5"/>
      <c r="R491" s="5"/>
      <c r="S491" s="5"/>
      <c r="T491" s="5"/>
      <c r="U491" s="5"/>
      <c r="V491" s="5"/>
      <c r="W491" s="5"/>
      <c r="X491" s="5"/>
      <c r="Y491" s="5"/>
      <c r="Z491" s="5"/>
      <c r="AA491" s="5"/>
      <c r="AB491" s="5"/>
      <c r="AC491" s="5"/>
      <c r="AD491" s="6"/>
    </row>
    <row r="492">
      <c r="A492" s="5"/>
      <c r="B492" s="5"/>
      <c r="C492" s="73"/>
      <c r="D492" s="73"/>
      <c r="E492" s="5"/>
      <c r="F492" s="5"/>
      <c r="G492" s="5"/>
      <c r="H492" s="5"/>
      <c r="I492" s="73"/>
      <c r="J492" s="5"/>
      <c r="K492" s="5"/>
      <c r="L492" s="73"/>
      <c r="M492" s="5"/>
      <c r="N492" s="5"/>
      <c r="O492" s="5"/>
      <c r="P492" s="5"/>
      <c r="Q492" s="5"/>
      <c r="R492" s="5"/>
      <c r="S492" s="5"/>
      <c r="T492" s="5"/>
      <c r="U492" s="5"/>
      <c r="V492" s="5"/>
      <c r="W492" s="5"/>
      <c r="X492" s="5"/>
      <c r="Y492" s="5"/>
      <c r="Z492" s="5"/>
      <c r="AA492" s="5"/>
      <c r="AB492" s="5"/>
      <c r="AC492" s="5"/>
      <c r="AD492" s="6"/>
    </row>
    <row r="493">
      <c r="A493" s="5"/>
      <c r="B493" s="5"/>
      <c r="C493" s="73"/>
      <c r="D493" s="73"/>
      <c r="E493" s="5"/>
      <c r="F493" s="5"/>
      <c r="G493" s="5"/>
      <c r="H493" s="5"/>
      <c r="I493" s="73"/>
      <c r="J493" s="5"/>
      <c r="K493" s="5"/>
      <c r="L493" s="73"/>
      <c r="M493" s="5"/>
      <c r="N493" s="5"/>
      <c r="O493" s="5"/>
      <c r="P493" s="5"/>
      <c r="Q493" s="5"/>
      <c r="R493" s="5"/>
      <c r="S493" s="5"/>
      <c r="T493" s="5"/>
      <c r="U493" s="5"/>
      <c r="V493" s="5"/>
      <c r="W493" s="5"/>
      <c r="X493" s="5"/>
      <c r="Y493" s="5"/>
      <c r="Z493" s="5"/>
      <c r="AA493" s="5"/>
      <c r="AB493" s="5"/>
      <c r="AC493" s="5"/>
      <c r="AD493" s="6"/>
    </row>
    <row r="494">
      <c r="A494" s="5"/>
      <c r="B494" s="5"/>
      <c r="C494" s="73"/>
      <c r="D494" s="73"/>
      <c r="E494" s="5"/>
      <c r="F494" s="5"/>
      <c r="G494" s="5"/>
      <c r="H494" s="5"/>
      <c r="I494" s="73"/>
      <c r="J494" s="5"/>
      <c r="K494" s="5"/>
      <c r="L494" s="73"/>
      <c r="M494" s="5"/>
      <c r="N494" s="5"/>
      <c r="O494" s="5"/>
      <c r="P494" s="5"/>
      <c r="Q494" s="5"/>
      <c r="R494" s="5"/>
      <c r="S494" s="5"/>
      <c r="T494" s="5"/>
      <c r="U494" s="5"/>
      <c r="V494" s="5"/>
      <c r="W494" s="5"/>
      <c r="X494" s="5"/>
      <c r="Y494" s="5"/>
      <c r="Z494" s="5"/>
      <c r="AA494" s="5"/>
      <c r="AB494" s="5"/>
      <c r="AC494" s="5"/>
      <c r="AD494" s="6"/>
    </row>
    <row r="495">
      <c r="A495" s="5"/>
      <c r="B495" s="5"/>
      <c r="C495" s="73"/>
      <c r="D495" s="73"/>
      <c r="E495" s="5"/>
      <c r="F495" s="5"/>
      <c r="G495" s="5"/>
      <c r="H495" s="5"/>
      <c r="I495" s="73"/>
      <c r="J495" s="5"/>
      <c r="K495" s="5"/>
      <c r="L495" s="73"/>
      <c r="M495" s="5"/>
      <c r="N495" s="5"/>
      <c r="O495" s="5"/>
      <c r="P495" s="5"/>
      <c r="Q495" s="5"/>
      <c r="R495" s="5"/>
      <c r="S495" s="5"/>
      <c r="T495" s="5"/>
      <c r="U495" s="5"/>
      <c r="V495" s="5"/>
      <c r="W495" s="5"/>
      <c r="X495" s="5"/>
      <c r="Y495" s="5"/>
      <c r="Z495" s="5"/>
      <c r="AA495" s="5"/>
      <c r="AB495" s="5"/>
      <c r="AC495" s="5"/>
      <c r="AD495" s="6"/>
    </row>
    <row r="496">
      <c r="A496" s="5"/>
      <c r="B496" s="5"/>
      <c r="C496" s="73"/>
      <c r="D496" s="73"/>
      <c r="E496" s="5"/>
      <c r="F496" s="5"/>
      <c r="G496" s="5"/>
      <c r="H496" s="5"/>
      <c r="I496" s="73"/>
      <c r="J496" s="5"/>
      <c r="K496" s="5"/>
      <c r="L496" s="73"/>
      <c r="M496" s="5"/>
      <c r="N496" s="5"/>
      <c r="O496" s="5"/>
      <c r="P496" s="5"/>
      <c r="Q496" s="5"/>
      <c r="R496" s="5"/>
      <c r="S496" s="5"/>
      <c r="T496" s="5"/>
      <c r="U496" s="5"/>
      <c r="V496" s="5"/>
      <c r="W496" s="5"/>
      <c r="X496" s="5"/>
      <c r="Y496" s="5"/>
      <c r="Z496" s="5"/>
      <c r="AA496" s="5"/>
      <c r="AB496" s="5"/>
      <c r="AC496" s="5"/>
      <c r="AD496" s="6"/>
    </row>
    <row r="497">
      <c r="A497" s="5"/>
      <c r="B497" s="5"/>
      <c r="C497" s="73"/>
      <c r="D497" s="73"/>
      <c r="E497" s="5"/>
      <c r="F497" s="5"/>
      <c r="G497" s="5"/>
      <c r="H497" s="5"/>
      <c r="I497" s="73"/>
      <c r="J497" s="5"/>
      <c r="K497" s="5"/>
      <c r="L497" s="73"/>
      <c r="M497" s="5"/>
      <c r="N497" s="5"/>
      <c r="O497" s="5"/>
      <c r="P497" s="5"/>
      <c r="Q497" s="5"/>
      <c r="R497" s="5"/>
      <c r="S497" s="5"/>
      <c r="T497" s="5"/>
      <c r="U497" s="5"/>
      <c r="V497" s="5"/>
      <c r="W497" s="5"/>
      <c r="X497" s="5"/>
      <c r="Y497" s="5"/>
      <c r="Z497" s="5"/>
      <c r="AA497" s="5"/>
      <c r="AB497" s="5"/>
      <c r="AC497" s="5"/>
      <c r="AD497" s="6"/>
    </row>
    <row r="498">
      <c r="A498" s="5"/>
      <c r="B498" s="5"/>
      <c r="C498" s="73"/>
      <c r="D498" s="73"/>
      <c r="E498" s="5"/>
      <c r="F498" s="5"/>
      <c r="G498" s="5"/>
      <c r="H498" s="5"/>
      <c r="I498" s="73"/>
      <c r="J498" s="5"/>
      <c r="K498" s="5"/>
      <c r="L498" s="73"/>
      <c r="M498" s="5"/>
      <c r="N498" s="5"/>
      <c r="O498" s="5"/>
      <c r="P498" s="5"/>
      <c r="Q498" s="5"/>
      <c r="R498" s="5"/>
      <c r="S498" s="5"/>
      <c r="T498" s="5"/>
      <c r="U498" s="5"/>
      <c r="V498" s="5"/>
      <c r="W498" s="5"/>
      <c r="X498" s="5"/>
      <c r="Y498" s="5"/>
      <c r="Z498" s="5"/>
      <c r="AA498" s="5"/>
      <c r="AB498" s="5"/>
      <c r="AC498" s="5"/>
      <c r="AD498" s="6"/>
    </row>
    <row r="499">
      <c r="A499" s="5"/>
      <c r="B499" s="5"/>
      <c r="C499" s="73"/>
      <c r="D499" s="73"/>
      <c r="E499" s="5"/>
      <c r="F499" s="5"/>
      <c r="G499" s="5"/>
      <c r="H499" s="5"/>
      <c r="I499" s="73"/>
      <c r="J499" s="5"/>
      <c r="K499" s="5"/>
      <c r="L499" s="73"/>
      <c r="M499" s="5"/>
      <c r="N499" s="5"/>
      <c r="O499" s="5"/>
      <c r="P499" s="5"/>
      <c r="Q499" s="5"/>
      <c r="R499" s="5"/>
      <c r="S499" s="5"/>
      <c r="T499" s="5"/>
      <c r="U499" s="5"/>
      <c r="V499" s="5"/>
      <c r="W499" s="5"/>
      <c r="X499" s="5"/>
      <c r="Y499" s="5"/>
      <c r="Z499" s="5"/>
      <c r="AA499" s="5"/>
      <c r="AB499" s="5"/>
      <c r="AC499" s="5"/>
      <c r="AD499" s="6"/>
    </row>
    <row r="500">
      <c r="A500" s="5"/>
      <c r="B500" s="5"/>
      <c r="C500" s="73"/>
      <c r="D500" s="73"/>
      <c r="E500" s="5"/>
      <c r="F500" s="5"/>
      <c r="G500" s="5"/>
      <c r="H500" s="5"/>
      <c r="I500" s="73"/>
      <c r="J500" s="5"/>
      <c r="K500" s="5"/>
      <c r="L500" s="73"/>
      <c r="M500" s="5"/>
      <c r="N500" s="5"/>
      <c r="O500" s="5"/>
      <c r="P500" s="5"/>
      <c r="Q500" s="5"/>
      <c r="R500" s="5"/>
      <c r="S500" s="5"/>
      <c r="T500" s="5"/>
      <c r="U500" s="5"/>
      <c r="V500" s="5"/>
      <c r="W500" s="5"/>
      <c r="X500" s="5"/>
      <c r="Y500" s="5"/>
      <c r="Z500" s="5"/>
      <c r="AA500" s="5"/>
      <c r="AB500" s="5"/>
      <c r="AC500" s="5"/>
      <c r="AD500" s="6"/>
    </row>
    <row r="501">
      <c r="A501" s="5"/>
      <c r="B501" s="5"/>
      <c r="C501" s="73"/>
      <c r="D501" s="73"/>
      <c r="E501" s="5"/>
      <c r="F501" s="5"/>
      <c r="G501" s="5"/>
      <c r="H501" s="5"/>
      <c r="I501" s="73"/>
      <c r="J501" s="5"/>
      <c r="K501" s="5"/>
      <c r="L501" s="73"/>
      <c r="M501" s="5"/>
      <c r="N501" s="5"/>
      <c r="O501" s="5"/>
      <c r="P501" s="5"/>
      <c r="Q501" s="5"/>
      <c r="R501" s="5"/>
      <c r="S501" s="5"/>
      <c r="T501" s="5"/>
      <c r="U501" s="5"/>
      <c r="V501" s="5"/>
      <c r="W501" s="5"/>
      <c r="X501" s="5"/>
      <c r="Y501" s="5"/>
      <c r="Z501" s="5"/>
      <c r="AA501" s="5"/>
      <c r="AB501" s="5"/>
      <c r="AC501" s="5"/>
      <c r="AD501" s="6"/>
    </row>
    <row r="502">
      <c r="A502" s="5"/>
      <c r="B502" s="5"/>
      <c r="C502" s="73"/>
      <c r="D502" s="73"/>
      <c r="E502" s="5"/>
      <c r="F502" s="5"/>
      <c r="G502" s="5"/>
      <c r="H502" s="5"/>
      <c r="I502" s="73"/>
      <c r="J502" s="5"/>
      <c r="K502" s="5"/>
      <c r="L502" s="73"/>
      <c r="M502" s="5"/>
      <c r="N502" s="5"/>
      <c r="O502" s="5"/>
      <c r="P502" s="5"/>
      <c r="Q502" s="5"/>
      <c r="R502" s="5"/>
      <c r="S502" s="5"/>
      <c r="T502" s="5"/>
      <c r="U502" s="5"/>
      <c r="V502" s="5"/>
      <c r="W502" s="5"/>
      <c r="X502" s="5"/>
      <c r="Y502" s="5"/>
      <c r="Z502" s="5"/>
      <c r="AA502" s="5"/>
      <c r="AB502" s="5"/>
      <c r="AC502" s="5"/>
      <c r="AD502" s="6"/>
    </row>
    <row r="503">
      <c r="A503" s="5"/>
      <c r="B503" s="5"/>
      <c r="C503" s="73"/>
      <c r="D503" s="73"/>
      <c r="E503" s="5"/>
      <c r="F503" s="5"/>
      <c r="G503" s="5"/>
      <c r="H503" s="5"/>
      <c r="I503" s="73"/>
      <c r="J503" s="5"/>
      <c r="K503" s="5"/>
      <c r="L503" s="73"/>
      <c r="M503" s="5"/>
      <c r="N503" s="5"/>
      <c r="O503" s="5"/>
      <c r="P503" s="5"/>
      <c r="Q503" s="5"/>
      <c r="R503" s="5"/>
      <c r="S503" s="5"/>
      <c r="T503" s="5"/>
      <c r="U503" s="5"/>
      <c r="V503" s="5"/>
      <c r="W503" s="5"/>
      <c r="X503" s="5"/>
      <c r="Y503" s="5"/>
      <c r="Z503" s="5"/>
      <c r="AA503" s="5"/>
      <c r="AB503" s="5"/>
      <c r="AC503" s="5"/>
      <c r="AD503" s="6"/>
    </row>
    <row r="504">
      <c r="A504" s="5"/>
      <c r="B504" s="5"/>
      <c r="C504" s="73"/>
      <c r="D504" s="73"/>
      <c r="E504" s="5"/>
      <c r="F504" s="5"/>
      <c r="G504" s="5"/>
      <c r="H504" s="5"/>
      <c r="I504" s="73"/>
      <c r="J504" s="5"/>
      <c r="K504" s="5"/>
      <c r="L504" s="73"/>
      <c r="M504" s="5"/>
      <c r="N504" s="5"/>
      <c r="O504" s="5"/>
      <c r="P504" s="5"/>
      <c r="Q504" s="5"/>
      <c r="R504" s="5"/>
      <c r="S504" s="5"/>
      <c r="T504" s="5"/>
      <c r="U504" s="5"/>
      <c r="V504" s="5"/>
      <c r="W504" s="5"/>
      <c r="X504" s="5"/>
      <c r="Y504" s="5"/>
      <c r="Z504" s="5"/>
      <c r="AA504" s="5"/>
      <c r="AB504" s="5"/>
      <c r="AC504" s="5"/>
      <c r="AD504" s="6"/>
    </row>
    <row r="505">
      <c r="A505" s="5"/>
      <c r="B505" s="5"/>
      <c r="C505" s="73"/>
      <c r="D505" s="73"/>
      <c r="E505" s="5"/>
      <c r="F505" s="5"/>
      <c r="G505" s="5"/>
      <c r="H505" s="5"/>
      <c r="I505" s="73"/>
      <c r="J505" s="5"/>
      <c r="K505" s="5"/>
      <c r="L505" s="73"/>
      <c r="M505" s="5"/>
      <c r="N505" s="5"/>
      <c r="O505" s="5"/>
      <c r="P505" s="5"/>
      <c r="Q505" s="5"/>
      <c r="R505" s="5"/>
      <c r="S505" s="5"/>
      <c r="T505" s="5"/>
      <c r="U505" s="5"/>
      <c r="V505" s="5"/>
      <c r="W505" s="5"/>
      <c r="X505" s="5"/>
      <c r="Y505" s="5"/>
      <c r="Z505" s="5"/>
      <c r="AA505" s="5"/>
      <c r="AB505" s="5"/>
      <c r="AC505" s="5"/>
      <c r="AD505" s="6"/>
    </row>
    <row r="506">
      <c r="A506" s="5"/>
      <c r="B506" s="5"/>
      <c r="C506" s="73"/>
      <c r="D506" s="73"/>
      <c r="E506" s="5"/>
      <c r="F506" s="5"/>
      <c r="G506" s="5"/>
      <c r="H506" s="5"/>
      <c r="I506" s="73"/>
      <c r="J506" s="5"/>
      <c r="K506" s="5"/>
      <c r="L506" s="73"/>
      <c r="M506" s="5"/>
      <c r="N506" s="5"/>
      <c r="O506" s="5"/>
      <c r="P506" s="5"/>
      <c r="Q506" s="5"/>
      <c r="R506" s="5"/>
      <c r="S506" s="5"/>
      <c r="T506" s="5"/>
      <c r="U506" s="5"/>
      <c r="V506" s="5"/>
      <c r="W506" s="5"/>
      <c r="X506" s="5"/>
      <c r="Y506" s="5"/>
      <c r="Z506" s="5"/>
      <c r="AA506" s="5"/>
      <c r="AB506" s="5"/>
      <c r="AC506" s="5"/>
      <c r="AD506" s="6"/>
    </row>
    <row r="507">
      <c r="A507" s="5"/>
      <c r="B507" s="5"/>
      <c r="C507" s="73"/>
      <c r="D507" s="73"/>
      <c r="E507" s="5"/>
      <c r="F507" s="5"/>
      <c r="G507" s="5"/>
      <c r="H507" s="5"/>
      <c r="I507" s="73"/>
      <c r="J507" s="5"/>
      <c r="K507" s="5"/>
      <c r="L507" s="73"/>
      <c r="M507" s="5"/>
      <c r="N507" s="5"/>
      <c r="O507" s="5"/>
      <c r="P507" s="5"/>
      <c r="Q507" s="5"/>
      <c r="R507" s="5"/>
      <c r="S507" s="5"/>
      <c r="T507" s="5"/>
      <c r="U507" s="5"/>
      <c r="V507" s="5"/>
      <c r="W507" s="5"/>
      <c r="X507" s="5"/>
      <c r="Y507" s="5"/>
      <c r="Z507" s="5"/>
      <c r="AA507" s="5"/>
      <c r="AB507" s="5"/>
      <c r="AC507" s="5"/>
      <c r="AD507" s="6"/>
    </row>
    <row r="508">
      <c r="A508" s="5"/>
      <c r="B508" s="5"/>
      <c r="C508" s="73"/>
      <c r="D508" s="73"/>
      <c r="E508" s="5"/>
      <c r="F508" s="5"/>
      <c r="G508" s="5"/>
      <c r="H508" s="5"/>
      <c r="I508" s="73"/>
      <c r="J508" s="5"/>
      <c r="K508" s="5"/>
      <c r="L508" s="73"/>
      <c r="M508" s="5"/>
      <c r="N508" s="5"/>
      <c r="O508" s="5"/>
      <c r="P508" s="5"/>
      <c r="Q508" s="5"/>
      <c r="R508" s="5"/>
      <c r="S508" s="5"/>
      <c r="T508" s="5"/>
      <c r="U508" s="5"/>
      <c r="V508" s="5"/>
      <c r="W508" s="5"/>
      <c r="X508" s="5"/>
      <c r="Y508" s="5"/>
      <c r="Z508" s="5"/>
      <c r="AA508" s="5"/>
      <c r="AB508" s="5"/>
      <c r="AC508" s="5"/>
      <c r="AD508" s="6"/>
    </row>
    <row r="509">
      <c r="A509" s="5"/>
      <c r="B509" s="5"/>
      <c r="C509" s="73"/>
      <c r="D509" s="73"/>
      <c r="E509" s="5"/>
      <c r="F509" s="5"/>
      <c r="G509" s="5"/>
      <c r="H509" s="5"/>
      <c r="I509" s="73"/>
      <c r="J509" s="5"/>
      <c r="K509" s="5"/>
      <c r="L509" s="73"/>
      <c r="M509" s="5"/>
      <c r="N509" s="5"/>
      <c r="O509" s="5"/>
      <c r="P509" s="5"/>
      <c r="Q509" s="5"/>
      <c r="R509" s="5"/>
      <c r="S509" s="5"/>
      <c r="T509" s="5"/>
      <c r="U509" s="5"/>
      <c r="V509" s="5"/>
      <c r="W509" s="5"/>
      <c r="X509" s="5"/>
      <c r="Y509" s="5"/>
      <c r="Z509" s="5"/>
      <c r="AA509" s="5"/>
      <c r="AB509" s="5"/>
      <c r="AC509" s="5"/>
      <c r="AD509" s="6"/>
    </row>
    <row r="510">
      <c r="A510" s="5"/>
      <c r="B510" s="5"/>
      <c r="C510" s="73"/>
      <c r="D510" s="73"/>
      <c r="E510" s="5"/>
      <c r="F510" s="5"/>
      <c r="G510" s="5"/>
      <c r="H510" s="5"/>
      <c r="I510" s="73"/>
      <c r="J510" s="5"/>
      <c r="K510" s="5"/>
      <c r="L510" s="73"/>
      <c r="M510" s="5"/>
      <c r="N510" s="5"/>
      <c r="O510" s="5"/>
      <c r="P510" s="5"/>
      <c r="Q510" s="5"/>
      <c r="R510" s="5"/>
      <c r="S510" s="5"/>
      <c r="T510" s="5"/>
      <c r="U510" s="5"/>
      <c r="V510" s="5"/>
      <c r="W510" s="5"/>
      <c r="X510" s="5"/>
      <c r="Y510" s="5"/>
      <c r="Z510" s="5"/>
      <c r="AA510" s="5"/>
      <c r="AB510" s="5"/>
      <c r="AC510" s="5"/>
      <c r="AD510" s="6"/>
    </row>
    <row r="511">
      <c r="A511" s="5"/>
      <c r="B511" s="5"/>
      <c r="C511" s="73"/>
      <c r="D511" s="73"/>
      <c r="E511" s="5"/>
      <c r="F511" s="5"/>
      <c r="G511" s="5"/>
      <c r="H511" s="5"/>
      <c r="I511" s="73"/>
      <c r="J511" s="5"/>
      <c r="K511" s="5"/>
      <c r="L511" s="73"/>
      <c r="M511" s="5"/>
      <c r="N511" s="5"/>
      <c r="O511" s="5"/>
      <c r="P511" s="5"/>
      <c r="Q511" s="5"/>
      <c r="R511" s="5"/>
      <c r="S511" s="5"/>
      <c r="T511" s="5"/>
      <c r="U511" s="5"/>
      <c r="V511" s="5"/>
      <c r="W511" s="5"/>
      <c r="X511" s="5"/>
      <c r="Y511" s="5"/>
      <c r="Z511" s="5"/>
      <c r="AA511" s="5"/>
      <c r="AB511" s="5"/>
      <c r="AC511" s="5"/>
      <c r="AD511" s="6"/>
    </row>
    <row r="512">
      <c r="A512" s="5"/>
      <c r="B512" s="5"/>
      <c r="C512" s="73"/>
      <c r="D512" s="73"/>
      <c r="E512" s="5"/>
      <c r="F512" s="5"/>
      <c r="G512" s="5"/>
      <c r="H512" s="5"/>
      <c r="I512" s="73"/>
      <c r="J512" s="5"/>
      <c r="K512" s="5"/>
      <c r="L512" s="73"/>
      <c r="M512" s="5"/>
      <c r="N512" s="5"/>
      <c r="O512" s="5"/>
      <c r="P512" s="5"/>
      <c r="Q512" s="5"/>
      <c r="R512" s="5"/>
      <c r="S512" s="5"/>
      <c r="T512" s="5"/>
      <c r="U512" s="5"/>
      <c r="V512" s="5"/>
      <c r="W512" s="5"/>
      <c r="X512" s="5"/>
      <c r="Y512" s="5"/>
      <c r="Z512" s="5"/>
      <c r="AA512" s="5"/>
      <c r="AB512" s="5"/>
      <c r="AC512" s="5"/>
      <c r="AD512" s="6"/>
    </row>
    <row r="513">
      <c r="A513" s="5"/>
      <c r="B513" s="5"/>
      <c r="C513" s="73"/>
      <c r="D513" s="73"/>
      <c r="E513" s="5"/>
      <c r="F513" s="5"/>
      <c r="G513" s="5"/>
      <c r="H513" s="5"/>
      <c r="I513" s="73"/>
      <c r="J513" s="5"/>
      <c r="K513" s="5"/>
      <c r="L513" s="73"/>
      <c r="M513" s="5"/>
      <c r="N513" s="5"/>
      <c r="O513" s="5"/>
      <c r="P513" s="5"/>
      <c r="Q513" s="5"/>
      <c r="R513" s="5"/>
      <c r="S513" s="5"/>
      <c r="T513" s="5"/>
      <c r="U513" s="5"/>
      <c r="V513" s="5"/>
      <c r="W513" s="5"/>
      <c r="X513" s="5"/>
      <c r="Y513" s="5"/>
      <c r="Z513" s="5"/>
      <c r="AA513" s="5"/>
      <c r="AB513" s="5"/>
      <c r="AC513" s="5"/>
      <c r="AD513" s="6"/>
    </row>
    <row r="514">
      <c r="A514" s="5"/>
      <c r="B514" s="5"/>
      <c r="C514" s="73"/>
      <c r="D514" s="73"/>
      <c r="E514" s="5"/>
      <c r="F514" s="5"/>
      <c r="G514" s="5"/>
      <c r="H514" s="5"/>
      <c r="I514" s="73"/>
      <c r="J514" s="5"/>
      <c r="K514" s="5"/>
      <c r="L514" s="73"/>
      <c r="M514" s="5"/>
      <c r="N514" s="5"/>
      <c r="O514" s="5"/>
      <c r="P514" s="5"/>
      <c r="Q514" s="5"/>
      <c r="R514" s="5"/>
      <c r="S514" s="5"/>
      <c r="T514" s="5"/>
      <c r="U514" s="5"/>
      <c r="V514" s="5"/>
      <c r="W514" s="5"/>
      <c r="X514" s="5"/>
      <c r="Y514" s="5"/>
      <c r="Z514" s="5"/>
      <c r="AA514" s="5"/>
      <c r="AB514" s="5"/>
      <c r="AC514" s="5"/>
      <c r="AD514" s="6"/>
    </row>
    <row r="515">
      <c r="A515" s="5"/>
      <c r="B515" s="5"/>
      <c r="C515" s="73"/>
      <c r="D515" s="73"/>
      <c r="E515" s="5"/>
      <c r="F515" s="5"/>
      <c r="G515" s="5"/>
      <c r="H515" s="5"/>
      <c r="I515" s="73"/>
      <c r="J515" s="5"/>
      <c r="K515" s="5"/>
      <c r="L515" s="73"/>
      <c r="M515" s="5"/>
      <c r="N515" s="5"/>
      <c r="O515" s="5"/>
      <c r="P515" s="5"/>
      <c r="Q515" s="5"/>
      <c r="R515" s="5"/>
      <c r="S515" s="5"/>
      <c r="T515" s="5"/>
      <c r="U515" s="5"/>
      <c r="V515" s="5"/>
      <c r="W515" s="5"/>
      <c r="X515" s="5"/>
      <c r="Y515" s="5"/>
      <c r="Z515" s="5"/>
      <c r="AA515" s="5"/>
      <c r="AB515" s="5"/>
      <c r="AC515" s="5"/>
      <c r="AD515" s="6"/>
    </row>
    <row r="516">
      <c r="A516" s="5"/>
      <c r="B516" s="5"/>
      <c r="C516" s="73"/>
      <c r="D516" s="73"/>
      <c r="E516" s="5"/>
      <c r="F516" s="5"/>
      <c r="G516" s="5"/>
      <c r="H516" s="5"/>
      <c r="I516" s="73"/>
      <c r="J516" s="5"/>
      <c r="K516" s="5"/>
      <c r="L516" s="73"/>
      <c r="M516" s="5"/>
      <c r="N516" s="5"/>
      <c r="O516" s="5"/>
      <c r="P516" s="5"/>
      <c r="Q516" s="5"/>
      <c r="R516" s="5"/>
      <c r="S516" s="5"/>
      <c r="T516" s="5"/>
      <c r="U516" s="5"/>
      <c r="V516" s="5"/>
      <c r="W516" s="5"/>
      <c r="X516" s="5"/>
      <c r="Y516" s="5"/>
      <c r="Z516" s="5"/>
      <c r="AA516" s="5"/>
      <c r="AB516" s="5"/>
      <c r="AC516" s="5"/>
      <c r="AD516" s="6"/>
    </row>
    <row r="517">
      <c r="A517" s="5"/>
      <c r="B517" s="5"/>
      <c r="C517" s="73"/>
      <c r="D517" s="73"/>
      <c r="E517" s="5"/>
      <c r="F517" s="5"/>
      <c r="G517" s="5"/>
      <c r="H517" s="5"/>
      <c r="I517" s="73"/>
      <c r="J517" s="5"/>
      <c r="K517" s="5"/>
      <c r="L517" s="73"/>
      <c r="M517" s="5"/>
      <c r="N517" s="5"/>
      <c r="O517" s="5"/>
      <c r="P517" s="5"/>
      <c r="Q517" s="5"/>
      <c r="R517" s="5"/>
      <c r="S517" s="5"/>
      <c r="T517" s="5"/>
      <c r="U517" s="5"/>
      <c r="V517" s="5"/>
      <c r="W517" s="5"/>
      <c r="X517" s="5"/>
      <c r="Y517" s="5"/>
      <c r="Z517" s="5"/>
      <c r="AA517" s="5"/>
      <c r="AB517" s="5"/>
      <c r="AC517" s="5"/>
      <c r="AD517" s="6"/>
    </row>
    <row r="518">
      <c r="A518" s="5"/>
      <c r="B518" s="5"/>
      <c r="C518" s="73"/>
      <c r="D518" s="73"/>
      <c r="E518" s="5"/>
      <c r="F518" s="5"/>
      <c r="G518" s="5"/>
      <c r="H518" s="5"/>
      <c r="I518" s="73"/>
      <c r="J518" s="5"/>
      <c r="K518" s="5"/>
      <c r="L518" s="73"/>
      <c r="M518" s="5"/>
      <c r="N518" s="5"/>
      <c r="O518" s="5"/>
      <c r="P518" s="5"/>
      <c r="Q518" s="5"/>
      <c r="R518" s="5"/>
      <c r="S518" s="5"/>
      <c r="T518" s="5"/>
      <c r="U518" s="5"/>
      <c r="V518" s="5"/>
      <c r="W518" s="5"/>
      <c r="X518" s="5"/>
      <c r="Y518" s="5"/>
      <c r="Z518" s="5"/>
      <c r="AA518" s="5"/>
      <c r="AB518" s="5"/>
      <c r="AC518" s="5"/>
      <c r="AD518" s="6"/>
    </row>
    <row r="519">
      <c r="A519" s="5"/>
      <c r="B519" s="5"/>
      <c r="C519" s="73"/>
      <c r="D519" s="73"/>
      <c r="E519" s="5"/>
      <c r="F519" s="5"/>
      <c r="G519" s="5"/>
      <c r="H519" s="5"/>
      <c r="I519" s="73"/>
      <c r="J519" s="5"/>
      <c r="K519" s="5"/>
      <c r="L519" s="73"/>
      <c r="M519" s="5"/>
      <c r="N519" s="5"/>
      <c r="O519" s="5"/>
      <c r="P519" s="5"/>
      <c r="Q519" s="5"/>
      <c r="R519" s="5"/>
      <c r="S519" s="5"/>
      <c r="T519" s="5"/>
      <c r="U519" s="5"/>
      <c r="V519" s="5"/>
      <c r="W519" s="5"/>
      <c r="X519" s="5"/>
      <c r="Y519" s="5"/>
      <c r="Z519" s="5"/>
      <c r="AA519" s="5"/>
      <c r="AB519" s="5"/>
      <c r="AC519" s="5"/>
      <c r="AD519" s="6"/>
    </row>
    <row r="520">
      <c r="A520" s="5"/>
      <c r="B520" s="5"/>
      <c r="C520" s="73"/>
      <c r="D520" s="73"/>
      <c r="E520" s="5"/>
      <c r="F520" s="5"/>
      <c r="G520" s="5"/>
      <c r="H520" s="5"/>
      <c r="I520" s="73"/>
      <c r="J520" s="5"/>
      <c r="K520" s="5"/>
      <c r="L520" s="73"/>
      <c r="M520" s="5"/>
      <c r="N520" s="5"/>
      <c r="O520" s="5"/>
      <c r="P520" s="5"/>
      <c r="Q520" s="5"/>
      <c r="R520" s="5"/>
      <c r="S520" s="5"/>
      <c r="T520" s="5"/>
      <c r="U520" s="5"/>
      <c r="V520" s="5"/>
      <c r="W520" s="5"/>
      <c r="X520" s="5"/>
      <c r="Y520" s="5"/>
      <c r="Z520" s="5"/>
      <c r="AA520" s="5"/>
      <c r="AB520" s="5"/>
      <c r="AC520" s="5"/>
      <c r="AD520" s="6"/>
    </row>
    <row r="521">
      <c r="A521" s="5"/>
      <c r="B521" s="5"/>
      <c r="C521" s="73"/>
      <c r="D521" s="73"/>
      <c r="E521" s="5"/>
      <c r="F521" s="5"/>
      <c r="G521" s="5"/>
      <c r="H521" s="5"/>
      <c r="I521" s="73"/>
      <c r="J521" s="5"/>
      <c r="K521" s="5"/>
      <c r="L521" s="73"/>
      <c r="M521" s="5"/>
      <c r="N521" s="5"/>
      <c r="O521" s="5"/>
      <c r="P521" s="5"/>
      <c r="Q521" s="5"/>
      <c r="R521" s="5"/>
      <c r="S521" s="5"/>
      <c r="T521" s="5"/>
      <c r="U521" s="5"/>
      <c r="V521" s="5"/>
      <c r="W521" s="5"/>
      <c r="X521" s="5"/>
      <c r="Y521" s="5"/>
      <c r="Z521" s="5"/>
      <c r="AA521" s="5"/>
      <c r="AB521" s="5"/>
      <c r="AC521" s="5"/>
      <c r="AD521" s="6"/>
    </row>
    <row r="522">
      <c r="A522" s="5"/>
      <c r="B522" s="5"/>
      <c r="C522" s="73"/>
      <c r="D522" s="73"/>
      <c r="E522" s="5"/>
      <c r="F522" s="5"/>
      <c r="G522" s="5"/>
      <c r="H522" s="5"/>
      <c r="I522" s="73"/>
      <c r="J522" s="5"/>
      <c r="K522" s="5"/>
      <c r="L522" s="73"/>
      <c r="M522" s="5"/>
      <c r="N522" s="5"/>
      <c r="O522" s="5"/>
      <c r="P522" s="5"/>
      <c r="Q522" s="5"/>
      <c r="R522" s="5"/>
      <c r="S522" s="5"/>
      <c r="T522" s="5"/>
      <c r="U522" s="5"/>
      <c r="V522" s="5"/>
      <c r="W522" s="5"/>
      <c r="X522" s="5"/>
      <c r="Y522" s="5"/>
      <c r="Z522" s="5"/>
      <c r="AA522" s="5"/>
      <c r="AB522" s="5"/>
      <c r="AC522" s="5"/>
      <c r="AD522" s="6"/>
    </row>
    <row r="523">
      <c r="A523" s="5"/>
      <c r="B523" s="5"/>
      <c r="C523" s="73"/>
      <c r="D523" s="73"/>
      <c r="E523" s="5"/>
      <c r="F523" s="5"/>
      <c r="G523" s="5"/>
      <c r="H523" s="5"/>
      <c r="I523" s="73"/>
      <c r="J523" s="5"/>
      <c r="K523" s="5"/>
      <c r="L523" s="73"/>
      <c r="M523" s="5"/>
      <c r="N523" s="5"/>
      <c r="O523" s="5"/>
      <c r="P523" s="5"/>
      <c r="Q523" s="5"/>
      <c r="R523" s="5"/>
      <c r="S523" s="5"/>
      <c r="T523" s="5"/>
      <c r="U523" s="5"/>
      <c r="V523" s="5"/>
      <c r="W523" s="5"/>
      <c r="X523" s="5"/>
      <c r="Y523" s="5"/>
      <c r="Z523" s="5"/>
      <c r="AA523" s="5"/>
      <c r="AB523" s="5"/>
      <c r="AC523" s="5"/>
      <c r="AD523" s="6"/>
    </row>
    <row r="524">
      <c r="A524" s="5"/>
      <c r="B524" s="5"/>
      <c r="C524" s="73"/>
      <c r="D524" s="73"/>
      <c r="E524" s="5"/>
      <c r="F524" s="5"/>
      <c r="G524" s="5"/>
      <c r="H524" s="5"/>
      <c r="I524" s="73"/>
      <c r="J524" s="5"/>
      <c r="K524" s="5"/>
      <c r="L524" s="73"/>
      <c r="M524" s="5"/>
      <c r="N524" s="5"/>
      <c r="O524" s="5"/>
      <c r="P524" s="5"/>
      <c r="Q524" s="5"/>
      <c r="R524" s="5"/>
      <c r="S524" s="5"/>
      <c r="T524" s="5"/>
      <c r="U524" s="5"/>
      <c r="V524" s="5"/>
      <c r="W524" s="5"/>
      <c r="X524" s="5"/>
      <c r="Y524" s="5"/>
      <c r="Z524" s="5"/>
      <c r="AA524" s="5"/>
      <c r="AB524" s="5"/>
      <c r="AC524" s="5"/>
      <c r="AD524" s="6"/>
    </row>
    <row r="525">
      <c r="A525" s="5"/>
      <c r="B525" s="5"/>
      <c r="C525" s="73"/>
      <c r="D525" s="73"/>
      <c r="E525" s="5"/>
      <c r="F525" s="5"/>
      <c r="G525" s="5"/>
      <c r="H525" s="5"/>
      <c r="I525" s="73"/>
      <c r="J525" s="5"/>
      <c r="K525" s="5"/>
      <c r="L525" s="73"/>
      <c r="M525" s="5"/>
      <c r="N525" s="5"/>
      <c r="O525" s="5"/>
      <c r="P525" s="5"/>
      <c r="Q525" s="5"/>
      <c r="R525" s="5"/>
      <c r="S525" s="5"/>
      <c r="T525" s="5"/>
      <c r="U525" s="5"/>
      <c r="V525" s="5"/>
      <c r="W525" s="5"/>
      <c r="X525" s="5"/>
      <c r="Y525" s="5"/>
      <c r="Z525" s="5"/>
      <c r="AA525" s="5"/>
      <c r="AB525" s="5"/>
      <c r="AC525" s="5"/>
      <c r="AD525" s="6"/>
    </row>
    <row r="526">
      <c r="A526" s="5"/>
      <c r="B526" s="5"/>
      <c r="C526" s="73"/>
      <c r="D526" s="73"/>
      <c r="E526" s="5"/>
      <c r="F526" s="5"/>
      <c r="G526" s="5"/>
      <c r="H526" s="5"/>
      <c r="I526" s="73"/>
      <c r="J526" s="5"/>
      <c r="K526" s="5"/>
      <c r="L526" s="73"/>
      <c r="M526" s="5"/>
      <c r="N526" s="5"/>
      <c r="O526" s="5"/>
      <c r="P526" s="5"/>
      <c r="Q526" s="5"/>
      <c r="R526" s="5"/>
      <c r="S526" s="5"/>
      <c r="T526" s="5"/>
      <c r="U526" s="5"/>
      <c r="V526" s="5"/>
      <c r="W526" s="5"/>
      <c r="X526" s="5"/>
      <c r="Y526" s="5"/>
      <c r="Z526" s="5"/>
      <c r="AA526" s="5"/>
      <c r="AB526" s="5"/>
      <c r="AC526" s="5"/>
      <c r="AD526" s="6"/>
    </row>
    <row r="527">
      <c r="A527" s="5"/>
      <c r="B527" s="5"/>
      <c r="C527" s="73"/>
      <c r="D527" s="73"/>
      <c r="E527" s="5"/>
      <c r="F527" s="5"/>
      <c r="G527" s="5"/>
      <c r="H527" s="5"/>
      <c r="I527" s="73"/>
      <c r="J527" s="5"/>
      <c r="K527" s="5"/>
      <c r="L527" s="73"/>
      <c r="M527" s="5"/>
      <c r="N527" s="5"/>
      <c r="O527" s="5"/>
      <c r="P527" s="5"/>
      <c r="Q527" s="5"/>
      <c r="R527" s="5"/>
      <c r="S527" s="5"/>
      <c r="T527" s="5"/>
      <c r="U527" s="5"/>
      <c r="V527" s="5"/>
      <c r="W527" s="5"/>
      <c r="X527" s="5"/>
      <c r="Y527" s="5"/>
      <c r="Z527" s="5"/>
      <c r="AA527" s="5"/>
      <c r="AB527" s="5"/>
      <c r="AC527" s="5"/>
      <c r="AD527" s="6"/>
    </row>
    <row r="528">
      <c r="A528" s="5"/>
      <c r="B528" s="5"/>
      <c r="C528" s="73"/>
      <c r="D528" s="73"/>
      <c r="E528" s="5"/>
      <c r="F528" s="5"/>
      <c r="G528" s="5"/>
      <c r="H528" s="5"/>
      <c r="I528" s="73"/>
      <c r="J528" s="5"/>
      <c r="K528" s="5"/>
      <c r="L528" s="73"/>
      <c r="M528" s="5"/>
      <c r="N528" s="5"/>
      <c r="O528" s="5"/>
      <c r="P528" s="5"/>
      <c r="Q528" s="5"/>
      <c r="R528" s="5"/>
      <c r="S528" s="5"/>
      <c r="T528" s="5"/>
      <c r="U528" s="5"/>
      <c r="V528" s="5"/>
      <c r="W528" s="5"/>
      <c r="X528" s="5"/>
      <c r="Y528" s="5"/>
      <c r="Z528" s="5"/>
      <c r="AA528" s="5"/>
      <c r="AB528" s="5"/>
      <c r="AC528" s="5"/>
      <c r="AD528" s="6"/>
    </row>
    <row r="529">
      <c r="A529" s="5"/>
      <c r="B529" s="5"/>
      <c r="C529" s="73"/>
      <c r="D529" s="73"/>
      <c r="E529" s="5"/>
      <c r="F529" s="5"/>
      <c r="G529" s="5"/>
      <c r="H529" s="5"/>
      <c r="I529" s="73"/>
      <c r="J529" s="5"/>
      <c r="K529" s="5"/>
      <c r="L529" s="73"/>
      <c r="M529" s="5"/>
      <c r="N529" s="5"/>
      <c r="O529" s="5"/>
      <c r="P529" s="5"/>
      <c r="Q529" s="5"/>
      <c r="R529" s="5"/>
      <c r="S529" s="5"/>
      <c r="T529" s="5"/>
      <c r="U529" s="5"/>
      <c r="V529" s="5"/>
      <c r="W529" s="5"/>
      <c r="X529" s="5"/>
      <c r="Y529" s="5"/>
      <c r="Z529" s="5"/>
      <c r="AA529" s="5"/>
      <c r="AB529" s="5"/>
      <c r="AC529" s="5"/>
      <c r="AD529" s="6"/>
    </row>
    <row r="530">
      <c r="A530" s="5"/>
      <c r="B530" s="5"/>
      <c r="C530" s="73"/>
      <c r="D530" s="73"/>
      <c r="E530" s="5"/>
      <c r="F530" s="5"/>
      <c r="G530" s="5"/>
      <c r="H530" s="5"/>
      <c r="I530" s="73"/>
      <c r="J530" s="5"/>
      <c r="K530" s="5"/>
      <c r="L530" s="73"/>
      <c r="M530" s="5"/>
      <c r="N530" s="5"/>
      <c r="O530" s="5"/>
      <c r="P530" s="5"/>
      <c r="Q530" s="5"/>
      <c r="R530" s="5"/>
      <c r="S530" s="5"/>
      <c r="T530" s="5"/>
      <c r="U530" s="5"/>
      <c r="V530" s="5"/>
      <c r="W530" s="5"/>
      <c r="X530" s="5"/>
      <c r="Y530" s="5"/>
      <c r="Z530" s="5"/>
      <c r="AA530" s="5"/>
      <c r="AB530" s="5"/>
      <c r="AC530" s="5"/>
      <c r="AD530" s="6"/>
    </row>
    <row r="531">
      <c r="A531" s="5"/>
      <c r="B531" s="5"/>
      <c r="C531" s="73"/>
      <c r="D531" s="73"/>
      <c r="E531" s="5"/>
      <c r="F531" s="5"/>
      <c r="G531" s="5"/>
      <c r="H531" s="5"/>
      <c r="I531" s="73"/>
      <c r="J531" s="5"/>
      <c r="K531" s="5"/>
      <c r="L531" s="73"/>
      <c r="M531" s="5"/>
      <c r="N531" s="5"/>
      <c r="O531" s="5"/>
      <c r="P531" s="5"/>
      <c r="Q531" s="5"/>
      <c r="R531" s="5"/>
      <c r="S531" s="5"/>
      <c r="T531" s="5"/>
      <c r="U531" s="5"/>
      <c r="V531" s="5"/>
      <c r="W531" s="5"/>
      <c r="X531" s="5"/>
      <c r="Y531" s="5"/>
      <c r="Z531" s="5"/>
      <c r="AA531" s="5"/>
      <c r="AB531" s="5"/>
      <c r="AC531" s="5"/>
      <c r="AD531" s="6"/>
    </row>
    <row r="532">
      <c r="A532" s="5"/>
      <c r="B532" s="5"/>
      <c r="C532" s="73"/>
      <c r="D532" s="73"/>
      <c r="E532" s="5"/>
      <c r="F532" s="5"/>
      <c r="G532" s="5"/>
      <c r="H532" s="5"/>
      <c r="I532" s="73"/>
      <c r="J532" s="5"/>
      <c r="K532" s="5"/>
      <c r="L532" s="73"/>
      <c r="M532" s="5"/>
      <c r="N532" s="5"/>
      <c r="O532" s="5"/>
      <c r="P532" s="5"/>
      <c r="Q532" s="5"/>
      <c r="R532" s="5"/>
      <c r="S532" s="5"/>
      <c r="T532" s="5"/>
      <c r="U532" s="5"/>
      <c r="V532" s="5"/>
      <c r="W532" s="5"/>
      <c r="X532" s="5"/>
      <c r="Y532" s="5"/>
      <c r="Z532" s="5"/>
      <c r="AA532" s="5"/>
      <c r="AB532" s="5"/>
      <c r="AC532" s="5"/>
      <c r="AD532" s="6"/>
    </row>
    <row r="533">
      <c r="A533" s="5"/>
      <c r="B533" s="5"/>
      <c r="C533" s="73"/>
      <c r="D533" s="73"/>
      <c r="E533" s="5"/>
      <c r="F533" s="5"/>
      <c r="G533" s="5"/>
      <c r="H533" s="5"/>
      <c r="I533" s="73"/>
      <c r="J533" s="5"/>
      <c r="K533" s="5"/>
      <c r="L533" s="73"/>
      <c r="M533" s="5"/>
      <c r="N533" s="5"/>
      <c r="O533" s="5"/>
      <c r="P533" s="5"/>
      <c r="Q533" s="5"/>
      <c r="R533" s="5"/>
      <c r="S533" s="5"/>
      <c r="T533" s="5"/>
      <c r="U533" s="5"/>
      <c r="V533" s="5"/>
      <c r="W533" s="5"/>
      <c r="X533" s="5"/>
      <c r="Y533" s="5"/>
      <c r="Z533" s="5"/>
      <c r="AA533" s="5"/>
      <c r="AB533" s="5"/>
      <c r="AC533" s="5"/>
      <c r="AD533" s="6"/>
    </row>
    <row r="534">
      <c r="A534" s="5"/>
      <c r="B534" s="5"/>
      <c r="C534" s="73"/>
      <c r="D534" s="73"/>
      <c r="E534" s="5"/>
      <c r="F534" s="5"/>
      <c r="G534" s="5"/>
      <c r="H534" s="5"/>
      <c r="I534" s="73"/>
      <c r="J534" s="5"/>
      <c r="K534" s="5"/>
      <c r="L534" s="73"/>
      <c r="M534" s="5"/>
      <c r="N534" s="5"/>
      <c r="O534" s="5"/>
      <c r="P534" s="5"/>
      <c r="Q534" s="5"/>
      <c r="R534" s="5"/>
      <c r="S534" s="5"/>
      <c r="T534" s="5"/>
      <c r="U534" s="5"/>
      <c r="V534" s="5"/>
      <c r="W534" s="5"/>
      <c r="X534" s="5"/>
      <c r="Y534" s="5"/>
      <c r="Z534" s="5"/>
      <c r="AA534" s="5"/>
      <c r="AB534" s="5"/>
      <c r="AC534" s="5"/>
      <c r="AD534" s="6"/>
    </row>
    <row r="535">
      <c r="A535" s="5"/>
      <c r="B535" s="5"/>
      <c r="C535" s="73"/>
      <c r="D535" s="73"/>
      <c r="E535" s="5"/>
      <c r="F535" s="5"/>
      <c r="G535" s="5"/>
      <c r="H535" s="5"/>
      <c r="I535" s="73"/>
      <c r="J535" s="5"/>
      <c r="K535" s="5"/>
      <c r="L535" s="73"/>
      <c r="M535" s="5"/>
      <c r="N535" s="5"/>
      <c r="O535" s="5"/>
      <c r="P535" s="5"/>
      <c r="Q535" s="5"/>
      <c r="R535" s="5"/>
      <c r="S535" s="5"/>
      <c r="T535" s="5"/>
      <c r="U535" s="5"/>
      <c r="V535" s="5"/>
      <c r="W535" s="5"/>
      <c r="X535" s="5"/>
      <c r="Y535" s="5"/>
      <c r="Z535" s="5"/>
      <c r="AA535" s="5"/>
      <c r="AB535" s="5"/>
      <c r="AC535" s="5"/>
      <c r="AD535" s="6"/>
    </row>
    <row r="536">
      <c r="A536" s="5"/>
      <c r="B536" s="5"/>
      <c r="C536" s="73"/>
      <c r="D536" s="73"/>
      <c r="E536" s="5"/>
      <c r="F536" s="5"/>
      <c r="G536" s="5"/>
      <c r="H536" s="5"/>
      <c r="I536" s="73"/>
      <c r="J536" s="5"/>
      <c r="K536" s="5"/>
      <c r="L536" s="73"/>
      <c r="M536" s="5"/>
      <c r="N536" s="5"/>
      <c r="O536" s="5"/>
      <c r="P536" s="5"/>
      <c r="Q536" s="5"/>
      <c r="R536" s="5"/>
      <c r="S536" s="5"/>
      <c r="T536" s="5"/>
      <c r="U536" s="5"/>
      <c r="V536" s="5"/>
      <c r="W536" s="5"/>
      <c r="X536" s="5"/>
      <c r="Y536" s="5"/>
      <c r="Z536" s="5"/>
      <c r="AA536" s="5"/>
      <c r="AB536" s="5"/>
      <c r="AC536" s="5"/>
      <c r="AD536" s="6"/>
    </row>
    <row r="537">
      <c r="A537" s="5"/>
      <c r="B537" s="5"/>
      <c r="C537" s="73"/>
      <c r="D537" s="73"/>
      <c r="E537" s="5"/>
      <c r="F537" s="5"/>
      <c r="G537" s="5"/>
      <c r="H537" s="5"/>
      <c r="I537" s="73"/>
      <c r="J537" s="5"/>
      <c r="K537" s="5"/>
      <c r="L537" s="73"/>
      <c r="M537" s="5"/>
      <c r="N537" s="5"/>
      <c r="O537" s="5"/>
      <c r="P537" s="5"/>
      <c r="Q537" s="5"/>
      <c r="R537" s="5"/>
      <c r="S537" s="5"/>
      <c r="T537" s="5"/>
      <c r="U537" s="5"/>
      <c r="V537" s="5"/>
      <c r="W537" s="5"/>
      <c r="X537" s="5"/>
      <c r="Y537" s="5"/>
      <c r="Z537" s="5"/>
      <c r="AA537" s="5"/>
      <c r="AB537" s="5"/>
      <c r="AC537" s="5"/>
      <c r="AD537" s="6"/>
    </row>
    <row r="538">
      <c r="A538" s="5"/>
      <c r="B538" s="5"/>
      <c r="C538" s="73"/>
      <c r="D538" s="73"/>
      <c r="E538" s="5"/>
      <c r="F538" s="5"/>
      <c r="G538" s="5"/>
      <c r="H538" s="5"/>
      <c r="I538" s="73"/>
      <c r="J538" s="5"/>
      <c r="K538" s="5"/>
      <c r="L538" s="73"/>
      <c r="M538" s="5"/>
      <c r="N538" s="5"/>
      <c r="O538" s="5"/>
      <c r="P538" s="5"/>
      <c r="Q538" s="5"/>
      <c r="R538" s="5"/>
      <c r="S538" s="5"/>
      <c r="T538" s="5"/>
      <c r="U538" s="5"/>
      <c r="V538" s="5"/>
      <c r="W538" s="5"/>
      <c r="X538" s="5"/>
      <c r="Y538" s="5"/>
      <c r="Z538" s="5"/>
      <c r="AA538" s="5"/>
      <c r="AB538" s="5"/>
      <c r="AC538" s="5"/>
      <c r="AD538" s="6"/>
    </row>
    <row r="539">
      <c r="A539" s="5"/>
      <c r="B539" s="5"/>
      <c r="C539" s="73"/>
      <c r="D539" s="73"/>
      <c r="E539" s="5"/>
      <c r="F539" s="5"/>
      <c r="G539" s="5"/>
      <c r="H539" s="5"/>
      <c r="I539" s="73"/>
      <c r="J539" s="5"/>
      <c r="K539" s="5"/>
      <c r="L539" s="73"/>
      <c r="M539" s="5"/>
      <c r="N539" s="5"/>
      <c r="O539" s="5"/>
      <c r="P539" s="5"/>
      <c r="Q539" s="5"/>
      <c r="R539" s="5"/>
      <c r="S539" s="5"/>
      <c r="T539" s="5"/>
      <c r="U539" s="5"/>
      <c r="V539" s="5"/>
      <c r="W539" s="5"/>
      <c r="X539" s="5"/>
      <c r="Y539" s="5"/>
      <c r="Z539" s="5"/>
      <c r="AA539" s="5"/>
      <c r="AB539" s="5"/>
      <c r="AC539" s="5"/>
      <c r="AD539" s="6"/>
    </row>
    <row r="540">
      <c r="A540" s="5"/>
      <c r="B540" s="5"/>
      <c r="C540" s="73"/>
      <c r="D540" s="73"/>
      <c r="E540" s="5"/>
      <c r="F540" s="5"/>
      <c r="G540" s="5"/>
      <c r="H540" s="5"/>
      <c r="I540" s="73"/>
      <c r="J540" s="5"/>
      <c r="K540" s="5"/>
      <c r="L540" s="73"/>
      <c r="M540" s="5"/>
      <c r="N540" s="5"/>
      <c r="O540" s="5"/>
      <c r="P540" s="5"/>
      <c r="Q540" s="5"/>
      <c r="R540" s="5"/>
      <c r="S540" s="5"/>
      <c r="T540" s="5"/>
      <c r="U540" s="5"/>
      <c r="V540" s="5"/>
      <c r="W540" s="5"/>
      <c r="X540" s="5"/>
      <c r="Y540" s="5"/>
      <c r="Z540" s="5"/>
      <c r="AA540" s="5"/>
      <c r="AB540" s="5"/>
      <c r="AC540" s="5"/>
      <c r="AD540" s="6"/>
    </row>
    <row r="541">
      <c r="A541" s="5"/>
      <c r="B541" s="5"/>
      <c r="C541" s="73"/>
      <c r="D541" s="73"/>
      <c r="E541" s="5"/>
      <c r="F541" s="5"/>
      <c r="G541" s="5"/>
      <c r="H541" s="5"/>
      <c r="I541" s="73"/>
      <c r="J541" s="5"/>
      <c r="K541" s="5"/>
      <c r="L541" s="73"/>
      <c r="M541" s="5"/>
      <c r="N541" s="5"/>
      <c r="O541" s="5"/>
      <c r="P541" s="5"/>
      <c r="Q541" s="5"/>
      <c r="R541" s="5"/>
      <c r="S541" s="5"/>
      <c r="T541" s="5"/>
      <c r="U541" s="5"/>
      <c r="V541" s="5"/>
      <c r="W541" s="5"/>
      <c r="X541" s="5"/>
      <c r="Y541" s="5"/>
      <c r="Z541" s="5"/>
      <c r="AA541" s="5"/>
      <c r="AB541" s="5"/>
      <c r="AC541" s="5"/>
      <c r="AD541" s="6"/>
    </row>
    <row r="542">
      <c r="A542" s="5"/>
      <c r="B542" s="5"/>
      <c r="C542" s="73"/>
      <c r="D542" s="73"/>
      <c r="E542" s="5"/>
      <c r="F542" s="5"/>
      <c r="G542" s="5"/>
      <c r="H542" s="5"/>
      <c r="I542" s="73"/>
      <c r="J542" s="5"/>
      <c r="K542" s="5"/>
      <c r="L542" s="73"/>
      <c r="M542" s="5"/>
      <c r="N542" s="5"/>
      <c r="O542" s="5"/>
      <c r="P542" s="5"/>
      <c r="Q542" s="5"/>
      <c r="R542" s="5"/>
      <c r="S542" s="5"/>
      <c r="T542" s="5"/>
      <c r="U542" s="5"/>
      <c r="V542" s="5"/>
      <c r="W542" s="5"/>
      <c r="X542" s="5"/>
      <c r="Y542" s="5"/>
      <c r="Z542" s="5"/>
      <c r="AA542" s="5"/>
      <c r="AB542" s="5"/>
      <c r="AC542" s="5"/>
      <c r="AD542" s="6"/>
    </row>
    <row r="543">
      <c r="A543" s="5"/>
      <c r="B543" s="5"/>
      <c r="C543" s="73"/>
      <c r="D543" s="73"/>
      <c r="E543" s="5"/>
      <c r="F543" s="5"/>
      <c r="G543" s="5"/>
      <c r="H543" s="5"/>
      <c r="I543" s="73"/>
      <c r="J543" s="5"/>
      <c r="K543" s="5"/>
      <c r="L543" s="73"/>
      <c r="M543" s="5"/>
      <c r="N543" s="5"/>
      <c r="O543" s="5"/>
      <c r="P543" s="5"/>
      <c r="Q543" s="5"/>
      <c r="R543" s="5"/>
      <c r="S543" s="5"/>
      <c r="T543" s="5"/>
      <c r="U543" s="5"/>
      <c r="V543" s="5"/>
      <c r="W543" s="5"/>
      <c r="X543" s="5"/>
      <c r="Y543" s="5"/>
      <c r="Z543" s="5"/>
      <c r="AA543" s="5"/>
      <c r="AB543" s="5"/>
      <c r="AC543" s="5"/>
      <c r="AD543" s="6"/>
    </row>
    <row r="544">
      <c r="A544" s="5"/>
      <c r="B544" s="5"/>
      <c r="C544" s="73"/>
      <c r="D544" s="73"/>
      <c r="E544" s="5"/>
      <c r="F544" s="5"/>
      <c r="G544" s="5"/>
      <c r="H544" s="5"/>
      <c r="I544" s="73"/>
      <c r="J544" s="5"/>
      <c r="K544" s="5"/>
      <c r="L544" s="73"/>
      <c r="M544" s="5"/>
      <c r="N544" s="5"/>
      <c r="O544" s="5"/>
      <c r="P544" s="5"/>
      <c r="Q544" s="5"/>
      <c r="R544" s="5"/>
      <c r="S544" s="5"/>
      <c r="T544" s="5"/>
      <c r="U544" s="5"/>
      <c r="V544" s="5"/>
      <c r="W544" s="5"/>
      <c r="X544" s="5"/>
      <c r="Y544" s="5"/>
      <c r="Z544" s="5"/>
      <c r="AA544" s="5"/>
      <c r="AB544" s="5"/>
      <c r="AC544" s="5"/>
      <c r="AD544" s="6"/>
    </row>
    <row r="545">
      <c r="A545" s="5"/>
      <c r="B545" s="5"/>
      <c r="C545" s="73"/>
      <c r="D545" s="73"/>
      <c r="E545" s="5"/>
      <c r="F545" s="5"/>
      <c r="G545" s="5"/>
      <c r="H545" s="5"/>
      <c r="I545" s="73"/>
      <c r="J545" s="5"/>
      <c r="K545" s="5"/>
      <c r="L545" s="73"/>
      <c r="M545" s="5"/>
      <c r="N545" s="5"/>
      <c r="O545" s="5"/>
      <c r="P545" s="5"/>
      <c r="Q545" s="5"/>
      <c r="R545" s="5"/>
      <c r="S545" s="5"/>
      <c r="T545" s="5"/>
      <c r="U545" s="5"/>
      <c r="V545" s="5"/>
      <c r="W545" s="5"/>
      <c r="X545" s="5"/>
      <c r="Y545" s="5"/>
      <c r="Z545" s="5"/>
      <c r="AA545" s="5"/>
      <c r="AB545" s="5"/>
      <c r="AC545" s="5"/>
      <c r="AD545" s="6"/>
    </row>
    <row r="546">
      <c r="A546" s="5"/>
      <c r="B546" s="5"/>
      <c r="C546" s="73"/>
      <c r="D546" s="73"/>
      <c r="E546" s="5"/>
      <c r="F546" s="5"/>
      <c r="G546" s="5"/>
      <c r="H546" s="5"/>
      <c r="I546" s="73"/>
      <c r="J546" s="5"/>
      <c r="K546" s="5"/>
      <c r="L546" s="73"/>
      <c r="M546" s="5"/>
      <c r="N546" s="5"/>
      <c r="O546" s="5"/>
      <c r="P546" s="5"/>
      <c r="Q546" s="5"/>
      <c r="R546" s="5"/>
      <c r="S546" s="5"/>
      <c r="T546" s="5"/>
      <c r="U546" s="5"/>
      <c r="V546" s="5"/>
      <c r="W546" s="5"/>
      <c r="X546" s="5"/>
      <c r="Y546" s="5"/>
      <c r="Z546" s="5"/>
      <c r="AA546" s="5"/>
      <c r="AB546" s="5"/>
      <c r="AC546" s="5"/>
      <c r="AD546" s="6"/>
    </row>
    <row r="547">
      <c r="A547" s="5"/>
      <c r="B547" s="5"/>
      <c r="C547" s="73"/>
      <c r="D547" s="73"/>
      <c r="E547" s="5"/>
      <c r="F547" s="5"/>
      <c r="G547" s="5"/>
      <c r="H547" s="5"/>
      <c r="I547" s="73"/>
      <c r="J547" s="5"/>
      <c r="K547" s="5"/>
      <c r="L547" s="73"/>
      <c r="M547" s="5"/>
      <c r="N547" s="5"/>
      <c r="O547" s="5"/>
      <c r="P547" s="5"/>
      <c r="Q547" s="5"/>
      <c r="R547" s="5"/>
      <c r="S547" s="5"/>
      <c r="T547" s="5"/>
      <c r="U547" s="5"/>
      <c r="V547" s="5"/>
      <c r="W547" s="5"/>
      <c r="X547" s="5"/>
      <c r="Y547" s="5"/>
      <c r="Z547" s="5"/>
      <c r="AA547" s="5"/>
      <c r="AB547" s="5"/>
      <c r="AC547" s="5"/>
      <c r="AD547" s="6"/>
    </row>
    <row r="548">
      <c r="A548" s="5"/>
      <c r="B548" s="5"/>
      <c r="C548" s="73"/>
      <c r="D548" s="73"/>
      <c r="E548" s="5"/>
      <c r="F548" s="5"/>
      <c r="G548" s="5"/>
      <c r="H548" s="5"/>
      <c r="I548" s="73"/>
      <c r="J548" s="5"/>
      <c r="K548" s="5"/>
      <c r="L548" s="73"/>
      <c r="M548" s="5"/>
      <c r="N548" s="5"/>
      <c r="O548" s="5"/>
      <c r="P548" s="5"/>
      <c r="Q548" s="5"/>
      <c r="R548" s="5"/>
      <c r="S548" s="5"/>
      <c r="T548" s="5"/>
      <c r="U548" s="5"/>
      <c r="V548" s="5"/>
      <c r="W548" s="5"/>
      <c r="X548" s="5"/>
      <c r="Y548" s="5"/>
      <c r="Z548" s="5"/>
      <c r="AA548" s="5"/>
      <c r="AB548" s="5"/>
      <c r="AC548" s="5"/>
      <c r="AD548" s="6"/>
    </row>
    <row r="549">
      <c r="A549" s="5"/>
      <c r="B549" s="5"/>
      <c r="C549" s="73"/>
      <c r="D549" s="73"/>
      <c r="E549" s="5"/>
      <c r="F549" s="5"/>
      <c r="G549" s="5"/>
      <c r="H549" s="5"/>
      <c r="I549" s="73"/>
      <c r="J549" s="5"/>
      <c r="K549" s="5"/>
      <c r="L549" s="73"/>
      <c r="M549" s="5"/>
      <c r="N549" s="5"/>
      <c r="O549" s="5"/>
      <c r="P549" s="5"/>
      <c r="Q549" s="5"/>
      <c r="R549" s="5"/>
      <c r="S549" s="5"/>
      <c r="T549" s="5"/>
      <c r="U549" s="5"/>
      <c r="V549" s="5"/>
      <c r="W549" s="5"/>
      <c r="X549" s="5"/>
      <c r="Y549" s="5"/>
      <c r="Z549" s="5"/>
      <c r="AA549" s="5"/>
      <c r="AB549" s="5"/>
      <c r="AC549" s="5"/>
      <c r="AD549" s="6"/>
    </row>
    <row r="550">
      <c r="A550" s="5"/>
      <c r="B550" s="5"/>
      <c r="C550" s="73"/>
      <c r="D550" s="73"/>
      <c r="E550" s="5"/>
      <c r="F550" s="5"/>
      <c r="G550" s="5"/>
      <c r="H550" s="5"/>
      <c r="I550" s="73"/>
      <c r="J550" s="5"/>
      <c r="K550" s="5"/>
      <c r="L550" s="73"/>
      <c r="M550" s="5"/>
      <c r="N550" s="5"/>
      <c r="O550" s="5"/>
      <c r="P550" s="5"/>
      <c r="Q550" s="5"/>
      <c r="R550" s="5"/>
      <c r="S550" s="5"/>
      <c r="T550" s="5"/>
      <c r="U550" s="5"/>
      <c r="V550" s="5"/>
      <c r="W550" s="5"/>
      <c r="X550" s="5"/>
      <c r="Y550" s="5"/>
      <c r="Z550" s="5"/>
      <c r="AA550" s="5"/>
      <c r="AB550" s="5"/>
      <c r="AC550" s="5"/>
      <c r="AD550" s="6"/>
    </row>
    <row r="551">
      <c r="A551" s="5"/>
      <c r="B551" s="5"/>
      <c r="C551" s="73"/>
      <c r="D551" s="73"/>
      <c r="E551" s="5"/>
      <c r="F551" s="5"/>
      <c r="G551" s="5"/>
      <c r="H551" s="5"/>
      <c r="I551" s="73"/>
      <c r="J551" s="5"/>
      <c r="K551" s="5"/>
      <c r="L551" s="73"/>
      <c r="M551" s="5"/>
      <c r="N551" s="5"/>
      <c r="O551" s="5"/>
      <c r="P551" s="5"/>
      <c r="Q551" s="5"/>
      <c r="R551" s="5"/>
      <c r="S551" s="5"/>
      <c r="T551" s="5"/>
      <c r="U551" s="5"/>
      <c r="V551" s="5"/>
      <c r="W551" s="5"/>
      <c r="X551" s="5"/>
      <c r="Y551" s="5"/>
      <c r="Z551" s="5"/>
      <c r="AA551" s="5"/>
      <c r="AB551" s="5"/>
      <c r="AC551" s="5"/>
      <c r="AD551" s="6"/>
    </row>
    <row r="552">
      <c r="A552" s="5"/>
      <c r="B552" s="5"/>
      <c r="C552" s="73"/>
      <c r="D552" s="73"/>
      <c r="E552" s="5"/>
      <c r="F552" s="5"/>
      <c r="G552" s="5"/>
      <c r="H552" s="5"/>
      <c r="I552" s="73"/>
      <c r="J552" s="5"/>
      <c r="K552" s="5"/>
      <c r="L552" s="73"/>
      <c r="M552" s="5"/>
      <c r="N552" s="5"/>
      <c r="O552" s="5"/>
      <c r="P552" s="5"/>
      <c r="Q552" s="5"/>
      <c r="R552" s="5"/>
      <c r="S552" s="5"/>
      <c r="T552" s="5"/>
      <c r="U552" s="5"/>
      <c r="V552" s="5"/>
      <c r="W552" s="5"/>
      <c r="X552" s="5"/>
      <c r="Y552" s="5"/>
      <c r="Z552" s="5"/>
      <c r="AA552" s="5"/>
      <c r="AB552" s="5"/>
      <c r="AC552" s="5"/>
      <c r="AD552" s="6"/>
    </row>
    <row r="553">
      <c r="A553" s="5"/>
      <c r="B553" s="5"/>
      <c r="C553" s="73"/>
      <c r="D553" s="73"/>
      <c r="E553" s="5"/>
      <c r="F553" s="5"/>
      <c r="G553" s="5"/>
      <c r="H553" s="5"/>
      <c r="I553" s="73"/>
      <c r="J553" s="5"/>
      <c r="K553" s="5"/>
      <c r="L553" s="73"/>
      <c r="M553" s="5"/>
      <c r="N553" s="5"/>
      <c r="O553" s="5"/>
      <c r="P553" s="5"/>
      <c r="Q553" s="5"/>
      <c r="R553" s="5"/>
      <c r="S553" s="5"/>
      <c r="T553" s="5"/>
      <c r="U553" s="5"/>
      <c r="V553" s="5"/>
      <c r="W553" s="5"/>
      <c r="X553" s="5"/>
      <c r="Y553" s="5"/>
      <c r="Z553" s="5"/>
      <c r="AA553" s="5"/>
      <c r="AB553" s="5"/>
      <c r="AC553" s="5"/>
      <c r="AD553" s="6"/>
    </row>
    <row r="554">
      <c r="A554" s="5"/>
      <c r="B554" s="5"/>
      <c r="C554" s="73"/>
      <c r="D554" s="73"/>
      <c r="E554" s="5"/>
      <c r="F554" s="5"/>
      <c r="G554" s="5"/>
      <c r="H554" s="5"/>
      <c r="I554" s="73"/>
      <c r="J554" s="5"/>
      <c r="K554" s="5"/>
      <c r="L554" s="73"/>
      <c r="M554" s="5"/>
      <c r="N554" s="5"/>
      <c r="O554" s="5"/>
      <c r="P554" s="5"/>
      <c r="Q554" s="5"/>
      <c r="R554" s="5"/>
      <c r="S554" s="5"/>
      <c r="T554" s="5"/>
      <c r="U554" s="5"/>
      <c r="V554" s="5"/>
      <c r="W554" s="5"/>
      <c r="X554" s="5"/>
      <c r="Y554" s="5"/>
      <c r="Z554" s="5"/>
      <c r="AA554" s="5"/>
      <c r="AB554" s="5"/>
      <c r="AC554" s="5"/>
      <c r="AD554" s="6"/>
    </row>
    <row r="555">
      <c r="A555" s="5"/>
      <c r="B555" s="5"/>
      <c r="C555" s="73"/>
      <c r="D555" s="73"/>
      <c r="E555" s="5"/>
      <c r="F555" s="5"/>
      <c r="G555" s="5"/>
      <c r="H555" s="5"/>
      <c r="I555" s="73"/>
      <c r="J555" s="5"/>
      <c r="K555" s="5"/>
      <c r="L555" s="73"/>
      <c r="M555" s="5"/>
      <c r="N555" s="5"/>
      <c r="O555" s="5"/>
      <c r="P555" s="5"/>
      <c r="Q555" s="5"/>
      <c r="R555" s="5"/>
      <c r="S555" s="5"/>
      <c r="T555" s="5"/>
      <c r="U555" s="5"/>
      <c r="V555" s="5"/>
      <c r="W555" s="5"/>
      <c r="X555" s="5"/>
      <c r="Y555" s="5"/>
      <c r="Z555" s="5"/>
      <c r="AA555" s="5"/>
      <c r="AB555" s="5"/>
      <c r="AC555" s="5"/>
      <c r="AD555" s="6"/>
    </row>
    <row r="556">
      <c r="A556" s="5"/>
      <c r="B556" s="5"/>
      <c r="C556" s="73"/>
      <c r="D556" s="73"/>
      <c r="E556" s="5"/>
      <c r="F556" s="5"/>
      <c r="G556" s="5"/>
      <c r="H556" s="5"/>
      <c r="I556" s="73"/>
      <c r="J556" s="5"/>
      <c r="K556" s="5"/>
      <c r="L556" s="73"/>
      <c r="M556" s="5"/>
      <c r="N556" s="5"/>
      <c r="O556" s="5"/>
      <c r="P556" s="5"/>
      <c r="Q556" s="5"/>
      <c r="R556" s="5"/>
      <c r="S556" s="5"/>
      <c r="T556" s="5"/>
      <c r="U556" s="5"/>
      <c r="V556" s="5"/>
      <c r="W556" s="5"/>
      <c r="X556" s="5"/>
      <c r="Y556" s="5"/>
      <c r="Z556" s="5"/>
      <c r="AA556" s="5"/>
      <c r="AB556" s="5"/>
      <c r="AC556" s="5"/>
      <c r="AD556" s="6"/>
    </row>
    <row r="557">
      <c r="A557" s="5"/>
      <c r="B557" s="5"/>
      <c r="C557" s="73"/>
      <c r="D557" s="73"/>
      <c r="E557" s="5"/>
      <c r="F557" s="5"/>
      <c r="G557" s="5"/>
      <c r="H557" s="5"/>
      <c r="I557" s="73"/>
      <c r="J557" s="5"/>
      <c r="K557" s="5"/>
      <c r="L557" s="73"/>
      <c r="M557" s="5"/>
      <c r="N557" s="5"/>
      <c r="O557" s="5"/>
      <c r="P557" s="5"/>
      <c r="Q557" s="5"/>
      <c r="R557" s="5"/>
      <c r="S557" s="5"/>
      <c r="T557" s="5"/>
      <c r="U557" s="5"/>
      <c r="V557" s="5"/>
      <c r="W557" s="5"/>
      <c r="X557" s="5"/>
      <c r="Y557" s="5"/>
      <c r="Z557" s="5"/>
      <c r="AA557" s="5"/>
      <c r="AB557" s="5"/>
      <c r="AC557" s="5"/>
      <c r="AD557" s="6"/>
    </row>
    <row r="558">
      <c r="A558" s="5"/>
      <c r="B558" s="5"/>
      <c r="C558" s="73"/>
      <c r="D558" s="73"/>
      <c r="E558" s="5"/>
      <c r="F558" s="5"/>
      <c r="G558" s="5"/>
      <c r="H558" s="5"/>
      <c r="I558" s="73"/>
      <c r="J558" s="5"/>
      <c r="K558" s="5"/>
      <c r="L558" s="73"/>
      <c r="M558" s="5"/>
      <c r="N558" s="5"/>
      <c r="O558" s="5"/>
      <c r="P558" s="5"/>
      <c r="Q558" s="5"/>
      <c r="R558" s="5"/>
      <c r="S558" s="5"/>
      <c r="T558" s="5"/>
      <c r="U558" s="5"/>
      <c r="V558" s="5"/>
      <c r="W558" s="5"/>
      <c r="X558" s="5"/>
      <c r="Y558" s="5"/>
      <c r="Z558" s="5"/>
      <c r="AA558" s="5"/>
      <c r="AB558" s="5"/>
      <c r="AC558" s="5"/>
      <c r="AD558" s="6"/>
    </row>
    <row r="559">
      <c r="A559" s="5"/>
      <c r="B559" s="5"/>
      <c r="C559" s="73"/>
      <c r="D559" s="73"/>
      <c r="E559" s="5"/>
      <c r="F559" s="5"/>
      <c r="G559" s="5"/>
      <c r="H559" s="5"/>
      <c r="I559" s="73"/>
      <c r="J559" s="5"/>
      <c r="K559" s="5"/>
      <c r="L559" s="73"/>
      <c r="M559" s="5"/>
      <c r="N559" s="5"/>
      <c r="O559" s="5"/>
      <c r="P559" s="5"/>
      <c r="Q559" s="5"/>
      <c r="R559" s="5"/>
      <c r="S559" s="5"/>
      <c r="T559" s="5"/>
      <c r="U559" s="5"/>
      <c r="V559" s="5"/>
      <c r="W559" s="5"/>
      <c r="X559" s="5"/>
      <c r="Y559" s="5"/>
      <c r="Z559" s="5"/>
      <c r="AA559" s="5"/>
      <c r="AB559" s="5"/>
      <c r="AC559" s="5"/>
      <c r="AD559" s="6"/>
    </row>
    <row r="560">
      <c r="A560" s="5"/>
      <c r="B560" s="5"/>
      <c r="C560" s="73"/>
      <c r="D560" s="73"/>
      <c r="E560" s="5"/>
      <c r="F560" s="5"/>
      <c r="G560" s="5"/>
      <c r="H560" s="5"/>
      <c r="I560" s="73"/>
      <c r="J560" s="5"/>
      <c r="K560" s="5"/>
      <c r="L560" s="73"/>
      <c r="M560" s="5"/>
      <c r="N560" s="5"/>
      <c r="O560" s="5"/>
      <c r="P560" s="5"/>
      <c r="Q560" s="5"/>
      <c r="R560" s="5"/>
      <c r="S560" s="5"/>
      <c r="T560" s="5"/>
      <c r="U560" s="5"/>
      <c r="V560" s="5"/>
      <c r="W560" s="5"/>
      <c r="X560" s="5"/>
      <c r="Y560" s="5"/>
      <c r="Z560" s="5"/>
      <c r="AA560" s="5"/>
      <c r="AB560" s="5"/>
      <c r="AC560" s="5"/>
      <c r="AD560" s="6"/>
    </row>
    <row r="561">
      <c r="A561" s="5"/>
      <c r="B561" s="5"/>
      <c r="C561" s="73"/>
      <c r="D561" s="73"/>
      <c r="E561" s="5"/>
      <c r="F561" s="5"/>
      <c r="G561" s="5"/>
      <c r="H561" s="5"/>
      <c r="I561" s="73"/>
      <c r="J561" s="5"/>
      <c r="K561" s="5"/>
      <c r="L561" s="73"/>
      <c r="M561" s="5"/>
      <c r="N561" s="5"/>
      <c r="O561" s="5"/>
      <c r="P561" s="5"/>
      <c r="Q561" s="5"/>
      <c r="R561" s="5"/>
      <c r="S561" s="5"/>
      <c r="T561" s="5"/>
      <c r="U561" s="5"/>
      <c r="V561" s="5"/>
      <c r="W561" s="5"/>
      <c r="X561" s="5"/>
      <c r="Y561" s="5"/>
      <c r="Z561" s="5"/>
      <c r="AA561" s="5"/>
      <c r="AB561" s="5"/>
      <c r="AC561" s="5"/>
      <c r="AD561" s="6"/>
    </row>
    <row r="562">
      <c r="A562" s="5"/>
      <c r="B562" s="5"/>
      <c r="C562" s="73"/>
      <c r="D562" s="73"/>
      <c r="E562" s="5"/>
      <c r="F562" s="5"/>
      <c r="G562" s="5"/>
      <c r="H562" s="5"/>
      <c r="I562" s="73"/>
      <c r="J562" s="5"/>
      <c r="K562" s="5"/>
      <c r="L562" s="73"/>
      <c r="M562" s="5"/>
      <c r="N562" s="5"/>
      <c r="O562" s="5"/>
      <c r="P562" s="5"/>
      <c r="Q562" s="5"/>
      <c r="R562" s="5"/>
      <c r="S562" s="5"/>
      <c r="T562" s="5"/>
      <c r="U562" s="5"/>
      <c r="V562" s="5"/>
      <c r="W562" s="5"/>
      <c r="X562" s="5"/>
      <c r="Y562" s="5"/>
      <c r="Z562" s="5"/>
      <c r="AA562" s="5"/>
      <c r="AB562" s="5"/>
      <c r="AC562" s="5"/>
      <c r="AD562" s="6"/>
    </row>
    <row r="563">
      <c r="A563" s="5"/>
      <c r="B563" s="5"/>
      <c r="C563" s="73"/>
      <c r="D563" s="73"/>
      <c r="E563" s="5"/>
      <c r="F563" s="5"/>
      <c r="G563" s="5"/>
      <c r="H563" s="5"/>
      <c r="I563" s="73"/>
      <c r="J563" s="5"/>
      <c r="K563" s="5"/>
      <c r="L563" s="73"/>
      <c r="M563" s="5"/>
      <c r="N563" s="5"/>
      <c r="O563" s="5"/>
      <c r="P563" s="5"/>
      <c r="Q563" s="5"/>
      <c r="R563" s="5"/>
      <c r="S563" s="5"/>
      <c r="T563" s="5"/>
      <c r="U563" s="5"/>
      <c r="V563" s="5"/>
      <c r="W563" s="5"/>
      <c r="X563" s="5"/>
      <c r="Y563" s="5"/>
      <c r="Z563" s="5"/>
      <c r="AA563" s="5"/>
      <c r="AB563" s="5"/>
      <c r="AC563" s="5"/>
      <c r="AD563" s="6"/>
    </row>
    <row r="564">
      <c r="A564" s="5"/>
      <c r="B564" s="5"/>
      <c r="C564" s="73"/>
      <c r="D564" s="73"/>
      <c r="E564" s="5"/>
      <c r="F564" s="5"/>
      <c r="G564" s="5"/>
      <c r="H564" s="5"/>
      <c r="I564" s="73"/>
      <c r="J564" s="5"/>
      <c r="K564" s="5"/>
      <c r="L564" s="73"/>
      <c r="M564" s="5"/>
      <c r="N564" s="5"/>
      <c r="O564" s="5"/>
      <c r="P564" s="5"/>
      <c r="Q564" s="5"/>
      <c r="R564" s="5"/>
      <c r="S564" s="5"/>
      <c r="T564" s="5"/>
      <c r="U564" s="5"/>
      <c r="V564" s="5"/>
      <c r="W564" s="5"/>
      <c r="X564" s="5"/>
      <c r="Y564" s="5"/>
      <c r="Z564" s="5"/>
      <c r="AA564" s="5"/>
      <c r="AB564" s="5"/>
      <c r="AC564" s="5"/>
      <c r="AD564" s="6"/>
    </row>
    <row r="565">
      <c r="A565" s="5"/>
      <c r="B565" s="5"/>
      <c r="C565" s="73"/>
      <c r="D565" s="73"/>
      <c r="E565" s="5"/>
      <c r="F565" s="5"/>
      <c r="G565" s="5"/>
      <c r="H565" s="5"/>
      <c r="I565" s="73"/>
      <c r="J565" s="5"/>
      <c r="K565" s="5"/>
      <c r="L565" s="73"/>
      <c r="M565" s="5"/>
      <c r="N565" s="5"/>
      <c r="O565" s="5"/>
      <c r="P565" s="5"/>
      <c r="Q565" s="5"/>
      <c r="R565" s="5"/>
      <c r="S565" s="5"/>
      <c r="T565" s="5"/>
      <c r="U565" s="5"/>
      <c r="V565" s="5"/>
      <c r="W565" s="5"/>
      <c r="X565" s="5"/>
      <c r="Y565" s="5"/>
      <c r="Z565" s="5"/>
      <c r="AA565" s="5"/>
      <c r="AB565" s="5"/>
      <c r="AC565" s="5"/>
      <c r="AD565" s="6"/>
    </row>
    <row r="566">
      <c r="A566" s="5"/>
      <c r="B566" s="5"/>
      <c r="C566" s="73"/>
      <c r="D566" s="73"/>
      <c r="E566" s="5"/>
      <c r="F566" s="5"/>
      <c r="G566" s="5"/>
      <c r="H566" s="5"/>
      <c r="I566" s="73"/>
      <c r="J566" s="5"/>
      <c r="K566" s="5"/>
      <c r="L566" s="73"/>
      <c r="M566" s="5"/>
      <c r="N566" s="5"/>
      <c r="O566" s="5"/>
      <c r="P566" s="5"/>
      <c r="Q566" s="5"/>
      <c r="R566" s="5"/>
      <c r="S566" s="5"/>
      <c r="T566" s="5"/>
      <c r="U566" s="5"/>
      <c r="V566" s="5"/>
      <c r="W566" s="5"/>
      <c r="X566" s="5"/>
      <c r="Y566" s="5"/>
      <c r="Z566" s="5"/>
      <c r="AA566" s="5"/>
      <c r="AB566" s="5"/>
      <c r="AC566" s="5"/>
      <c r="AD566" s="6"/>
    </row>
    <row r="567">
      <c r="A567" s="5"/>
      <c r="B567" s="5"/>
      <c r="C567" s="73"/>
      <c r="D567" s="73"/>
      <c r="E567" s="5"/>
      <c r="F567" s="5"/>
      <c r="G567" s="5"/>
      <c r="H567" s="5"/>
      <c r="I567" s="73"/>
      <c r="J567" s="5"/>
      <c r="K567" s="5"/>
      <c r="L567" s="73"/>
      <c r="M567" s="5"/>
      <c r="N567" s="5"/>
      <c r="O567" s="5"/>
      <c r="P567" s="5"/>
      <c r="Q567" s="5"/>
      <c r="R567" s="5"/>
      <c r="S567" s="5"/>
      <c r="T567" s="5"/>
      <c r="U567" s="5"/>
      <c r="V567" s="5"/>
      <c r="W567" s="5"/>
      <c r="X567" s="5"/>
      <c r="Y567" s="5"/>
      <c r="Z567" s="5"/>
      <c r="AA567" s="5"/>
      <c r="AB567" s="5"/>
      <c r="AC567" s="5"/>
      <c r="AD567" s="6"/>
    </row>
    <row r="568">
      <c r="A568" s="5"/>
      <c r="B568" s="5"/>
      <c r="C568" s="73"/>
      <c r="D568" s="73"/>
      <c r="E568" s="5"/>
      <c r="F568" s="5"/>
      <c r="G568" s="5"/>
      <c r="H568" s="5"/>
      <c r="I568" s="73"/>
      <c r="J568" s="5"/>
      <c r="K568" s="5"/>
      <c r="L568" s="73"/>
      <c r="M568" s="5"/>
      <c r="N568" s="5"/>
      <c r="O568" s="5"/>
      <c r="P568" s="5"/>
      <c r="Q568" s="5"/>
      <c r="R568" s="5"/>
      <c r="S568" s="5"/>
      <c r="T568" s="5"/>
      <c r="U568" s="5"/>
      <c r="V568" s="5"/>
      <c r="W568" s="5"/>
      <c r="X568" s="5"/>
      <c r="Y568" s="5"/>
      <c r="Z568" s="5"/>
      <c r="AA568" s="5"/>
      <c r="AB568" s="5"/>
      <c r="AC568" s="5"/>
      <c r="AD568" s="6"/>
    </row>
    <row r="569">
      <c r="A569" s="5"/>
      <c r="B569" s="5"/>
      <c r="C569" s="73"/>
      <c r="D569" s="73"/>
      <c r="E569" s="5"/>
      <c r="F569" s="5"/>
      <c r="G569" s="5"/>
      <c r="H569" s="5"/>
      <c r="I569" s="73"/>
      <c r="J569" s="5"/>
      <c r="K569" s="5"/>
      <c r="L569" s="73"/>
      <c r="M569" s="5"/>
      <c r="N569" s="5"/>
      <c r="O569" s="5"/>
      <c r="P569" s="5"/>
      <c r="Q569" s="5"/>
      <c r="R569" s="5"/>
      <c r="S569" s="5"/>
      <c r="T569" s="5"/>
      <c r="U569" s="5"/>
      <c r="V569" s="5"/>
      <c r="W569" s="5"/>
      <c r="X569" s="5"/>
      <c r="Y569" s="5"/>
      <c r="Z569" s="5"/>
      <c r="AA569" s="5"/>
      <c r="AB569" s="5"/>
      <c r="AC569" s="5"/>
      <c r="AD569" s="6"/>
    </row>
    <row r="570">
      <c r="A570" s="5"/>
      <c r="B570" s="5"/>
      <c r="C570" s="73"/>
      <c r="D570" s="73"/>
      <c r="E570" s="5"/>
      <c r="F570" s="5"/>
      <c r="G570" s="5"/>
      <c r="H570" s="5"/>
      <c r="I570" s="73"/>
      <c r="J570" s="5"/>
      <c r="K570" s="5"/>
      <c r="L570" s="73"/>
      <c r="M570" s="5"/>
      <c r="N570" s="5"/>
      <c r="O570" s="5"/>
      <c r="P570" s="5"/>
      <c r="Q570" s="5"/>
      <c r="R570" s="5"/>
      <c r="S570" s="5"/>
      <c r="T570" s="5"/>
      <c r="U570" s="5"/>
      <c r="V570" s="5"/>
      <c r="W570" s="5"/>
      <c r="X570" s="5"/>
      <c r="Y570" s="5"/>
      <c r="Z570" s="5"/>
      <c r="AA570" s="5"/>
      <c r="AB570" s="5"/>
      <c r="AC570" s="5"/>
      <c r="AD570" s="6"/>
    </row>
    <row r="571">
      <c r="A571" s="5"/>
      <c r="B571" s="5"/>
      <c r="C571" s="73"/>
      <c r="D571" s="73"/>
      <c r="E571" s="5"/>
      <c r="F571" s="5"/>
      <c r="G571" s="5"/>
      <c r="H571" s="5"/>
      <c r="I571" s="73"/>
      <c r="J571" s="5"/>
      <c r="K571" s="5"/>
      <c r="L571" s="73"/>
      <c r="M571" s="5"/>
      <c r="N571" s="5"/>
      <c r="O571" s="5"/>
      <c r="P571" s="5"/>
      <c r="Q571" s="5"/>
      <c r="R571" s="5"/>
      <c r="S571" s="5"/>
      <c r="T571" s="5"/>
      <c r="U571" s="5"/>
      <c r="V571" s="5"/>
      <c r="W571" s="5"/>
      <c r="X571" s="5"/>
      <c r="Y571" s="5"/>
      <c r="Z571" s="5"/>
      <c r="AA571" s="5"/>
      <c r="AB571" s="5"/>
      <c r="AC571" s="5"/>
      <c r="AD571" s="6"/>
    </row>
    <row r="572">
      <c r="A572" s="5"/>
      <c r="B572" s="5"/>
      <c r="C572" s="73"/>
      <c r="D572" s="73"/>
      <c r="E572" s="5"/>
      <c r="F572" s="5"/>
      <c r="G572" s="5"/>
      <c r="H572" s="5"/>
      <c r="I572" s="73"/>
      <c r="J572" s="5"/>
      <c r="K572" s="5"/>
      <c r="L572" s="73"/>
      <c r="M572" s="5"/>
      <c r="N572" s="5"/>
      <c r="O572" s="5"/>
      <c r="P572" s="5"/>
      <c r="Q572" s="5"/>
      <c r="R572" s="5"/>
      <c r="S572" s="5"/>
      <c r="T572" s="5"/>
      <c r="U572" s="5"/>
      <c r="V572" s="5"/>
      <c r="W572" s="5"/>
      <c r="X572" s="5"/>
      <c r="Y572" s="5"/>
      <c r="Z572" s="5"/>
      <c r="AA572" s="5"/>
      <c r="AB572" s="5"/>
      <c r="AC572" s="5"/>
      <c r="AD572" s="6"/>
    </row>
    <row r="573">
      <c r="A573" s="5"/>
      <c r="B573" s="5"/>
      <c r="C573" s="73"/>
      <c r="D573" s="73"/>
      <c r="E573" s="5"/>
      <c r="F573" s="5"/>
      <c r="G573" s="5"/>
      <c r="H573" s="5"/>
      <c r="I573" s="73"/>
      <c r="J573" s="5"/>
      <c r="K573" s="5"/>
      <c r="L573" s="73"/>
      <c r="M573" s="5"/>
      <c r="N573" s="5"/>
      <c r="O573" s="5"/>
      <c r="P573" s="5"/>
      <c r="Q573" s="5"/>
      <c r="R573" s="5"/>
      <c r="S573" s="5"/>
      <c r="T573" s="5"/>
      <c r="U573" s="5"/>
      <c r="V573" s="5"/>
      <c r="W573" s="5"/>
      <c r="X573" s="5"/>
      <c r="Y573" s="5"/>
      <c r="Z573" s="5"/>
      <c r="AA573" s="5"/>
      <c r="AB573" s="5"/>
      <c r="AC573" s="5"/>
      <c r="AD573" s="6"/>
    </row>
    <row r="574">
      <c r="A574" s="5"/>
      <c r="B574" s="5"/>
      <c r="C574" s="73"/>
      <c r="D574" s="73"/>
      <c r="E574" s="5"/>
      <c r="F574" s="5"/>
      <c r="G574" s="5"/>
      <c r="H574" s="5"/>
      <c r="I574" s="73"/>
      <c r="J574" s="5"/>
      <c r="K574" s="5"/>
      <c r="L574" s="73"/>
      <c r="M574" s="5"/>
      <c r="N574" s="5"/>
      <c r="O574" s="5"/>
      <c r="P574" s="5"/>
      <c r="Q574" s="5"/>
      <c r="R574" s="5"/>
      <c r="S574" s="5"/>
      <c r="T574" s="5"/>
      <c r="U574" s="5"/>
      <c r="V574" s="5"/>
      <c r="W574" s="5"/>
      <c r="X574" s="5"/>
      <c r="Y574" s="5"/>
      <c r="Z574" s="5"/>
      <c r="AA574" s="5"/>
      <c r="AB574" s="5"/>
      <c r="AC574" s="5"/>
      <c r="AD574" s="6"/>
    </row>
    <row r="575">
      <c r="A575" s="5"/>
      <c r="B575" s="5"/>
      <c r="C575" s="73"/>
      <c r="D575" s="73"/>
      <c r="E575" s="5"/>
      <c r="F575" s="5"/>
      <c r="G575" s="5"/>
      <c r="H575" s="5"/>
      <c r="I575" s="73"/>
      <c r="J575" s="5"/>
      <c r="K575" s="5"/>
      <c r="L575" s="73"/>
      <c r="M575" s="5"/>
      <c r="N575" s="5"/>
      <c r="O575" s="5"/>
      <c r="P575" s="5"/>
      <c r="Q575" s="5"/>
      <c r="R575" s="5"/>
      <c r="S575" s="5"/>
      <c r="T575" s="5"/>
      <c r="U575" s="5"/>
      <c r="V575" s="5"/>
      <c r="W575" s="5"/>
      <c r="X575" s="5"/>
      <c r="Y575" s="5"/>
      <c r="Z575" s="5"/>
      <c r="AA575" s="5"/>
      <c r="AB575" s="5"/>
      <c r="AC575" s="5"/>
      <c r="AD575" s="6"/>
    </row>
    <row r="576">
      <c r="A576" s="5"/>
      <c r="B576" s="5"/>
      <c r="C576" s="73"/>
      <c r="D576" s="73"/>
      <c r="E576" s="5"/>
      <c r="F576" s="5"/>
      <c r="G576" s="5"/>
      <c r="H576" s="5"/>
      <c r="I576" s="73"/>
      <c r="J576" s="5"/>
      <c r="K576" s="5"/>
      <c r="L576" s="73"/>
      <c r="M576" s="5"/>
      <c r="N576" s="5"/>
      <c r="O576" s="5"/>
      <c r="P576" s="5"/>
      <c r="Q576" s="5"/>
      <c r="R576" s="5"/>
      <c r="S576" s="5"/>
      <c r="T576" s="5"/>
      <c r="U576" s="5"/>
      <c r="V576" s="5"/>
      <c r="W576" s="5"/>
      <c r="X576" s="5"/>
      <c r="Y576" s="5"/>
      <c r="Z576" s="5"/>
      <c r="AA576" s="5"/>
      <c r="AB576" s="5"/>
      <c r="AC576" s="5"/>
      <c r="AD576" s="6"/>
    </row>
    <row r="577">
      <c r="A577" s="5"/>
      <c r="B577" s="5"/>
      <c r="C577" s="73"/>
      <c r="D577" s="73"/>
      <c r="E577" s="5"/>
      <c r="F577" s="5"/>
      <c r="G577" s="5"/>
      <c r="H577" s="5"/>
      <c r="I577" s="73"/>
      <c r="J577" s="5"/>
      <c r="K577" s="5"/>
      <c r="L577" s="73"/>
      <c r="M577" s="5"/>
      <c r="N577" s="5"/>
      <c r="O577" s="5"/>
      <c r="P577" s="5"/>
      <c r="Q577" s="5"/>
      <c r="R577" s="5"/>
      <c r="S577" s="5"/>
      <c r="T577" s="5"/>
      <c r="U577" s="5"/>
      <c r="V577" s="5"/>
      <c r="W577" s="5"/>
      <c r="X577" s="5"/>
      <c r="Y577" s="5"/>
      <c r="Z577" s="5"/>
      <c r="AA577" s="5"/>
      <c r="AB577" s="5"/>
      <c r="AC577" s="5"/>
      <c r="AD577" s="6"/>
    </row>
    <row r="578">
      <c r="A578" s="5"/>
      <c r="B578" s="5"/>
      <c r="C578" s="73"/>
      <c r="D578" s="73"/>
      <c r="E578" s="5"/>
      <c r="F578" s="5"/>
      <c r="G578" s="5"/>
      <c r="H578" s="5"/>
      <c r="I578" s="73"/>
      <c r="J578" s="5"/>
      <c r="K578" s="5"/>
      <c r="L578" s="73"/>
      <c r="M578" s="5"/>
      <c r="N578" s="5"/>
      <c r="O578" s="5"/>
      <c r="P578" s="5"/>
      <c r="Q578" s="5"/>
      <c r="R578" s="5"/>
      <c r="S578" s="5"/>
      <c r="T578" s="5"/>
      <c r="U578" s="5"/>
      <c r="V578" s="5"/>
      <c r="W578" s="5"/>
      <c r="X578" s="5"/>
      <c r="Y578" s="5"/>
      <c r="Z578" s="5"/>
      <c r="AA578" s="5"/>
      <c r="AB578" s="5"/>
      <c r="AC578" s="5"/>
      <c r="AD578" s="6"/>
    </row>
    <row r="579">
      <c r="A579" s="5"/>
      <c r="B579" s="5"/>
      <c r="C579" s="73"/>
      <c r="D579" s="73"/>
      <c r="E579" s="5"/>
      <c r="F579" s="5"/>
      <c r="G579" s="5"/>
      <c r="H579" s="5"/>
      <c r="I579" s="73"/>
      <c r="J579" s="5"/>
      <c r="K579" s="5"/>
      <c r="L579" s="73"/>
      <c r="M579" s="5"/>
      <c r="N579" s="5"/>
      <c r="O579" s="5"/>
      <c r="P579" s="5"/>
      <c r="Q579" s="5"/>
      <c r="R579" s="5"/>
      <c r="S579" s="5"/>
      <c r="T579" s="5"/>
      <c r="U579" s="5"/>
      <c r="V579" s="5"/>
      <c r="W579" s="5"/>
      <c r="X579" s="5"/>
      <c r="Y579" s="5"/>
      <c r="Z579" s="5"/>
      <c r="AA579" s="5"/>
      <c r="AB579" s="5"/>
      <c r="AC579" s="5"/>
      <c r="AD579" s="6"/>
    </row>
    <row r="580">
      <c r="A580" s="5"/>
      <c r="B580" s="5"/>
      <c r="C580" s="73"/>
      <c r="D580" s="73"/>
      <c r="E580" s="5"/>
      <c r="F580" s="5"/>
      <c r="G580" s="5"/>
      <c r="H580" s="5"/>
      <c r="I580" s="73"/>
      <c r="J580" s="5"/>
      <c r="K580" s="5"/>
      <c r="L580" s="73"/>
      <c r="M580" s="5"/>
      <c r="N580" s="5"/>
      <c r="O580" s="5"/>
      <c r="P580" s="5"/>
      <c r="Q580" s="5"/>
      <c r="R580" s="5"/>
      <c r="S580" s="5"/>
      <c r="T580" s="5"/>
      <c r="U580" s="5"/>
      <c r="V580" s="5"/>
      <c r="W580" s="5"/>
      <c r="X580" s="5"/>
      <c r="Y580" s="5"/>
      <c r="Z580" s="5"/>
      <c r="AA580" s="5"/>
      <c r="AB580" s="5"/>
      <c r="AC580" s="5"/>
      <c r="AD580" s="6"/>
    </row>
    <row r="581">
      <c r="A581" s="5"/>
      <c r="B581" s="5"/>
      <c r="C581" s="73"/>
      <c r="D581" s="73"/>
      <c r="E581" s="5"/>
      <c r="F581" s="5"/>
      <c r="G581" s="5"/>
      <c r="H581" s="5"/>
      <c r="I581" s="73"/>
      <c r="J581" s="5"/>
      <c r="K581" s="5"/>
      <c r="L581" s="73"/>
      <c r="M581" s="5"/>
      <c r="N581" s="5"/>
      <c r="O581" s="5"/>
      <c r="P581" s="5"/>
      <c r="Q581" s="5"/>
      <c r="R581" s="5"/>
      <c r="S581" s="5"/>
      <c r="T581" s="5"/>
      <c r="U581" s="5"/>
      <c r="V581" s="5"/>
      <c r="W581" s="5"/>
      <c r="X581" s="5"/>
      <c r="Y581" s="5"/>
      <c r="Z581" s="5"/>
      <c r="AA581" s="5"/>
      <c r="AB581" s="5"/>
      <c r="AC581" s="5"/>
      <c r="AD581" s="6"/>
    </row>
    <row r="582">
      <c r="A582" s="5"/>
      <c r="B582" s="5"/>
      <c r="C582" s="73"/>
      <c r="D582" s="73"/>
      <c r="E582" s="5"/>
      <c r="F582" s="5"/>
      <c r="G582" s="5"/>
      <c r="H582" s="5"/>
      <c r="I582" s="73"/>
      <c r="J582" s="5"/>
      <c r="K582" s="5"/>
      <c r="L582" s="73"/>
      <c r="M582" s="5"/>
      <c r="N582" s="5"/>
      <c r="O582" s="5"/>
      <c r="P582" s="5"/>
      <c r="Q582" s="5"/>
      <c r="R582" s="5"/>
      <c r="S582" s="5"/>
      <c r="T582" s="5"/>
      <c r="U582" s="5"/>
      <c r="V582" s="5"/>
      <c r="W582" s="5"/>
      <c r="X582" s="5"/>
      <c r="Y582" s="5"/>
      <c r="Z582" s="5"/>
      <c r="AA582" s="5"/>
      <c r="AB582" s="5"/>
      <c r="AC582" s="5"/>
      <c r="AD582" s="6"/>
    </row>
    <row r="583">
      <c r="A583" s="5"/>
      <c r="B583" s="5"/>
      <c r="C583" s="73"/>
      <c r="D583" s="73"/>
      <c r="E583" s="5"/>
      <c r="F583" s="5"/>
      <c r="G583" s="5"/>
      <c r="H583" s="5"/>
      <c r="I583" s="73"/>
      <c r="J583" s="5"/>
      <c r="K583" s="5"/>
      <c r="L583" s="73"/>
      <c r="M583" s="5"/>
      <c r="N583" s="5"/>
      <c r="O583" s="5"/>
      <c r="P583" s="5"/>
      <c r="Q583" s="5"/>
      <c r="R583" s="5"/>
      <c r="S583" s="5"/>
      <c r="T583" s="5"/>
      <c r="U583" s="5"/>
      <c r="V583" s="5"/>
      <c r="W583" s="5"/>
      <c r="X583" s="5"/>
      <c r="Y583" s="5"/>
      <c r="Z583" s="5"/>
      <c r="AA583" s="5"/>
      <c r="AB583" s="5"/>
      <c r="AC583" s="5"/>
      <c r="AD583" s="6"/>
    </row>
    <row r="584">
      <c r="A584" s="5"/>
      <c r="B584" s="5"/>
      <c r="C584" s="73"/>
      <c r="D584" s="73"/>
      <c r="E584" s="5"/>
      <c r="F584" s="5"/>
      <c r="G584" s="5"/>
      <c r="H584" s="5"/>
      <c r="I584" s="73"/>
      <c r="J584" s="5"/>
      <c r="K584" s="5"/>
      <c r="L584" s="73"/>
      <c r="M584" s="5"/>
      <c r="N584" s="5"/>
      <c r="O584" s="5"/>
      <c r="P584" s="5"/>
      <c r="Q584" s="5"/>
      <c r="R584" s="5"/>
      <c r="S584" s="5"/>
      <c r="T584" s="5"/>
      <c r="U584" s="5"/>
      <c r="V584" s="5"/>
      <c r="W584" s="5"/>
      <c r="X584" s="5"/>
      <c r="Y584" s="5"/>
      <c r="Z584" s="5"/>
      <c r="AA584" s="5"/>
      <c r="AB584" s="5"/>
      <c r="AC584" s="5"/>
      <c r="AD584" s="6"/>
    </row>
    <row r="585">
      <c r="A585" s="5"/>
      <c r="B585" s="5"/>
      <c r="C585" s="73"/>
      <c r="D585" s="73"/>
      <c r="E585" s="5"/>
      <c r="F585" s="5"/>
      <c r="G585" s="5"/>
      <c r="H585" s="5"/>
      <c r="I585" s="73"/>
      <c r="J585" s="5"/>
      <c r="K585" s="5"/>
      <c r="L585" s="73"/>
      <c r="M585" s="5"/>
      <c r="N585" s="5"/>
      <c r="O585" s="5"/>
      <c r="P585" s="5"/>
      <c r="Q585" s="5"/>
      <c r="R585" s="5"/>
      <c r="S585" s="5"/>
      <c r="T585" s="5"/>
      <c r="U585" s="5"/>
      <c r="V585" s="5"/>
      <c r="W585" s="5"/>
      <c r="X585" s="5"/>
      <c r="Y585" s="5"/>
      <c r="Z585" s="5"/>
      <c r="AA585" s="5"/>
      <c r="AB585" s="5"/>
      <c r="AC585" s="5"/>
      <c r="AD585" s="6"/>
    </row>
    <row r="586">
      <c r="A586" s="5"/>
      <c r="B586" s="5"/>
      <c r="C586" s="73"/>
      <c r="D586" s="73"/>
      <c r="E586" s="5"/>
      <c r="F586" s="5"/>
      <c r="G586" s="5"/>
      <c r="H586" s="5"/>
      <c r="I586" s="73"/>
      <c r="J586" s="5"/>
      <c r="K586" s="5"/>
      <c r="L586" s="73"/>
      <c r="M586" s="5"/>
      <c r="N586" s="5"/>
      <c r="O586" s="5"/>
      <c r="P586" s="5"/>
      <c r="Q586" s="5"/>
      <c r="R586" s="5"/>
      <c r="S586" s="5"/>
      <c r="T586" s="5"/>
      <c r="U586" s="5"/>
      <c r="V586" s="5"/>
      <c r="W586" s="5"/>
      <c r="X586" s="5"/>
      <c r="Y586" s="5"/>
      <c r="Z586" s="5"/>
      <c r="AA586" s="5"/>
      <c r="AB586" s="5"/>
      <c r="AC586" s="5"/>
      <c r="AD586" s="6"/>
    </row>
    <row r="587">
      <c r="A587" s="5"/>
      <c r="B587" s="5"/>
      <c r="C587" s="73"/>
      <c r="D587" s="73"/>
      <c r="E587" s="5"/>
      <c r="F587" s="5"/>
      <c r="G587" s="5"/>
      <c r="H587" s="5"/>
      <c r="I587" s="73"/>
      <c r="J587" s="5"/>
      <c r="K587" s="5"/>
      <c r="L587" s="73"/>
      <c r="M587" s="5"/>
      <c r="N587" s="5"/>
      <c r="O587" s="5"/>
      <c r="P587" s="5"/>
      <c r="Q587" s="5"/>
      <c r="R587" s="5"/>
      <c r="S587" s="5"/>
      <c r="T587" s="5"/>
      <c r="U587" s="5"/>
      <c r="V587" s="5"/>
      <c r="W587" s="5"/>
      <c r="X587" s="5"/>
      <c r="Y587" s="5"/>
      <c r="Z587" s="5"/>
      <c r="AA587" s="5"/>
      <c r="AB587" s="5"/>
      <c r="AC587" s="5"/>
      <c r="AD587" s="6"/>
    </row>
    <row r="588">
      <c r="A588" s="5"/>
      <c r="B588" s="5"/>
      <c r="C588" s="73"/>
      <c r="D588" s="73"/>
      <c r="E588" s="5"/>
      <c r="F588" s="5"/>
      <c r="G588" s="5"/>
      <c r="H588" s="5"/>
      <c r="I588" s="73"/>
      <c r="J588" s="5"/>
      <c r="K588" s="5"/>
      <c r="L588" s="73"/>
      <c r="M588" s="5"/>
      <c r="N588" s="5"/>
      <c r="O588" s="5"/>
      <c r="P588" s="5"/>
      <c r="Q588" s="5"/>
      <c r="R588" s="5"/>
      <c r="S588" s="5"/>
      <c r="T588" s="5"/>
      <c r="U588" s="5"/>
      <c r="V588" s="5"/>
      <c r="W588" s="5"/>
      <c r="X588" s="5"/>
      <c r="Y588" s="5"/>
      <c r="Z588" s="5"/>
      <c r="AA588" s="5"/>
      <c r="AB588" s="5"/>
      <c r="AC588" s="5"/>
      <c r="AD588" s="6"/>
    </row>
    <row r="589">
      <c r="A589" s="5"/>
      <c r="B589" s="5"/>
      <c r="C589" s="73"/>
      <c r="D589" s="73"/>
      <c r="E589" s="5"/>
      <c r="F589" s="5"/>
      <c r="G589" s="5"/>
      <c r="H589" s="5"/>
      <c r="I589" s="73"/>
      <c r="J589" s="5"/>
      <c r="K589" s="5"/>
      <c r="L589" s="73"/>
      <c r="M589" s="5"/>
      <c r="N589" s="5"/>
      <c r="O589" s="5"/>
      <c r="P589" s="5"/>
      <c r="Q589" s="5"/>
      <c r="R589" s="5"/>
      <c r="S589" s="5"/>
      <c r="T589" s="5"/>
      <c r="U589" s="5"/>
      <c r="V589" s="5"/>
      <c r="W589" s="5"/>
      <c r="X589" s="5"/>
      <c r="Y589" s="5"/>
      <c r="Z589" s="5"/>
      <c r="AA589" s="5"/>
      <c r="AB589" s="5"/>
      <c r="AC589" s="5"/>
      <c r="AD589" s="6"/>
    </row>
    <row r="590">
      <c r="A590" s="5"/>
      <c r="B590" s="5"/>
      <c r="C590" s="73"/>
      <c r="D590" s="73"/>
      <c r="E590" s="5"/>
      <c r="F590" s="5"/>
      <c r="G590" s="5"/>
      <c r="H590" s="5"/>
      <c r="I590" s="73"/>
      <c r="J590" s="5"/>
      <c r="K590" s="5"/>
      <c r="L590" s="73"/>
      <c r="M590" s="5"/>
      <c r="N590" s="5"/>
      <c r="O590" s="5"/>
      <c r="P590" s="5"/>
      <c r="Q590" s="5"/>
      <c r="R590" s="5"/>
      <c r="S590" s="5"/>
      <c r="T590" s="5"/>
      <c r="U590" s="5"/>
      <c r="V590" s="5"/>
      <c r="W590" s="5"/>
      <c r="X590" s="5"/>
      <c r="Y590" s="5"/>
      <c r="Z590" s="5"/>
      <c r="AA590" s="5"/>
      <c r="AB590" s="5"/>
      <c r="AC590" s="5"/>
      <c r="AD590" s="6"/>
    </row>
    <row r="591">
      <c r="A591" s="5"/>
      <c r="B591" s="5"/>
      <c r="C591" s="73"/>
      <c r="D591" s="73"/>
      <c r="E591" s="5"/>
      <c r="F591" s="5"/>
      <c r="G591" s="5"/>
      <c r="H591" s="5"/>
      <c r="I591" s="73"/>
      <c r="J591" s="5"/>
      <c r="K591" s="5"/>
      <c r="L591" s="73"/>
      <c r="M591" s="5"/>
      <c r="N591" s="5"/>
      <c r="O591" s="5"/>
      <c r="P591" s="5"/>
      <c r="Q591" s="5"/>
      <c r="R591" s="5"/>
      <c r="S591" s="5"/>
      <c r="T591" s="5"/>
      <c r="U591" s="5"/>
      <c r="V591" s="5"/>
      <c r="W591" s="5"/>
      <c r="X591" s="5"/>
      <c r="Y591" s="5"/>
      <c r="Z591" s="5"/>
      <c r="AA591" s="5"/>
      <c r="AB591" s="5"/>
      <c r="AC591" s="5"/>
      <c r="AD591" s="6"/>
    </row>
    <row r="592">
      <c r="A592" s="5"/>
      <c r="B592" s="5"/>
      <c r="C592" s="73"/>
      <c r="D592" s="73"/>
      <c r="E592" s="5"/>
      <c r="F592" s="5"/>
      <c r="G592" s="5"/>
      <c r="H592" s="5"/>
      <c r="I592" s="73"/>
      <c r="J592" s="5"/>
      <c r="K592" s="5"/>
      <c r="L592" s="73"/>
      <c r="M592" s="5"/>
      <c r="N592" s="5"/>
      <c r="O592" s="5"/>
      <c r="P592" s="5"/>
      <c r="Q592" s="5"/>
      <c r="R592" s="5"/>
      <c r="S592" s="5"/>
      <c r="T592" s="5"/>
      <c r="U592" s="5"/>
      <c r="V592" s="5"/>
      <c r="W592" s="5"/>
      <c r="X592" s="5"/>
      <c r="Y592" s="5"/>
      <c r="Z592" s="5"/>
      <c r="AA592" s="5"/>
      <c r="AB592" s="5"/>
      <c r="AC592" s="5"/>
      <c r="AD592" s="6"/>
    </row>
    <row r="593">
      <c r="A593" s="5"/>
      <c r="B593" s="5"/>
      <c r="C593" s="73"/>
      <c r="D593" s="73"/>
      <c r="E593" s="5"/>
      <c r="F593" s="5"/>
      <c r="G593" s="5"/>
      <c r="H593" s="5"/>
      <c r="I593" s="73"/>
      <c r="J593" s="5"/>
      <c r="K593" s="5"/>
      <c r="L593" s="73"/>
      <c r="M593" s="5"/>
      <c r="N593" s="5"/>
      <c r="O593" s="5"/>
      <c r="P593" s="5"/>
      <c r="Q593" s="5"/>
      <c r="R593" s="5"/>
      <c r="S593" s="5"/>
      <c r="T593" s="5"/>
      <c r="U593" s="5"/>
      <c r="V593" s="5"/>
      <c r="W593" s="5"/>
      <c r="X593" s="5"/>
      <c r="Y593" s="5"/>
      <c r="Z593" s="5"/>
      <c r="AA593" s="5"/>
      <c r="AB593" s="5"/>
      <c r="AC593" s="5"/>
      <c r="AD593" s="6"/>
    </row>
    <row r="594">
      <c r="A594" s="5"/>
      <c r="B594" s="5"/>
      <c r="C594" s="73"/>
      <c r="D594" s="73"/>
      <c r="E594" s="5"/>
      <c r="F594" s="5"/>
      <c r="G594" s="5"/>
      <c r="H594" s="5"/>
      <c r="I594" s="73"/>
      <c r="J594" s="5"/>
      <c r="K594" s="5"/>
      <c r="L594" s="73"/>
      <c r="M594" s="5"/>
      <c r="N594" s="5"/>
      <c r="O594" s="5"/>
      <c r="P594" s="5"/>
      <c r="Q594" s="5"/>
      <c r="R594" s="5"/>
      <c r="S594" s="5"/>
      <c r="T594" s="5"/>
      <c r="U594" s="5"/>
      <c r="V594" s="5"/>
      <c r="W594" s="5"/>
      <c r="X594" s="5"/>
      <c r="Y594" s="5"/>
      <c r="Z594" s="5"/>
      <c r="AA594" s="5"/>
      <c r="AB594" s="5"/>
      <c r="AC594" s="5"/>
      <c r="AD594" s="6"/>
    </row>
    <row r="595">
      <c r="A595" s="5"/>
      <c r="B595" s="5"/>
      <c r="C595" s="73"/>
      <c r="D595" s="73"/>
      <c r="E595" s="5"/>
      <c r="F595" s="5"/>
      <c r="G595" s="5"/>
      <c r="H595" s="5"/>
      <c r="I595" s="73"/>
      <c r="J595" s="5"/>
      <c r="K595" s="5"/>
      <c r="L595" s="73"/>
      <c r="M595" s="5"/>
      <c r="N595" s="5"/>
      <c r="O595" s="5"/>
      <c r="P595" s="5"/>
      <c r="Q595" s="5"/>
      <c r="R595" s="5"/>
      <c r="S595" s="5"/>
      <c r="T595" s="5"/>
      <c r="U595" s="5"/>
      <c r="V595" s="5"/>
      <c r="W595" s="5"/>
      <c r="X595" s="5"/>
      <c r="Y595" s="5"/>
      <c r="Z595" s="5"/>
      <c r="AA595" s="5"/>
      <c r="AB595" s="5"/>
      <c r="AC595" s="5"/>
      <c r="AD595" s="6"/>
    </row>
    <row r="596">
      <c r="A596" s="5"/>
      <c r="B596" s="5"/>
      <c r="C596" s="73"/>
      <c r="D596" s="73"/>
      <c r="E596" s="5"/>
      <c r="F596" s="5"/>
      <c r="G596" s="5"/>
      <c r="H596" s="5"/>
      <c r="I596" s="73"/>
      <c r="J596" s="5"/>
      <c r="K596" s="5"/>
      <c r="L596" s="73"/>
      <c r="M596" s="5"/>
      <c r="N596" s="5"/>
      <c r="O596" s="5"/>
      <c r="P596" s="5"/>
      <c r="Q596" s="5"/>
      <c r="R596" s="5"/>
      <c r="S596" s="5"/>
      <c r="T596" s="5"/>
      <c r="U596" s="5"/>
      <c r="V596" s="5"/>
      <c r="W596" s="5"/>
      <c r="X596" s="5"/>
      <c r="Y596" s="5"/>
      <c r="Z596" s="5"/>
      <c r="AA596" s="5"/>
      <c r="AB596" s="5"/>
      <c r="AC596" s="5"/>
      <c r="AD596" s="6"/>
    </row>
    <row r="597">
      <c r="A597" s="5"/>
      <c r="B597" s="5"/>
      <c r="C597" s="73"/>
      <c r="D597" s="73"/>
      <c r="E597" s="5"/>
      <c r="F597" s="5"/>
      <c r="G597" s="5"/>
      <c r="H597" s="5"/>
      <c r="I597" s="73"/>
      <c r="J597" s="5"/>
      <c r="K597" s="5"/>
      <c r="L597" s="73"/>
      <c r="M597" s="5"/>
      <c r="N597" s="5"/>
      <c r="O597" s="5"/>
      <c r="P597" s="5"/>
      <c r="Q597" s="5"/>
      <c r="R597" s="5"/>
      <c r="S597" s="5"/>
      <c r="T597" s="5"/>
      <c r="U597" s="5"/>
      <c r="V597" s="5"/>
      <c r="W597" s="5"/>
      <c r="X597" s="5"/>
      <c r="Y597" s="5"/>
      <c r="Z597" s="5"/>
      <c r="AA597" s="5"/>
      <c r="AB597" s="5"/>
      <c r="AC597" s="5"/>
      <c r="AD597" s="6"/>
    </row>
    <row r="598">
      <c r="A598" s="5"/>
      <c r="B598" s="5"/>
      <c r="C598" s="73"/>
      <c r="D598" s="73"/>
      <c r="E598" s="5"/>
      <c r="F598" s="5"/>
      <c r="G598" s="5"/>
      <c r="H598" s="5"/>
      <c r="I598" s="73"/>
      <c r="J598" s="5"/>
      <c r="K598" s="5"/>
      <c r="L598" s="73"/>
      <c r="M598" s="5"/>
      <c r="N598" s="5"/>
      <c r="O598" s="5"/>
      <c r="P598" s="5"/>
      <c r="Q598" s="5"/>
      <c r="R598" s="5"/>
      <c r="S598" s="5"/>
      <c r="T598" s="5"/>
      <c r="U598" s="5"/>
      <c r="V598" s="5"/>
      <c r="W598" s="5"/>
      <c r="X598" s="5"/>
      <c r="Y598" s="5"/>
      <c r="Z598" s="5"/>
      <c r="AA598" s="5"/>
      <c r="AB598" s="5"/>
      <c r="AC598" s="5"/>
      <c r="AD598" s="6"/>
    </row>
    <row r="599">
      <c r="A599" s="5"/>
      <c r="B599" s="5"/>
      <c r="C599" s="73"/>
      <c r="D599" s="73"/>
      <c r="E599" s="5"/>
      <c r="F599" s="5"/>
      <c r="G599" s="5"/>
      <c r="H599" s="5"/>
      <c r="I599" s="73"/>
      <c r="J599" s="5"/>
      <c r="K599" s="5"/>
      <c r="L599" s="73"/>
      <c r="M599" s="5"/>
      <c r="N599" s="5"/>
      <c r="O599" s="5"/>
      <c r="P599" s="5"/>
      <c r="Q599" s="5"/>
      <c r="R599" s="5"/>
      <c r="S599" s="5"/>
      <c r="T599" s="5"/>
      <c r="U599" s="5"/>
      <c r="V599" s="5"/>
      <c r="W599" s="5"/>
      <c r="X599" s="5"/>
      <c r="Y599" s="5"/>
      <c r="Z599" s="5"/>
      <c r="AA599" s="5"/>
      <c r="AB599" s="5"/>
      <c r="AC599" s="5"/>
      <c r="AD599" s="6"/>
    </row>
    <row r="600">
      <c r="A600" s="5"/>
      <c r="B600" s="5"/>
      <c r="C600" s="73"/>
      <c r="D600" s="73"/>
      <c r="E600" s="5"/>
      <c r="F600" s="5"/>
      <c r="G600" s="5"/>
      <c r="H600" s="5"/>
      <c r="I600" s="73"/>
      <c r="J600" s="5"/>
      <c r="K600" s="5"/>
      <c r="L600" s="73"/>
      <c r="M600" s="5"/>
      <c r="N600" s="5"/>
      <c r="O600" s="5"/>
      <c r="P600" s="5"/>
      <c r="Q600" s="5"/>
      <c r="R600" s="5"/>
      <c r="S600" s="5"/>
      <c r="T600" s="5"/>
      <c r="U600" s="5"/>
      <c r="V600" s="5"/>
      <c r="W600" s="5"/>
      <c r="X600" s="5"/>
      <c r="Y600" s="5"/>
      <c r="Z600" s="5"/>
      <c r="AA600" s="5"/>
      <c r="AB600" s="5"/>
      <c r="AC600" s="5"/>
      <c r="AD600" s="6"/>
    </row>
    <row r="601">
      <c r="A601" s="5"/>
      <c r="B601" s="5"/>
      <c r="C601" s="73"/>
      <c r="D601" s="73"/>
      <c r="E601" s="5"/>
      <c r="F601" s="5"/>
      <c r="G601" s="5"/>
      <c r="H601" s="5"/>
      <c r="I601" s="73"/>
      <c r="J601" s="5"/>
      <c r="K601" s="5"/>
      <c r="L601" s="73"/>
      <c r="M601" s="5"/>
      <c r="N601" s="5"/>
      <c r="O601" s="5"/>
      <c r="P601" s="5"/>
      <c r="Q601" s="5"/>
      <c r="R601" s="5"/>
      <c r="S601" s="5"/>
      <c r="T601" s="5"/>
      <c r="U601" s="5"/>
      <c r="V601" s="5"/>
      <c r="W601" s="5"/>
      <c r="X601" s="5"/>
      <c r="Y601" s="5"/>
      <c r="Z601" s="5"/>
      <c r="AA601" s="5"/>
      <c r="AB601" s="5"/>
      <c r="AC601" s="5"/>
      <c r="AD601" s="6"/>
    </row>
    <row r="602">
      <c r="A602" s="5"/>
      <c r="B602" s="5"/>
      <c r="C602" s="73"/>
      <c r="D602" s="73"/>
      <c r="E602" s="5"/>
      <c r="F602" s="5"/>
      <c r="G602" s="5"/>
      <c r="H602" s="5"/>
      <c r="I602" s="73"/>
      <c r="J602" s="5"/>
      <c r="K602" s="5"/>
      <c r="L602" s="73"/>
      <c r="M602" s="5"/>
      <c r="N602" s="5"/>
      <c r="O602" s="5"/>
      <c r="P602" s="5"/>
      <c r="Q602" s="5"/>
      <c r="R602" s="5"/>
      <c r="S602" s="5"/>
      <c r="T602" s="5"/>
      <c r="U602" s="5"/>
      <c r="V602" s="5"/>
      <c r="W602" s="5"/>
      <c r="X602" s="5"/>
      <c r="Y602" s="5"/>
      <c r="Z602" s="5"/>
      <c r="AA602" s="5"/>
      <c r="AB602" s="5"/>
      <c r="AC602" s="5"/>
      <c r="AD602" s="6"/>
    </row>
    <row r="603">
      <c r="A603" s="5"/>
      <c r="B603" s="5"/>
      <c r="C603" s="73"/>
      <c r="D603" s="73"/>
      <c r="E603" s="5"/>
      <c r="F603" s="5"/>
      <c r="G603" s="5"/>
      <c r="H603" s="5"/>
      <c r="I603" s="73"/>
      <c r="J603" s="5"/>
      <c r="K603" s="5"/>
      <c r="L603" s="73"/>
      <c r="M603" s="5"/>
      <c r="N603" s="5"/>
      <c r="O603" s="5"/>
      <c r="P603" s="5"/>
      <c r="Q603" s="5"/>
      <c r="R603" s="5"/>
      <c r="S603" s="5"/>
      <c r="T603" s="5"/>
      <c r="U603" s="5"/>
      <c r="V603" s="5"/>
      <c r="W603" s="5"/>
      <c r="X603" s="5"/>
      <c r="Y603" s="5"/>
      <c r="Z603" s="5"/>
      <c r="AA603" s="5"/>
      <c r="AB603" s="5"/>
      <c r="AC603" s="5"/>
      <c r="AD603" s="6"/>
    </row>
    <row r="604">
      <c r="A604" s="5"/>
      <c r="B604" s="5"/>
      <c r="C604" s="73"/>
      <c r="D604" s="73"/>
      <c r="E604" s="5"/>
      <c r="F604" s="5"/>
      <c r="G604" s="5"/>
      <c r="H604" s="5"/>
      <c r="I604" s="73"/>
      <c r="J604" s="5"/>
      <c r="K604" s="5"/>
      <c r="L604" s="73"/>
      <c r="M604" s="5"/>
      <c r="N604" s="5"/>
      <c r="O604" s="5"/>
      <c r="P604" s="5"/>
      <c r="Q604" s="5"/>
      <c r="R604" s="5"/>
      <c r="S604" s="5"/>
      <c r="T604" s="5"/>
      <c r="U604" s="5"/>
      <c r="V604" s="5"/>
      <c r="W604" s="5"/>
      <c r="X604" s="5"/>
      <c r="Y604" s="5"/>
      <c r="Z604" s="5"/>
      <c r="AA604" s="5"/>
      <c r="AB604" s="5"/>
      <c r="AC604" s="5"/>
      <c r="AD604" s="6"/>
    </row>
    <row r="605">
      <c r="A605" s="5"/>
      <c r="B605" s="5"/>
      <c r="C605" s="73"/>
      <c r="D605" s="73"/>
      <c r="E605" s="5"/>
      <c r="F605" s="5"/>
      <c r="G605" s="5"/>
      <c r="H605" s="5"/>
      <c r="I605" s="73"/>
      <c r="J605" s="5"/>
      <c r="K605" s="5"/>
      <c r="L605" s="73"/>
      <c r="M605" s="5"/>
      <c r="N605" s="5"/>
      <c r="O605" s="5"/>
      <c r="P605" s="5"/>
      <c r="Q605" s="5"/>
      <c r="R605" s="5"/>
      <c r="S605" s="5"/>
      <c r="T605" s="5"/>
      <c r="U605" s="5"/>
      <c r="V605" s="5"/>
      <c r="W605" s="5"/>
      <c r="X605" s="5"/>
      <c r="Y605" s="5"/>
      <c r="Z605" s="5"/>
      <c r="AA605" s="5"/>
      <c r="AB605" s="5"/>
      <c r="AC605" s="5"/>
      <c r="AD605" s="6"/>
    </row>
    <row r="606">
      <c r="A606" s="5"/>
      <c r="B606" s="5"/>
      <c r="C606" s="73"/>
      <c r="D606" s="73"/>
      <c r="E606" s="5"/>
      <c r="F606" s="5"/>
      <c r="G606" s="5"/>
      <c r="H606" s="5"/>
      <c r="I606" s="73"/>
      <c r="J606" s="5"/>
      <c r="K606" s="5"/>
      <c r="L606" s="73"/>
      <c r="M606" s="5"/>
      <c r="N606" s="5"/>
      <c r="O606" s="5"/>
      <c r="P606" s="5"/>
      <c r="Q606" s="5"/>
      <c r="R606" s="5"/>
      <c r="S606" s="5"/>
      <c r="T606" s="5"/>
      <c r="U606" s="5"/>
      <c r="V606" s="5"/>
      <c r="W606" s="5"/>
      <c r="X606" s="5"/>
      <c r="Y606" s="5"/>
      <c r="Z606" s="5"/>
      <c r="AA606" s="5"/>
      <c r="AB606" s="5"/>
      <c r="AC606" s="5"/>
      <c r="AD606" s="6"/>
    </row>
    <row r="607">
      <c r="A607" s="5"/>
      <c r="B607" s="5"/>
      <c r="C607" s="73"/>
      <c r="D607" s="73"/>
      <c r="E607" s="5"/>
      <c r="F607" s="5"/>
      <c r="G607" s="5"/>
      <c r="H607" s="5"/>
      <c r="I607" s="73"/>
      <c r="J607" s="5"/>
      <c r="K607" s="5"/>
      <c r="L607" s="73"/>
      <c r="M607" s="5"/>
      <c r="N607" s="5"/>
      <c r="O607" s="5"/>
      <c r="P607" s="5"/>
      <c r="Q607" s="5"/>
      <c r="R607" s="5"/>
      <c r="S607" s="5"/>
      <c r="T607" s="5"/>
      <c r="U607" s="5"/>
      <c r="V607" s="5"/>
      <c r="W607" s="5"/>
      <c r="X607" s="5"/>
      <c r="Y607" s="5"/>
      <c r="Z607" s="5"/>
      <c r="AA607" s="5"/>
      <c r="AB607" s="5"/>
      <c r="AC607" s="5"/>
      <c r="AD607" s="6"/>
    </row>
    <row r="608">
      <c r="A608" s="5"/>
      <c r="B608" s="5"/>
      <c r="C608" s="73"/>
      <c r="D608" s="73"/>
      <c r="E608" s="5"/>
      <c r="F608" s="5"/>
      <c r="G608" s="5"/>
      <c r="H608" s="5"/>
      <c r="I608" s="73"/>
      <c r="J608" s="5"/>
      <c r="K608" s="5"/>
      <c r="L608" s="73"/>
      <c r="M608" s="5"/>
      <c r="N608" s="5"/>
      <c r="O608" s="5"/>
      <c r="P608" s="5"/>
      <c r="Q608" s="5"/>
      <c r="R608" s="5"/>
      <c r="S608" s="5"/>
      <c r="T608" s="5"/>
      <c r="U608" s="5"/>
      <c r="V608" s="5"/>
      <c r="W608" s="5"/>
      <c r="X608" s="5"/>
      <c r="Y608" s="5"/>
      <c r="Z608" s="5"/>
      <c r="AA608" s="5"/>
      <c r="AB608" s="5"/>
      <c r="AC608" s="5"/>
      <c r="AD608" s="6"/>
    </row>
    <row r="609">
      <c r="A609" s="5"/>
      <c r="B609" s="5"/>
      <c r="C609" s="73"/>
      <c r="D609" s="73"/>
      <c r="E609" s="5"/>
      <c r="F609" s="5"/>
      <c r="G609" s="5"/>
      <c r="H609" s="5"/>
      <c r="I609" s="73"/>
      <c r="J609" s="5"/>
      <c r="K609" s="5"/>
      <c r="L609" s="73"/>
      <c r="M609" s="5"/>
      <c r="N609" s="5"/>
      <c r="O609" s="5"/>
      <c r="P609" s="5"/>
      <c r="Q609" s="5"/>
      <c r="R609" s="5"/>
      <c r="S609" s="5"/>
      <c r="T609" s="5"/>
      <c r="U609" s="5"/>
      <c r="V609" s="5"/>
      <c r="W609" s="5"/>
      <c r="X609" s="5"/>
      <c r="Y609" s="5"/>
      <c r="Z609" s="5"/>
      <c r="AA609" s="5"/>
      <c r="AB609" s="5"/>
      <c r="AC609" s="5"/>
      <c r="AD609" s="6"/>
    </row>
    <row r="610">
      <c r="A610" s="5"/>
      <c r="B610" s="5"/>
      <c r="C610" s="73"/>
      <c r="D610" s="73"/>
      <c r="E610" s="5"/>
      <c r="F610" s="5"/>
      <c r="G610" s="5"/>
      <c r="H610" s="5"/>
      <c r="I610" s="73"/>
      <c r="J610" s="5"/>
      <c r="K610" s="5"/>
      <c r="L610" s="73"/>
      <c r="M610" s="5"/>
      <c r="N610" s="5"/>
      <c r="O610" s="5"/>
      <c r="P610" s="5"/>
      <c r="Q610" s="5"/>
      <c r="R610" s="5"/>
      <c r="S610" s="5"/>
      <c r="T610" s="5"/>
      <c r="U610" s="5"/>
      <c r="V610" s="5"/>
      <c r="W610" s="5"/>
      <c r="X610" s="5"/>
      <c r="Y610" s="5"/>
      <c r="Z610" s="5"/>
      <c r="AA610" s="5"/>
      <c r="AB610" s="5"/>
      <c r="AC610" s="5"/>
      <c r="AD610" s="6"/>
    </row>
    <row r="611">
      <c r="A611" s="5"/>
      <c r="B611" s="5"/>
      <c r="C611" s="73"/>
      <c r="D611" s="73"/>
      <c r="E611" s="5"/>
      <c r="F611" s="5"/>
      <c r="G611" s="5"/>
      <c r="H611" s="5"/>
      <c r="I611" s="73"/>
      <c r="J611" s="5"/>
      <c r="K611" s="5"/>
      <c r="L611" s="73"/>
      <c r="M611" s="5"/>
      <c r="N611" s="5"/>
      <c r="O611" s="5"/>
      <c r="P611" s="5"/>
      <c r="Q611" s="5"/>
      <c r="R611" s="5"/>
      <c r="S611" s="5"/>
      <c r="T611" s="5"/>
      <c r="U611" s="5"/>
      <c r="V611" s="5"/>
      <c r="W611" s="5"/>
      <c r="X611" s="5"/>
      <c r="Y611" s="5"/>
      <c r="Z611" s="5"/>
      <c r="AA611" s="5"/>
      <c r="AB611" s="5"/>
      <c r="AC611" s="5"/>
      <c r="AD611" s="6"/>
    </row>
    <row r="612">
      <c r="A612" s="5"/>
      <c r="B612" s="5"/>
      <c r="C612" s="73"/>
      <c r="D612" s="73"/>
      <c r="E612" s="5"/>
      <c r="F612" s="5"/>
      <c r="G612" s="5"/>
      <c r="H612" s="5"/>
      <c r="I612" s="73"/>
      <c r="J612" s="5"/>
      <c r="K612" s="5"/>
      <c r="L612" s="73"/>
      <c r="M612" s="5"/>
      <c r="N612" s="5"/>
      <c r="O612" s="5"/>
      <c r="P612" s="5"/>
      <c r="Q612" s="5"/>
      <c r="R612" s="5"/>
      <c r="S612" s="5"/>
      <c r="T612" s="5"/>
      <c r="U612" s="5"/>
      <c r="V612" s="5"/>
      <c r="W612" s="5"/>
      <c r="X612" s="5"/>
      <c r="Y612" s="5"/>
      <c r="Z612" s="5"/>
      <c r="AA612" s="5"/>
      <c r="AB612" s="5"/>
      <c r="AC612" s="5"/>
      <c r="AD612" s="6"/>
    </row>
    <row r="613">
      <c r="A613" s="5"/>
      <c r="B613" s="5"/>
      <c r="C613" s="73"/>
      <c r="D613" s="73"/>
      <c r="E613" s="5"/>
      <c r="F613" s="5"/>
      <c r="G613" s="5"/>
      <c r="H613" s="5"/>
      <c r="I613" s="73"/>
      <c r="J613" s="5"/>
      <c r="K613" s="5"/>
      <c r="L613" s="73"/>
      <c r="M613" s="5"/>
      <c r="N613" s="5"/>
      <c r="O613" s="5"/>
      <c r="P613" s="5"/>
      <c r="Q613" s="5"/>
      <c r="R613" s="5"/>
      <c r="S613" s="5"/>
      <c r="T613" s="5"/>
      <c r="U613" s="5"/>
      <c r="V613" s="5"/>
      <c r="W613" s="5"/>
      <c r="X613" s="5"/>
      <c r="Y613" s="5"/>
      <c r="Z613" s="5"/>
      <c r="AA613" s="5"/>
      <c r="AB613" s="5"/>
      <c r="AC613" s="5"/>
      <c r="AD613" s="6"/>
    </row>
    <row r="614">
      <c r="A614" s="5"/>
      <c r="B614" s="5"/>
      <c r="C614" s="73"/>
      <c r="D614" s="73"/>
      <c r="E614" s="5"/>
      <c r="F614" s="5"/>
      <c r="G614" s="5"/>
      <c r="H614" s="5"/>
      <c r="I614" s="73"/>
      <c r="J614" s="5"/>
      <c r="K614" s="5"/>
      <c r="L614" s="73"/>
      <c r="M614" s="5"/>
      <c r="N614" s="5"/>
      <c r="O614" s="5"/>
      <c r="P614" s="5"/>
      <c r="Q614" s="5"/>
      <c r="R614" s="5"/>
      <c r="S614" s="5"/>
      <c r="T614" s="5"/>
      <c r="U614" s="5"/>
      <c r="V614" s="5"/>
      <c r="W614" s="5"/>
      <c r="X614" s="5"/>
      <c r="Y614" s="5"/>
      <c r="Z614" s="5"/>
      <c r="AA614" s="5"/>
      <c r="AB614" s="5"/>
      <c r="AC614" s="5"/>
      <c r="AD614" s="6"/>
    </row>
    <row r="615">
      <c r="A615" s="5"/>
      <c r="B615" s="5"/>
      <c r="C615" s="73"/>
      <c r="D615" s="73"/>
      <c r="E615" s="5"/>
      <c r="F615" s="5"/>
      <c r="G615" s="5"/>
      <c r="H615" s="5"/>
      <c r="I615" s="73"/>
      <c r="J615" s="5"/>
      <c r="K615" s="5"/>
      <c r="L615" s="73"/>
      <c r="M615" s="5"/>
      <c r="N615" s="5"/>
      <c r="O615" s="5"/>
      <c r="P615" s="5"/>
      <c r="Q615" s="5"/>
      <c r="R615" s="5"/>
      <c r="S615" s="5"/>
      <c r="T615" s="5"/>
      <c r="U615" s="5"/>
      <c r="V615" s="5"/>
      <c r="W615" s="5"/>
      <c r="X615" s="5"/>
      <c r="Y615" s="5"/>
      <c r="Z615" s="5"/>
      <c r="AA615" s="5"/>
      <c r="AB615" s="5"/>
      <c r="AC615" s="5"/>
      <c r="AD615" s="6"/>
    </row>
    <row r="616">
      <c r="A616" s="5"/>
      <c r="B616" s="5"/>
      <c r="C616" s="73"/>
      <c r="D616" s="73"/>
      <c r="E616" s="5"/>
      <c r="F616" s="5"/>
      <c r="G616" s="5"/>
      <c r="H616" s="5"/>
      <c r="I616" s="73"/>
      <c r="J616" s="5"/>
      <c r="K616" s="5"/>
      <c r="L616" s="73"/>
      <c r="M616" s="5"/>
      <c r="N616" s="5"/>
      <c r="O616" s="5"/>
      <c r="P616" s="5"/>
      <c r="Q616" s="5"/>
      <c r="R616" s="5"/>
      <c r="S616" s="5"/>
      <c r="T616" s="5"/>
      <c r="U616" s="5"/>
      <c r="V616" s="5"/>
      <c r="W616" s="5"/>
      <c r="X616" s="5"/>
      <c r="Y616" s="5"/>
      <c r="Z616" s="5"/>
      <c r="AA616" s="5"/>
      <c r="AB616" s="5"/>
      <c r="AC616" s="5"/>
      <c r="AD616" s="6"/>
    </row>
    <row r="617">
      <c r="A617" s="5"/>
      <c r="B617" s="5"/>
      <c r="C617" s="73"/>
      <c r="D617" s="73"/>
      <c r="E617" s="5"/>
      <c r="F617" s="5"/>
      <c r="G617" s="5"/>
      <c r="H617" s="5"/>
      <c r="I617" s="73"/>
      <c r="J617" s="5"/>
      <c r="K617" s="5"/>
      <c r="L617" s="73"/>
      <c r="M617" s="5"/>
      <c r="N617" s="5"/>
      <c r="O617" s="5"/>
      <c r="P617" s="5"/>
      <c r="Q617" s="5"/>
      <c r="R617" s="5"/>
      <c r="S617" s="5"/>
      <c r="T617" s="5"/>
      <c r="U617" s="5"/>
      <c r="V617" s="5"/>
      <c r="W617" s="5"/>
      <c r="X617" s="5"/>
      <c r="Y617" s="5"/>
      <c r="Z617" s="5"/>
      <c r="AA617" s="5"/>
      <c r="AB617" s="5"/>
      <c r="AC617" s="5"/>
      <c r="AD617" s="6"/>
    </row>
    <row r="618">
      <c r="A618" s="5"/>
      <c r="B618" s="5"/>
      <c r="C618" s="73"/>
      <c r="D618" s="73"/>
      <c r="E618" s="5"/>
      <c r="F618" s="5"/>
      <c r="G618" s="5"/>
      <c r="H618" s="5"/>
      <c r="I618" s="73"/>
      <c r="J618" s="5"/>
      <c r="K618" s="5"/>
      <c r="L618" s="73"/>
      <c r="M618" s="5"/>
      <c r="N618" s="5"/>
      <c r="O618" s="5"/>
      <c r="P618" s="5"/>
      <c r="Q618" s="5"/>
      <c r="R618" s="5"/>
      <c r="S618" s="5"/>
      <c r="T618" s="5"/>
      <c r="U618" s="5"/>
      <c r="V618" s="5"/>
      <c r="W618" s="5"/>
      <c r="X618" s="5"/>
      <c r="Y618" s="5"/>
      <c r="Z618" s="5"/>
      <c r="AA618" s="5"/>
      <c r="AB618" s="5"/>
      <c r="AC618" s="5"/>
      <c r="AD618" s="6"/>
    </row>
    <row r="619">
      <c r="A619" s="5"/>
      <c r="B619" s="5"/>
      <c r="C619" s="73"/>
      <c r="D619" s="73"/>
      <c r="E619" s="5"/>
      <c r="F619" s="5"/>
      <c r="G619" s="5"/>
      <c r="H619" s="5"/>
      <c r="I619" s="73"/>
      <c r="J619" s="5"/>
      <c r="K619" s="5"/>
      <c r="L619" s="73"/>
      <c r="M619" s="5"/>
      <c r="N619" s="5"/>
      <c r="O619" s="5"/>
      <c r="P619" s="5"/>
      <c r="Q619" s="5"/>
      <c r="R619" s="5"/>
      <c r="S619" s="5"/>
      <c r="T619" s="5"/>
      <c r="U619" s="5"/>
      <c r="V619" s="5"/>
      <c r="W619" s="5"/>
      <c r="X619" s="5"/>
      <c r="Y619" s="5"/>
      <c r="Z619" s="5"/>
      <c r="AA619" s="5"/>
      <c r="AB619" s="5"/>
      <c r="AC619" s="5"/>
      <c r="AD619" s="6"/>
    </row>
    <row r="620">
      <c r="A620" s="5"/>
      <c r="B620" s="5"/>
      <c r="C620" s="73"/>
      <c r="D620" s="73"/>
      <c r="E620" s="5"/>
      <c r="F620" s="5"/>
      <c r="G620" s="5"/>
      <c r="H620" s="5"/>
      <c r="I620" s="73"/>
      <c r="J620" s="5"/>
      <c r="K620" s="5"/>
      <c r="L620" s="73"/>
      <c r="M620" s="5"/>
      <c r="N620" s="5"/>
      <c r="O620" s="5"/>
      <c r="P620" s="5"/>
      <c r="Q620" s="5"/>
      <c r="R620" s="5"/>
      <c r="S620" s="5"/>
      <c r="T620" s="5"/>
      <c r="U620" s="5"/>
      <c r="V620" s="5"/>
      <c r="W620" s="5"/>
      <c r="X620" s="5"/>
      <c r="Y620" s="5"/>
      <c r="Z620" s="5"/>
      <c r="AA620" s="5"/>
      <c r="AB620" s="5"/>
      <c r="AC620" s="5"/>
      <c r="AD620" s="6"/>
    </row>
    <row r="621">
      <c r="A621" s="5"/>
      <c r="B621" s="5"/>
      <c r="C621" s="73"/>
      <c r="D621" s="73"/>
      <c r="E621" s="5"/>
      <c r="F621" s="5"/>
      <c r="G621" s="5"/>
      <c r="H621" s="5"/>
      <c r="I621" s="73"/>
      <c r="J621" s="5"/>
      <c r="K621" s="5"/>
      <c r="L621" s="73"/>
      <c r="M621" s="5"/>
      <c r="N621" s="5"/>
      <c r="O621" s="5"/>
      <c r="P621" s="5"/>
      <c r="Q621" s="5"/>
      <c r="R621" s="5"/>
      <c r="S621" s="5"/>
      <c r="T621" s="5"/>
      <c r="U621" s="5"/>
      <c r="V621" s="5"/>
      <c r="W621" s="5"/>
      <c r="X621" s="5"/>
      <c r="Y621" s="5"/>
      <c r="Z621" s="5"/>
      <c r="AA621" s="5"/>
      <c r="AB621" s="5"/>
      <c r="AC621" s="5"/>
      <c r="AD621" s="6"/>
    </row>
    <row r="622">
      <c r="A622" s="5"/>
      <c r="B622" s="5"/>
      <c r="C622" s="73"/>
      <c r="D622" s="73"/>
      <c r="E622" s="5"/>
      <c r="F622" s="5"/>
      <c r="G622" s="5"/>
      <c r="H622" s="5"/>
      <c r="I622" s="73"/>
      <c r="J622" s="5"/>
      <c r="K622" s="5"/>
      <c r="L622" s="73"/>
      <c r="M622" s="5"/>
      <c r="N622" s="5"/>
      <c r="O622" s="5"/>
      <c r="P622" s="5"/>
      <c r="Q622" s="5"/>
      <c r="R622" s="5"/>
      <c r="S622" s="5"/>
      <c r="T622" s="5"/>
      <c r="U622" s="5"/>
      <c r="V622" s="5"/>
      <c r="W622" s="5"/>
      <c r="X622" s="5"/>
      <c r="Y622" s="5"/>
      <c r="Z622" s="5"/>
      <c r="AA622" s="5"/>
      <c r="AB622" s="5"/>
      <c r="AC622" s="5"/>
      <c r="AD622" s="6"/>
    </row>
    <row r="623">
      <c r="A623" s="5"/>
      <c r="B623" s="5"/>
      <c r="C623" s="73"/>
      <c r="D623" s="73"/>
      <c r="E623" s="5"/>
      <c r="F623" s="5"/>
      <c r="G623" s="5"/>
      <c r="H623" s="5"/>
      <c r="I623" s="73"/>
      <c r="J623" s="5"/>
      <c r="K623" s="5"/>
      <c r="L623" s="73"/>
      <c r="M623" s="5"/>
      <c r="N623" s="5"/>
      <c r="O623" s="5"/>
      <c r="P623" s="5"/>
      <c r="Q623" s="5"/>
      <c r="R623" s="5"/>
      <c r="S623" s="5"/>
      <c r="T623" s="5"/>
      <c r="U623" s="5"/>
      <c r="V623" s="5"/>
      <c r="W623" s="5"/>
      <c r="X623" s="5"/>
      <c r="Y623" s="5"/>
      <c r="Z623" s="5"/>
      <c r="AA623" s="5"/>
      <c r="AB623" s="5"/>
      <c r="AC623" s="5"/>
      <c r="AD623" s="6"/>
    </row>
    <row r="624">
      <c r="A624" s="5"/>
      <c r="B624" s="5"/>
      <c r="C624" s="73"/>
      <c r="D624" s="73"/>
      <c r="E624" s="5"/>
      <c r="F624" s="5"/>
      <c r="G624" s="5"/>
      <c r="H624" s="5"/>
      <c r="I624" s="73"/>
      <c r="J624" s="5"/>
      <c r="K624" s="5"/>
      <c r="L624" s="73"/>
      <c r="M624" s="5"/>
      <c r="N624" s="5"/>
      <c r="O624" s="5"/>
      <c r="P624" s="5"/>
      <c r="Q624" s="5"/>
      <c r="R624" s="5"/>
      <c r="S624" s="5"/>
      <c r="T624" s="5"/>
      <c r="U624" s="5"/>
      <c r="V624" s="5"/>
      <c r="W624" s="5"/>
      <c r="X624" s="5"/>
      <c r="Y624" s="5"/>
      <c r="Z624" s="5"/>
      <c r="AA624" s="5"/>
      <c r="AB624" s="5"/>
      <c r="AC624" s="5"/>
      <c r="AD624" s="6"/>
    </row>
    <row r="625">
      <c r="A625" s="5"/>
      <c r="B625" s="5"/>
      <c r="C625" s="73"/>
      <c r="D625" s="73"/>
      <c r="E625" s="5"/>
      <c r="F625" s="5"/>
      <c r="G625" s="5"/>
      <c r="H625" s="5"/>
      <c r="I625" s="73"/>
      <c r="J625" s="5"/>
      <c r="K625" s="5"/>
      <c r="L625" s="73"/>
      <c r="M625" s="5"/>
      <c r="N625" s="5"/>
      <c r="O625" s="5"/>
      <c r="P625" s="5"/>
      <c r="Q625" s="5"/>
      <c r="R625" s="5"/>
      <c r="S625" s="5"/>
      <c r="T625" s="5"/>
      <c r="U625" s="5"/>
      <c r="V625" s="5"/>
      <c r="W625" s="5"/>
      <c r="X625" s="5"/>
      <c r="Y625" s="5"/>
      <c r="Z625" s="5"/>
      <c r="AA625" s="5"/>
      <c r="AB625" s="5"/>
      <c r="AC625" s="5"/>
      <c r="AD625" s="6"/>
    </row>
    <row r="626">
      <c r="A626" s="5"/>
      <c r="B626" s="5"/>
      <c r="C626" s="73"/>
      <c r="D626" s="73"/>
      <c r="E626" s="5"/>
      <c r="F626" s="5"/>
      <c r="G626" s="5"/>
      <c r="H626" s="5"/>
      <c r="I626" s="73"/>
      <c r="J626" s="5"/>
      <c r="K626" s="5"/>
      <c r="L626" s="73"/>
      <c r="M626" s="5"/>
      <c r="N626" s="5"/>
      <c r="O626" s="5"/>
      <c r="P626" s="5"/>
      <c r="Q626" s="5"/>
      <c r="R626" s="5"/>
      <c r="S626" s="5"/>
      <c r="T626" s="5"/>
      <c r="U626" s="5"/>
      <c r="V626" s="5"/>
      <c r="W626" s="5"/>
      <c r="X626" s="5"/>
      <c r="Y626" s="5"/>
      <c r="Z626" s="5"/>
      <c r="AA626" s="5"/>
      <c r="AB626" s="5"/>
      <c r="AC626" s="5"/>
      <c r="AD626" s="6"/>
    </row>
    <row r="627">
      <c r="A627" s="5"/>
      <c r="B627" s="5"/>
      <c r="C627" s="73"/>
      <c r="D627" s="73"/>
      <c r="E627" s="5"/>
      <c r="F627" s="5"/>
      <c r="G627" s="5"/>
      <c r="H627" s="5"/>
      <c r="I627" s="73"/>
      <c r="J627" s="5"/>
      <c r="K627" s="5"/>
      <c r="L627" s="73"/>
      <c r="M627" s="5"/>
      <c r="N627" s="5"/>
      <c r="O627" s="5"/>
      <c r="P627" s="5"/>
      <c r="Q627" s="5"/>
      <c r="R627" s="5"/>
      <c r="S627" s="5"/>
      <c r="T627" s="5"/>
      <c r="U627" s="5"/>
      <c r="V627" s="5"/>
      <c r="W627" s="5"/>
      <c r="X627" s="5"/>
      <c r="Y627" s="5"/>
      <c r="Z627" s="5"/>
      <c r="AA627" s="5"/>
      <c r="AB627" s="5"/>
      <c r="AC627" s="5"/>
      <c r="AD627" s="6"/>
    </row>
    <row r="628">
      <c r="A628" s="5"/>
      <c r="B628" s="5"/>
      <c r="C628" s="73"/>
      <c r="D628" s="73"/>
      <c r="E628" s="5"/>
      <c r="F628" s="5"/>
      <c r="G628" s="5"/>
      <c r="H628" s="5"/>
      <c r="I628" s="73"/>
      <c r="J628" s="5"/>
      <c r="K628" s="5"/>
      <c r="L628" s="73"/>
      <c r="M628" s="5"/>
      <c r="N628" s="5"/>
      <c r="O628" s="5"/>
      <c r="P628" s="5"/>
      <c r="Q628" s="5"/>
      <c r="R628" s="5"/>
      <c r="S628" s="5"/>
      <c r="T628" s="5"/>
      <c r="U628" s="5"/>
      <c r="V628" s="5"/>
      <c r="W628" s="5"/>
      <c r="X628" s="5"/>
      <c r="Y628" s="5"/>
      <c r="Z628" s="5"/>
      <c r="AA628" s="5"/>
      <c r="AB628" s="5"/>
      <c r="AC628" s="5"/>
      <c r="AD628" s="6"/>
    </row>
    <row r="629">
      <c r="A629" s="5"/>
      <c r="B629" s="5"/>
      <c r="C629" s="73"/>
      <c r="D629" s="73"/>
      <c r="E629" s="5"/>
      <c r="F629" s="5"/>
      <c r="G629" s="5"/>
      <c r="H629" s="5"/>
      <c r="I629" s="73"/>
      <c r="J629" s="5"/>
      <c r="K629" s="5"/>
      <c r="L629" s="73"/>
      <c r="M629" s="5"/>
      <c r="N629" s="5"/>
      <c r="O629" s="5"/>
      <c r="P629" s="5"/>
      <c r="Q629" s="5"/>
      <c r="R629" s="5"/>
      <c r="S629" s="5"/>
      <c r="T629" s="5"/>
      <c r="U629" s="5"/>
      <c r="V629" s="5"/>
      <c r="W629" s="5"/>
      <c r="X629" s="5"/>
      <c r="Y629" s="5"/>
      <c r="Z629" s="5"/>
      <c r="AA629" s="5"/>
      <c r="AB629" s="5"/>
      <c r="AC629" s="5"/>
      <c r="AD629" s="6"/>
    </row>
    <row r="630">
      <c r="A630" s="5"/>
      <c r="B630" s="5"/>
      <c r="C630" s="73"/>
      <c r="D630" s="73"/>
      <c r="E630" s="5"/>
      <c r="F630" s="5"/>
      <c r="G630" s="5"/>
      <c r="H630" s="5"/>
      <c r="I630" s="73"/>
      <c r="J630" s="5"/>
      <c r="K630" s="5"/>
      <c r="L630" s="73"/>
      <c r="M630" s="5"/>
      <c r="N630" s="5"/>
      <c r="O630" s="5"/>
      <c r="P630" s="5"/>
      <c r="Q630" s="5"/>
      <c r="R630" s="5"/>
      <c r="S630" s="5"/>
      <c r="T630" s="5"/>
      <c r="U630" s="5"/>
      <c r="V630" s="5"/>
      <c r="W630" s="5"/>
      <c r="X630" s="5"/>
      <c r="Y630" s="5"/>
      <c r="Z630" s="5"/>
      <c r="AA630" s="5"/>
      <c r="AB630" s="5"/>
      <c r="AC630" s="5"/>
      <c r="AD630" s="6"/>
    </row>
    <row r="631">
      <c r="A631" s="5"/>
      <c r="B631" s="5"/>
      <c r="C631" s="73"/>
      <c r="D631" s="73"/>
      <c r="E631" s="5"/>
      <c r="F631" s="5"/>
      <c r="G631" s="5"/>
      <c r="H631" s="5"/>
      <c r="I631" s="73"/>
      <c r="J631" s="5"/>
      <c r="K631" s="5"/>
      <c r="L631" s="73"/>
      <c r="M631" s="5"/>
      <c r="N631" s="5"/>
      <c r="O631" s="5"/>
      <c r="P631" s="5"/>
      <c r="Q631" s="5"/>
      <c r="R631" s="5"/>
      <c r="S631" s="5"/>
      <c r="T631" s="5"/>
      <c r="U631" s="5"/>
      <c r="V631" s="5"/>
      <c r="W631" s="5"/>
      <c r="X631" s="5"/>
      <c r="Y631" s="5"/>
      <c r="Z631" s="5"/>
      <c r="AA631" s="5"/>
      <c r="AB631" s="5"/>
      <c r="AC631" s="5"/>
      <c r="AD631" s="6"/>
    </row>
    <row r="632">
      <c r="A632" s="5"/>
      <c r="B632" s="5"/>
      <c r="C632" s="73"/>
      <c r="D632" s="73"/>
      <c r="E632" s="5"/>
      <c r="F632" s="5"/>
      <c r="G632" s="5"/>
      <c r="H632" s="5"/>
      <c r="I632" s="73"/>
      <c r="J632" s="5"/>
      <c r="K632" s="5"/>
      <c r="L632" s="73"/>
      <c r="M632" s="5"/>
      <c r="N632" s="5"/>
      <c r="O632" s="5"/>
      <c r="P632" s="5"/>
      <c r="Q632" s="5"/>
      <c r="R632" s="5"/>
      <c r="S632" s="5"/>
      <c r="T632" s="5"/>
      <c r="U632" s="5"/>
      <c r="V632" s="5"/>
      <c r="W632" s="5"/>
      <c r="X632" s="5"/>
      <c r="Y632" s="5"/>
      <c r="Z632" s="5"/>
      <c r="AA632" s="5"/>
      <c r="AB632" s="5"/>
      <c r="AC632" s="5"/>
      <c r="AD632" s="6"/>
    </row>
    <row r="633">
      <c r="A633" s="5"/>
      <c r="B633" s="5"/>
      <c r="C633" s="73"/>
      <c r="D633" s="73"/>
      <c r="E633" s="5"/>
      <c r="F633" s="5"/>
      <c r="G633" s="5"/>
      <c r="H633" s="5"/>
      <c r="I633" s="73"/>
      <c r="J633" s="5"/>
      <c r="K633" s="5"/>
      <c r="L633" s="73"/>
      <c r="M633" s="5"/>
      <c r="N633" s="5"/>
      <c r="O633" s="5"/>
      <c r="P633" s="5"/>
      <c r="Q633" s="5"/>
      <c r="R633" s="5"/>
      <c r="S633" s="5"/>
      <c r="T633" s="5"/>
      <c r="U633" s="5"/>
      <c r="V633" s="5"/>
      <c r="W633" s="5"/>
      <c r="X633" s="5"/>
      <c r="Y633" s="5"/>
      <c r="Z633" s="5"/>
      <c r="AA633" s="5"/>
      <c r="AB633" s="5"/>
      <c r="AC633" s="5"/>
      <c r="AD633" s="6"/>
    </row>
    <row r="634">
      <c r="A634" s="5"/>
      <c r="B634" s="5"/>
      <c r="C634" s="73"/>
      <c r="D634" s="73"/>
      <c r="E634" s="5"/>
      <c r="F634" s="5"/>
      <c r="G634" s="5"/>
      <c r="H634" s="5"/>
      <c r="I634" s="73"/>
      <c r="J634" s="5"/>
      <c r="K634" s="5"/>
      <c r="L634" s="73"/>
      <c r="M634" s="5"/>
      <c r="N634" s="5"/>
      <c r="O634" s="5"/>
      <c r="P634" s="5"/>
      <c r="Q634" s="5"/>
      <c r="R634" s="5"/>
      <c r="S634" s="5"/>
      <c r="T634" s="5"/>
      <c r="U634" s="5"/>
      <c r="V634" s="5"/>
      <c r="W634" s="5"/>
      <c r="X634" s="5"/>
      <c r="Y634" s="5"/>
      <c r="Z634" s="5"/>
      <c r="AA634" s="5"/>
      <c r="AB634" s="5"/>
      <c r="AC634" s="5"/>
      <c r="AD634" s="6"/>
    </row>
    <row r="635">
      <c r="A635" s="5"/>
      <c r="B635" s="5"/>
      <c r="C635" s="73"/>
      <c r="D635" s="73"/>
      <c r="E635" s="5"/>
      <c r="F635" s="5"/>
      <c r="G635" s="5"/>
      <c r="H635" s="5"/>
      <c r="I635" s="73"/>
      <c r="J635" s="5"/>
      <c r="K635" s="5"/>
      <c r="L635" s="73"/>
      <c r="M635" s="5"/>
      <c r="N635" s="5"/>
      <c r="O635" s="5"/>
      <c r="P635" s="5"/>
      <c r="Q635" s="5"/>
      <c r="R635" s="5"/>
      <c r="S635" s="5"/>
      <c r="T635" s="5"/>
      <c r="U635" s="5"/>
      <c r="V635" s="5"/>
      <c r="W635" s="5"/>
      <c r="X635" s="5"/>
      <c r="Y635" s="5"/>
      <c r="Z635" s="5"/>
      <c r="AA635" s="5"/>
      <c r="AB635" s="5"/>
      <c r="AC635" s="5"/>
      <c r="AD635" s="6"/>
    </row>
    <row r="636">
      <c r="A636" s="5"/>
      <c r="B636" s="5"/>
      <c r="C636" s="73"/>
      <c r="D636" s="73"/>
      <c r="E636" s="5"/>
      <c r="F636" s="5"/>
      <c r="G636" s="5"/>
      <c r="H636" s="5"/>
      <c r="I636" s="73"/>
      <c r="J636" s="5"/>
      <c r="K636" s="5"/>
      <c r="L636" s="73"/>
      <c r="M636" s="5"/>
      <c r="N636" s="5"/>
      <c r="O636" s="5"/>
      <c r="P636" s="5"/>
      <c r="Q636" s="5"/>
      <c r="R636" s="5"/>
      <c r="S636" s="5"/>
      <c r="T636" s="5"/>
      <c r="U636" s="5"/>
      <c r="V636" s="5"/>
      <c r="W636" s="5"/>
      <c r="X636" s="5"/>
      <c r="Y636" s="5"/>
      <c r="Z636" s="5"/>
      <c r="AA636" s="5"/>
      <c r="AB636" s="5"/>
      <c r="AC636" s="5"/>
      <c r="AD636" s="6"/>
    </row>
    <row r="637">
      <c r="A637" s="5"/>
      <c r="B637" s="5"/>
      <c r="C637" s="73"/>
      <c r="D637" s="73"/>
      <c r="E637" s="5"/>
      <c r="F637" s="5"/>
      <c r="G637" s="5"/>
      <c r="H637" s="5"/>
      <c r="I637" s="73"/>
      <c r="J637" s="5"/>
      <c r="K637" s="5"/>
      <c r="L637" s="73"/>
      <c r="M637" s="5"/>
      <c r="N637" s="5"/>
      <c r="O637" s="5"/>
      <c r="P637" s="5"/>
      <c r="Q637" s="5"/>
      <c r="R637" s="5"/>
      <c r="S637" s="5"/>
      <c r="T637" s="5"/>
      <c r="U637" s="5"/>
      <c r="V637" s="5"/>
      <c r="W637" s="5"/>
      <c r="X637" s="5"/>
      <c r="Y637" s="5"/>
      <c r="Z637" s="5"/>
      <c r="AA637" s="5"/>
      <c r="AB637" s="5"/>
      <c r="AC637" s="5"/>
      <c r="AD637" s="6"/>
    </row>
    <row r="638">
      <c r="A638" s="5"/>
      <c r="B638" s="5"/>
      <c r="C638" s="73"/>
      <c r="D638" s="73"/>
      <c r="E638" s="5"/>
      <c r="F638" s="5"/>
      <c r="G638" s="5"/>
      <c r="H638" s="5"/>
      <c r="I638" s="73"/>
      <c r="J638" s="5"/>
      <c r="K638" s="5"/>
      <c r="L638" s="73"/>
      <c r="M638" s="5"/>
      <c r="N638" s="5"/>
      <c r="O638" s="5"/>
      <c r="P638" s="5"/>
      <c r="Q638" s="5"/>
      <c r="R638" s="5"/>
      <c r="S638" s="5"/>
      <c r="T638" s="5"/>
      <c r="U638" s="5"/>
      <c r="V638" s="5"/>
      <c r="W638" s="5"/>
      <c r="X638" s="5"/>
      <c r="Y638" s="5"/>
      <c r="Z638" s="5"/>
      <c r="AA638" s="5"/>
      <c r="AB638" s="5"/>
      <c r="AC638" s="5"/>
      <c r="AD638" s="6"/>
    </row>
    <row r="639">
      <c r="A639" s="5"/>
      <c r="B639" s="5"/>
      <c r="C639" s="73"/>
      <c r="D639" s="73"/>
      <c r="E639" s="5"/>
      <c r="F639" s="5"/>
      <c r="G639" s="5"/>
      <c r="H639" s="5"/>
      <c r="I639" s="73"/>
      <c r="J639" s="5"/>
      <c r="K639" s="5"/>
      <c r="L639" s="73"/>
      <c r="M639" s="5"/>
      <c r="N639" s="5"/>
      <c r="O639" s="5"/>
      <c r="P639" s="5"/>
      <c r="Q639" s="5"/>
      <c r="R639" s="5"/>
      <c r="S639" s="5"/>
      <c r="T639" s="5"/>
      <c r="U639" s="5"/>
      <c r="V639" s="5"/>
      <c r="W639" s="5"/>
      <c r="X639" s="5"/>
      <c r="Y639" s="5"/>
      <c r="Z639" s="5"/>
      <c r="AA639" s="5"/>
      <c r="AB639" s="5"/>
      <c r="AC639" s="5"/>
      <c r="AD639" s="6"/>
    </row>
    <row r="640">
      <c r="A640" s="5"/>
      <c r="B640" s="5"/>
      <c r="C640" s="73"/>
      <c r="D640" s="73"/>
      <c r="E640" s="5"/>
      <c r="F640" s="5"/>
      <c r="G640" s="5"/>
      <c r="H640" s="5"/>
      <c r="I640" s="73"/>
      <c r="J640" s="5"/>
      <c r="K640" s="5"/>
      <c r="L640" s="73"/>
      <c r="M640" s="5"/>
      <c r="N640" s="5"/>
      <c r="O640" s="5"/>
      <c r="P640" s="5"/>
      <c r="Q640" s="5"/>
      <c r="R640" s="5"/>
      <c r="S640" s="5"/>
      <c r="T640" s="5"/>
      <c r="U640" s="5"/>
      <c r="V640" s="5"/>
      <c r="W640" s="5"/>
      <c r="X640" s="5"/>
      <c r="Y640" s="5"/>
      <c r="Z640" s="5"/>
      <c r="AA640" s="5"/>
      <c r="AB640" s="5"/>
      <c r="AC640" s="5"/>
      <c r="AD640" s="6"/>
    </row>
    <row r="641">
      <c r="A641" s="5"/>
      <c r="B641" s="5"/>
      <c r="C641" s="73"/>
      <c r="D641" s="73"/>
      <c r="E641" s="5"/>
      <c r="F641" s="5"/>
      <c r="G641" s="5"/>
      <c r="H641" s="5"/>
      <c r="I641" s="73"/>
      <c r="J641" s="5"/>
      <c r="K641" s="5"/>
      <c r="L641" s="73"/>
      <c r="M641" s="5"/>
      <c r="N641" s="5"/>
      <c r="O641" s="5"/>
      <c r="P641" s="5"/>
      <c r="Q641" s="5"/>
      <c r="R641" s="5"/>
      <c r="S641" s="5"/>
      <c r="T641" s="5"/>
      <c r="U641" s="5"/>
      <c r="V641" s="5"/>
      <c r="W641" s="5"/>
      <c r="X641" s="5"/>
      <c r="Y641" s="5"/>
      <c r="Z641" s="5"/>
      <c r="AA641" s="5"/>
      <c r="AB641" s="5"/>
      <c r="AC641" s="5"/>
      <c r="AD641" s="6"/>
    </row>
    <row r="642">
      <c r="A642" s="5"/>
      <c r="B642" s="5"/>
      <c r="C642" s="73"/>
      <c r="D642" s="73"/>
      <c r="E642" s="5"/>
      <c r="F642" s="5"/>
      <c r="G642" s="5"/>
      <c r="H642" s="5"/>
      <c r="I642" s="73"/>
      <c r="J642" s="5"/>
      <c r="K642" s="5"/>
      <c r="L642" s="73"/>
      <c r="M642" s="5"/>
      <c r="N642" s="5"/>
      <c r="O642" s="5"/>
      <c r="P642" s="5"/>
      <c r="Q642" s="5"/>
      <c r="R642" s="5"/>
      <c r="S642" s="5"/>
      <c r="T642" s="5"/>
      <c r="U642" s="5"/>
      <c r="V642" s="5"/>
      <c r="W642" s="5"/>
      <c r="X642" s="5"/>
      <c r="Y642" s="5"/>
      <c r="Z642" s="5"/>
      <c r="AA642" s="5"/>
      <c r="AB642" s="5"/>
      <c r="AC642" s="5"/>
      <c r="AD642" s="6"/>
    </row>
    <row r="643">
      <c r="A643" s="5"/>
      <c r="B643" s="5"/>
      <c r="C643" s="73"/>
      <c r="D643" s="73"/>
      <c r="E643" s="5"/>
      <c r="F643" s="5"/>
      <c r="G643" s="5"/>
      <c r="H643" s="5"/>
      <c r="I643" s="73"/>
      <c r="J643" s="5"/>
      <c r="K643" s="5"/>
      <c r="L643" s="73"/>
      <c r="M643" s="5"/>
      <c r="N643" s="5"/>
      <c r="O643" s="5"/>
      <c r="P643" s="5"/>
      <c r="Q643" s="5"/>
      <c r="R643" s="5"/>
      <c r="S643" s="5"/>
      <c r="T643" s="5"/>
      <c r="U643" s="5"/>
      <c r="V643" s="5"/>
      <c r="W643" s="5"/>
      <c r="X643" s="5"/>
      <c r="Y643" s="5"/>
      <c r="Z643" s="5"/>
      <c r="AA643" s="5"/>
      <c r="AB643" s="5"/>
      <c r="AC643" s="5"/>
      <c r="AD643" s="6"/>
    </row>
    <row r="644">
      <c r="A644" s="5"/>
      <c r="B644" s="5"/>
      <c r="C644" s="73"/>
      <c r="D644" s="73"/>
      <c r="E644" s="5"/>
      <c r="F644" s="5"/>
      <c r="G644" s="5"/>
      <c r="H644" s="5"/>
      <c r="I644" s="73"/>
      <c r="J644" s="5"/>
      <c r="K644" s="5"/>
      <c r="L644" s="73"/>
      <c r="M644" s="5"/>
      <c r="N644" s="5"/>
      <c r="O644" s="5"/>
      <c r="P644" s="5"/>
      <c r="Q644" s="5"/>
      <c r="R644" s="5"/>
      <c r="S644" s="5"/>
      <c r="T644" s="5"/>
      <c r="U644" s="5"/>
      <c r="V644" s="5"/>
      <c r="W644" s="5"/>
      <c r="X644" s="5"/>
      <c r="Y644" s="5"/>
      <c r="Z644" s="5"/>
      <c r="AA644" s="5"/>
      <c r="AB644" s="5"/>
      <c r="AC644" s="5"/>
      <c r="AD644" s="6"/>
    </row>
    <row r="645">
      <c r="A645" s="5"/>
      <c r="B645" s="5"/>
      <c r="C645" s="73"/>
      <c r="D645" s="73"/>
      <c r="E645" s="5"/>
      <c r="F645" s="5"/>
      <c r="G645" s="5"/>
      <c r="H645" s="5"/>
      <c r="I645" s="73"/>
      <c r="J645" s="5"/>
      <c r="K645" s="5"/>
      <c r="L645" s="73"/>
      <c r="M645" s="5"/>
      <c r="N645" s="5"/>
      <c r="O645" s="5"/>
      <c r="P645" s="5"/>
      <c r="Q645" s="5"/>
      <c r="R645" s="5"/>
      <c r="S645" s="5"/>
      <c r="T645" s="5"/>
      <c r="U645" s="5"/>
      <c r="V645" s="5"/>
      <c r="W645" s="5"/>
      <c r="X645" s="5"/>
      <c r="Y645" s="5"/>
      <c r="Z645" s="5"/>
      <c r="AA645" s="5"/>
      <c r="AB645" s="5"/>
      <c r="AC645" s="5"/>
      <c r="AD645" s="6"/>
    </row>
    <row r="646">
      <c r="A646" s="5"/>
      <c r="B646" s="5"/>
      <c r="C646" s="73"/>
      <c r="D646" s="73"/>
      <c r="E646" s="5"/>
      <c r="F646" s="5"/>
      <c r="G646" s="5"/>
      <c r="H646" s="5"/>
      <c r="I646" s="73"/>
      <c r="J646" s="5"/>
      <c r="K646" s="5"/>
      <c r="L646" s="73"/>
      <c r="M646" s="5"/>
      <c r="N646" s="5"/>
      <c r="O646" s="5"/>
      <c r="P646" s="5"/>
      <c r="Q646" s="5"/>
      <c r="R646" s="5"/>
      <c r="S646" s="5"/>
      <c r="T646" s="5"/>
      <c r="U646" s="5"/>
      <c r="V646" s="5"/>
      <c r="W646" s="5"/>
      <c r="X646" s="5"/>
      <c r="Y646" s="5"/>
      <c r="Z646" s="5"/>
      <c r="AA646" s="5"/>
      <c r="AB646" s="5"/>
      <c r="AC646" s="5"/>
      <c r="AD646" s="6"/>
    </row>
    <row r="647">
      <c r="A647" s="5"/>
      <c r="B647" s="5"/>
      <c r="C647" s="73"/>
      <c r="D647" s="73"/>
      <c r="E647" s="5"/>
      <c r="F647" s="5"/>
      <c r="G647" s="5"/>
      <c r="H647" s="5"/>
      <c r="I647" s="73"/>
      <c r="J647" s="5"/>
      <c r="K647" s="5"/>
      <c r="L647" s="73"/>
      <c r="M647" s="5"/>
      <c r="N647" s="5"/>
      <c r="O647" s="5"/>
      <c r="P647" s="5"/>
      <c r="Q647" s="5"/>
      <c r="R647" s="5"/>
      <c r="S647" s="5"/>
      <c r="T647" s="5"/>
      <c r="U647" s="5"/>
      <c r="V647" s="5"/>
      <c r="W647" s="5"/>
      <c r="X647" s="5"/>
      <c r="Y647" s="5"/>
      <c r="Z647" s="5"/>
      <c r="AA647" s="5"/>
      <c r="AB647" s="5"/>
      <c r="AC647" s="5"/>
      <c r="AD647" s="6"/>
    </row>
    <row r="648">
      <c r="A648" s="5"/>
      <c r="B648" s="5"/>
      <c r="C648" s="73"/>
      <c r="D648" s="73"/>
      <c r="E648" s="5"/>
      <c r="F648" s="5"/>
      <c r="G648" s="5"/>
      <c r="H648" s="5"/>
      <c r="I648" s="73"/>
      <c r="J648" s="5"/>
      <c r="K648" s="5"/>
      <c r="L648" s="73"/>
      <c r="M648" s="5"/>
      <c r="N648" s="5"/>
      <c r="O648" s="5"/>
      <c r="P648" s="5"/>
      <c r="Q648" s="5"/>
      <c r="R648" s="5"/>
      <c r="S648" s="5"/>
      <c r="T648" s="5"/>
      <c r="U648" s="5"/>
      <c r="V648" s="5"/>
      <c r="W648" s="5"/>
      <c r="X648" s="5"/>
      <c r="Y648" s="5"/>
      <c r="Z648" s="5"/>
      <c r="AA648" s="5"/>
      <c r="AB648" s="5"/>
      <c r="AC648" s="5"/>
      <c r="AD648" s="6"/>
    </row>
    <row r="649">
      <c r="A649" s="5"/>
      <c r="B649" s="5"/>
      <c r="C649" s="73"/>
      <c r="D649" s="73"/>
      <c r="E649" s="5"/>
      <c r="F649" s="5"/>
      <c r="G649" s="5"/>
      <c r="H649" s="5"/>
      <c r="I649" s="73"/>
      <c r="J649" s="5"/>
      <c r="K649" s="5"/>
      <c r="L649" s="73"/>
      <c r="M649" s="5"/>
      <c r="N649" s="5"/>
      <c r="O649" s="5"/>
      <c r="P649" s="5"/>
      <c r="Q649" s="5"/>
      <c r="R649" s="5"/>
      <c r="S649" s="5"/>
      <c r="T649" s="5"/>
      <c r="U649" s="5"/>
      <c r="V649" s="5"/>
      <c r="W649" s="5"/>
      <c r="X649" s="5"/>
      <c r="Y649" s="5"/>
      <c r="Z649" s="5"/>
      <c r="AA649" s="5"/>
      <c r="AB649" s="5"/>
      <c r="AC649" s="5"/>
      <c r="AD649" s="6"/>
    </row>
    <row r="650">
      <c r="A650" s="5"/>
      <c r="B650" s="5"/>
      <c r="C650" s="73"/>
      <c r="D650" s="73"/>
      <c r="E650" s="5"/>
      <c r="F650" s="5"/>
      <c r="G650" s="5"/>
      <c r="H650" s="5"/>
      <c r="I650" s="73"/>
      <c r="J650" s="5"/>
      <c r="K650" s="5"/>
      <c r="L650" s="73"/>
      <c r="M650" s="5"/>
      <c r="N650" s="5"/>
      <c r="O650" s="5"/>
      <c r="P650" s="5"/>
      <c r="Q650" s="5"/>
      <c r="R650" s="5"/>
      <c r="S650" s="5"/>
      <c r="T650" s="5"/>
      <c r="U650" s="5"/>
      <c r="V650" s="5"/>
      <c r="W650" s="5"/>
      <c r="X650" s="5"/>
      <c r="Y650" s="5"/>
      <c r="Z650" s="5"/>
      <c r="AA650" s="5"/>
      <c r="AB650" s="5"/>
      <c r="AC650" s="5"/>
      <c r="AD650" s="6"/>
    </row>
    <row r="651">
      <c r="A651" s="5"/>
      <c r="B651" s="5"/>
      <c r="C651" s="73"/>
      <c r="D651" s="73"/>
      <c r="E651" s="5"/>
      <c r="F651" s="5"/>
      <c r="G651" s="5"/>
      <c r="H651" s="5"/>
      <c r="I651" s="73"/>
      <c r="J651" s="5"/>
      <c r="K651" s="5"/>
      <c r="L651" s="73"/>
      <c r="M651" s="5"/>
      <c r="N651" s="5"/>
      <c r="O651" s="5"/>
      <c r="P651" s="5"/>
      <c r="Q651" s="5"/>
      <c r="R651" s="5"/>
      <c r="S651" s="5"/>
      <c r="T651" s="5"/>
      <c r="U651" s="5"/>
      <c r="V651" s="5"/>
      <c r="W651" s="5"/>
      <c r="X651" s="5"/>
      <c r="Y651" s="5"/>
      <c r="Z651" s="5"/>
      <c r="AA651" s="5"/>
      <c r="AB651" s="5"/>
      <c r="AC651" s="5"/>
      <c r="AD651" s="6"/>
    </row>
    <row r="652">
      <c r="A652" s="5"/>
      <c r="B652" s="5"/>
      <c r="C652" s="73"/>
      <c r="D652" s="73"/>
      <c r="E652" s="5"/>
      <c r="F652" s="5"/>
      <c r="G652" s="5"/>
      <c r="H652" s="5"/>
      <c r="I652" s="73"/>
      <c r="J652" s="5"/>
      <c r="K652" s="5"/>
      <c r="L652" s="73"/>
      <c r="M652" s="5"/>
      <c r="N652" s="5"/>
      <c r="O652" s="5"/>
      <c r="P652" s="5"/>
      <c r="Q652" s="5"/>
      <c r="R652" s="5"/>
      <c r="S652" s="5"/>
      <c r="T652" s="5"/>
      <c r="U652" s="5"/>
      <c r="V652" s="5"/>
      <c r="W652" s="5"/>
      <c r="X652" s="5"/>
      <c r="Y652" s="5"/>
      <c r="Z652" s="5"/>
      <c r="AA652" s="5"/>
      <c r="AB652" s="5"/>
      <c r="AC652" s="5"/>
      <c r="AD652" s="6"/>
    </row>
    <row r="653">
      <c r="A653" s="5"/>
      <c r="B653" s="5"/>
      <c r="C653" s="73"/>
      <c r="D653" s="73"/>
      <c r="E653" s="5"/>
      <c r="F653" s="5"/>
      <c r="G653" s="5"/>
      <c r="H653" s="5"/>
      <c r="I653" s="73"/>
      <c r="J653" s="5"/>
      <c r="K653" s="5"/>
      <c r="L653" s="73"/>
      <c r="M653" s="5"/>
      <c r="N653" s="5"/>
      <c r="O653" s="5"/>
      <c r="P653" s="5"/>
      <c r="Q653" s="5"/>
      <c r="R653" s="5"/>
      <c r="S653" s="5"/>
      <c r="T653" s="5"/>
      <c r="U653" s="5"/>
      <c r="V653" s="5"/>
      <c r="W653" s="5"/>
      <c r="X653" s="5"/>
      <c r="Y653" s="5"/>
      <c r="Z653" s="5"/>
      <c r="AA653" s="5"/>
      <c r="AB653" s="5"/>
      <c r="AC653" s="5"/>
      <c r="AD653" s="6"/>
    </row>
    <row r="654">
      <c r="A654" s="5"/>
      <c r="B654" s="5"/>
      <c r="C654" s="73"/>
      <c r="D654" s="73"/>
      <c r="E654" s="5"/>
      <c r="F654" s="5"/>
      <c r="G654" s="5"/>
      <c r="H654" s="5"/>
      <c r="I654" s="73"/>
      <c r="J654" s="5"/>
      <c r="K654" s="5"/>
      <c r="L654" s="73"/>
      <c r="M654" s="5"/>
      <c r="N654" s="5"/>
      <c r="O654" s="5"/>
      <c r="P654" s="5"/>
      <c r="Q654" s="5"/>
      <c r="R654" s="5"/>
      <c r="S654" s="5"/>
      <c r="T654" s="5"/>
      <c r="U654" s="5"/>
      <c r="V654" s="5"/>
      <c r="W654" s="5"/>
      <c r="X654" s="5"/>
      <c r="Y654" s="5"/>
      <c r="Z654" s="5"/>
      <c r="AA654" s="5"/>
      <c r="AB654" s="5"/>
      <c r="AC654" s="5"/>
      <c r="AD654" s="6"/>
    </row>
    <row r="655">
      <c r="A655" s="5"/>
      <c r="B655" s="5"/>
      <c r="C655" s="73"/>
      <c r="D655" s="73"/>
      <c r="E655" s="5"/>
      <c r="F655" s="5"/>
      <c r="G655" s="5"/>
      <c r="H655" s="5"/>
      <c r="I655" s="73"/>
      <c r="J655" s="5"/>
      <c r="K655" s="5"/>
      <c r="L655" s="73"/>
      <c r="M655" s="5"/>
      <c r="N655" s="5"/>
      <c r="O655" s="5"/>
      <c r="P655" s="5"/>
      <c r="Q655" s="5"/>
      <c r="R655" s="5"/>
      <c r="S655" s="5"/>
      <c r="T655" s="5"/>
      <c r="U655" s="5"/>
      <c r="V655" s="5"/>
      <c r="W655" s="5"/>
      <c r="X655" s="5"/>
      <c r="Y655" s="5"/>
      <c r="Z655" s="5"/>
      <c r="AA655" s="5"/>
      <c r="AB655" s="5"/>
      <c r="AC655" s="5"/>
      <c r="AD655" s="6"/>
    </row>
    <row r="656">
      <c r="A656" s="5"/>
      <c r="B656" s="5"/>
      <c r="C656" s="73"/>
      <c r="D656" s="73"/>
      <c r="E656" s="5"/>
      <c r="F656" s="5"/>
      <c r="G656" s="5"/>
      <c r="H656" s="5"/>
      <c r="I656" s="73"/>
      <c r="J656" s="5"/>
      <c r="K656" s="5"/>
      <c r="L656" s="73"/>
      <c r="M656" s="5"/>
      <c r="N656" s="5"/>
      <c r="O656" s="5"/>
      <c r="P656" s="5"/>
      <c r="Q656" s="5"/>
      <c r="R656" s="5"/>
      <c r="S656" s="5"/>
      <c r="T656" s="5"/>
      <c r="U656" s="5"/>
      <c r="V656" s="5"/>
      <c r="W656" s="5"/>
      <c r="X656" s="5"/>
      <c r="Y656" s="5"/>
      <c r="Z656" s="5"/>
      <c r="AA656" s="5"/>
      <c r="AB656" s="5"/>
      <c r="AC656" s="5"/>
      <c r="AD656" s="6"/>
    </row>
    <row r="657">
      <c r="A657" s="5"/>
      <c r="B657" s="5"/>
      <c r="C657" s="73"/>
      <c r="D657" s="73"/>
      <c r="E657" s="5"/>
      <c r="F657" s="5"/>
      <c r="G657" s="5"/>
      <c r="H657" s="5"/>
      <c r="I657" s="73"/>
      <c r="J657" s="5"/>
      <c r="K657" s="5"/>
      <c r="L657" s="73"/>
      <c r="M657" s="5"/>
      <c r="N657" s="5"/>
      <c r="O657" s="5"/>
      <c r="P657" s="5"/>
      <c r="Q657" s="5"/>
      <c r="R657" s="5"/>
      <c r="S657" s="5"/>
      <c r="T657" s="5"/>
      <c r="U657" s="5"/>
      <c r="V657" s="5"/>
      <c r="W657" s="5"/>
      <c r="X657" s="5"/>
      <c r="Y657" s="5"/>
      <c r="Z657" s="5"/>
      <c r="AA657" s="5"/>
      <c r="AB657" s="5"/>
      <c r="AC657" s="5"/>
      <c r="AD657" s="6"/>
    </row>
    <row r="658">
      <c r="A658" s="5"/>
      <c r="B658" s="5"/>
      <c r="C658" s="73"/>
      <c r="D658" s="73"/>
      <c r="E658" s="5"/>
      <c r="F658" s="5"/>
      <c r="G658" s="5"/>
      <c r="H658" s="5"/>
      <c r="I658" s="73"/>
      <c r="J658" s="5"/>
      <c r="K658" s="5"/>
      <c r="L658" s="73"/>
      <c r="M658" s="5"/>
      <c r="N658" s="5"/>
      <c r="O658" s="5"/>
      <c r="P658" s="5"/>
      <c r="Q658" s="5"/>
      <c r="R658" s="5"/>
      <c r="S658" s="5"/>
      <c r="T658" s="5"/>
      <c r="U658" s="5"/>
      <c r="V658" s="5"/>
      <c r="W658" s="5"/>
      <c r="X658" s="5"/>
      <c r="Y658" s="5"/>
      <c r="Z658" s="5"/>
      <c r="AA658" s="5"/>
      <c r="AB658" s="5"/>
      <c r="AC658" s="5"/>
      <c r="AD658" s="6"/>
    </row>
    <row r="659">
      <c r="A659" s="5"/>
      <c r="B659" s="5"/>
      <c r="C659" s="73"/>
      <c r="D659" s="73"/>
      <c r="E659" s="5"/>
      <c r="F659" s="5"/>
      <c r="G659" s="5"/>
      <c r="H659" s="5"/>
      <c r="I659" s="73"/>
      <c r="J659" s="5"/>
      <c r="K659" s="5"/>
      <c r="L659" s="73"/>
      <c r="M659" s="5"/>
      <c r="N659" s="5"/>
      <c r="O659" s="5"/>
      <c r="P659" s="5"/>
      <c r="Q659" s="5"/>
      <c r="R659" s="5"/>
      <c r="S659" s="5"/>
      <c r="T659" s="5"/>
      <c r="U659" s="5"/>
      <c r="V659" s="5"/>
      <c r="W659" s="5"/>
      <c r="X659" s="5"/>
      <c r="Y659" s="5"/>
      <c r="Z659" s="5"/>
      <c r="AA659" s="5"/>
      <c r="AB659" s="5"/>
      <c r="AC659" s="5"/>
      <c r="AD659" s="6"/>
    </row>
    <row r="660">
      <c r="A660" s="5"/>
      <c r="B660" s="5"/>
      <c r="C660" s="73"/>
      <c r="D660" s="73"/>
      <c r="E660" s="5"/>
      <c r="F660" s="5"/>
      <c r="G660" s="5"/>
      <c r="H660" s="5"/>
      <c r="I660" s="73"/>
      <c r="J660" s="5"/>
      <c r="K660" s="5"/>
      <c r="L660" s="73"/>
      <c r="M660" s="5"/>
      <c r="N660" s="5"/>
      <c r="O660" s="5"/>
      <c r="P660" s="5"/>
      <c r="Q660" s="5"/>
      <c r="R660" s="5"/>
      <c r="S660" s="5"/>
      <c r="T660" s="5"/>
      <c r="U660" s="5"/>
      <c r="V660" s="5"/>
      <c r="W660" s="5"/>
      <c r="X660" s="5"/>
      <c r="Y660" s="5"/>
      <c r="Z660" s="5"/>
      <c r="AA660" s="5"/>
      <c r="AB660" s="5"/>
      <c r="AC660" s="5"/>
      <c r="AD660" s="6"/>
    </row>
    <row r="661">
      <c r="A661" s="5"/>
      <c r="B661" s="5"/>
      <c r="C661" s="73"/>
      <c r="D661" s="73"/>
      <c r="E661" s="5"/>
      <c r="F661" s="5"/>
      <c r="G661" s="5"/>
      <c r="H661" s="5"/>
      <c r="I661" s="73"/>
      <c r="J661" s="5"/>
      <c r="K661" s="5"/>
      <c r="L661" s="73"/>
      <c r="M661" s="5"/>
      <c r="N661" s="5"/>
      <c r="O661" s="5"/>
      <c r="P661" s="5"/>
      <c r="Q661" s="5"/>
      <c r="R661" s="5"/>
      <c r="S661" s="5"/>
      <c r="T661" s="5"/>
      <c r="U661" s="5"/>
      <c r="V661" s="5"/>
      <c r="W661" s="5"/>
      <c r="X661" s="5"/>
      <c r="Y661" s="5"/>
      <c r="Z661" s="5"/>
      <c r="AA661" s="5"/>
      <c r="AB661" s="5"/>
      <c r="AC661" s="5"/>
      <c r="AD661" s="6"/>
    </row>
    <row r="662">
      <c r="A662" s="5"/>
      <c r="B662" s="5"/>
      <c r="C662" s="73"/>
      <c r="D662" s="73"/>
      <c r="E662" s="5"/>
      <c r="F662" s="5"/>
      <c r="G662" s="5"/>
      <c r="H662" s="5"/>
      <c r="I662" s="73"/>
      <c r="J662" s="5"/>
      <c r="K662" s="5"/>
      <c r="L662" s="73"/>
      <c r="M662" s="5"/>
      <c r="N662" s="5"/>
      <c r="O662" s="5"/>
      <c r="P662" s="5"/>
      <c r="Q662" s="5"/>
      <c r="R662" s="5"/>
      <c r="S662" s="5"/>
      <c r="T662" s="5"/>
      <c r="U662" s="5"/>
      <c r="V662" s="5"/>
      <c r="W662" s="5"/>
      <c r="X662" s="5"/>
      <c r="Y662" s="5"/>
      <c r="Z662" s="5"/>
      <c r="AA662" s="5"/>
      <c r="AB662" s="5"/>
      <c r="AC662" s="5"/>
      <c r="AD662" s="6"/>
    </row>
    <row r="663">
      <c r="A663" s="5"/>
      <c r="B663" s="5"/>
      <c r="C663" s="73"/>
      <c r="D663" s="73"/>
      <c r="E663" s="5"/>
      <c r="F663" s="5"/>
      <c r="G663" s="5"/>
      <c r="H663" s="5"/>
      <c r="I663" s="73"/>
      <c r="J663" s="5"/>
      <c r="K663" s="5"/>
      <c r="L663" s="73"/>
      <c r="M663" s="5"/>
      <c r="N663" s="5"/>
      <c r="O663" s="5"/>
      <c r="P663" s="5"/>
      <c r="Q663" s="5"/>
      <c r="R663" s="5"/>
      <c r="S663" s="5"/>
      <c r="T663" s="5"/>
      <c r="U663" s="5"/>
      <c r="V663" s="5"/>
      <c r="W663" s="5"/>
      <c r="X663" s="5"/>
      <c r="Y663" s="5"/>
      <c r="Z663" s="5"/>
      <c r="AA663" s="5"/>
      <c r="AB663" s="5"/>
      <c r="AC663" s="5"/>
      <c r="AD663" s="6"/>
    </row>
    <row r="664">
      <c r="A664" s="5"/>
      <c r="B664" s="5"/>
      <c r="C664" s="73"/>
      <c r="D664" s="73"/>
      <c r="E664" s="5"/>
      <c r="F664" s="5"/>
      <c r="G664" s="5"/>
      <c r="H664" s="5"/>
      <c r="I664" s="73"/>
      <c r="J664" s="5"/>
      <c r="K664" s="5"/>
      <c r="L664" s="73"/>
      <c r="M664" s="5"/>
      <c r="N664" s="5"/>
      <c r="O664" s="5"/>
      <c r="P664" s="5"/>
      <c r="Q664" s="5"/>
      <c r="R664" s="5"/>
      <c r="S664" s="5"/>
      <c r="T664" s="5"/>
      <c r="U664" s="5"/>
      <c r="V664" s="5"/>
      <c r="W664" s="5"/>
      <c r="X664" s="5"/>
      <c r="Y664" s="5"/>
      <c r="Z664" s="5"/>
      <c r="AA664" s="5"/>
      <c r="AB664" s="5"/>
      <c r="AC664" s="5"/>
      <c r="AD664" s="6"/>
    </row>
    <row r="665">
      <c r="A665" s="5"/>
      <c r="B665" s="5"/>
      <c r="C665" s="73"/>
      <c r="D665" s="73"/>
      <c r="E665" s="5"/>
      <c r="F665" s="5"/>
      <c r="G665" s="5"/>
      <c r="H665" s="5"/>
      <c r="I665" s="73"/>
      <c r="J665" s="5"/>
      <c r="K665" s="5"/>
      <c r="L665" s="73"/>
      <c r="M665" s="5"/>
      <c r="N665" s="5"/>
      <c r="O665" s="5"/>
      <c r="P665" s="5"/>
      <c r="Q665" s="5"/>
      <c r="R665" s="5"/>
      <c r="S665" s="5"/>
      <c r="T665" s="5"/>
      <c r="U665" s="5"/>
      <c r="V665" s="5"/>
      <c r="W665" s="5"/>
      <c r="X665" s="5"/>
      <c r="Y665" s="5"/>
      <c r="Z665" s="5"/>
      <c r="AA665" s="5"/>
      <c r="AB665" s="5"/>
      <c r="AC665" s="5"/>
      <c r="AD665" s="6"/>
    </row>
    <row r="666">
      <c r="A666" s="5"/>
      <c r="B666" s="5"/>
      <c r="C666" s="73"/>
      <c r="D666" s="73"/>
      <c r="E666" s="5"/>
      <c r="F666" s="5"/>
      <c r="G666" s="5"/>
      <c r="H666" s="5"/>
      <c r="I666" s="73"/>
      <c r="J666" s="5"/>
      <c r="K666" s="5"/>
      <c r="L666" s="73"/>
      <c r="M666" s="5"/>
      <c r="N666" s="5"/>
      <c r="O666" s="5"/>
      <c r="P666" s="5"/>
      <c r="Q666" s="5"/>
      <c r="R666" s="5"/>
      <c r="S666" s="5"/>
      <c r="T666" s="5"/>
      <c r="U666" s="5"/>
      <c r="V666" s="5"/>
      <c r="W666" s="5"/>
      <c r="X666" s="5"/>
      <c r="Y666" s="5"/>
      <c r="Z666" s="5"/>
      <c r="AA666" s="5"/>
      <c r="AB666" s="5"/>
      <c r="AC666" s="5"/>
      <c r="AD666" s="6"/>
    </row>
    <row r="667">
      <c r="A667" s="5"/>
      <c r="B667" s="5"/>
      <c r="C667" s="73"/>
      <c r="D667" s="73"/>
      <c r="E667" s="5"/>
      <c r="F667" s="5"/>
      <c r="G667" s="5"/>
      <c r="H667" s="5"/>
      <c r="I667" s="73"/>
      <c r="J667" s="5"/>
      <c r="K667" s="5"/>
      <c r="L667" s="73"/>
      <c r="M667" s="5"/>
      <c r="N667" s="5"/>
      <c r="O667" s="5"/>
      <c r="P667" s="5"/>
      <c r="Q667" s="5"/>
      <c r="R667" s="5"/>
      <c r="S667" s="5"/>
      <c r="T667" s="5"/>
      <c r="U667" s="5"/>
      <c r="V667" s="5"/>
      <c r="W667" s="5"/>
      <c r="X667" s="5"/>
      <c r="Y667" s="5"/>
      <c r="Z667" s="5"/>
      <c r="AA667" s="5"/>
      <c r="AB667" s="5"/>
      <c r="AC667" s="5"/>
      <c r="AD667" s="6"/>
    </row>
    <row r="668">
      <c r="A668" s="5"/>
      <c r="B668" s="5"/>
      <c r="C668" s="73"/>
      <c r="D668" s="73"/>
      <c r="E668" s="5"/>
      <c r="F668" s="5"/>
      <c r="G668" s="5"/>
      <c r="H668" s="5"/>
      <c r="I668" s="73"/>
      <c r="J668" s="5"/>
      <c r="K668" s="5"/>
      <c r="L668" s="73"/>
      <c r="M668" s="5"/>
      <c r="N668" s="5"/>
      <c r="O668" s="5"/>
      <c r="P668" s="5"/>
      <c r="Q668" s="5"/>
      <c r="R668" s="5"/>
      <c r="S668" s="5"/>
      <c r="T668" s="5"/>
      <c r="U668" s="5"/>
      <c r="V668" s="5"/>
      <c r="W668" s="5"/>
      <c r="X668" s="5"/>
      <c r="Y668" s="5"/>
      <c r="Z668" s="5"/>
      <c r="AA668" s="5"/>
      <c r="AB668" s="5"/>
      <c r="AC668" s="5"/>
      <c r="AD668" s="6"/>
    </row>
    <row r="669">
      <c r="A669" s="5"/>
      <c r="B669" s="5"/>
      <c r="C669" s="73"/>
      <c r="D669" s="73"/>
      <c r="E669" s="5"/>
      <c r="F669" s="5"/>
      <c r="G669" s="5"/>
      <c r="H669" s="5"/>
      <c r="I669" s="73"/>
      <c r="J669" s="5"/>
      <c r="K669" s="5"/>
      <c r="L669" s="73"/>
      <c r="M669" s="5"/>
      <c r="N669" s="5"/>
      <c r="O669" s="5"/>
      <c r="P669" s="5"/>
      <c r="Q669" s="5"/>
      <c r="R669" s="5"/>
      <c r="S669" s="5"/>
      <c r="T669" s="5"/>
      <c r="U669" s="5"/>
      <c r="V669" s="5"/>
      <c r="W669" s="5"/>
      <c r="X669" s="5"/>
      <c r="Y669" s="5"/>
      <c r="Z669" s="5"/>
      <c r="AA669" s="5"/>
      <c r="AB669" s="5"/>
      <c r="AC669" s="5"/>
      <c r="AD669" s="6"/>
    </row>
    <row r="670">
      <c r="A670" s="5"/>
      <c r="B670" s="5"/>
      <c r="C670" s="73"/>
      <c r="D670" s="73"/>
      <c r="E670" s="5"/>
      <c r="F670" s="5"/>
      <c r="G670" s="5"/>
      <c r="H670" s="5"/>
      <c r="I670" s="73"/>
      <c r="J670" s="5"/>
      <c r="K670" s="5"/>
      <c r="L670" s="73"/>
      <c r="M670" s="5"/>
      <c r="N670" s="5"/>
      <c r="O670" s="5"/>
      <c r="P670" s="5"/>
      <c r="Q670" s="5"/>
      <c r="R670" s="5"/>
      <c r="S670" s="5"/>
      <c r="T670" s="5"/>
      <c r="U670" s="5"/>
      <c r="V670" s="5"/>
      <c r="W670" s="5"/>
      <c r="X670" s="5"/>
      <c r="Y670" s="5"/>
      <c r="Z670" s="5"/>
      <c r="AA670" s="5"/>
      <c r="AB670" s="5"/>
      <c r="AC670" s="5"/>
      <c r="AD670" s="6"/>
    </row>
    <row r="671">
      <c r="A671" s="5"/>
      <c r="B671" s="5"/>
      <c r="C671" s="73"/>
      <c r="D671" s="73"/>
      <c r="E671" s="5"/>
      <c r="F671" s="5"/>
      <c r="G671" s="5"/>
      <c r="H671" s="5"/>
      <c r="I671" s="73"/>
      <c r="J671" s="5"/>
      <c r="K671" s="5"/>
      <c r="L671" s="73"/>
      <c r="M671" s="5"/>
      <c r="N671" s="5"/>
      <c r="O671" s="5"/>
      <c r="P671" s="5"/>
      <c r="Q671" s="5"/>
      <c r="R671" s="5"/>
      <c r="S671" s="5"/>
      <c r="T671" s="5"/>
      <c r="U671" s="5"/>
      <c r="V671" s="5"/>
      <c r="W671" s="5"/>
      <c r="X671" s="5"/>
      <c r="Y671" s="5"/>
      <c r="Z671" s="5"/>
      <c r="AA671" s="5"/>
      <c r="AB671" s="5"/>
      <c r="AC671" s="5"/>
      <c r="AD671" s="6"/>
    </row>
    <row r="672">
      <c r="A672" s="5"/>
      <c r="B672" s="5"/>
      <c r="C672" s="73"/>
      <c r="D672" s="73"/>
      <c r="E672" s="5"/>
      <c r="F672" s="5"/>
      <c r="G672" s="5"/>
      <c r="H672" s="5"/>
      <c r="I672" s="73"/>
      <c r="J672" s="5"/>
      <c r="K672" s="5"/>
      <c r="L672" s="73"/>
      <c r="M672" s="5"/>
      <c r="N672" s="5"/>
      <c r="O672" s="5"/>
      <c r="P672" s="5"/>
      <c r="Q672" s="5"/>
      <c r="R672" s="5"/>
      <c r="S672" s="5"/>
      <c r="T672" s="5"/>
      <c r="U672" s="5"/>
      <c r="V672" s="5"/>
      <c r="W672" s="5"/>
      <c r="X672" s="5"/>
      <c r="Y672" s="5"/>
      <c r="Z672" s="5"/>
      <c r="AA672" s="5"/>
      <c r="AB672" s="5"/>
      <c r="AC672" s="5"/>
      <c r="AD672" s="6"/>
    </row>
    <row r="673">
      <c r="A673" s="5"/>
      <c r="B673" s="5"/>
      <c r="C673" s="73"/>
      <c r="D673" s="73"/>
      <c r="E673" s="5"/>
      <c r="F673" s="5"/>
      <c r="G673" s="5"/>
      <c r="H673" s="5"/>
      <c r="I673" s="73"/>
      <c r="J673" s="5"/>
      <c r="K673" s="5"/>
      <c r="L673" s="73"/>
      <c r="M673" s="5"/>
      <c r="N673" s="5"/>
      <c r="O673" s="5"/>
      <c r="P673" s="5"/>
      <c r="Q673" s="5"/>
      <c r="R673" s="5"/>
      <c r="S673" s="5"/>
      <c r="T673" s="5"/>
      <c r="U673" s="5"/>
      <c r="V673" s="5"/>
      <c r="W673" s="5"/>
      <c r="X673" s="5"/>
      <c r="Y673" s="5"/>
      <c r="Z673" s="5"/>
      <c r="AA673" s="5"/>
      <c r="AB673" s="5"/>
      <c r="AC673" s="5"/>
      <c r="AD673" s="6"/>
    </row>
    <row r="674">
      <c r="A674" s="5"/>
      <c r="B674" s="5"/>
      <c r="C674" s="73"/>
      <c r="D674" s="73"/>
      <c r="E674" s="5"/>
      <c r="F674" s="5"/>
      <c r="G674" s="5"/>
      <c r="H674" s="5"/>
      <c r="I674" s="73"/>
      <c r="J674" s="5"/>
      <c r="K674" s="5"/>
      <c r="L674" s="73"/>
      <c r="M674" s="5"/>
      <c r="N674" s="5"/>
      <c r="O674" s="5"/>
      <c r="P674" s="5"/>
      <c r="Q674" s="5"/>
      <c r="R674" s="5"/>
      <c r="S674" s="5"/>
      <c r="T674" s="5"/>
      <c r="U674" s="5"/>
      <c r="V674" s="5"/>
      <c r="W674" s="5"/>
      <c r="X674" s="5"/>
      <c r="Y674" s="5"/>
      <c r="Z674" s="5"/>
      <c r="AA674" s="5"/>
      <c r="AB674" s="5"/>
      <c r="AC674" s="5"/>
      <c r="AD674" s="6"/>
    </row>
    <row r="675">
      <c r="A675" s="5"/>
      <c r="B675" s="5"/>
      <c r="C675" s="73"/>
      <c r="D675" s="73"/>
      <c r="E675" s="5"/>
      <c r="F675" s="5"/>
      <c r="G675" s="5"/>
      <c r="H675" s="5"/>
      <c r="I675" s="73"/>
      <c r="J675" s="5"/>
      <c r="K675" s="5"/>
      <c r="L675" s="73"/>
      <c r="M675" s="5"/>
      <c r="N675" s="5"/>
      <c r="O675" s="5"/>
      <c r="P675" s="5"/>
      <c r="Q675" s="5"/>
      <c r="R675" s="5"/>
      <c r="S675" s="5"/>
      <c r="T675" s="5"/>
      <c r="U675" s="5"/>
      <c r="V675" s="5"/>
      <c r="W675" s="5"/>
      <c r="X675" s="5"/>
      <c r="Y675" s="5"/>
      <c r="Z675" s="5"/>
      <c r="AA675" s="5"/>
      <c r="AB675" s="5"/>
      <c r="AC675" s="5"/>
      <c r="AD675" s="6"/>
    </row>
    <row r="676">
      <c r="A676" s="5"/>
      <c r="B676" s="5"/>
      <c r="C676" s="73"/>
      <c r="D676" s="73"/>
      <c r="E676" s="5"/>
      <c r="F676" s="5"/>
      <c r="G676" s="5"/>
      <c r="H676" s="5"/>
      <c r="I676" s="73"/>
      <c r="J676" s="5"/>
      <c r="K676" s="5"/>
      <c r="L676" s="73"/>
      <c r="M676" s="5"/>
      <c r="N676" s="5"/>
      <c r="O676" s="5"/>
      <c r="P676" s="5"/>
      <c r="Q676" s="5"/>
      <c r="R676" s="5"/>
      <c r="S676" s="5"/>
      <c r="T676" s="5"/>
      <c r="U676" s="5"/>
      <c r="V676" s="5"/>
      <c r="W676" s="5"/>
      <c r="X676" s="5"/>
      <c r="Y676" s="5"/>
      <c r="Z676" s="5"/>
      <c r="AA676" s="5"/>
      <c r="AB676" s="5"/>
      <c r="AC676" s="5"/>
      <c r="AD676" s="6"/>
    </row>
    <row r="677">
      <c r="A677" s="5"/>
      <c r="B677" s="5"/>
      <c r="C677" s="73"/>
      <c r="D677" s="73"/>
      <c r="E677" s="5"/>
      <c r="F677" s="5"/>
      <c r="G677" s="5"/>
      <c r="H677" s="5"/>
      <c r="I677" s="73"/>
      <c r="J677" s="5"/>
      <c r="K677" s="5"/>
      <c r="L677" s="73"/>
      <c r="M677" s="5"/>
      <c r="N677" s="5"/>
      <c r="O677" s="5"/>
      <c r="P677" s="5"/>
      <c r="Q677" s="5"/>
      <c r="R677" s="5"/>
      <c r="S677" s="5"/>
      <c r="T677" s="5"/>
      <c r="U677" s="5"/>
      <c r="V677" s="5"/>
      <c r="W677" s="5"/>
      <c r="X677" s="5"/>
      <c r="Y677" s="5"/>
      <c r="Z677" s="5"/>
      <c r="AA677" s="5"/>
      <c r="AB677" s="5"/>
      <c r="AC677" s="5"/>
      <c r="AD677" s="6"/>
    </row>
    <row r="678">
      <c r="A678" s="5"/>
      <c r="B678" s="5"/>
      <c r="C678" s="73"/>
      <c r="D678" s="73"/>
      <c r="E678" s="5"/>
      <c r="F678" s="5"/>
      <c r="G678" s="5"/>
      <c r="H678" s="5"/>
      <c r="I678" s="73"/>
      <c r="J678" s="5"/>
      <c r="K678" s="5"/>
      <c r="L678" s="73"/>
      <c r="M678" s="5"/>
      <c r="N678" s="5"/>
      <c r="O678" s="5"/>
      <c r="P678" s="5"/>
      <c r="Q678" s="5"/>
      <c r="R678" s="5"/>
      <c r="S678" s="5"/>
      <c r="T678" s="5"/>
      <c r="U678" s="5"/>
      <c r="V678" s="5"/>
      <c r="W678" s="5"/>
      <c r="X678" s="5"/>
      <c r="Y678" s="5"/>
      <c r="Z678" s="5"/>
      <c r="AA678" s="5"/>
      <c r="AB678" s="5"/>
      <c r="AC678" s="5"/>
      <c r="AD678" s="6"/>
    </row>
    <row r="679">
      <c r="A679" s="5"/>
      <c r="B679" s="5"/>
      <c r="C679" s="73"/>
      <c r="D679" s="73"/>
      <c r="E679" s="5"/>
      <c r="F679" s="5"/>
      <c r="G679" s="5"/>
      <c r="H679" s="5"/>
      <c r="I679" s="73"/>
      <c r="J679" s="5"/>
      <c r="K679" s="5"/>
      <c r="L679" s="73"/>
      <c r="M679" s="5"/>
      <c r="N679" s="5"/>
      <c r="O679" s="5"/>
      <c r="P679" s="5"/>
      <c r="Q679" s="5"/>
      <c r="R679" s="5"/>
      <c r="S679" s="5"/>
      <c r="T679" s="5"/>
      <c r="U679" s="5"/>
      <c r="V679" s="5"/>
      <c r="W679" s="5"/>
      <c r="X679" s="5"/>
      <c r="Y679" s="5"/>
      <c r="Z679" s="5"/>
      <c r="AA679" s="5"/>
      <c r="AB679" s="5"/>
      <c r="AC679" s="5"/>
      <c r="AD679" s="6"/>
    </row>
    <row r="680">
      <c r="A680" s="5"/>
      <c r="B680" s="5"/>
      <c r="C680" s="73"/>
      <c r="D680" s="73"/>
      <c r="E680" s="5"/>
      <c r="F680" s="5"/>
      <c r="G680" s="5"/>
      <c r="H680" s="5"/>
      <c r="I680" s="73"/>
      <c r="J680" s="5"/>
      <c r="K680" s="5"/>
      <c r="L680" s="73"/>
      <c r="M680" s="5"/>
      <c r="N680" s="5"/>
      <c r="O680" s="5"/>
      <c r="P680" s="5"/>
      <c r="Q680" s="5"/>
      <c r="R680" s="5"/>
      <c r="S680" s="5"/>
      <c r="T680" s="5"/>
      <c r="U680" s="5"/>
      <c r="V680" s="5"/>
      <c r="W680" s="5"/>
      <c r="X680" s="5"/>
      <c r="Y680" s="5"/>
      <c r="Z680" s="5"/>
      <c r="AA680" s="5"/>
      <c r="AB680" s="5"/>
      <c r="AC680" s="5"/>
      <c r="AD680" s="6"/>
    </row>
    <row r="681">
      <c r="A681" s="5"/>
      <c r="B681" s="5"/>
      <c r="C681" s="73"/>
      <c r="D681" s="73"/>
      <c r="E681" s="5"/>
      <c r="F681" s="5"/>
      <c r="G681" s="5"/>
      <c r="H681" s="5"/>
      <c r="I681" s="73"/>
      <c r="J681" s="5"/>
      <c r="K681" s="5"/>
      <c r="L681" s="73"/>
      <c r="M681" s="5"/>
      <c r="N681" s="5"/>
      <c r="O681" s="5"/>
      <c r="P681" s="5"/>
      <c r="Q681" s="5"/>
      <c r="R681" s="5"/>
      <c r="S681" s="5"/>
      <c r="T681" s="5"/>
      <c r="U681" s="5"/>
      <c r="V681" s="5"/>
      <c r="W681" s="5"/>
      <c r="X681" s="5"/>
      <c r="Y681" s="5"/>
      <c r="Z681" s="5"/>
      <c r="AA681" s="5"/>
      <c r="AB681" s="5"/>
      <c r="AC681" s="5"/>
      <c r="AD681" s="6"/>
    </row>
    <row r="682">
      <c r="A682" s="5"/>
      <c r="B682" s="5"/>
      <c r="C682" s="73"/>
      <c r="D682" s="73"/>
      <c r="E682" s="5"/>
      <c r="F682" s="5"/>
      <c r="G682" s="5"/>
      <c r="H682" s="5"/>
      <c r="I682" s="73"/>
      <c r="J682" s="5"/>
      <c r="K682" s="5"/>
      <c r="L682" s="73"/>
      <c r="M682" s="5"/>
      <c r="N682" s="5"/>
      <c r="O682" s="5"/>
      <c r="P682" s="5"/>
      <c r="Q682" s="5"/>
      <c r="R682" s="5"/>
      <c r="S682" s="5"/>
      <c r="T682" s="5"/>
      <c r="U682" s="5"/>
      <c r="V682" s="5"/>
      <c r="W682" s="5"/>
      <c r="X682" s="5"/>
      <c r="Y682" s="5"/>
      <c r="Z682" s="5"/>
      <c r="AA682" s="5"/>
      <c r="AB682" s="5"/>
      <c r="AC682" s="5"/>
      <c r="AD682" s="6"/>
    </row>
    <row r="683">
      <c r="A683" s="5"/>
      <c r="B683" s="5"/>
      <c r="C683" s="73"/>
      <c r="D683" s="73"/>
      <c r="E683" s="5"/>
      <c r="F683" s="5"/>
      <c r="G683" s="5"/>
      <c r="H683" s="5"/>
      <c r="I683" s="73"/>
      <c r="J683" s="5"/>
      <c r="K683" s="5"/>
      <c r="L683" s="73"/>
      <c r="M683" s="5"/>
      <c r="N683" s="5"/>
      <c r="O683" s="5"/>
      <c r="P683" s="5"/>
      <c r="Q683" s="5"/>
      <c r="R683" s="5"/>
      <c r="S683" s="5"/>
      <c r="T683" s="5"/>
      <c r="U683" s="5"/>
      <c r="V683" s="5"/>
      <c r="W683" s="5"/>
      <c r="X683" s="5"/>
      <c r="Y683" s="5"/>
      <c r="Z683" s="5"/>
      <c r="AA683" s="5"/>
      <c r="AB683" s="5"/>
      <c r="AC683" s="5"/>
      <c r="AD683" s="6"/>
    </row>
    <row r="684">
      <c r="A684" s="5"/>
      <c r="B684" s="5"/>
      <c r="C684" s="73"/>
      <c r="D684" s="73"/>
      <c r="E684" s="5"/>
      <c r="F684" s="5"/>
      <c r="G684" s="5"/>
      <c r="H684" s="5"/>
      <c r="I684" s="73"/>
      <c r="J684" s="5"/>
      <c r="K684" s="5"/>
      <c r="L684" s="73"/>
      <c r="M684" s="5"/>
      <c r="N684" s="5"/>
      <c r="O684" s="5"/>
      <c r="P684" s="5"/>
      <c r="Q684" s="5"/>
      <c r="R684" s="5"/>
      <c r="S684" s="5"/>
      <c r="T684" s="5"/>
      <c r="U684" s="5"/>
      <c r="V684" s="5"/>
      <c r="W684" s="5"/>
      <c r="X684" s="5"/>
      <c r="Y684" s="5"/>
      <c r="Z684" s="5"/>
      <c r="AA684" s="5"/>
      <c r="AB684" s="5"/>
      <c r="AC684" s="5"/>
      <c r="AD684" s="6"/>
    </row>
    <row r="685">
      <c r="A685" s="5"/>
      <c r="B685" s="5"/>
      <c r="C685" s="73"/>
      <c r="D685" s="73"/>
      <c r="E685" s="5"/>
      <c r="F685" s="5"/>
      <c r="G685" s="5"/>
      <c r="H685" s="5"/>
      <c r="I685" s="73"/>
      <c r="J685" s="5"/>
      <c r="K685" s="5"/>
      <c r="L685" s="73"/>
      <c r="M685" s="5"/>
      <c r="N685" s="5"/>
      <c r="O685" s="5"/>
      <c r="P685" s="5"/>
      <c r="Q685" s="5"/>
      <c r="R685" s="5"/>
      <c r="S685" s="5"/>
      <c r="T685" s="5"/>
      <c r="U685" s="5"/>
      <c r="V685" s="5"/>
      <c r="W685" s="5"/>
      <c r="X685" s="5"/>
      <c r="Y685" s="5"/>
      <c r="Z685" s="5"/>
      <c r="AA685" s="5"/>
      <c r="AB685" s="5"/>
      <c r="AC685" s="5"/>
      <c r="AD685" s="6"/>
    </row>
    <row r="686">
      <c r="A686" s="5"/>
      <c r="B686" s="5"/>
      <c r="C686" s="73"/>
      <c r="D686" s="73"/>
      <c r="E686" s="5"/>
      <c r="F686" s="5"/>
      <c r="G686" s="5"/>
      <c r="H686" s="5"/>
      <c r="I686" s="73"/>
      <c r="J686" s="5"/>
      <c r="K686" s="5"/>
      <c r="L686" s="73"/>
      <c r="M686" s="5"/>
      <c r="N686" s="5"/>
      <c r="O686" s="5"/>
      <c r="P686" s="5"/>
      <c r="Q686" s="5"/>
      <c r="R686" s="5"/>
      <c r="S686" s="5"/>
      <c r="T686" s="5"/>
      <c r="U686" s="5"/>
      <c r="V686" s="5"/>
      <c r="W686" s="5"/>
      <c r="X686" s="5"/>
      <c r="Y686" s="5"/>
      <c r="Z686" s="5"/>
      <c r="AA686" s="5"/>
      <c r="AB686" s="5"/>
      <c r="AC686" s="5"/>
      <c r="AD686" s="6"/>
    </row>
    <row r="687">
      <c r="A687" s="5"/>
      <c r="B687" s="5"/>
      <c r="C687" s="73"/>
      <c r="D687" s="73"/>
      <c r="E687" s="5"/>
      <c r="F687" s="5"/>
      <c r="G687" s="5"/>
      <c r="H687" s="5"/>
      <c r="I687" s="73"/>
      <c r="J687" s="5"/>
      <c r="K687" s="5"/>
      <c r="L687" s="73"/>
      <c r="M687" s="5"/>
      <c r="N687" s="5"/>
      <c r="O687" s="5"/>
      <c r="P687" s="5"/>
      <c r="Q687" s="5"/>
      <c r="R687" s="5"/>
      <c r="S687" s="5"/>
      <c r="T687" s="5"/>
      <c r="U687" s="5"/>
      <c r="V687" s="5"/>
      <c r="W687" s="5"/>
      <c r="X687" s="5"/>
      <c r="Y687" s="5"/>
      <c r="Z687" s="5"/>
      <c r="AA687" s="5"/>
      <c r="AB687" s="5"/>
      <c r="AC687" s="5"/>
      <c r="AD687" s="6"/>
    </row>
    <row r="688">
      <c r="A688" s="5"/>
      <c r="B688" s="5"/>
      <c r="C688" s="73"/>
      <c r="D688" s="73"/>
      <c r="E688" s="5"/>
      <c r="F688" s="5"/>
      <c r="G688" s="5"/>
      <c r="H688" s="5"/>
      <c r="I688" s="73"/>
      <c r="J688" s="5"/>
      <c r="K688" s="5"/>
      <c r="L688" s="73"/>
      <c r="M688" s="5"/>
      <c r="N688" s="5"/>
      <c r="O688" s="5"/>
      <c r="P688" s="5"/>
      <c r="Q688" s="5"/>
      <c r="R688" s="5"/>
      <c r="S688" s="5"/>
      <c r="T688" s="5"/>
      <c r="U688" s="5"/>
      <c r="V688" s="5"/>
      <c r="W688" s="5"/>
      <c r="X688" s="5"/>
      <c r="Y688" s="5"/>
      <c r="Z688" s="5"/>
      <c r="AA688" s="5"/>
      <c r="AB688" s="5"/>
      <c r="AC688" s="5"/>
      <c r="AD688" s="6"/>
    </row>
    <row r="689">
      <c r="A689" s="5"/>
      <c r="B689" s="5"/>
      <c r="C689" s="73"/>
      <c r="D689" s="73"/>
      <c r="E689" s="5"/>
      <c r="F689" s="5"/>
      <c r="G689" s="5"/>
      <c r="H689" s="5"/>
      <c r="I689" s="73"/>
      <c r="J689" s="5"/>
      <c r="K689" s="5"/>
      <c r="L689" s="73"/>
      <c r="M689" s="5"/>
      <c r="N689" s="5"/>
      <c r="O689" s="5"/>
      <c r="P689" s="5"/>
      <c r="Q689" s="5"/>
      <c r="R689" s="5"/>
      <c r="S689" s="5"/>
      <c r="T689" s="5"/>
      <c r="U689" s="5"/>
      <c r="V689" s="5"/>
      <c r="W689" s="5"/>
      <c r="X689" s="5"/>
      <c r="Y689" s="5"/>
      <c r="Z689" s="5"/>
      <c r="AA689" s="5"/>
      <c r="AB689" s="5"/>
      <c r="AC689" s="5"/>
      <c r="AD689" s="6"/>
    </row>
    <row r="690">
      <c r="A690" s="5"/>
      <c r="B690" s="5"/>
      <c r="C690" s="73"/>
      <c r="D690" s="73"/>
      <c r="E690" s="5"/>
      <c r="F690" s="5"/>
      <c r="G690" s="5"/>
      <c r="H690" s="5"/>
      <c r="I690" s="73"/>
      <c r="J690" s="5"/>
      <c r="K690" s="5"/>
      <c r="L690" s="73"/>
      <c r="M690" s="5"/>
      <c r="N690" s="5"/>
      <c r="O690" s="5"/>
      <c r="P690" s="5"/>
      <c r="Q690" s="5"/>
      <c r="R690" s="5"/>
      <c r="S690" s="5"/>
      <c r="T690" s="5"/>
      <c r="U690" s="5"/>
      <c r="V690" s="5"/>
      <c r="W690" s="5"/>
      <c r="X690" s="5"/>
      <c r="Y690" s="5"/>
      <c r="Z690" s="5"/>
      <c r="AA690" s="5"/>
      <c r="AB690" s="5"/>
      <c r="AC690" s="5"/>
      <c r="AD690" s="6"/>
    </row>
    <row r="691">
      <c r="A691" s="5"/>
      <c r="B691" s="5"/>
      <c r="C691" s="73"/>
      <c r="D691" s="73"/>
      <c r="E691" s="5"/>
      <c r="F691" s="5"/>
      <c r="G691" s="5"/>
      <c r="H691" s="5"/>
      <c r="I691" s="73"/>
      <c r="J691" s="5"/>
      <c r="K691" s="5"/>
      <c r="L691" s="73"/>
      <c r="M691" s="5"/>
      <c r="N691" s="5"/>
      <c r="O691" s="5"/>
      <c r="P691" s="5"/>
      <c r="Q691" s="5"/>
      <c r="R691" s="5"/>
      <c r="S691" s="5"/>
      <c r="T691" s="5"/>
      <c r="U691" s="5"/>
      <c r="V691" s="5"/>
      <c r="W691" s="5"/>
      <c r="X691" s="5"/>
      <c r="Y691" s="5"/>
      <c r="Z691" s="5"/>
      <c r="AA691" s="5"/>
      <c r="AB691" s="5"/>
      <c r="AC691" s="5"/>
      <c r="AD691" s="6"/>
    </row>
    <row r="692">
      <c r="A692" s="5"/>
      <c r="B692" s="5"/>
      <c r="C692" s="73"/>
      <c r="D692" s="73"/>
      <c r="E692" s="5"/>
      <c r="F692" s="5"/>
      <c r="G692" s="5"/>
      <c r="H692" s="5"/>
      <c r="I692" s="73"/>
      <c r="J692" s="5"/>
      <c r="K692" s="5"/>
      <c r="L692" s="73"/>
      <c r="M692" s="5"/>
      <c r="N692" s="5"/>
      <c r="O692" s="5"/>
      <c r="P692" s="5"/>
      <c r="Q692" s="5"/>
      <c r="R692" s="5"/>
      <c r="S692" s="5"/>
      <c r="T692" s="5"/>
      <c r="U692" s="5"/>
      <c r="V692" s="5"/>
      <c r="W692" s="5"/>
      <c r="X692" s="5"/>
      <c r="Y692" s="5"/>
      <c r="Z692" s="5"/>
      <c r="AA692" s="5"/>
      <c r="AB692" s="5"/>
      <c r="AC692" s="5"/>
      <c r="AD692" s="6"/>
    </row>
    <row r="693">
      <c r="A693" s="5"/>
      <c r="B693" s="5"/>
      <c r="C693" s="73"/>
      <c r="D693" s="73"/>
      <c r="E693" s="5"/>
      <c r="F693" s="5"/>
      <c r="G693" s="5"/>
      <c r="H693" s="5"/>
      <c r="I693" s="73"/>
      <c r="J693" s="5"/>
      <c r="K693" s="5"/>
      <c r="L693" s="73"/>
      <c r="M693" s="5"/>
      <c r="N693" s="5"/>
      <c r="O693" s="5"/>
      <c r="P693" s="5"/>
      <c r="Q693" s="5"/>
      <c r="R693" s="5"/>
      <c r="S693" s="5"/>
      <c r="T693" s="5"/>
      <c r="U693" s="5"/>
      <c r="V693" s="5"/>
      <c r="W693" s="5"/>
      <c r="X693" s="5"/>
      <c r="Y693" s="5"/>
      <c r="Z693" s="5"/>
      <c r="AA693" s="5"/>
      <c r="AB693" s="5"/>
      <c r="AC693" s="5"/>
      <c r="AD693" s="6"/>
    </row>
    <row r="694">
      <c r="A694" s="5"/>
      <c r="B694" s="5"/>
      <c r="C694" s="73"/>
      <c r="D694" s="73"/>
      <c r="E694" s="5"/>
      <c r="F694" s="5"/>
      <c r="G694" s="5"/>
      <c r="H694" s="5"/>
      <c r="I694" s="73"/>
      <c r="J694" s="5"/>
      <c r="K694" s="5"/>
      <c r="L694" s="73"/>
      <c r="M694" s="5"/>
      <c r="N694" s="5"/>
      <c r="O694" s="5"/>
      <c r="P694" s="5"/>
      <c r="Q694" s="5"/>
      <c r="R694" s="5"/>
      <c r="S694" s="5"/>
      <c r="T694" s="5"/>
      <c r="U694" s="5"/>
      <c r="V694" s="5"/>
      <c r="W694" s="5"/>
      <c r="X694" s="5"/>
      <c r="Y694" s="5"/>
      <c r="Z694" s="5"/>
      <c r="AA694" s="5"/>
      <c r="AB694" s="5"/>
      <c r="AC694" s="5"/>
      <c r="AD694" s="6"/>
    </row>
    <row r="695">
      <c r="A695" s="5"/>
      <c r="B695" s="5"/>
      <c r="C695" s="73"/>
      <c r="D695" s="73"/>
      <c r="E695" s="5"/>
      <c r="F695" s="5"/>
      <c r="G695" s="5"/>
      <c r="H695" s="5"/>
      <c r="I695" s="73"/>
      <c r="J695" s="5"/>
      <c r="K695" s="5"/>
      <c r="L695" s="73"/>
      <c r="M695" s="5"/>
      <c r="N695" s="5"/>
      <c r="O695" s="5"/>
      <c r="P695" s="5"/>
      <c r="Q695" s="5"/>
      <c r="R695" s="5"/>
      <c r="S695" s="5"/>
      <c r="T695" s="5"/>
      <c r="U695" s="5"/>
      <c r="V695" s="5"/>
      <c r="W695" s="5"/>
      <c r="X695" s="5"/>
      <c r="Y695" s="5"/>
      <c r="Z695" s="5"/>
      <c r="AA695" s="5"/>
      <c r="AB695" s="5"/>
      <c r="AC695" s="5"/>
      <c r="AD695" s="6"/>
    </row>
    <row r="696">
      <c r="A696" s="5"/>
      <c r="B696" s="5"/>
      <c r="C696" s="73"/>
      <c r="D696" s="73"/>
      <c r="E696" s="5"/>
      <c r="F696" s="5"/>
      <c r="G696" s="5"/>
      <c r="H696" s="5"/>
      <c r="I696" s="73"/>
      <c r="J696" s="5"/>
      <c r="K696" s="5"/>
      <c r="L696" s="73"/>
      <c r="M696" s="5"/>
      <c r="N696" s="5"/>
      <c r="O696" s="5"/>
      <c r="P696" s="5"/>
      <c r="Q696" s="5"/>
      <c r="R696" s="5"/>
      <c r="S696" s="5"/>
      <c r="T696" s="5"/>
      <c r="U696" s="5"/>
      <c r="V696" s="5"/>
      <c r="W696" s="5"/>
      <c r="X696" s="5"/>
      <c r="Y696" s="5"/>
      <c r="Z696" s="5"/>
      <c r="AA696" s="5"/>
      <c r="AB696" s="5"/>
      <c r="AC696" s="5"/>
      <c r="AD696" s="6"/>
    </row>
    <row r="697">
      <c r="A697" s="5"/>
      <c r="B697" s="5"/>
      <c r="C697" s="73"/>
      <c r="D697" s="73"/>
      <c r="E697" s="5"/>
      <c r="F697" s="5"/>
      <c r="G697" s="5"/>
      <c r="H697" s="5"/>
      <c r="I697" s="73"/>
      <c r="J697" s="5"/>
      <c r="K697" s="5"/>
      <c r="L697" s="73"/>
      <c r="M697" s="5"/>
      <c r="N697" s="5"/>
      <c r="O697" s="5"/>
      <c r="P697" s="5"/>
      <c r="Q697" s="5"/>
      <c r="R697" s="5"/>
      <c r="S697" s="5"/>
      <c r="T697" s="5"/>
      <c r="U697" s="5"/>
      <c r="V697" s="5"/>
      <c r="W697" s="5"/>
      <c r="X697" s="5"/>
      <c r="Y697" s="5"/>
      <c r="Z697" s="5"/>
      <c r="AA697" s="5"/>
      <c r="AB697" s="5"/>
      <c r="AC697" s="5"/>
      <c r="AD697" s="6"/>
    </row>
    <row r="698">
      <c r="A698" s="5"/>
      <c r="B698" s="5"/>
      <c r="C698" s="73"/>
      <c r="D698" s="73"/>
      <c r="E698" s="5"/>
      <c r="F698" s="5"/>
      <c r="G698" s="5"/>
      <c r="H698" s="5"/>
      <c r="I698" s="73"/>
      <c r="J698" s="5"/>
      <c r="K698" s="5"/>
      <c r="L698" s="73"/>
      <c r="M698" s="5"/>
      <c r="N698" s="5"/>
      <c r="O698" s="5"/>
      <c r="P698" s="5"/>
      <c r="Q698" s="5"/>
      <c r="R698" s="5"/>
      <c r="S698" s="5"/>
      <c r="T698" s="5"/>
      <c r="U698" s="5"/>
      <c r="V698" s="5"/>
      <c r="W698" s="5"/>
      <c r="X698" s="5"/>
      <c r="Y698" s="5"/>
      <c r="Z698" s="5"/>
      <c r="AA698" s="5"/>
      <c r="AB698" s="5"/>
      <c r="AC698" s="5"/>
      <c r="AD698" s="6"/>
    </row>
    <row r="699">
      <c r="A699" s="5"/>
      <c r="B699" s="5"/>
      <c r="C699" s="73"/>
      <c r="D699" s="73"/>
      <c r="E699" s="5"/>
      <c r="F699" s="5"/>
      <c r="G699" s="5"/>
      <c r="H699" s="5"/>
      <c r="I699" s="73"/>
      <c r="J699" s="5"/>
      <c r="K699" s="5"/>
      <c r="L699" s="73"/>
      <c r="M699" s="5"/>
      <c r="N699" s="5"/>
      <c r="O699" s="5"/>
      <c r="P699" s="5"/>
      <c r="Q699" s="5"/>
      <c r="R699" s="5"/>
      <c r="S699" s="5"/>
      <c r="T699" s="5"/>
      <c r="U699" s="5"/>
      <c r="V699" s="5"/>
      <c r="W699" s="5"/>
      <c r="X699" s="5"/>
      <c r="Y699" s="5"/>
      <c r="Z699" s="5"/>
      <c r="AA699" s="5"/>
      <c r="AB699" s="5"/>
      <c r="AC699" s="5"/>
      <c r="AD699" s="6"/>
    </row>
    <row r="700">
      <c r="A700" s="5"/>
      <c r="B700" s="5"/>
      <c r="C700" s="73"/>
      <c r="D700" s="73"/>
      <c r="E700" s="5"/>
      <c r="F700" s="5"/>
      <c r="G700" s="5"/>
      <c r="H700" s="5"/>
      <c r="I700" s="73"/>
      <c r="J700" s="5"/>
      <c r="K700" s="5"/>
      <c r="L700" s="73"/>
      <c r="M700" s="5"/>
      <c r="N700" s="5"/>
      <c r="O700" s="5"/>
      <c r="P700" s="5"/>
      <c r="Q700" s="5"/>
      <c r="R700" s="5"/>
      <c r="S700" s="5"/>
      <c r="T700" s="5"/>
      <c r="U700" s="5"/>
      <c r="V700" s="5"/>
      <c r="W700" s="5"/>
      <c r="X700" s="5"/>
      <c r="Y700" s="5"/>
      <c r="Z700" s="5"/>
      <c r="AA700" s="5"/>
      <c r="AB700" s="5"/>
      <c r="AC700" s="5"/>
      <c r="AD700" s="6"/>
    </row>
    <row r="701">
      <c r="A701" s="5"/>
      <c r="B701" s="5"/>
      <c r="C701" s="73"/>
      <c r="D701" s="73"/>
      <c r="E701" s="5"/>
      <c r="F701" s="5"/>
      <c r="G701" s="5"/>
      <c r="H701" s="5"/>
      <c r="I701" s="73"/>
      <c r="J701" s="5"/>
      <c r="K701" s="5"/>
      <c r="L701" s="73"/>
      <c r="M701" s="5"/>
      <c r="N701" s="5"/>
      <c r="O701" s="5"/>
      <c r="P701" s="5"/>
      <c r="Q701" s="5"/>
      <c r="R701" s="5"/>
      <c r="S701" s="5"/>
      <c r="T701" s="5"/>
      <c r="U701" s="5"/>
      <c r="V701" s="5"/>
      <c r="W701" s="5"/>
      <c r="X701" s="5"/>
      <c r="Y701" s="5"/>
      <c r="Z701" s="5"/>
      <c r="AA701" s="5"/>
      <c r="AB701" s="5"/>
      <c r="AC701" s="5"/>
      <c r="AD701" s="6"/>
    </row>
    <row r="702">
      <c r="A702" s="5"/>
      <c r="B702" s="5"/>
      <c r="C702" s="73"/>
      <c r="D702" s="73"/>
      <c r="E702" s="5"/>
      <c r="F702" s="5"/>
      <c r="G702" s="5"/>
      <c r="H702" s="5"/>
      <c r="I702" s="73"/>
      <c r="J702" s="5"/>
      <c r="K702" s="5"/>
      <c r="L702" s="73"/>
      <c r="M702" s="5"/>
      <c r="N702" s="5"/>
      <c r="O702" s="5"/>
      <c r="P702" s="5"/>
      <c r="Q702" s="5"/>
      <c r="R702" s="5"/>
      <c r="S702" s="5"/>
      <c r="T702" s="5"/>
      <c r="U702" s="5"/>
      <c r="V702" s="5"/>
      <c r="W702" s="5"/>
      <c r="X702" s="5"/>
      <c r="Y702" s="5"/>
      <c r="Z702" s="5"/>
      <c r="AA702" s="5"/>
      <c r="AB702" s="5"/>
      <c r="AC702" s="5"/>
      <c r="AD702" s="6"/>
    </row>
    <row r="703">
      <c r="A703" s="5"/>
      <c r="B703" s="5"/>
      <c r="C703" s="73"/>
      <c r="D703" s="73"/>
      <c r="E703" s="5"/>
      <c r="F703" s="5"/>
      <c r="G703" s="5"/>
      <c r="H703" s="5"/>
      <c r="I703" s="73"/>
      <c r="J703" s="5"/>
      <c r="K703" s="5"/>
      <c r="L703" s="73"/>
      <c r="M703" s="5"/>
      <c r="N703" s="5"/>
      <c r="O703" s="5"/>
      <c r="P703" s="5"/>
      <c r="Q703" s="5"/>
      <c r="R703" s="5"/>
      <c r="S703" s="5"/>
      <c r="T703" s="5"/>
      <c r="U703" s="5"/>
      <c r="V703" s="5"/>
      <c r="W703" s="5"/>
      <c r="X703" s="5"/>
      <c r="Y703" s="5"/>
      <c r="Z703" s="5"/>
      <c r="AA703" s="5"/>
      <c r="AB703" s="5"/>
      <c r="AC703" s="5"/>
      <c r="AD703" s="6"/>
    </row>
    <row r="704">
      <c r="A704" s="5"/>
      <c r="B704" s="5"/>
      <c r="C704" s="73"/>
      <c r="D704" s="73"/>
      <c r="E704" s="5"/>
      <c r="F704" s="5"/>
      <c r="G704" s="5"/>
      <c r="H704" s="5"/>
      <c r="I704" s="73"/>
      <c r="J704" s="5"/>
      <c r="K704" s="5"/>
      <c r="L704" s="73"/>
      <c r="M704" s="5"/>
      <c r="N704" s="5"/>
      <c r="O704" s="5"/>
      <c r="P704" s="5"/>
      <c r="Q704" s="5"/>
      <c r="R704" s="5"/>
      <c r="S704" s="5"/>
      <c r="T704" s="5"/>
      <c r="U704" s="5"/>
      <c r="V704" s="5"/>
      <c r="W704" s="5"/>
      <c r="X704" s="5"/>
      <c r="Y704" s="5"/>
      <c r="Z704" s="5"/>
      <c r="AA704" s="5"/>
      <c r="AB704" s="5"/>
      <c r="AC704" s="5"/>
      <c r="AD704" s="6"/>
    </row>
    <row r="705">
      <c r="A705" s="5"/>
      <c r="B705" s="5"/>
      <c r="C705" s="73"/>
      <c r="D705" s="73"/>
      <c r="E705" s="5"/>
      <c r="F705" s="5"/>
      <c r="G705" s="5"/>
      <c r="H705" s="5"/>
      <c r="I705" s="73"/>
      <c r="J705" s="5"/>
      <c r="K705" s="5"/>
      <c r="L705" s="73"/>
      <c r="M705" s="5"/>
      <c r="N705" s="5"/>
      <c r="O705" s="5"/>
      <c r="P705" s="5"/>
      <c r="Q705" s="5"/>
      <c r="R705" s="5"/>
      <c r="S705" s="5"/>
      <c r="T705" s="5"/>
      <c r="U705" s="5"/>
      <c r="V705" s="5"/>
      <c r="W705" s="5"/>
      <c r="X705" s="5"/>
      <c r="Y705" s="5"/>
      <c r="Z705" s="5"/>
      <c r="AA705" s="5"/>
      <c r="AB705" s="5"/>
      <c r="AC705" s="5"/>
      <c r="AD705" s="6"/>
    </row>
    <row r="706">
      <c r="A706" s="5"/>
      <c r="B706" s="5"/>
      <c r="C706" s="73"/>
      <c r="D706" s="73"/>
      <c r="E706" s="5"/>
      <c r="F706" s="5"/>
      <c r="G706" s="5"/>
      <c r="H706" s="5"/>
      <c r="I706" s="73"/>
      <c r="J706" s="5"/>
      <c r="K706" s="5"/>
      <c r="L706" s="73"/>
      <c r="M706" s="5"/>
      <c r="N706" s="5"/>
      <c r="O706" s="5"/>
      <c r="P706" s="5"/>
      <c r="Q706" s="5"/>
      <c r="R706" s="5"/>
      <c r="S706" s="5"/>
      <c r="T706" s="5"/>
      <c r="U706" s="5"/>
      <c r="V706" s="5"/>
      <c r="W706" s="5"/>
      <c r="X706" s="5"/>
      <c r="Y706" s="5"/>
      <c r="Z706" s="5"/>
      <c r="AA706" s="5"/>
      <c r="AB706" s="5"/>
      <c r="AC706" s="5"/>
      <c r="AD706" s="6"/>
    </row>
    <row r="707">
      <c r="A707" s="5"/>
      <c r="B707" s="5"/>
      <c r="C707" s="73"/>
      <c r="D707" s="73"/>
      <c r="E707" s="5"/>
      <c r="F707" s="5"/>
      <c r="G707" s="5"/>
      <c r="H707" s="5"/>
      <c r="I707" s="73"/>
      <c r="J707" s="5"/>
      <c r="K707" s="5"/>
      <c r="L707" s="73"/>
      <c r="M707" s="5"/>
      <c r="N707" s="5"/>
      <c r="O707" s="5"/>
      <c r="P707" s="5"/>
      <c r="Q707" s="5"/>
      <c r="R707" s="5"/>
      <c r="S707" s="5"/>
      <c r="T707" s="5"/>
      <c r="U707" s="5"/>
      <c r="V707" s="5"/>
      <c r="W707" s="5"/>
      <c r="X707" s="5"/>
      <c r="Y707" s="5"/>
      <c r="Z707" s="5"/>
      <c r="AA707" s="5"/>
      <c r="AB707" s="5"/>
      <c r="AC707" s="5"/>
      <c r="AD707" s="6"/>
    </row>
    <row r="708">
      <c r="A708" s="5"/>
      <c r="B708" s="5"/>
      <c r="C708" s="73"/>
      <c r="D708" s="73"/>
      <c r="E708" s="5"/>
      <c r="F708" s="5"/>
      <c r="G708" s="5"/>
      <c r="H708" s="5"/>
      <c r="I708" s="73"/>
      <c r="J708" s="5"/>
      <c r="K708" s="5"/>
      <c r="L708" s="73"/>
      <c r="M708" s="5"/>
      <c r="N708" s="5"/>
      <c r="O708" s="5"/>
      <c r="P708" s="5"/>
      <c r="Q708" s="5"/>
      <c r="R708" s="5"/>
      <c r="S708" s="5"/>
      <c r="T708" s="5"/>
      <c r="U708" s="5"/>
      <c r="V708" s="5"/>
      <c r="W708" s="5"/>
      <c r="X708" s="5"/>
      <c r="Y708" s="5"/>
      <c r="Z708" s="5"/>
      <c r="AA708" s="5"/>
      <c r="AB708" s="5"/>
      <c r="AC708" s="5"/>
      <c r="AD708" s="6"/>
    </row>
    <row r="709">
      <c r="A709" s="5"/>
      <c r="B709" s="5"/>
      <c r="C709" s="73"/>
      <c r="D709" s="73"/>
      <c r="E709" s="5"/>
      <c r="F709" s="5"/>
      <c r="G709" s="5"/>
      <c r="H709" s="5"/>
      <c r="I709" s="73"/>
      <c r="J709" s="5"/>
      <c r="K709" s="5"/>
      <c r="L709" s="73"/>
      <c r="M709" s="5"/>
      <c r="N709" s="5"/>
      <c r="O709" s="5"/>
      <c r="P709" s="5"/>
      <c r="Q709" s="5"/>
      <c r="R709" s="5"/>
      <c r="S709" s="5"/>
      <c r="T709" s="5"/>
      <c r="U709" s="5"/>
      <c r="V709" s="5"/>
      <c r="W709" s="5"/>
      <c r="X709" s="5"/>
      <c r="Y709" s="5"/>
      <c r="Z709" s="5"/>
      <c r="AA709" s="5"/>
      <c r="AB709" s="5"/>
      <c r="AC709" s="5"/>
      <c r="AD709" s="6"/>
    </row>
    <row r="710">
      <c r="A710" s="5"/>
      <c r="B710" s="5"/>
      <c r="C710" s="73"/>
      <c r="D710" s="73"/>
      <c r="E710" s="5"/>
      <c r="F710" s="5"/>
      <c r="G710" s="5"/>
      <c r="H710" s="5"/>
      <c r="I710" s="73"/>
      <c r="J710" s="5"/>
      <c r="K710" s="5"/>
      <c r="L710" s="73"/>
      <c r="M710" s="5"/>
      <c r="N710" s="5"/>
      <c r="O710" s="5"/>
      <c r="P710" s="5"/>
      <c r="Q710" s="5"/>
      <c r="R710" s="5"/>
      <c r="S710" s="5"/>
      <c r="T710" s="5"/>
      <c r="U710" s="5"/>
      <c r="V710" s="5"/>
      <c r="W710" s="5"/>
      <c r="X710" s="5"/>
      <c r="Y710" s="5"/>
      <c r="Z710" s="5"/>
      <c r="AA710" s="5"/>
      <c r="AB710" s="5"/>
      <c r="AC710" s="5"/>
      <c r="AD710" s="6"/>
    </row>
    <row r="711">
      <c r="A711" s="5"/>
      <c r="B711" s="5"/>
      <c r="C711" s="73"/>
      <c r="D711" s="73"/>
      <c r="E711" s="5"/>
      <c r="F711" s="5"/>
      <c r="G711" s="5"/>
      <c r="H711" s="5"/>
      <c r="I711" s="73"/>
      <c r="J711" s="5"/>
      <c r="K711" s="5"/>
      <c r="L711" s="73"/>
      <c r="M711" s="5"/>
      <c r="N711" s="5"/>
      <c r="O711" s="5"/>
      <c r="P711" s="5"/>
      <c r="Q711" s="5"/>
      <c r="R711" s="5"/>
      <c r="S711" s="5"/>
      <c r="T711" s="5"/>
      <c r="U711" s="5"/>
      <c r="V711" s="5"/>
      <c r="W711" s="5"/>
      <c r="X711" s="5"/>
      <c r="Y711" s="5"/>
      <c r="Z711" s="5"/>
      <c r="AA711" s="5"/>
      <c r="AB711" s="5"/>
      <c r="AC711" s="5"/>
      <c r="AD711" s="6"/>
    </row>
    <row r="712">
      <c r="A712" s="5"/>
      <c r="B712" s="5"/>
      <c r="C712" s="73"/>
      <c r="D712" s="73"/>
      <c r="E712" s="5"/>
      <c r="F712" s="5"/>
      <c r="G712" s="5"/>
      <c r="H712" s="5"/>
      <c r="I712" s="73"/>
      <c r="J712" s="5"/>
      <c r="K712" s="5"/>
      <c r="L712" s="73"/>
      <c r="M712" s="5"/>
      <c r="N712" s="5"/>
      <c r="O712" s="5"/>
      <c r="P712" s="5"/>
      <c r="Q712" s="5"/>
      <c r="R712" s="5"/>
      <c r="S712" s="5"/>
      <c r="T712" s="5"/>
      <c r="U712" s="5"/>
      <c r="V712" s="5"/>
      <c r="W712" s="5"/>
      <c r="X712" s="5"/>
      <c r="Y712" s="5"/>
      <c r="Z712" s="5"/>
      <c r="AA712" s="5"/>
      <c r="AB712" s="5"/>
      <c r="AC712" s="5"/>
      <c r="AD712" s="6"/>
    </row>
    <row r="713">
      <c r="A713" s="5"/>
      <c r="B713" s="5"/>
      <c r="C713" s="73"/>
      <c r="D713" s="73"/>
      <c r="E713" s="5"/>
      <c r="F713" s="5"/>
      <c r="G713" s="5"/>
      <c r="H713" s="5"/>
      <c r="I713" s="73"/>
      <c r="J713" s="5"/>
      <c r="K713" s="5"/>
      <c r="L713" s="73"/>
      <c r="M713" s="5"/>
      <c r="N713" s="5"/>
      <c r="O713" s="5"/>
      <c r="P713" s="5"/>
      <c r="Q713" s="5"/>
      <c r="R713" s="5"/>
      <c r="S713" s="5"/>
      <c r="T713" s="5"/>
      <c r="U713" s="5"/>
      <c r="V713" s="5"/>
      <c r="W713" s="5"/>
      <c r="X713" s="5"/>
      <c r="Y713" s="5"/>
      <c r="Z713" s="5"/>
      <c r="AA713" s="5"/>
      <c r="AB713" s="5"/>
      <c r="AC713" s="5"/>
      <c r="AD713" s="6"/>
    </row>
    <row r="714">
      <c r="A714" s="5"/>
      <c r="B714" s="5"/>
      <c r="C714" s="73"/>
      <c r="D714" s="73"/>
      <c r="E714" s="5"/>
      <c r="F714" s="5"/>
      <c r="G714" s="5"/>
      <c r="H714" s="5"/>
      <c r="I714" s="73"/>
      <c r="J714" s="5"/>
      <c r="K714" s="5"/>
      <c r="L714" s="73"/>
      <c r="M714" s="5"/>
      <c r="N714" s="5"/>
      <c r="O714" s="5"/>
      <c r="P714" s="5"/>
      <c r="Q714" s="5"/>
      <c r="R714" s="5"/>
      <c r="S714" s="5"/>
      <c r="T714" s="5"/>
      <c r="U714" s="5"/>
      <c r="V714" s="5"/>
      <c r="W714" s="5"/>
      <c r="X714" s="5"/>
      <c r="Y714" s="5"/>
      <c r="Z714" s="5"/>
      <c r="AA714" s="5"/>
      <c r="AB714" s="5"/>
      <c r="AC714" s="5"/>
      <c r="AD714" s="6"/>
    </row>
    <row r="715">
      <c r="A715" s="5"/>
      <c r="B715" s="5"/>
      <c r="C715" s="73"/>
      <c r="D715" s="73"/>
      <c r="E715" s="5"/>
      <c r="F715" s="5"/>
      <c r="G715" s="5"/>
      <c r="H715" s="5"/>
      <c r="I715" s="73"/>
      <c r="J715" s="5"/>
      <c r="K715" s="5"/>
      <c r="L715" s="73"/>
      <c r="M715" s="5"/>
      <c r="N715" s="5"/>
      <c r="O715" s="5"/>
      <c r="P715" s="5"/>
      <c r="Q715" s="5"/>
      <c r="R715" s="5"/>
      <c r="S715" s="5"/>
      <c r="T715" s="5"/>
      <c r="U715" s="5"/>
      <c r="V715" s="5"/>
      <c r="W715" s="5"/>
      <c r="X715" s="5"/>
      <c r="Y715" s="5"/>
      <c r="Z715" s="5"/>
      <c r="AA715" s="5"/>
      <c r="AB715" s="5"/>
      <c r="AC715" s="5"/>
      <c r="AD715" s="6"/>
    </row>
    <row r="716">
      <c r="A716" s="5"/>
      <c r="B716" s="5"/>
      <c r="C716" s="73"/>
      <c r="D716" s="73"/>
      <c r="E716" s="5"/>
      <c r="F716" s="5"/>
      <c r="G716" s="5"/>
      <c r="H716" s="5"/>
      <c r="I716" s="73"/>
      <c r="J716" s="5"/>
      <c r="K716" s="5"/>
      <c r="L716" s="73"/>
      <c r="M716" s="5"/>
      <c r="N716" s="5"/>
      <c r="O716" s="5"/>
      <c r="P716" s="5"/>
      <c r="Q716" s="5"/>
      <c r="R716" s="5"/>
      <c r="S716" s="5"/>
      <c r="T716" s="5"/>
      <c r="U716" s="5"/>
      <c r="V716" s="5"/>
      <c r="W716" s="5"/>
      <c r="X716" s="5"/>
      <c r="Y716" s="5"/>
      <c r="Z716" s="5"/>
      <c r="AA716" s="5"/>
      <c r="AB716" s="5"/>
      <c r="AC716" s="5"/>
      <c r="AD716" s="6"/>
    </row>
    <row r="717">
      <c r="A717" s="5"/>
      <c r="B717" s="5"/>
      <c r="C717" s="73"/>
      <c r="D717" s="73"/>
      <c r="E717" s="5"/>
      <c r="F717" s="5"/>
      <c r="G717" s="5"/>
      <c r="H717" s="5"/>
      <c r="I717" s="73"/>
      <c r="J717" s="5"/>
      <c r="K717" s="5"/>
      <c r="L717" s="73"/>
      <c r="M717" s="5"/>
      <c r="N717" s="5"/>
      <c r="O717" s="5"/>
      <c r="P717" s="5"/>
      <c r="Q717" s="5"/>
      <c r="R717" s="5"/>
      <c r="S717" s="5"/>
      <c r="T717" s="5"/>
      <c r="U717" s="5"/>
      <c r="V717" s="5"/>
      <c r="W717" s="5"/>
      <c r="X717" s="5"/>
      <c r="Y717" s="5"/>
      <c r="Z717" s="5"/>
      <c r="AA717" s="5"/>
      <c r="AB717" s="5"/>
      <c r="AC717" s="5"/>
      <c r="AD717" s="6"/>
    </row>
    <row r="718">
      <c r="A718" s="5"/>
      <c r="B718" s="5"/>
      <c r="C718" s="73"/>
      <c r="D718" s="73"/>
      <c r="E718" s="5"/>
      <c r="F718" s="5"/>
      <c r="G718" s="5"/>
      <c r="H718" s="5"/>
      <c r="I718" s="73"/>
      <c r="J718" s="5"/>
      <c r="K718" s="5"/>
      <c r="L718" s="73"/>
      <c r="M718" s="5"/>
      <c r="N718" s="5"/>
      <c r="O718" s="5"/>
      <c r="P718" s="5"/>
      <c r="Q718" s="5"/>
      <c r="R718" s="5"/>
      <c r="S718" s="5"/>
      <c r="T718" s="5"/>
      <c r="U718" s="5"/>
      <c r="V718" s="5"/>
      <c r="W718" s="5"/>
      <c r="X718" s="5"/>
      <c r="Y718" s="5"/>
      <c r="Z718" s="5"/>
      <c r="AA718" s="5"/>
      <c r="AB718" s="5"/>
      <c r="AC718" s="5"/>
      <c r="AD718" s="6"/>
    </row>
    <row r="719">
      <c r="A719" s="5"/>
      <c r="B719" s="5"/>
      <c r="C719" s="73"/>
      <c r="D719" s="73"/>
      <c r="E719" s="5"/>
      <c r="F719" s="5"/>
      <c r="G719" s="5"/>
      <c r="H719" s="5"/>
      <c r="I719" s="73"/>
      <c r="J719" s="5"/>
      <c r="K719" s="5"/>
      <c r="L719" s="73"/>
      <c r="M719" s="5"/>
      <c r="N719" s="5"/>
      <c r="O719" s="5"/>
      <c r="P719" s="5"/>
      <c r="Q719" s="5"/>
      <c r="R719" s="5"/>
      <c r="S719" s="5"/>
      <c r="T719" s="5"/>
      <c r="U719" s="5"/>
      <c r="V719" s="5"/>
      <c r="W719" s="5"/>
      <c r="X719" s="5"/>
      <c r="Y719" s="5"/>
      <c r="Z719" s="5"/>
      <c r="AA719" s="5"/>
      <c r="AB719" s="5"/>
      <c r="AC719" s="5"/>
      <c r="AD719" s="6"/>
    </row>
    <row r="720">
      <c r="A720" s="5"/>
      <c r="B720" s="5"/>
      <c r="C720" s="73"/>
      <c r="D720" s="73"/>
      <c r="E720" s="5"/>
      <c r="F720" s="5"/>
      <c r="G720" s="5"/>
      <c r="H720" s="5"/>
      <c r="I720" s="73"/>
      <c r="J720" s="5"/>
      <c r="K720" s="5"/>
      <c r="L720" s="73"/>
      <c r="M720" s="5"/>
      <c r="N720" s="5"/>
      <c r="O720" s="5"/>
      <c r="P720" s="5"/>
      <c r="Q720" s="5"/>
      <c r="R720" s="5"/>
      <c r="S720" s="5"/>
      <c r="T720" s="5"/>
      <c r="U720" s="5"/>
      <c r="V720" s="5"/>
      <c r="W720" s="5"/>
      <c r="X720" s="5"/>
      <c r="Y720" s="5"/>
      <c r="Z720" s="5"/>
      <c r="AA720" s="5"/>
      <c r="AB720" s="5"/>
      <c r="AC720" s="5"/>
      <c r="AD720" s="6"/>
    </row>
    <row r="721">
      <c r="A721" s="5"/>
      <c r="B721" s="5"/>
      <c r="C721" s="73"/>
      <c r="D721" s="73"/>
      <c r="E721" s="5"/>
      <c r="F721" s="5"/>
      <c r="G721" s="5"/>
      <c r="H721" s="5"/>
      <c r="I721" s="73"/>
      <c r="J721" s="5"/>
      <c r="K721" s="5"/>
      <c r="L721" s="73"/>
      <c r="M721" s="5"/>
      <c r="N721" s="5"/>
      <c r="O721" s="5"/>
      <c r="P721" s="5"/>
      <c r="Q721" s="5"/>
      <c r="R721" s="5"/>
      <c r="S721" s="5"/>
      <c r="T721" s="5"/>
      <c r="U721" s="5"/>
      <c r="V721" s="5"/>
      <c r="W721" s="5"/>
      <c r="X721" s="5"/>
      <c r="Y721" s="5"/>
      <c r="Z721" s="5"/>
      <c r="AA721" s="5"/>
      <c r="AB721" s="5"/>
      <c r="AC721" s="5"/>
      <c r="AD721" s="6"/>
    </row>
    <row r="722">
      <c r="A722" s="5"/>
      <c r="B722" s="5"/>
      <c r="C722" s="73"/>
      <c r="D722" s="73"/>
      <c r="E722" s="5"/>
      <c r="F722" s="5"/>
      <c r="G722" s="5"/>
      <c r="H722" s="5"/>
      <c r="I722" s="73"/>
      <c r="J722" s="5"/>
      <c r="K722" s="5"/>
      <c r="L722" s="73"/>
      <c r="M722" s="5"/>
      <c r="N722" s="5"/>
      <c r="O722" s="5"/>
      <c r="P722" s="5"/>
      <c r="Q722" s="5"/>
      <c r="R722" s="5"/>
      <c r="S722" s="5"/>
      <c r="T722" s="5"/>
      <c r="U722" s="5"/>
      <c r="V722" s="5"/>
      <c r="W722" s="5"/>
      <c r="X722" s="5"/>
      <c r="Y722" s="5"/>
      <c r="Z722" s="5"/>
      <c r="AA722" s="5"/>
      <c r="AB722" s="5"/>
      <c r="AC722" s="5"/>
      <c r="AD722" s="6"/>
    </row>
    <row r="723">
      <c r="A723" s="5"/>
      <c r="B723" s="5"/>
      <c r="C723" s="73"/>
      <c r="D723" s="73"/>
      <c r="E723" s="5"/>
      <c r="F723" s="5"/>
      <c r="G723" s="5"/>
      <c r="H723" s="5"/>
      <c r="I723" s="73"/>
      <c r="J723" s="5"/>
      <c r="K723" s="5"/>
      <c r="L723" s="73"/>
      <c r="M723" s="5"/>
      <c r="N723" s="5"/>
      <c r="O723" s="5"/>
      <c r="P723" s="5"/>
      <c r="Q723" s="5"/>
      <c r="R723" s="5"/>
      <c r="S723" s="5"/>
      <c r="T723" s="5"/>
      <c r="U723" s="5"/>
      <c r="V723" s="5"/>
      <c r="W723" s="5"/>
      <c r="X723" s="5"/>
      <c r="Y723" s="5"/>
      <c r="Z723" s="5"/>
      <c r="AA723" s="5"/>
      <c r="AB723" s="5"/>
      <c r="AC723" s="5"/>
      <c r="AD723" s="6"/>
    </row>
    <row r="724">
      <c r="A724" s="5"/>
      <c r="B724" s="5"/>
      <c r="C724" s="73"/>
      <c r="D724" s="73"/>
      <c r="E724" s="5"/>
      <c r="F724" s="5"/>
      <c r="G724" s="5"/>
      <c r="H724" s="5"/>
      <c r="I724" s="73"/>
      <c r="J724" s="5"/>
      <c r="K724" s="5"/>
      <c r="L724" s="73"/>
      <c r="M724" s="5"/>
      <c r="N724" s="5"/>
      <c r="O724" s="5"/>
      <c r="P724" s="5"/>
      <c r="Q724" s="5"/>
      <c r="R724" s="5"/>
      <c r="S724" s="5"/>
      <c r="T724" s="5"/>
      <c r="U724" s="5"/>
      <c r="V724" s="5"/>
      <c r="W724" s="5"/>
      <c r="X724" s="5"/>
      <c r="Y724" s="5"/>
      <c r="Z724" s="5"/>
      <c r="AA724" s="5"/>
      <c r="AB724" s="5"/>
      <c r="AC724" s="5"/>
      <c r="AD724" s="6"/>
    </row>
    <row r="725">
      <c r="A725" s="5"/>
      <c r="B725" s="5"/>
      <c r="C725" s="73"/>
      <c r="D725" s="73"/>
      <c r="E725" s="5"/>
      <c r="F725" s="5"/>
      <c r="G725" s="5"/>
      <c r="H725" s="5"/>
      <c r="I725" s="73"/>
      <c r="J725" s="5"/>
      <c r="K725" s="5"/>
      <c r="L725" s="73"/>
      <c r="M725" s="5"/>
      <c r="N725" s="5"/>
      <c r="O725" s="5"/>
      <c r="P725" s="5"/>
      <c r="Q725" s="5"/>
      <c r="R725" s="5"/>
      <c r="S725" s="5"/>
      <c r="T725" s="5"/>
      <c r="U725" s="5"/>
      <c r="V725" s="5"/>
      <c r="W725" s="5"/>
      <c r="X725" s="5"/>
      <c r="Y725" s="5"/>
      <c r="Z725" s="5"/>
      <c r="AA725" s="5"/>
      <c r="AB725" s="5"/>
      <c r="AC725" s="5"/>
      <c r="AD725" s="6"/>
    </row>
    <row r="726">
      <c r="A726" s="5"/>
      <c r="B726" s="5"/>
      <c r="C726" s="73"/>
      <c r="D726" s="73"/>
      <c r="E726" s="5"/>
      <c r="F726" s="5"/>
      <c r="G726" s="5"/>
      <c r="H726" s="5"/>
      <c r="I726" s="73"/>
      <c r="J726" s="5"/>
      <c r="K726" s="5"/>
      <c r="L726" s="73"/>
      <c r="M726" s="5"/>
      <c r="N726" s="5"/>
      <c r="O726" s="5"/>
      <c r="P726" s="5"/>
      <c r="Q726" s="5"/>
      <c r="R726" s="5"/>
      <c r="S726" s="5"/>
      <c r="T726" s="5"/>
      <c r="U726" s="5"/>
      <c r="V726" s="5"/>
      <c r="W726" s="5"/>
      <c r="X726" s="5"/>
      <c r="Y726" s="5"/>
      <c r="Z726" s="5"/>
      <c r="AA726" s="5"/>
      <c r="AB726" s="5"/>
      <c r="AC726" s="5"/>
      <c r="AD726" s="6"/>
    </row>
    <row r="727">
      <c r="A727" s="5"/>
      <c r="B727" s="5"/>
      <c r="C727" s="73"/>
      <c r="D727" s="73"/>
      <c r="E727" s="5"/>
      <c r="F727" s="5"/>
      <c r="G727" s="5"/>
      <c r="H727" s="5"/>
      <c r="I727" s="73"/>
      <c r="J727" s="5"/>
      <c r="K727" s="5"/>
      <c r="L727" s="73"/>
      <c r="M727" s="5"/>
      <c r="N727" s="5"/>
      <c r="O727" s="5"/>
      <c r="P727" s="5"/>
      <c r="Q727" s="5"/>
      <c r="R727" s="5"/>
      <c r="S727" s="5"/>
      <c r="T727" s="5"/>
      <c r="U727" s="5"/>
      <c r="V727" s="5"/>
      <c r="W727" s="5"/>
      <c r="X727" s="5"/>
      <c r="Y727" s="5"/>
      <c r="Z727" s="5"/>
      <c r="AA727" s="5"/>
      <c r="AB727" s="5"/>
      <c r="AC727" s="5"/>
      <c r="AD727" s="6"/>
    </row>
    <row r="728">
      <c r="A728" s="5"/>
      <c r="B728" s="5"/>
      <c r="C728" s="73"/>
      <c r="D728" s="73"/>
      <c r="E728" s="5"/>
      <c r="F728" s="5"/>
      <c r="G728" s="5"/>
      <c r="H728" s="5"/>
      <c r="I728" s="73"/>
      <c r="J728" s="5"/>
      <c r="K728" s="5"/>
      <c r="L728" s="73"/>
      <c r="M728" s="5"/>
      <c r="N728" s="5"/>
      <c r="O728" s="5"/>
      <c r="P728" s="5"/>
      <c r="Q728" s="5"/>
      <c r="R728" s="5"/>
      <c r="S728" s="5"/>
      <c r="T728" s="5"/>
      <c r="U728" s="5"/>
      <c r="V728" s="5"/>
      <c r="W728" s="5"/>
      <c r="X728" s="5"/>
      <c r="Y728" s="5"/>
      <c r="Z728" s="5"/>
      <c r="AA728" s="5"/>
      <c r="AB728" s="5"/>
      <c r="AC728" s="5"/>
      <c r="AD728" s="6"/>
    </row>
    <row r="729">
      <c r="A729" s="5"/>
      <c r="B729" s="5"/>
      <c r="C729" s="73"/>
      <c r="D729" s="73"/>
      <c r="E729" s="5"/>
      <c r="F729" s="5"/>
      <c r="G729" s="5"/>
      <c r="H729" s="5"/>
      <c r="I729" s="73"/>
      <c r="J729" s="5"/>
      <c r="K729" s="5"/>
      <c r="L729" s="73"/>
      <c r="M729" s="5"/>
      <c r="N729" s="5"/>
      <c r="O729" s="5"/>
      <c r="P729" s="5"/>
      <c r="Q729" s="5"/>
      <c r="R729" s="5"/>
      <c r="S729" s="5"/>
      <c r="T729" s="5"/>
      <c r="U729" s="5"/>
      <c r="V729" s="5"/>
      <c r="W729" s="5"/>
      <c r="X729" s="5"/>
      <c r="Y729" s="5"/>
      <c r="Z729" s="5"/>
      <c r="AA729" s="5"/>
      <c r="AB729" s="5"/>
      <c r="AC729" s="5"/>
      <c r="AD729" s="6"/>
    </row>
    <row r="730">
      <c r="A730" s="5"/>
      <c r="B730" s="5"/>
      <c r="C730" s="73"/>
      <c r="D730" s="73"/>
      <c r="E730" s="5"/>
      <c r="F730" s="5"/>
      <c r="G730" s="5"/>
      <c r="H730" s="5"/>
      <c r="I730" s="73"/>
      <c r="J730" s="5"/>
      <c r="K730" s="5"/>
      <c r="L730" s="73"/>
      <c r="M730" s="5"/>
      <c r="N730" s="5"/>
      <c r="O730" s="5"/>
      <c r="P730" s="5"/>
      <c r="Q730" s="5"/>
      <c r="R730" s="5"/>
      <c r="S730" s="5"/>
      <c r="T730" s="5"/>
      <c r="U730" s="5"/>
      <c r="V730" s="5"/>
      <c r="W730" s="5"/>
      <c r="X730" s="5"/>
      <c r="Y730" s="5"/>
      <c r="Z730" s="5"/>
      <c r="AA730" s="5"/>
      <c r="AB730" s="5"/>
      <c r="AC730" s="5"/>
      <c r="AD730" s="6"/>
    </row>
    <row r="731">
      <c r="A731" s="5"/>
      <c r="B731" s="5"/>
      <c r="C731" s="73"/>
      <c r="D731" s="73"/>
      <c r="E731" s="5"/>
      <c r="F731" s="5"/>
      <c r="G731" s="5"/>
      <c r="H731" s="5"/>
      <c r="I731" s="73"/>
      <c r="J731" s="5"/>
      <c r="K731" s="5"/>
      <c r="L731" s="73"/>
      <c r="M731" s="5"/>
      <c r="N731" s="5"/>
      <c r="O731" s="5"/>
      <c r="P731" s="5"/>
      <c r="Q731" s="5"/>
      <c r="R731" s="5"/>
      <c r="S731" s="5"/>
      <c r="T731" s="5"/>
      <c r="U731" s="5"/>
      <c r="V731" s="5"/>
      <c r="W731" s="5"/>
      <c r="X731" s="5"/>
      <c r="Y731" s="5"/>
      <c r="Z731" s="5"/>
      <c r="AA731" s="5"/>
      <c r="AB731" s="5"/>
      <c r="AC731" s="5"/>
      <c r="AD731" s="6"/>
    </row>
    <row r="732">
      <c r="A732" s="5"/>
      <c r="B732" s="5"/>
      <c r="C732" s="73"/>
      <c r="D732" s="73"/>
      <c r="E732" s="5"/>
      <c r="F732" s="5"/>
      <c r="G732" s="5"/>
      <c r="H732" s="5"/>
      <c r="I732" s="73"/>
      <c r="J732" s="5"/>
      <c r="K732" s="5"/>
      <c r="L732" s="73"/>
      <c r="M732" s="5"/>
      <c r="N732" s="5"/>
      <c r="O732" s="5"/>
      <c r="P732" s="5"/>
      <c r="Q732" s="5"/>
      <c r="R732" s="5"/>
      <c r="S732" s="5"/>
      <c r="T732" s="5"/>
      <c r="U732" s="5"/>
      <c r="V732" s="5"/>
      <c r="W732" s="5"/>
      <c r="X732" s="5"/>
      <c r="Y732" s="5"/>
      <c r="Z732" s="5"/>
      <c r="AA732" s="5"/>
      <c r="AB732" s="5"/>
      <c r="AC732" s="5"/>
      <c r="AD732" s="6"/>
    </row>
    <row r="733">
      <c r="A733" s="5"/>
      <c r="B733" s="5"/>
      <c r="C733" s="73"/>
      <c r="D733" s="73"/>
      <c r="E733" s="5"/>
      <c r="F733" s="5"/>
      <c r="G733" s="5"/>
      <c r="H733" s="5"/>
      <c r="I733" s="73"/>
      <c r="J733" s="5"/>
      <c r="K733" s="5"/>
      <c r="L733" s="73"/>
      <c r="M733" s="5"/>
      <c r="N733" s="5"/>
      <c r="O733" s="5"/>
      <c r="P733" s="5"/>
      <c r="Q733" s="5"/>
      <c r="R733" s="5"/>
      <c r="S733" s="5"/>
      <c r="T733" s="5"/>
      <c r="U733" s="5"/>
      <c r="V733" s="5"/>
      <c r="W733" s="5"/>
      <c r="X733" s="5"/>
      <c r="Y733" s="5"/>
      <c r="Z733" s="5"/>
      <c r="AA733" s="5"/>
      <c r="AB733" s="5"/>
      <c r="AC733" s="5"/>
      <c r="AD733" s="6"/>
    </row>
    <row r="734">
      <c r="A734" s="5"/>
      <c r="B734" s="5"/>
      <c r="C734" s="73"/>
      <c r="D734" s="73"/>
      <c r="E734" s="5"/>
      <c r="F734" s="5"/>
      <c r="G734" s="5"/>
      <c r="H734" s="5"/>
      <c r="I734" s="73"/>
      <c r="J734" s="5"/>
      <c r="K734" s="5"/>
      <c r="L734" s="73"/>
      <c r="M734" s="5"/>
      <c r="N734" s="5"/>
      <c r="O734" s="5"/>
      <c r="P734" s="5"/>
      <c r="Q734" s="5"/>
      <c r="R734" s="5"/>
      <c r="S734" s="5"/>
      <c r="T734" s="5"/>
      <c r="U734" s="5"/>
      <c r="V734" s="5"/>
      <c r="W734" s="5"/>
      <c r="X734" s="5"/>
      <c r="Y734" s="5"/>
      <c r="Z734" s="5"/>
      <c r="AA734" s="5"/>
      <c r="AB734" s="5"/>
      <c r="AC734" s="5"/>
      <c r="AD734" s="6"/>
    </row>
    <row r="735">
      <c r="A735" s="5"/>
      <c r="B735" s="5"/>
      <c r="C735" s="73"/>
      <c r="D735" s="73"/>
      <c r="E735" s="5"/>
      <c r="F735" s="5"/>
      <c r="G735" s="5"/>
      <c r="H735" s="5"/>
      <c r="I735" s="73"/>
      <c r="J735" s="5"/>
      <c r="K735" s="5"/>
      <c r="L735" s="73"/>
      <c r="M735" s="5"/>
      <c r="N735" s="5"/>
      <c r="O735" s="5"/>
      <c r="P735" s="5"/>
      <c r="Q735" s="5"/>
      <c r="R735" s="5"/>
      <c r="S735" s="5"/>
      <c r="T735" s="5"/>
      <c r="U735" s="5"/>
      <c r="V735" s="5"/>
      <c r="W735" s="5"/>
      <c r="X735" s="5"/>
      <c r="Y735" s="5"/>
      <c r="Z735" s="5"/>
      <c r="AA735" s="5"/>
      <c r="AB735" s="5"/>
      <c r="AC735" s="5"/>
      <c r="AD735" s="6"/>
    </row>
    <row r="736">
      <c r="A736" s="5"/>
      <c r="B736" s="5"/>
      <c r="C736" s="73"/>
      <c r="D736" s="73"/>
      <c r="E736" s="5"/>
      <c r="F736" s="5"/>
      <c r="G736" s="5"/>
      <c r="H736" s="5"/>
      <c r="I736" s="73"/>
      <c r="J736" s="5"/>
      <c r="K736" s="5"/>
      <c r="L736" s="73"/>
      <c r="M736" s="5"/>
      <c r="N736" s="5"/>
      <c r="O736" s="5"/>
      <c r="P736" s="5"/>
      <c r="Q736" s="5"/>
      <c r="R736" s="5"/>
      <c r="S736" s="5"/>
      <c r="T736" s="5"/>
      <c r="U736" s="5"/>
      <c r="V736" s="5"/>
      <c r="W736" s="5"/>
      <c r="X736" s="5"/>
      <c r="Y736" s="5"/>
      <c r="Z736" s="5"/>
      <c r="AA736" s="5"/>
      <c r="AB736" s="5"/>
      <c r="AC736" s="5"/>
      <c r="AD736" s="6"/>
    </row>
    <row r="737">
      <c r="A737" s="5"/>
      <c r="B737" s="5"/>
      <c r="C737" s="73"/>
      <c r="D737" s="73"/>
      <c r="E737" s="5"/>
      <c r="F737" s="5"/>
      <c r="G737" s="5"/>
      <c r="H737" s="5"/>
      <c r="I737" s="73"/>
      <c r="J737" s="5"/>
      <c r="K737" s="5"/>
      <c r="L737" s="73"/>
      <c r="M737" s="5"/>
      <c r="N737" s="5"/>
      <c r="O737" s="5"/>
      <c r="P737" s="5"/>
      <c r="Q737" s="5"/>
      <c r="R737" s="5"/>
      <c r="S737" s="5"/>
      <c r="T737" s="5"/>
      <c r="U737" s="5"/>
      <c r="V737" s="5"/>
      <c r="W737" s="5"/>
      <c r="X737" s="5"/>
      <c r="Y737" s="5"/>
      <c r="Z737" s="5"/>
      <c r="AA737" s="5"/>
      <c r="AB737" s="5"/>
      <c r="AC737" s="5"/>
      <c r="AD737" s="6"/>
    </row>
    <row r="738">
      <c r="A738" s="5"/>
      <c r="B738" s="5"/>
      <c r="C738" s="73"/>
      <c r="D738" s="73"/>
      <c r="E738" s="5"/>
      <c r="F738" s="5"/>
      <c r="G738" s="5"/>
      <c r="H738" s="5"/>
      <c r="I738" s="73"/>
      <c r="J738" s="5"/>
      <c r="K738" s="5"/>
      <c r="L738" s="73"/>
      <c r="M738" s="5"/>
      <c r="N738" s="5"/>
      <c r="O738" s="5"/>
      <c r="P738" s="5"/>
      <c r="Q738" s="5"/>
      <c r="R738" s="5"/>
      <c r="S738" s="5"/>
      <c r="T738" s="5"/>
      <c r="U738" s="5"/>
      <c r="V738" s="5"/>
      <c r="W738" s="5"/>
      <c r="X738" s="5"/>
      <c r="Y738" s="5"/>
      <c r="Z738" s="5"/>
      <c r="AA738" s="5"/>
      <c r="AB738" s="5"/>
      <c r="AC738" s="5"/>
      <c r="AD738" s="6"/>
    </row>
    <row r="739">
      <c r="A739" s="5"/>
      <c r="B739" s="5"/>
      <c r="C739" s="73"/>
      <c r="D739" s="73"/>
      <c r="E739" s="5"/>
      <c r="F739" s="5"/>
      <c r="G739" s="5"/>
      <c r="H739" s="5"/>
      <c r="I739" s="73"/>
      <c r="J739" s="5"/>
      <c r="K739" s="5"/>
      <c r="L739" s="73"/>
      <c r="M739" s="5"/>
      <c r="N739" s="5"/>
      <c r="O739" s="5"/>
      <c r="P739" s="5"/>
      <c r="Q739" s="5"/>
      <c r="R739" s="5"/>
      <c r="S739" s="5"/>
      <c r="T739" s="5"/>
      <c r="U739" s="5"/>
      <c r="V739" s="5"/>
      <c r="W739" s="5"/>
      <c r="X739" s="5"/>
      <c r="Y739" s="5"/>
      <c r="Z739" s="5"/>
      <c r="AA739" s="5"/>
      <c r="AB739" s="5"/>
      <c r="AC739" s="5"/>
      <c r="AD739" s="6"/>
    </row>
    <row r="740">
      <c r="A740" s="5"/>
      <c r="B740" s="5"/>
      <c r="C740" s="73"/>
      <c r="D740" s="73"/>
      <c r="E740" s="5"/>
      <c r="F740" s="5"/>
      <c r="G740" s="5"/>
      <c r="H740" s="5"/>
      <c r="I740" s="73"/>
      <c r="J740" s="5"/>
      <c r="K740" s="5"/>
      <c r="L740" s="73"/>
      <c r="M740" s="5"/>
      <c r="N740" s="5"/>
      <c r="O740" s="5"/>
      <c r="P740" s="5"/>
      <c r="Q740" s="5"/>
      <c r="R740" s="5"/>
      <c r="S740" s="5"/>
      <c r="T740" s="5"/>
      <c r="U740" s="5"/>
      <c r="V740" s="5"/>
      <c r="W740" s="5"/>
      <c r="X740" s="5"/>
      <c r="Y740" s="5"/>
      <c r="Z740" s="5"/>
      <c r="AA740" s="5"/>
      <c r="AB740" s="5"/>
      <c r="AC740" s="5"/>
      <c r="AD740" s="6"/>
    </row>
    <row r="741">
      <c r="A741" s="5"/>
      <c r="B741" s="5"/>
      <c r="C741" s="73"/>
      <c r="D741" s="73"/>
      <c r="E741" s="5"/>
      <c r="F741" s="5"/>
      <c r="G741" s="5"/>
      <c r="H741" s="5"/>
      <c r="I741" s="73"/>
      <c r="J741" s="5"/>
      <c r="K741" s="5"/>
      <c r="L741" s="73"/>
      <c r="M741" s="5"/>
      <c r="N741" s="5"/>
      <c r="O741" s="5"/>
      <c r="P741" s="5"/>
      <c r="Q741" s="5"/>
      <c r="R741" s="5"/>
      <c r="S741" s="5"/>
      <c r="T741" s="5"/>
      <c r="U741" s="5"/>
      <c r="V741" s="5"/>
      <c r="W741" s="5"/>
      <c r="X741" s="5"/>
      <c r="Y741" s="5"/>
      <c r="Z741" s="5"/>
      <c r="AA741" s="5"/>
      <c r="AB741" s="5"/>
      <c r="AC741" s="5"/>
      <c r="AD741" s="6"/>
    </row>
    <row r="742">
      <c r="A742" s="5"/>
      <c r="B742" s="5"/>
      <c r="C742" s="73"/>
      <c r="D742" s="73"/>
      <c r="E742" s="5"/>
      <c r="F742" s="5"/>
      <c r="G742" s="5"/>
      <c r="H742" s="5"/>
      <c r="I742" s="73"/>
      <c r="J742" s="5"/>
      <c r="K742" s="5"/>
      <c r="L742" s="73"/>
      <c r="M742" s="5"/>
      <c r="N742" s="5"/>
      <c r="O742" s="5"/>
      <c r="P742" s="5"/>
      <c r="Q742" s="5"/>
      <c r="R742" s="5"/>
      <c r="S742" s="5"/>
      <c r="T742" s="5"/>
      <c r="U742" s="5"/>
      <c r="V742" s="5"/>
      <c r="W742" s="5"/>
      <c r="X742" s="5"/>
      <c r="Y742" s="5"/>
      <c r="Z742" s="5"/>
      <c r="AA742" s="5"/>
      <c r="AB742" s="5"/>
      <c r="AC742" s="5"/>
      <c r="AD742" s="6"/>
    </row>
    <row r="743">
      <c r="A743" s="5"/>
      <c r="B743" s="5"/>
      <c r="C743" s="73"/>
      <c r="D743" s="73"/>
      <c r="E743" s="5"/>
      <c r="F743" s="5"/>
      <c r="G743" s="5"/>
      <c r="H743" s="5"/>
      <c r="I743" s="73"/>
      <c r="J743" s="5"/>
      <c r="K743" s="5"/>
      <c r="L743" s="73"/>
      <c r="M743" s="5"/>
      <c r="N743" s="5"/>
      <c r="O743" s="5"/>
      <c r="P743" s="5"/>
      <c r="Q743" s="5"/>
      <c r="R743" s="5"/>
      <c r="S743" s="5"/>
      <c r="T743" s="5"/>
      <c r="U743" s="5"/>
      <c r="V743" s="5"/>
      <c r="W743" s="5"/>
      <c r="X743" s="5"/>
      <c r="Y743" s="5"/>
      <c r="Z743" s="5"/>
      <c r="AA743" s="5"/>
      <c r="AB743" s="5"/>
      <c r="AC743" s="5"/>
      <c r="AD743" s="6"/>
    </row>
    <row r="744">
      <c r="A744" s="5"/>
      <c r="B744" s="5"/>
      <c r="C744" s="73"/>
      <c r="D744" s="73"/>
      <c r="E744" s="5"/>
      <c r="F744" s="5"/>
      <c r="G744" s="5"/>
      <c r="H744" s="5"/>
      <c r="I744" s="73"/>
      <c r="J744" s="5"/>
      <c r="K744" s="5"/>
      <c r="L744" s="73"/>
      <c r="M744" s="5"/>
      <c r="N744" s="5"/>
      <c r="O744" s="5"/>
      <c r="P744" s="5"/>
      <c r="Q744" s="5"/>
      <c r="R744" s="5"/>
      <c r="S744" s="5"/>
      <c r="T744" s="5"/>
      <c r="U744" s="5"/>
      <c r="V744" s="5"/>
      <c r="W744" s="5"/>
      <c r="X744" s="5"/>
      <c r="Y744" s="5"/>
      <c r="Z744" s="5"/>
      <c r="AA744" s="5"/>
      <c r="AB744" s="5"/>
      <c r="AC744" s="5"/>
      <c r="AD744" s="6"/>
    </row>
    <row r="745">
      <c r="A745" s="5"/>
      <c r="B745" s="5"/>
      <c r="C745" s="73"/>
      <c r="D745" s="73"/>
      <c r="E745" s="5"/>
      <c r="F745" s="5"/>
      <c r="G745" s="5"/>
      <c r="H745" s="5"/>
      <c r="I745" s="73"/>
      <c r="J745" s="5"/>
      <c r="K745" s="5"/>
      <c r="L745" s="73"/>
      <c r="M745" s="5"/>
      <c r="N745" s="5"/>
      <c r="O745" s="5"/>
      <c r="P745" s="5"/>
      <c r="Q745" s="5"/>
      <c r="R745" s="5"/>
      <c r="S745" s="5"/>
      <c r="T745" s="5"/>
      <c r="U745" s="5"/>
      <c r="V745" s="5"/>
      <c r="W745" s="5"/>
      <c r="X745" s="5"/>
      <c r="Y745" s="5"/>
      <c r="Z745" s="5"/>
      <c r="AA745" s="5"/>
      <c r="AB745" s="5"/>
      <c r="AC745" s="5"/>
      <c r="AD745" s="6"/>
    </row>
    <row r="746">
      <c r="A746" s="5"/>
      <c r="B746" s="5"/>
      <c r="C746" s="73"/>
      <c r="D746" s="73"/>
      <c r="E746" s="5"/>
      <c r="F746" s="5"/>
      <c r="G746" s="5"/>
      <c r="H746" s="5"/>
      <c r="I746" s="73"/>
      <c r="J746" s="5"/>
      <c r="K746" s="5"/>
      <c r="L746" s="73"/>
      <c r="M746" s="5"/>
      <c r="N746" s="5"/>
      <c r="O746" s="5"/>
      <c r="P746" s="5"/>
      <c r="Q746" s="5"/>
      <c r="R746" s="5"/>
      <c r="S746" s="5"/>
      <c r="T746" s="5"/>
      <c r="U746" s="5"/>
      <c r="V746" s="5"/>
      <c r="W746" s="5"/>
      <c r="X746" s="5"/>
      <c r="Y746" s="5"/>
      <c r="Z746" s="5"/>
      <c r="AA746" s="5"/>
      <c r="AB746" s="5"/>
      <c r="AC746" s="5"/>
      <c r="AD746" s="6"/>
    </row>
    <row r="747">
      <c r="A747" s="5"/>
      <c r="B747" s="5"/>
      <c r="C747" s="73"/>
      <c r="D747" s="73"/>
      <c r="E747" s="5"/>
      <c r="F747" s="5"/>
      <c r="G747" s="5"/>
      <c r="H747" s="5"/>
      <c r="I747" s="73"/>
      <c r="J747" s="5"/>
      <c r="K747" s="5"/>
      <c r="L747" s="73"/>
      <c r="M747" s="5"/>
      <c r="N747" s="5"/>
      <c r="O747" s="5"/>
      <c r="P747" s="5"/>
      <c r="Q747" s="5"/>
      <c r="R747" s="5"/>
      <c r="S747" s="5"/>
      <c r="T747" s="5"/>
      <c r="U747" s="5"/>
      <c r="V747" s="5"/>
      <c r="W747" s="5"/>
      <c r="X747" s="5"/>
      <c r="Y747" s="5"/>
      <c r="Z747" s="5"/>
      <c r="AA747" s="5"/>
      <c r="AB747" s="5"/>
      <c r="AC747" s="5"/>
      <c r="AD747" s="6"/>
    </row>
    <row r="748">
      <c r="A748" s="5"/>
      <c r="B748" s="5"/>
      <c r="C748" s="73"/>
      <c r="D748" s="73"/>
      <c r="E748" s="5"/>
      <c r="F748" s="5"/>
      <c r="G748" s="5"/>
      <c r="H748" s="5"/>
      <c r="I748" s="73"/>
      <c r="J748" s="5"/>
      <c r="K748" s="5"/>
      <c r="L748" s="73"/>
      <c r="M748" s="5"/>
      <c r="N748" s="5"/>
      <c r="O748" s="5"/>
      <c r="P748" s="5"/>
      <c r="Q748" s="5"/>
      <c r="R748" s="5"/>
      <c r="S748" s="5"/>
      <c r="T748" s="5"/>
      <c r="U748" s="5"/>
      <c r="V748" s="5"/>
      <c r="W748" s="5"/>
      <c r="X748" s="5"/>
      <c r="Y748" s="5"/>
      <c r="Z748" s="5"/>
      <c r="AA748" s="5"/>
      <c r="AB748" s="5"/>
      <c r="AC748" s="5"/>
      <c r="AD748" s="6"/>
    </row>
    <row r="749">
      <c r="A749" s="5"/>
      <c r="B749" s="5"/>
      <c r="C749" s="73"/>
      <c r="D749" s="73"/>
      <c r="E749" s="5"/>
      <c r="F749" s="5"/>
      <c r="G749" s="5"/>
      <c r="H749" s="5"/>
      <c r="I749" s="73"/>
      <c r="J749" s="5"/>
      <c r="K749" s="5"/>
      <c r="L749" s="73"/>
      <c r="M749" s="5"/>
      <c r="N749" s="5"/>
      <c r="O749" s="5"/>
      <c r="P749" s="5"/>
      <c r="Q749" s="5"/>
      <c r="R749" s="5"/>
      <c r="S749" s="5"/>
      <c r="T749" s="5"/>
      <c r="U749" s="5"/>
      <c r="V749" s="5"/>
      <c r="W749" s="5"/>
      <c r="X749" s="5"/>
      <c r="Y749" s="5"/>
      <c r="Z749" s="5"/>
      <c r="AA749" s="5"/>
      <c r="AB749" s="5"/>
      <c r="AC749" s="5"/>
      <c r="AD749" s="6"/>
    </row>
    <row r="750">
      <c r="A750" s="5"/>
      <c r="B750" s="5"/>
      <c r="C750" s="73"/>
      <c r="D750" s="73"/>
      <c r="E750" s="5"/>
      <c r="F750" s="5"/>
      <c r="G750" s="5"/>
      <c r="H750" s="5"/>
      <c r="I750" s="73"/>
      <c r="J750" s="5"/>
      <c r="K750" s="5"/>
      <c r="L750" s="73"/>
      <c r="M750" s="5"/>
      <c r="N750" s="5"/>
      <c r="O750" s="5"/>
      <c r="P750" s="5"/>
      <c r="Q750" s="5"/>
      <c r="R750" s="5"/>
      <c r="S750" s="5"/>
      <c r="T750" s="5"/>
      <c r="U750" s="5"/>
      <c r="V750" s="5"/>
      <c r="W750" s="5"/>
      <c r="X750" s="5"/>
      <c r="Y750" s="5"/>
      <c r="Z750" s="5"/>
      <c r="AA750" s="5"/>
      <c r="AB750" s="5"/>
      <c r="AC750" s="5"/>
      <c r="AD750" s="6"/>
    </row>
    <row r="751">
      <c r="A751" s="5"/>
      <c r="B751" s="5"/>
      <c r="C751" s="73"/>
      <c r="D751" s="73"/>
      <c r="E751" s="5"/>
      <c r="F751" s="5"/>
      <c r="G751" s="5"/>
      <c r="H751" s="5"/>
      <c r="I751" s="73"/>
      <c r="J751" s="5"/>
      <c r="K751" s="5"/>
      <c r="L751" s="73"/>
      <c r="M751" s="5"/>
      <c r="N751" s="5"/>
      <c r="O751" s="5"/>
      <c r="P751" s="5"/>
      <c r="Q751" s="5"/>
      <c r="R751" s="5"/>
      <c r="S751" s="5"/>
      <c r="T751" s="5"/>
      <c r="U751" s="5"/>
      <c r="V751" s="5"/>
      <c r="W751" s="5"/>
      <c r="X751" s="5"/>
      <c r="Y751" s="5"/>
      <c r="Z751" s="5"/>
      <c r="AA751" s="5"/>
      <c r="AB751" s="5"/>
      <c r="AC751" s="5"/>
      <c r="AD751" s="6"/>
    </row>
    <row r="752">
      <c r="A752" s="5"/>
      <c r="B752" s="5"/>
      <c r="C752" s="73"/>
      <c r="D752" s="73"/>
      <c r="E752" s="5"/>
      <c r="F752" s="5"/>
      <c r="G752" s="5"/>
      <c r="H752" s="5"/>
      <c r="I752" s="73"/>
      <c r="J752" s="5"/>
      <c r="K752" s="5"/>
      <c r="L752" s="73"/>
      <c r="M752" s="5"/>
      <c r="N752" s="5"/>
      <c r="O752" s="5"/>
      <c r="P752" s="5"/>
      <c r="Q752" s="5"/>
      <c r="R752" s="5"/>
      <c r="S752" s="5"/>
      <c r="T752" s="5"/>
      <c r="U752" s="5"/>
      <c r="V752" s="5"/>
      <c r="W752" s="5"/>
      <c r="X752" s="5"/>
      <c r="Y752" s="5"/>
      <c r="Z752" s="5"/>
      <c r="AA752" s="5"/>
      <c r="AB752" s="5"/>
      <c r="AC752" s="5"/>
      <c r="AD752" s="6"/>
    </row>
    <row r="753">
      <c r="A753" s="5"/>
      <c r="B753" s="5"/>
      <c r="C753" s="73"/>
      <c r="D753" s="73"/>
      <c r="E753" s="5"/>
      <c r="F753" s="5"/>
      <c r="G753" s="5"/>
      <c r="H753" s="5"/>
      <c r="I753" s="73"/>
      <c r="J753" s="5"/>
      <c r="K753" s="5"/>
      <c r="L753" s="73"/>
      <c r="M753" s="5"/>
      <c r="N753" s="5"/>
      <c r="O753" s="5"/>
      <c r="P753" s="5"/>
      <c r="Q753" s="5"/>
      <c r="R753" s="5"/>
      <c r="S753" s="5"/>
      <c r="T753" s="5"/>
      <c r="U753" s="5"/>
      <c r="V753" s="5"/>
      <c r="W753" s="5"/>
      <c r="X753" s="5"/>
      <c r="Y753" s="5"/>
      <c r="Z753" s="5"/>
      <c r="AA753" s="5"/>
      <c r="AB753" s="5"/>
      <c r="AC753" s="5"/>
      <c r="AD753" s="6"/>
    </row>
    <row r="754">
      <c r="A754" s="5"/>
      <c r="B754" s="5"/>
      <c r="C754" s="73"/>
      <c r="D754" s="73"/>
      <c r="E754" s="5"/>
      <c r="F754" s="5"/>
      <c r="G754" s="5"/>
      <c r="H754" s="5"/>
      <c r="I754" s="73"/>
      <c r="J754" s="5"/>
      <c r="K754" s="5"/>
      <c r="L754" s="73"/>
      <c r="M754" s="5"/>
      <c r="N754" s="5"/>
      <c r="O754" s="5"/>
      <c r="P754" s="5"/>
      <c r="Q754" s="5"/>
      <c r="R754" s="5"/>
      <c r="S754" s="5"/>
      <c r="T754" s="5"/>
      <c r="U754" s="5"/>
      <c r="V754" s="5"/>
      <c r="W754" s="5"/>
      <c r="X754" s="5"/>
      <c r="Y754" s="5"/>
      <c r="Z754" s="5"/>
      <c r="AA754" s="5"/>
      <c r="AB754" s="5"/>
      <c r="AC754" s="5"/>
      <c r="AD754" s="6"/>
    </row>
    <row r="755">
      <c r="A755" s="5"/>
      <c r="B755" s="5"/>
      <c r="C755" s="73"/>
      <c r="D755" s="73"/>
      <c r="E755" s="5"/>
      <c r="F755" s="5"/>
      <c r="G755" s="5"/>
      <c r="H755" s="5"/>
      <c r="I755" s="73"/>
      <c r="J755" s="5"/>
      <c r="K755" s="5"/>
      <c r="L755" s="73"/>
      <c r="M755" s="5"/>
      <c r="N755" s="5"/>
      <c r="O755" s="5"/>
      <c r="P755" s="5"/>
      <c r="Q755" s="5"/>
      <c r="R755" s="5"/>
      <c r="S755" s="5"/>
      <c r="T755" s="5"/>
      <c r="U755" s="5"/>
      <c r="V755" s="5"/>
      <c r="W755" s="5"/>
      <c r="X755" s="5"/>
      <c r="Y755" s="5"/>
      <c r="Z755" s="5"/>
      <c r="AA755" s="5"/>
      <c r="AB755" s="5"/>
      <c r="AC755" s="5"/>
      <c r="AD755" s="6"/>
    </row>
    <row r="756">
      <c r="A756" s="5"/>
      <c r="B756" s="5"/>
      <c r="C756" s="73"/>
      <c r="D756" s="73"/>
      <c r="E756" s="5"/>
      <c r="F756" s="5"/>
      <c r="G756" s="5"/>
      <c r="H756" s="5"/>
      <c r="I756" s="73"/>
      <c r="J756" s="5"/>
      <c r="K756" s="5"/>
      <c r="L756" s="73"/>
      <c r="M756" s="5"/>
      <c r="N756" s="5"/>
      <c r="O756" s="5"/>
      <c r="P756" s="5"/>
      <c r="Q756" s="5"/>
      <c r="R756" s="5"/>
      <c r="S756" s="5"/>
      <c r="T756" s="5"/>
      <c r="U756" s="5"/>
      <c r="V756" s="5"/>
      <c r="W756" s="5"/>
      <c r="X756" s="5"/>
      <c r="Y756" s="5"/>
      <c r="Z756" s="5"/>
      <c r="AA756" s="5"/>
      <c r="AB756" s="5"/>
      <c r="AC756" s="5"/>
      <c r="AD756" s="6"/>
    </row>
    <row r="757">
      <c r="A757" s="5"/>
      <c r="B757" s="5"/>
      <c r="C757" s="73"/>
      <c r="D757" s="73"/>
      <c r="E757" s="5"/>
      <c r="F757" s="5"/>
      <c r="G757" s="5"/>
      <c r="H757" s="5"/>
      <c r="I757" s="73"/>
      <c r="J757" s="5"/>
      <c r="K757" s="5"/>
      <c r="L757" s="73"/>
      <c r="M757" s="5"/>
      <c r="N757" s="5"/>
      <c r="O757" s="5"/>
      <c r="P757" s="5"/>
      <c r="Q757" s="5"/>
      <c r="R757" s="5"/>
      <c r="S757" s="5"/>
      <c r="T757" s="5"/>
      <c r="U757" s="5"/>
      <c r="V757" s="5"/>
      <c r="W757" s="5"/>
      <c r="X757" s="5"/>
      <c r="Y757" s="5"/>
      <c r="Z757" s="5"/>
      <c r="AA757" s="5"/>
      <c r="AB757" s="5"/>
      <c r="AC757" s="5"/>
      <c r="AD757" s="6"/>
    </row>
    <row r="758">
      <c r="A758" s="5"/>
      <c r="B758" s="5"/>
      <c r="C758" s="73"/>
      <c r="D758" s="73"/>
      <c r="E758" s="5"/>
      <c r="F758" s="5"/>
      <c r="G758" s="5"/>
      <c r="H758" s="5"/>
      <c r="I758" s="73"/>
      <c r="J758" s="5"/>
      <c r="K758" s="5"/>
      <c r="L758" s="73"/>
      <c r="M758" s="5"/>
      <c r="N758" s="5"/>
      <c r="O758" s="5"/>
      <c r="P758" s="5"/>
      <c r="Q758" s="5"/>
      <c r="R758" s="5"/>
      <c r="S758" s="5"/>
      <c r="T758" s="5"/>
      <c r="U758" s="5"/>
      <c r="V758" s="5"/>
      <c r="W758" s="5"/>
      <c r="X758" s="5"/>
      <c r="Y758" s="5"/>
      <c r="Z758" s="5"/>
      <c r="AA758" s="5"/>
      <c r="AB758" s="5"/>
      <c r="AC758" s="5"/>
      <c r="AD758" s="6"/>
    </row>
    <row r="759">
      <c r="A759" s="5"/>
      <c r="B759" s="5"/>
      <c r="C759" s="73"/>
      <c r="D759" s="73"/>
      <c r="E759" s="5"/>
      <c r="F759" s="5"/>
      <c r="G759" s="5"/>
      <c r="H759" s="5"/>
      <c r="I759" s="73"/>
      <c r="J759" s="5"/>
      <c r="K759" s="5"/>
      <c r="L759" s="73"/>
      <c r="M759" s="5"/>
      <c r="N759" s="5"/>
      <c r="O759" s="5"/>
      <c r="P759" s="5"/>
      <c r="Q759" s="5"/>
      <c r="R759" s="5"/>
      <c r="S759" s="5"/>
      <c r="T759" s="5"/>
      <c r="U759" s="5"/>
      <c r="V759" s="5"/>
      <c r="W759" s="5"/>
      <c r="X759" s="5"/>
      <c r="Y759" s="5"/>
      <c r="Z759" s="5"/>
      <c r="AA759" s="5"/>
      <c r="AB759" s="5"/>
      <c r="AC759" s="5"/>
      <c r="AD759" s="6"/>
    </row>
    <row r="760">
      <c r="A760" s="5"/>
      <c r="B760" s="5"/>
      <c r="C760" s="73"/>
      <c r="D760" s="73"/>
      <c r="E760" s="5"/>
      <c r="F760" s="5"/>
      <c r="G760" s="5"/>
      <c r="H760" s="5"/>
      <c r="I760" s="73"/>
      <c r="J760" s="5"/>
      <c r="K760" s="5"/>
      <c r="L760" s="73"/>
      <c r="M760" s="5"/>
      <c r="N760" s="5"/>
      <c r="O760" s="5"/>
      <c r="P760" s="5"/>
      <c r="Q760" s="5"/>
      <c r="R760" s="5"/>
      <c r="S760" s="5"/>
      <c r="T760" s="5"/>
      <c r="U760" s="5"/>
      <c r="V760" s="5"/>
      <c r="W760" s="5"/>
      <c r="X760" s="5"/>
      <c r="Y760" s="5"/>
      <c r="Z760" s="5"/>
      <c r="AA760" s="5"/>
      <c r="AB760" s="5"/>
      <c r="AC760" s="5"/>
      <c r="AD760" s="6"/>
    </row>
    <row r="761">
      <c r="A761" s="5"/>
      <c r="B761" s="5"/>
      <c r="C761" s="73"/>
      <c r="D761" s="73"/>
      <c r="E761" s="5"/>
      <c r="F761" s="5"/>
      <c r="G761" s="5"/>
      <c r="H761" s="5"/>
      <c r="I761" s="73"/>
      <c r="J761" s="5"/>
      <c r="K761" s="5"/>
      <c r="L761" s="73"/>
      <c r="M761" s="5"/>
      <c r="N761" s="5"/>
      <c r="O761" s="5"/>
      <c r="P761" s="5"/>
      <c r="Q761" s="5"/>
      <c r="R761" s="5"/>
      <c r="S761" s="5"/>
      <c r="T761" s="5"/>
      <c r="U761" s="5"/>
      <c r="V761" s="5"/>
      <c r="W761" s="5"/>
      <c r="X761" s="5"/>
      <c r="Y761" s="5"/>
      <c r="Z761" s="5"/>
      <c r="AA761" s="5"/>
      <c r="AB761" s="5"/>
      <c r="AC761" s="5"/>
      <c r="AD761" s="6"/>
    </row>
    <row r="762">
      <c r="A762" s="5"/>
      <c r="B762" s="5"/>
      <c r="C762" s="73"/>
      <c r="D762" s="73"/>
      <c r="E762" s="5"/>
      <c r="F762" s="5"/>
      <c r="G762" s="5"/>
      <c r="H762" s="5"/>
      <c r="I762" s="73"/>
      <c r="J762" s="5"/>
      <c r="K762" s="5"/>
      <c r="L762" s="73"/>
      <c r="M762" s="5"/>
      <c r="N762" s="5"/>
      <c r="O762" s="5"/>
      <c r="P762" s="5"/>
      <c r="Q762" s="5"/>
      <c r="R762" s="5"/>
      <c r="S762" s="5"/>
      <c r="T762" s="5"/>
      <c r="U762" s="5"/>
      <c r="V762" s="5"/>
      <c r="W762" s="5"/>
      <c r="X762" s="5"/>
      <c r="Y762" s="5"/>
      <c r="Z762" s="5"/>
      <c r="AA762" s="5"/>
      <c r="AB762" s="5"/>
      <c r="AC762" s="5"/>
      <c r="AD762" s="6"/>
    </row>
    <row r="763">
      <c r="A763" s="5"/>
      <c r="B763" s="5"/>
      <c r="C763" s="73"/>
      <c r="D763" s="73"/>
      <c r="E763" s="5"/>
      <c r="F763" s="5"/>
      <c r="G763" s="5"/>
      <c r="H763" s="5"/>
      <c r="I763" s="73"/>
      <c r="J763" s="5"/>
      <c r="K763" s="5"/>
      <c r="L763" s="73"/>
      <c r="M763" s="5"/>
      <c r="N763" s="5"/>
      <c r="O763" s="5"/>
      <c r="P763" s="5"/>
      <c r="Q763" s="5"/>
      <c r="R763" s="5"/>
      <c r="S763" s="5"/>
      <c r="T763" s="5"/>
      <c r="U763" s="5"/>
      <c r="V763" s="5"/>
      <c r="W763" s="5"/>
      <c r="X763" s="5"/>
      <c r="Y763" s="5"/>
      <c r="Z763" s="5"/>
      <c r="AA763" s="5"/>
      <c r="AB763" s="5"/>
      <c r="AC763" s="5"/>
      <c r="AD763" s="6"/>
    </row>
    <row r="764">
      <c r="A764" s="5"/>
      <c r="B764" s="5"/>
      <c r="C764" s="73"/>
      <c r="D764" s="73"/>
      <c r="E764" s="5"/>
      <c r="F764" s="5"/>
      <c r="G764" s="5"/>
      <c r="H764" s="5"/>
      <c r="I764" s="73"/>
      <c r="J764" s="5"/>
      <c r="K764" s="5"/>
      <c r="L764" s="73"/>
      <c r="M764" s="5"/>
      <c r="N764" s="5"/>
      <c r="O764" s="5"/>
      <c r="P764" s="5"/>
      <c r="Q764" s="5"/>
      <c r="R764" s="5"/>
      <c r="S764" s="5"/>
      <c r="T764" s="5"/>
      <c r="U764" s="5"/>
      <c r="V764" s="5"/>
      <c r="W764" s="5"/>
      <c r="X764" s="5"/>
      <c r="Y764" s="5"/>
      <c r="Z764" s="5"/>
      <c r="AA764" s="5"/>
      <c r="AB764" s="5"/>
      <c r="AC764" s="5"/>
      <c r="AD764" s="6"/>
    </row>
    <row r="765">
      <c r="A765" s="5"/>
      <c r="B765" s="5"/>
      <c r="C765" s="73"/>
      <c r="D765" s="73"/>
      <c r="E765" s="5"/>
      <c r="F765" s="5"/>
      <c r="G765" s="5"/>
      <c r="H765" s="5"/>
      <c r="I765" s="73"/>
      <c r="J765" s="5"/>
      <c r="K765" s="5"/>
      <c r="L765" s="73"/>
      <c r="M765" s="5"/>
      <c r="N765" s="5"/>
      <c r="O765" s="5"/>
      <c r="P765" s="5"/>
      <c r="Q765" s="5"/>
      <c r="R765" s="5"/>
      <c r="S765" s="5"/>
      <c r="T765" s="5"/>
      <c r="U765" s="5"/>
      <c r="V765" s="5"/>
      <c r="W765" s="5"/>
      <c r="X765" s="5"/>
      <c r="Y765" s="5"/>
      <c r="Z765" s="5"/>
      <c r="AA765" s="5"/>
      <c r="AB765" s="5"/>
      <c r="AC765" s="5"/>
      <c r="AD765" s="6"/>
    </row>
    <row r="766">
      <c r="A766" s="5"/>
      <c r="B766" s="5"/>
      <c r="C766" s="73"/>
      <c r="D766" s="73"/>
      <c r="E766" s="5"/>
      <c r="F766" s="5"/>
      <c r="G766" s="5"/>
      <c r="H766" s="5"/>
      <c r="I766" s="73"/>
      <c r="J766" s="5"/>
      <c r="K766" s="5"/>
      <c r="L766" s="73"/>
      <c r="M766" s="5"/>
      <c r="N766" s="5"/>
      <c r="O766" s="5"/>
      <c r="P766" s="5"/>
      <c r="Q766" s="5"/>
      <c r="R766" s="5"/>
      <c r="S766" s="5"/>
      <c r="T766" s="5"/>
      <c r="U766" s="5"/>
      <c r="V766" s="5"/>
      <c r="W766" s="5"/>
      <c r="X766" s="5"/>
      <c r="Y766" s="5"/>
      <c r="Z766" s="5"/>
      <c r="AA766" s="5"/>
      <c r="AB766" s="5"/>
      <c r="AC766" s="5"/>
      <c r="AD766" s="6"/>
    </row>
    <row r="767">
      <c r="A767" s="5"/>
      <c r="B767" s="5"/>
      <c r="C767" s="73"/>
      <c r="D767" s="73"/>
      <c r="E767" s="5"/>
      <c r="F767" s="5"/>
      <c r="G767" s="5"/>
      <c r="H767" s="5"/>
      <c r="I767" s="73"/>
      <c r="J767" s="5"/>
      <c r="K767" s="5"/>
      <c r="L767" s="73"/>
      <c r="M767" s="5"/>
      <c r="N767" s="5"/>
      <c r="O767" s="5"/>
      <c r="P767" s="5"/>
      <c r="Q767" s="5"/>
      <c r="R767" s="5"/>
      <c r="S767" s="5"/>
      <c r="T767" s="5"/>
      <c r="U767" s="5"/>
      <c r="V767" s="5"/>
      <c r="W767" s="5"/>
      <c r="X767" s="5"/>
      <c r="Y767" s="5"/>
      <c r="Z767" s="5"/>
      <c r="AA767" s="5"/>
      <c r="AB767" s="5"/>
      <c r="AC767" s="5"/>
      <c r="AD767" s="6"/>
    </row>
    <row r="768">
      <c r="A768" s="5"/>
      <c r="B768" s="5"/>
      <c r="C768" s="73"/>
      <c r="D768" s="73"/>
      <c r="E768" s="5"/>
      <c r="F768" s="5"/>
      <c r="G768" s="5"/>
      <c r="H768" s="5"/>
      <c r="I768" s="73"/>
      <c r="J768" s="5"/>
      <c r="K768" s="5"/>
      <c r="L768" s="73"/>
      <c r="M768" s="5"/>
      <c r="N768" s="5"/>
      <c r="O768" s="5"/>
      <c r="P768" s="5"/>
      <c r="Q768" s="5"/>
      <c r="R768" s="5"/>
      <c r="S768" s="5"/>
      <c r="T768" s="5"/>
      <c r="U768" s="5"/>
      <c r="V768" s="5"/>
      <c r="W768" s="5"/>
      <c r="X768" s="5"/>
      <c r="Y768" s="5"/>
      <c r="Z768" s="5"/>
      <c r="AA768" s="5"/>
      <c r="AB768" s="5"/>
      <c r="AC768" s="5"/>
      <c r="AD768" s="6"/>
    </row>
    <row r="769">
      <c r="A769" s="5"/>
      <c r="B769" s="5"/>
      <c r="C769" s="73"/>
      <c r="D769" s="73"/>
      <c r="E769" s="5"/>
      <c r="F769" s="5"/>
      <c r="G769" s="5"/>
      <c r="H769" s="5"/>
      <c r="I769" s="73"/>
      <c r="J769" s="5"/>
      <c r="K769" s="5"/>
      <c r="L769" s="73"/>
      <c r="M769" s="5"/>
      <c r="N769" s="5"/>
      <c r="O769" s="5"/>
      <c r="P769" s="5"/>
      <c r="Q769" s="5"/>
      <c r="R769" s="5"/>
      <c r="S769" s="5"/>
      <c r="T769" s="5"/>
      <c r="U769" s="5"/>
      <c r="V769" s="5"/>
      <c r="W769" s="5"/>
      <c r="X769" s="5"/>
      <c r="Y769" s="5"/>
      <c r="Z769" s="5"/>
      <c r="AA769" s="5"/>
      <c r="AB769" s="5"/>
      <c r="AC769" s="5"/>
      <c r="AD769" s="6"/>
    </row>
    <row r="770">
      <c r="A770" s="5"/>
      <c r="B770" s="5"/>
      <c r="C770" s="73"/>
      <c r="D770" s="73"/>
      <c r="E770" s="5"/>
      <c r="F770" s="5"/>
      <c r="G770" s="5"/>
      <c r="H770" s="5"/>
      <c r="I770" s="73"/>
      <c r="J770" s="5"/>
      <c r="K770" s="5"/>
      <c r="L770" s="73"/>
      <c r="M770" s="5"/>
      <c r="N770" s="5"/>
      <c r="O770" s="5"/>
      <c r="P770" s="5"/>
      <c r="Q770" s="5"/>
      <c r="R770" s="5"/>
      <c r="S770" s="5"/>
      <c r="T770" s="5"/>
      <c r="U770" s="5"/>
      <c r="V770" s="5"/>
      <c r="W770" s="5"/>
      <c r="X770" s="5"/>
      <c r="Y770" s="5"/>
      <c r="Z770" s="5"/>
      <c r="AA770" s="5"/>
      <c r="AB770" s="5"/>
      <c r="AC770" s="5"/>
      <c r="AD770" s="6"/>
    </row>
    <row r="771">
      <c r="A771" s="5"/>
      <c r="B771" s="5"/>
      <c r="C771" s="73"/>
      <c r="D771" s="73"/>
      <c r="E771" s="5"/>
      <c r="F771" s="5"/>
      <c r="G771" s="5"/>
      <c r="H771" s="5"/>
      <c r="I771" s="73"/>
      <c r="J771" s="5"/>
      <c r="K771" s="5"/>
      <c r="L771" s="73"/>
      <c r="M771" s="5"/>
      <c r="N771" s="5"/>
      <c r="O771" s="5"/>
      <c r="P771" s="5"/>
      <c r="Q771" s="5"/>
      <c r="R771" s="5"/>
      <c r="S771" s="5"/>
      <c r="T771" s="5"/>
      <c r="U771" s="5"/>
      <c r="V771" s="5"/>
      <c r="W771" s="5"/>
      <c r="X771" s="5"/>
      <c r="Y771" s="5"/>
      <c r="Z771" s="5"/>
      <c r="AA771" s="5"/>
      <c r="AB771" s="5"/>
      <c r="AC771" s="5"/>
      <c r="AD771" s="6"/>
    </row>
    <row r="772">
      <c r="A772" s="5"/>
      <c r="B772" s="5"/>
      <c r="C772" s="73"/>
      <c r="D772" s="73"/>
      <c r="E772" s="5"/>
      <c r="F772" s="5"/>
      <c r="G772" s="5"/>
      <c r="H772" s="5"/>
      <c r="I772" s="73"/>
      <c r="J772" s="5"/>
      <c r="K772" s="5"/>
      <c r="L772" s="73"/>
      <c r="M772" s="5"/>
      <c r="N772" s="5"/>
      <c r="O772" s="5"/>
      <c r="P772" s="5"/>
      <c r="Q772" s="5"/>
      <c r="R772" s="5"/>
      <c r="S772" s="5"/>
      <c r="T772" s="5"/>
      <c r="U772" s="5"/>
      <c r="V772" s="5"/>
      <c r="W772" s="5"/>
      <c r="X772" s="5"/>
      <c r="Y772" s="5"/>
      <c r="Z772" s="5"/>
      <c r="AA772" s="5"/>
      <c r="AB772" s="5"/>
      <c r="AC772" s="5"/>
      <c r="AD772" s="6"/>
    </row>
    <row r="773">
      <c r="A773" s="5"/>
      <c r="B773" s="5"/>
      <c r="C773" s="73"/>
      <c r="D773" s="73"/>
      <c r="E773" s="5"/>
      <c r="F773" s="5"/>
      <c r="G773" s="5"/>
      <c r="H773" s="5"/>
      <c r="I773" s="73"/>
      <c r="J773" s="5"/>
      <c r="K773" s="5"/>
      <c r="L773" s="73"/>
      <c r="M773" s="5"/>
      <c r="N773" s="5"/>
      <c r="O773" s="5"/>
      <c r="P773" s="5"/>
      <c r="Q773" s="5"/>
      <c r="R773" s="5"/>
      <c r="S773" s="5"/>
      <c r="T773" s="5"/>
      <c r="U773" s="5"/>
      <c r="V773" s="5"/>
      <c r="W773" s="5"/>
      <c r="X773" s="5"/>
      <c r="Y773" s="5"/>
      <c r="Z773" s="5"/>
      <c r="AA773" s="5"/>
      <c r="AB773" s="5"/>
      <c r="AC773" s="5"/>
      <c r="AD773" s="6"/>
    </row>
    <row r="774">
      <c r="A774" s="5"/>
      <c r="B774" s="5"/>
      <c r="C774" s="73"/>
      <c r="D774" s="73"/>
      <c r="E774" s="5"/>
      <c r="F774" s="5"/>
      <c r="G774" s="5"/>
      <c r="H774" s="5"/>
      <c r="I774" s="73"/>
      <c r="J774" s="5"/>
      <c r="K774" s="5"/>
      <c r="L774" s="73"/>
      <c r="M774" s="5"/>
      <c r="N774" s="5"/>
      <c r="O774" s="5"/>
      <c r="P774" s="5"/>
      <c r="Q774" s="5"/>
      <c r="R774" s="5"/>
      <c r="S774" s="5"/>
      <c r="T774" s="5"/>
      <c r="U774" s="5"/>
      <c r="V774" s="5"/>
      <c r="W774" s="5"/>
      <c r="X774" s="5"/>
      <c r="Y774" s="5"/>
      <c r="Z774" s="5"/>
      <c r="AA774" s="5"/>
      <c r="AB774" s="5"/>
      <c r="AC774" s="5"/>
      <c r="AD774" s="6"/>
    </row>
    <row r="775">
      <c r="A775" s="5"/>
      <c r="B775" s="5"/>
      <c r="C775" s="73"/>
      <c r="D775" s="73"/>
      <c r="E775" s="5"/>
      <c r="F775" s="5"/>
      <c r="G775" s="5"/>
      <c r="H775" s="5"/>
      <c r="I775" s="73"/>
      <c r="J775" s="5"/>
      <c r="K775" s="5"/>
      <c r="L775" s="73"/>
      <c r="M775" s="5"/>
      <c r="N775" s="5"/>
      <c r="O775" s="5"/>
      <c r="P775" s="5"/>
      <c r="Q775" s="5"/>
      <c r="R775" s="5"/>
      <c r="S775" s="5"/>
      <c r="T775" s="5"/>
      <c r="U775" s="5"/>
      <c r="V775" s="5"/>
      <c r="W775" s="5"/>
      <c r="X775" s="5"/>
      <c r="Y775" s="5"/>
      <c r="Z775" s="5"/>
      <c r="AA775" s="5"/>
      <c r="AB775" s="5"/>
      <c r="AC775" s="5"/>
      <c r="AD775" s="6"/>
    </row>
    <row r="776">
      <c r="A776" s="5"/>
      <c r="B776" s="5"/>
      <c r="C776" s="73"/>
      <c r="D776" s="73"/>
      <c r="E776" s="5"/>
      <c r="F776" s="5"/>
      <c r="G776" s="5"/>
      <c r="H776" s="5"/>
      <c r="I776" s="73"/>
      <c r="J776" s="5"/>
      <c r="K776" s="5"/>
      <c r="L776" s="73"/>
      <c r="M776" s="5"/>
      <c r="N776" s="5"/>
      <c r="O776" s="5"/>
      <c r="P776" s="5"/>
      <c r="Q776" s="5"/>
      <c r="R776" s="5"/>
      <c r="S776" s="5"/>
      <c r="T776" s="5"/>
      <c r="U776" s="5"/>
      <c r="V776" s="5"/>
      <c r="W776" s="5"/>
      <c r="X776" s="5"/>
      <c r="Y776" s="5"/>
      <c r="Z776" s="5"/>
      <c r="AA776" s="5"/>
      <c r="AB776" s="5"/>
      <c r="AC776" s="5"/>
      <c r="AD776" s="6"/>
    </row>
    <row r="777">
      <c r="A777" s="5"/>
      <c r="B777" s="5"/>
      <c r="C777" s="73"/>
      <c r="D777" s="73"/>
      <c r="E777" s="5"/>
      <c r="F777" s="5"/>
      <c r="G777" s="5"/>
      <c r="H777" s="5"/>
      <c r="I777" s="73"/>
      <c r="J777" s="5"/>
      <c r="K777" s="5"/>
      <c r="L777" s="73"/>
      <c r="M777" s="5"/>
      <c r="N777" s="5"/>
      <c r="O777" s="5"/>
      <c r="P777" s="5"/>
      <c r="Q777" s="5"/>
      <c r="R777" s="5"/>
      <c r="S777" s="5"/>
      <c r="T777" s="5"/>
      <c r="U777" s="5"/>
      <c r="V777" s="5"/>
      <c r="W777" s="5"/>
      <c r="X777" s="5"/>
      <c r="Y777" s="5"/>
      <c r="Z777" s="5"/>
      <c r="AA777" s="5"/>
      <c r="AB777" s="5"/>
      <c r="AC777" s="5"/>
      <c r="AD777" s="6"/>
    </row>
    <row r="778">
      <c r="A778" s="5"/>
      <c r="B778" s="5"/>
      <c r="C778" s="73"/>
      <c r="D778" s="73"/>
      <c r="E778" s="5"/>
      <c r="F778" s="5"/>
      <c r="G778" s="5"/>
      <c r="H778" s="5"/>
      <c r="I778" s="73"/>
      <c r="J778" s="5"/>
      <c r="K778" s="5"/>
      <c r="L778" s="73"/>
      <c r="M778" s="5"/>
      <c r="N778" s="5"/>
      <c r="O778" s="5"/>
      <c r="P778" s="5"/>
      <c r="Q778" s="5"/>
      <c r="R778" s="5"/>
      <c r="S778" s="5"/>
      <c r="T778" s="5"/>
      <c r="U778" s="5"/>
      <c r="V778" s="5"/>
      <c r="W778" s="5"/>
      <c r="X778" s="5"/>
      <c r="Y778" s="5"/>
      <c r="Z778" s="5"/>
      <c r="AA778" s="5"/>
      <c r="AB778" s="5"/>
      <c r="AC778" s="5"/>
      <c r="AD778" s="6"/>
    </row>
    <row r="779">
      <c r="A779" s="5"/>
      <c r="B779" s="5"/>
      <c r="C779" s="73"/>
      <c r="D779" s="73"/>
      <c r="E779" s="5"/>
      <c r="F779" s="5"/>
      <c r="G779" s="5"/>
      <c r="H779" s="5"/>
      <c r="I779" s="73"/>
      <c r="J779" s="5"/>
      <c r="K779" s="5"/>
      <c r="L779" s="73"/>
      <c r="M779" s="5"/>
      <c r="N779" s="5"/>
      <c r="O779" s="5"/>
      <c r="P779" s="5"/>
      <c r="Q779" s="5"/>
      <c r="R779" s="5"/>
      <c r="S779" s="5"/>
      <c r="T779" s="5"/>
      <c r="U779" s="5"/>
      <c r="V779" s="5"/>
      <c r="W779" s="5"/>
      <c r="X779" s="5"/>
      <c r="Y779" s="5"/>
      <c r="Z779" s="5"/>
      <c r="AA779" s="5"/>
      <c r="AB779" s="5"/>
      <c r="AC779" s="5"/>
      <c r="AD779" s="6"/>
    </row>
    <row r="780">
      <c r="A780" s="5"/>
      <c r="B780" s="5"/>
      <c r="C780" s="73"/>
      <c r="D780" s="73"/>
      <c r="E780" s="5"/>
      <c r="F780" s="5"/>
      <c r="G780" s="5"/>
      <c r="H780" s="5"/>
      <c r="I780" s="73"/>
      <c r="J780" s="5"/>
      <c r="K780" s="5"/>
      <c r="L780" s="73"/>
      <c r="M780" s="5"/>
      <c r="N780" s="5"/>
      <c r="O780" s="5"/>
      <c r="P780" s="5"/>
      <c r="Q780" s="5"/>
      <c r="R780" s="5"/>
      <c r="S780" s="5"/>
      <c r="T780" s="5"/>
      <c r="U780" s="5"/>
      <c r="V780" s="5"/>
      <c r="W780" s="5"/>
      <c r="X780" s="5"/>
      <c r="Y780" s="5"/>
      <c r="Z780" s="5"/>
      <c r="AA780" s="5"/>
      <c r="AB780" s="5"/>
      <c r="AC780" s="5"/>
      <c r="AD780" s="6"/>
    </row>
    <row r="781">
      <c r="A781" s="5"/>
      <c r="B781" s="5"/>
      <c r="C781" s="73"/>
      <c r="D781" s="73"/>
      <c r="E781" s="5"/>
      <c r="F781" s="5"/>
      <c r="G781" s="5"/>
      <c r="H781" s="5"/>
      <c r="I781" s="73"/>
      <c r="J781" s="5"/>
      <c r="K781" s="5"/>
      <c r="L781" s="73"/>
      <c r="M781" s="5"/>
      <c r="N781" s="5"/>
      <c r="O781" s="5"/>
      <c r="P781" s="5"/>
      <c r="Q781" s="5"/>
      <c r="R781" s="5"/>
      <c r="S781" s="5"/>
      <c r="T781" s="5"/>
      <c r="U781" s="5"/>
      <c r="V781" s="5"/>
      <c r="W781" s="5"/>
      <c r="X781" s="5"/>
      <c r="Y781" s="5"/>
      <c r="Z781" s="5"/>
      <c r="AA781" s="5"/>
      <c r="AB781" s="5"/>
      <c r="AC781" s="5"/>
      <c r="AD781" s="6"/>
    </row>
    <row r="782">
      <c r="A782" s="5"/>
      <c r="B782" s="5"/>
      <c r="C782" s="73"/>
      <c r="D782" s="73"/>
      <c r="E782" s="5"/>
      <c r="F782" s="5"/>
      <c r="G782" s="5"/>
      <c r="H782" s="5"/>
      <c r="I782" s="73"/>
      <c r="J782" s="5"/>
      <c r="K782" s="5"/>
      <c r="L782" s="73"/>
      <c r="M782" s="5"/>
      <c r="N782" s="5"/>
      <c r="O782" s="5"/>
      <c r="P782" s="5"/>
      <c r="Q782" s="5"/>
      <c r="R782" s="5"/>
      <c r="S782" s="5"/>
      <c r="T782" s="5"/>
      <c r="U782" s="5"/>
      <c r="V782" s="5"/>
      <c r="W782" s="5"/>
      <c r="X782" s="5"/>
      <c r="Y782" s="5"/>
      <c r="Z782" s="5"/>
      <c r="AA782" s="5"/>
      <c r="AB782" s="5"/>
      <c r="AC782" s="5"/>
      <c r="AD782" s="6"/>
    </row>
    <row r="783">
      <c r="A783" s="5"/>
      <c r="B783" s="5"/>
      <c r="C783" s="73"/>
      <c r="D783" s="73"/>
      <c r="E783" s="5"/>
      <c r="F783" s="5"/>
      <c r="G783" s="5"/>
      <c r="H783" s="5"/>
      <c r="I783" s="73"/>
      <c r="J783" s="5"/>
      <c r="K783" s="5"/>
      <c r="L783" s="73"/>
      <c r="M783" s="5"/>
      <c r="N783" s="5"/>
      <c r="O783" s="5"/>
      <c r="P783" s="5"/>
      <c r="Q783" s="5"/>
      <c r="R783" s="5"/>
      <c r="S783" s="5"/>
      <c r="T783" s="5"/>
      <c r="U783" s="5"/>
      <c r="V783" s="5"/>
      <c r="W783" s="5"/>
      <c r="X783" s="5"/>
      <c r="Y783" s="5"/>
      <c r="Z783" s="5"/>
      <c r="AA783" s="5"/>
      <c r="AB783" s="5"/>
      <c r="AC783" s="5"/>
      <c r="AD783" s="6"/>
    </row>
    <row r="784">
      <c r="A784" s="5"/>
      <c r="B784" s="5"/>
      <c r="C784" s="73"/>
      <c r="D784" s="73"/>
      <c r="E784" s="5"/>
      <c r="F784" s="5"/>
      <c r="G784" s="5"/>
      <c r="H784" s="5"/>
      <c r="I784" s="73"/>
      <c r="J784" s="5"/>
      <c r="K784" s="5"/>
      <c r="L784" s="73"/>
      <c r="M784" s="5"/>
      <c r="N784" s="5"/>
      <c r="O784" s="5"/>
      <c r="P784" s="5"/>
      <c r="Q784" s="5"/>
      <c r="R784" s="5"/>
      <c r="S784" s="5"/>
      <c r="T784" s="5"/>
      <c r="U784" s="5"/>
      <c r="V784" s="5"/>
      <c r="W784" s="5"/>
      <c r="X784" s="5"/>
      <c r="Y784" s="5"/>
      <c r="Z784" s="5"/>
      <c r="AA784" s="5"/>
      <c r="AB784" s="5"/>
      <c r="AC784" s="5"/>
      <c r="AD784" s="6"/>
    </row>
    <row r="785">
      <c r="A785" s="5"/>
      <c r="B785" s="5"/>
      <c r="C785" s="73"/>
      <c r="D785" s="73"/>
      <c r="E785" s="5"/>
      <c r="F785" s="5"/>
      <c r="G785" s="5"/>
      <c r="H785" s="5"/>
      <c r="I785" s="73"/>
      <c r="J785" s="5"/>
      <c r="K785" s="5"/>
      <c r="L785" s="73"/>
      <c r="M785" s="5"/>
      <c r="N785" s="5"/>
      <c r="O785" s="5"/>
      <c r="P785" s="5"/>
      <c r="Q785" s="5"/>
      <c r="R785" s="5"/>
      <c r="S785" s="5"/>
      <c r="T785" s="5"/>
      <c r="U785" s="5"/>
      <c r="V785" s="5"/>
      <c r="W785" s="5"/>
      <c r="X785" s="5"/>
      <c r="Y785" s="5"/>
      <c r="Z785" s="5"/>
      <c r="AA785" s="5"/>
      <c r="AB785" s="5"/>
      <c r="AC785" s="5"/>
      <c r="AD785" s="6"/>
    </row>
    <row r="786">
      <c r="A786" s="5"/>
      <c r="B786" s="5"/>
      <c r="C786" s="73"/>
      <c r="D786" s="73"/>
      <c r="E786" s="5"/>
      <c r="F786" s="5"/>
      <c r="G786" s="5"/>
      <c r="H786" s="5"/>
      <c r="I786" s="73"/>
      <c r="J786" s="5"/>
      <c r="K786" s="5"/>
      <c r="L786" s="73"/>
      <c r="M786" s="5"/>
      <c r="N786" s="5"/>
      <c r="O786" s="5"/>
      <c r="P786" s="5"/>
      <c r="Q786" s="5"/>
      <c r="R786" s="5"/>
      <c r="S786" s="5"/>
      <c r="T786" s="5"/>
      <c r="U786" s="5"/>
      <c r="V786" s="5"/>
      <c r="W786" s="5"/>
      <c r="X786" s="5"/>
      <c r="Y786" s="5"/>
      <c r="Z786" s="5"/>
      <c r="AA786" s="5"/>
      <c r="AB786" s="5"/>
      <c r="AC786" s="5"/>
      <c r="AD786" s="6"/>
    </row>
    <row r="787">
      <c r="A787" s="5"/>
      <c r="B787" s="5"/>
      <c r="C787" s="73"/>
      <c r="D787" s="73"/>
      <c r="E787" s="5"/>
      <c r="F787" s="5"/>
      <c r="G787" s="5"/>
      <c r="H787" s="5"/>
      <c r="I787" s="73"/>
      <c r="J787" s="5"/>
      <c r="K787" s="5"/>
      <c r="L787" s="73"/>
      <c r="M787" s="5"/>
      <c r="N787" s="5"/>
      <c r="O787" s="5"/>
      <c r="P787" s="5"/>
      <c r="Q787" s="5"/>
      <c r="R787" s="5"/>
      <c r="S787" s="5"/>
      <c r="T787" s="5"/>
      <c r="U787" s="5"/>
      <c r="V787" s="5"/>
      <c r="W787" s="5"/>
      <c r="X787" s="5"/>
      <c r="Y787" s="5"/>
      <c r="Z787" s="5"/>
      <c r="AA787" s="5"/>
      <c r="AB787" s="5"/>
      <c r="AC787" s="5"/>
      <c r="AD787" s="6"/>
    </row>
    <row r="788">
      <c r="A788" s="5"/>
      <c r="B788" s="5"/>
      <c r="C788" s="73"/>
      <c r="D788" s="73"/>
      <c r="E788" s="5"/>
      <c r="F788" s="5"/>
      <c r="G788" s="5"/>
      <c r="H788" s="5"/>
      <c r="I788" s="73"/>
      <c r="J788" s="5"/>
      <c r="K788" s="5"/>
      <c r="L788" s="73"/>
      <c r="M788" s="5"/>
      <c r="N788" s="5"/>
      <c r="O788" s="5"/>
      <c r="P788" s="5"/>
      <c r="Q788" s="5"/>
      <c r="R788" s="5"/>
      <c r="S788" s="5"/>
      <c r="T788" s="5"/>
      <c r="U788" s="5"/>
      <c r="V788" s="5"/>
      <c r="W788" s="5"/>
      <c r="X788" s="5"/>
      <c r="Y788" s="5"/>
      <c r="Z788" s="5"/>
      <c r="AA788" s="5"/>
      <c r="AB788" s="5"/>
      <c r="AC788" s="5"/>
      <c r="AD788" s="6"/>
    </row>
    <row r="789">
      <c r="A789" s="5"/>
      <c r="B789" s="5"/>
      <c r="C789" s="73"/>
      <c r="D789" s="73"/>
      <c r="E789" s="5"/>
      <c r="F789" s="5"/>
      <c r="G789" s="5"/>
      <c r="H789" s="5"/>
      <c r="I789" s="73"/>
      <c r="J789" s="5"/>
      <c r="K789" s="5"/>
      <c r="L789" s="73"/>
      <c r="M789" s="5"/>
      <c r="N789" s="5"/>
      <c r="O789" s="5"/>
      <c r="P789" s="5"/>
      <c r="Q789" s="5"/>
      <c r="R789" s="5"/>
      <c r="S789" s="5"/>
      <c r="T789" s="5"/>
      <c r="U789" s="5"/>
      <c r="V789" s="5"/>
      <c r="W789" s="5"/>
      <c r="X789" s="5"/>
      <c r="Y789" s="5"/>
      <c r="Z789" s="5"/>
      <c r="AA789" s="5"/>
      <c r="AB789" s="5"/>
      <c r="AC789" s="5"/>
      <c r="AD789" s="6"/>
    </row>
    <row r="790">
      <c r="A790" s="5"/>
      <c r="B790" s="5"/>
      <c r="C790" s="73"/>
      <c r="D790" s="73"/>
      <c r="E790" s="5"/>
      <c r="F790" s="5"/>
      <c r="G790" s="5"/>
      <c r="H790" s="5"/>
      <c r="I790" s="73"/>
      <c r="J790" s="5"/>
      <c r="K790" s="5"/>
      <c r="L790" s="73"/>
      <c r="M790" s="5"/>
      <c r="N790" s="5"/>
      <c r="O790" s="5"/>
      <c r="P790" s="5"/>
      <c r="Q790" s="5"/>
      <c r="R790" s="5"/>
      <c r="S790" s="5"/>
      <c r="T790" s="5"/>
      <c r="U790" s="5"/>
      <c r="V790" s="5"/>
      <c r="W790" s="5"/>
      <c r="X790" s="5"/>
      <c r="Y790" s="5"/>
      <c r="Z790" s="5"/>
      <c r="AA790" s="5"/>
      <c r="AB790" s="5"/>
      <c r="AC790" s="5"/>
      <c r="AD790" s="6"/>
    </row>
    <row r="791">
      <c r="A791" s="5"/>
      <c r="B791" s="5"/>
      <c r="C791" s="73"/>
      <c r="D791" s="73"/>
      <c r="E791" s="5"/>
      <c r="F791" s="5"/>
      <c r="G791" s="5"/>
      <c r="H791" s="5"/>
      <c r="I791" s="73"/>
      <c r="J791" s="5"/>
      <c r="K791" s="5"/>
      <c r="L791" s="73"/>
      <c r="M791" s="5"/>
      <c r="N791" s="5"/>
      <c r="O791" s="5"/>
      <c r="P791" s="5"/>
      <c r="Q791" s="5"/>
      <c r="R791" s="5"/>
      <c r="S791" s="5"/>
      <c r="T791" s="5"/>
      <c r="U791" s="5"/>
      <c r="V791" s="5"/>
      <c r="W791" s="5"/>
      <c r="X791" s="5"/>
      <c r="Y791" s="5"/>
      <c r="Z791" s="5"/>
      <c r="AA791" s="5"/>
      <c r="AB791" s="5"/>
      <c r="AC791" s="5"/>
      <c r="AD791" s="6"/>
    </row>
    <row r="792">
      <c r="A792" s="5"/>
      <c r="B792" s="5"/>
      <c r="C792" s="73"/>
      <c r="D792" s="73"/>
      <c r="E792" s="5"/>
      <c r="F792" s="5"/>
      <c r="G792" s="5"/>
      <c r="H792" s="5"/>
      <c r="I792" s="73"/>
      <c r="J792" s="5"/>
      <c r="K792" s="5"/>
      <c r="L792" s="73"/>
      <c r="M792" s="5"/>
      <c r="N792" s="5"/>
      <c r="O792" s="5"/>
      <c r="P792" s="5"/>
      <c r="Q792" s="5"/>
      <c r="R792" s="5"/>
      <c r="S792" s="5"/>
      <c r="T792" s="5"/>
      <c r="U792" s="5"/>
      <c r="V792" s="5"/>
      <c r="W792" s="5"/>
      <c r="X792" s="5"/>
      <c r="Y792" s="5"/>
      <c r="Z792" s="5"/>
      <c r="AA792" s="5"/>
      <c r="AB792" s="5"/>
      <c r="AC792" s="5"/>
      <c r="AD792" s="6"/>
    </row>
    <row r="793">
      <c r="A793" s="5"/>
      <c r="B793" s="5"/>
      <c r="C793" s="73"/>
      <c r="D793" s="73"/>
      <c r="E793" s="5"/>
      <c r="F793" s="5"/>
      <c r="G793" s="5"/>
      <c r="H793" s="5"/>
      <c r="I793" s="73"/>
      <c r="J793" s="5"/>
      <c r="K793" s="5"/>
      <c r="L793" s="73"/>
      <c r="M793" s="5"/>
      <c r="N793" s="5"/>
      <c r="O793" s="5"/>
      <c r="P793" s="5"/>
      <c r="Q793" s="5"/>
      <c r="R793" s="5"/>
      <c r="S793" s="5"/>
      <c r="T793" s="5"/>
      <c r="U793" s="5"/>
      <c r="V793" s="5"/>
      <c r="W793" s="5"/>
      <c r="X793" s="5"/>
      <c r="Y793" s="5"/>
      <c r="Z793" s="5"/>
      <c r="AA793" s="5"/>
      <c r="AB793" s="5"/>
      <c r="AC793" s="5"/>
      <c r="AD793" s="6"/>
    </row>
    <row r="794">
      <c r="A794" s="5"/>
      <c r="B794" s="5"/>
      <c r="C794" s="73"/>
      <c r="D794" s="73"/>
      <c r="E794" s="5"/>
      <c r="F794" s="5"/>
      <c r="G794" s="5"/>
      <c r="H794" s="5"/>
      <c r="I794" s="73"/>
      <c r="J794" s="5"/>
      <c r="K794" s="5"/>
      <c r="L794" s="73"/>
      <c r="M794" s="5"/>
      <c r="N794" s="5"/>
      <c r="O794" s="5"/>
      <c r="P794" s="5"/>
      <c r="Q794" s="5"/>
      <c r="R794" s="5"/>
      <c r="S794" s="5"/>
      <c r="T794" s="5"/>
      <c r="U794" s="5"/>
      <c r="V794" s="5"/>
      <c r="W794" s="5"/>
      <c r="X794" s="5"/>
      <c r="Y794" s="5"/>
      <c r="Z794" s="5"/>
      <c r="AA794" s="5"/>
      <c r="AB794" s="5"/>
      <c r="AC794" s="5"/>
      <c r="AD794" s="6"/>
    </row>
    <row r="795">
      <c r="A795" s="5"/>
      <c r="B795" s="5"/>
      <c r="C795" s="73"/>
      <c r="D795" s="73"/>
      <c r="E795" s="5"/>
      <c r="F795" s="5"/>
      <c r="G795" s="5"/>
      <c r="H795" s="5"/>
      <c r="I795" s="73"/>
      <c r="J795" s="5"/>
      <c r="K795" s="5"/>
      <c r="L795" s="73"/>
      <c r="M795" s="5"/>
      <c r="N795" s="5"/>
      <c r="O795" s="5"/>
      <c r="P795" s="5"/>
      <c r="Q795" s="5"/>
      <c r="R795" s="5"/>
      <c r="S795" s="5"/>
      <c r="T795" s="5"/>
      <c r="U795" s="5"/>
      <c r="V795" s="5"/>
      <c r="W795" s="5"/>
      <c r="X795" s="5"/>
      <c r="Y795" s="5"/>
      <c r="Z795" s="5"/>
      <c r="AA795" s="5"/>
      <c r="AB795" s="5"/>
      <c r="AC795" s="5"/>
      <c r="AD795" s="6"/>
    </row>
    <row r="796">
      <c r="A796" s="5"/>
      <c r="B796" s="5"/>
      <c r="C796" s="73"/>
      <c r="D796" s="73"/>
      <c r="E796" s="5"/>
      <c r="F796" s="5"/>
      <c r="G796" s="5"/>
      <c r="H796" s="5"/>
      <c r="I796" s="73"/>
      <c r="J796" s="5"/>
      <c r="K796" s="5"/>
      <c r="L796" s="73"/>
      <c r="M796" s="5"/>
      <c r="N796" s="5"/>
      <c r="O796" s="5"/>
      <c r="P796" s="5"/>
      <c r="Q796" s="5"/>
      <c r="R796" s="5"/>
      <c r="S796" s="5"/>
      <c r="T796" s="5"/>
      <c r="U796" s="5"/>
      <c r="V796" s="5"/>
      <c r="W796" s="5"/>
      <c r="X796" s="5"/>
      <c r="Y796" s="5"/>
      <c r="Z796" s="5"/>
      <c r="AA796" s="5"/>
      <c r="AB796" s="5"/>
      <c r="AC796" s="5"/>
      <c r="AD796" s="6"/>
    </row>
    <row r="797">
      <c r="A797" s="5"/>
      <c r="B797" s="5"/>
      <c r="C797" s="73"/>
      <c r="D797" s="73"/>
      <c r="E797" s="5"/>
      <c r="F797" s="5"/>
      <c r="G797" s="5"/>
      <c r="H797" s="5"/>
      <c r="I797" s="73"/>
      <c r="J797" s="5"/>
      <c r="K797" s="5"/>
      <c r="L797" s="73"/>
      <c r="M797" s="5"/>
      <c r="N797" s="5"/>
      <c r="O797" s="5"/>
      <c r="P797" s="5"/>
      <c r="Q797" s="5"/>
      <c r="R797" s="5"/>
      <c r="S797" s="5"/>
      <c r="T797" s="5"/>
      <c r="U797" s="5"/>
      <c r="V797" s="5"/>
      <c r="W797" s="5"/>
      <c r="X797" s="5"/>
      <c r="Y797" s="5"/>
      <c r="Z797" s="5"/>
      <c r="AA797" s="5"/>
      <c r="AB797" s="5"/>
      <c r="AC797" s="5"/>
      <c r="AD797" s="6"/>
    </row>
    <row r="798">
      <c r="A798" s="5"/>
      <c r="B798" s="5"/>
      <c r="C798" s="73"/>
      <c r="D798" s="73"/>
      <c r="E798" s="5"/>
      <c r="F798" s="5"/>
      <c r="G798" s="5"/>
      <c r="H798" s="5"/>
      <c r="I798" s="73"/>
      <c r="J798" s="5"/>
      <c r="K798" s="5"/>
      <c r="L798" s="73"/>
      <c r="M798" s="5"/>
      <c r="N798" s="5"/>
      <c r="O798" s="5"/>
      <c r="P798" s="5"/>
      <c r="Q798" s="5"/>
      <c r="R798" s="5"/>
      <c r="S798" s="5"/>
      <c r="T798" s="5"/>
      <c r="U798" s="5"/>
      <c r="V798" s="5"/>
      <c r="W798" s="5"/>
      <c r="X798" s="5"/>
      <c r="Y798" s="5"/>
      <c r="Z798" s="5"/>
      <c r="AA798" s="5"/>
      <c r="AB798" s="5"/>
      <c r="AC798" s="5"/>
      <c r="AD798" s="6"/>
    </row>
    <row r="799">
      <c r="A799" s="5"/>
      <c r="B799" s="5"/>
      <c r="C799" s="73"/>
      <c r="D799" s="73"/>
      <c r="E799" s="5"/>
      <c r="F799" s="5"/>
      <c r="G799" s="5"/>
      <c r="H799" s="5"/>
      <c r="I799" s="73"/>
      <c r="J799" s="5"/>
      <c r="K799" s="5"/>
      <c r="L799" s="73"/>
      <c r="M799" s="5"/>
      <c r="N799" s="5"/>
      <c r="O799" s="5"/>
      <c r="P799" s="5"/>
      <c r="Q799" s="5"/>
      <c r="R799" s="5"/>
      <c r="S799" s="5"/>
      <c r="T799" s="5"/>
      <c r="U799" s="5"/>
      <c r="V799" s="5"/>
      <c r="W799" s="5"/>
      <c r="X799" s="5"/>
      <c r="Y799" s="5"/>
      <c r="Z799" s="5"/>
      <c r="AA799" s="5"/>
      <c r="AB799" s="5"/>
      <c r="AC799" s="5"/>
      <c r="AD799" s="6"/>
    </row>
    <row r="800">
      <c r="A800" s="5"/>
      <c r="B800" s="5"/>
      <c r="C800" s="73"/>
      <c r="D800" s="73"/>
      <c r="E800" s="5"/>
      <c r="F800" s="5"/>
      <c r="G800" s="5"/>
      <c r="H800" s="5"/>
      <c r="I800" s="73"/>
      <c r="J800" s="5"/>
      <c r="K800" s="5"/>
      <c r="L800" s="73"/>
      <c r="M800" s="5"/>
      <c r="N800" s="5"/>
      <c r="O800" s="5"/>
      <c r="P800" s="5"/>
      <c r="Q800" s="5"/>
      <c r="R800" s="5"/>
      <c r="S800" s="5"/>
      <c r="T800" s="5"/>
      <c r="U800" s="5"/>
      <c r="V800" s="5"/>
      <c r="W800" s="5"/>
      <c r="X800" s="5"/>
      <c r="Y800" s="5"/>
      <c r="Z800" s="5"/>
      <c r="AA800" s="5"/>
      <c r="AB800" s="5"/>
      <c r="AC800" s="5"/>
      <c r="AD800" s="6"/>
    </row>
    <row r="801">
      <c r="A801" s="5"/>
      <c r="B801" s="5"/>
      <c r="C801" s="73"/>
      <c r="D801" s="73"/>
      <c r="E801" s="5"/>
      <c r="F801" s="5"/>
      <c r="G801" s="5"/>
      <c r="H801" s="5"/>
      <c r="I801" s="73"/>
      <c r="J801" s="5"/>
      <c r="K801" s="5"/>
      <c r="L801" s="73"/>
      <c r="M801" s="5"/>
      <c r="N801" s="5"/>
      <c r="O801" s="5"/>
      <c r="P801" s="5"/>
      <c r="Q801" s="5"/>
      <c r="R801" s="5"/>
      <c r="S801" s="5"/>
      <c r="T801" s="5"/>
      <c r="U801" s="5"/>
      <c r="V801" s="5"/>
      <c r="W801" s="5"/>
      <c r="X801" s="5"/>
      <c r="Y801" s="5"/>
      <c r="Z801" s="5"/>
      <c r="AA801" s="5"/>
      <c r="AB801" s="5"/>
      <c r="AC801" s="5"/>
      <c r="AD801" s="6"/>
    </row>
    <row r="802">
      <c r="A802" s="5"/>
      <c r="B802" s="5"/>
      <c r="C802" s="73"/>
      <c r="D802" s="73"/>
      <c r="E802" s="5"/>
      <c r="F802" s="5"/>
      <c r="G802" s="5"/>
      <c r="H802" s="5"/>
      <c r="I802" s="73"/>
      <c r="J802" s="5"/>
      <c r="K802" s="5"/>
      <c r="L802" s="73"/>
      <c r="M802" s="5"/>
      <c r="N802" s="5"/>
      <c r="O802" s="5"/>
      <c r="P802" s="5"/>
      <c r="Q802" s="5"/>
      <c r="R802" s="5"/>
      <c r="S802" s="5"/>
      <c r="T802" s="5"/>
      <c r="U802" s="5"/>
      <c r="V802" s="5"/>
      <c r="W802" s="5"/>
      <c r="X802" s="5"/>
      <c r="Y802" s="5"/>
      <c r="Z802" s="5"/>
      <c r="AA802" s="5"/>
      <c r="AB802" s="5"/>
      <c r="AC802" s="5"/>
      <c r="AD802" s="6"/>
    </row>
    <row r="803">
      <c r="A803" s="5"/>
      <c r="B803" s="5"/>
      <c r="C803" s="73"/>
      <c r="D803" s="73"/>
      <c r="E803" s="5"/>
      <c r="F803" s="5"/>
      <c r="G803" s="5"/>
      <c r="H803" s="5"/>
      <c r="I803" s="73"/>
      <c r="J803" s="5"/>
      <c r="K803" s="5"/>
      <c r="L803" s="73"/>
      <c r="M803" s="5"/>
      <c r="N803" s="5"/>
      <c r="O803" s="5"/>
      <c r="P803" s="5"/>
      <c r="Q803" s="5"/>
      <c r="R803" s="5"/>
      <c r="S803" s="5"/>
      <c r="T803" s="5"/>
      <c r="U803" s="5"/>
      <c r="V803" s="5"/>
      <c r="W803" s="5"/>
      <c r="X803" s="5"/>
      <c r="Y803" s="5"/>
      <c r="Z803" s="5"/>
      <c r="AA803" s="5"/>
      <c r="AB803" s="5"/>
      <c r="AC803" s="5"/>
      <c r="AD803" s="6"/>
    </row>
    <row r="804">
      <c r="A804" s="5"/>
      <c r="B804" s="5"/>
      <c r="C804" s="73"/>
      <c r="D804" s="73"/>
      <c r="E804" s="5"/>
      <c r="F804" s="5"/>
      <c r="G804" s="5"/>
      <c r="H804" s="5"/>
      <c r="I804" s="73"/>
      <c r="J804" s="5"/>
      <c r="K804" s="5"/>
      <c r="L804" s="73"/>
      <c r="M804" s="5"/>
      <c r="N804" s="5"/>
      <c r="O804" s="5"/>
      <c r="P804" s="5"/>
      <c r="Q804" s="5"/>
      <c r="R804" s="5"/>
      <c r="S804" s="5"/>
      <c r="T804" s="5"/>
      <c r="U804" s="5"/>
      <c r="V804" s="5"/>
      <c r="W804" s="5"/>
      <c r="X804" s="5"/>
      <c r="Y804" s="5"/>
      <c r="Z804" s="5"/>
      <c r="AA804" s="5"/>
      <c r="AB804" s="5"/>
      <c r="AC804" s="5"/>
      <c r="AD804" s="6"/>
    </row>
    <row r="805">
      <c r="A805" s="5"/>
      <c r="B805" s="5"/>
      <c r="C805" s="73"/>
      <c r="D805" s="73"/>
      <c r="E805" s="5"/>
      <c r="F805" s="5"/>
      <c r="G805" s="5"/>
      <c r="H805" s="5"/>
      <c r="I805" s="73"/>
      <c r="J805" s="5"/>
      <c r="K805" s="5"/>
      <c r="L805" s="73"/>
      <c r="M805" s="5"/>
      <c r="N805" s="5"/>
      <c r="O805" s="5"/>
      <c r="P805" s="5"/>
      <c r="Q805" s="5"/>
      <c r="R805" s="5"/>
      <c r="S805" s="5"/>
      <c r="T805" s="5"/>
      <c r="U805" s="5"/>
      <c r="V805" s="5"/>
      <c r="W805" s="5"/>
      <c r="X805" s="5"/>
      <c r="Y805" s="5"/>
      <c r="Z805" s="5"/>
      <c r="AA805" s="5"/>
      <c r="AB805" s="5"/>
      <c r="AC805" s="5"/>
      <c r="AD805" s="6"/>
    </row>
    <row r="806">
      <c r="A806" s="5"/>
      <c r="B806" s="5"/>
      <c r="C806" s="73"/>
      <c r="D806" s="73"/>
      <c r="E806" s="5"/>
      <c r="F806" s="5"/>
      <c r="G806" s="5"/>
      <c r="H806" s="5"/>
      <c r="I806" s="73"/>
      <c r="J806" s="5"/>
      <c r="K806" s="5"/>
      <c r="L806" s="73"/>
      <c r="M806" s="5"/>
      <c r="N806" s="5"/>
      <c r="O806" s="5"/>
      <c r="P806" s="5"/>
      <c r="Q806" s="5"/>
      <c r="R806" s="5"/>
      <c r="S806" s="5"/>
      <c r="T806" s="5"/>
      <c r="U806" s="5"/>
      <c r="V806" s="5"/>
      <c r="W806" s="5"/>
      <c r="X806" s="5"/>
      <c r="Y806" s="5"/>
      <c r="Z806" s="5"/>
      <c r="AA806" s="5"/>
      <c r="AB806" s="5"/>
      <c r="AC806" s="5"/>
      <c r="AD806" s="6"/>
    </row>
    <row r="807">
      <c r="A807" s="5"/>
      <c r="B807" s="5"/>
      <c r="C807" s="73"/>
      <c r="D807" s="73"/>
      <c r="E807" s="5"/>
      <c r="F807" s="5"/>
      <c r="G807" s="5"/>
      <c r="H807" s="5"/>
      <c r="I807" s="73"/>
      <c r="J807" s="5"/>
      <c r="K807" s="5"/>
      <c r="L807" s="73"/>
      <c r="M807" s="5"/>
      <c r="N807" s="5"/>
      <c r="O807" s="5"/>
      <c r="P807" s="5"/>
      <c r="Q807" s="5"/>
      <c r="R807" s="5"/>
      <c r="S807" s="5"/>
      <c r="T807" s="5"/>
      <c r="U807" s="5"/>
      <c r="V807" s="5"/>
      <c r="W807" s="5"/>
      <c r="X807" s="5"/>
      <c r="Y807" s="5"/>
      <c r="Z807" s="5"/>
      <c r="AA807" s="5"/>
      <c r="AB807" s="5"/>
      <c r="AC807" s="5"/>
      <c r="AD807" s="6"/>
    </row>
    <row r="808">
      <c r="A808" s="5"/>
      <c r="B808" s="5"/>
      <c r="C808" s="73"/>
      <c r="D808" s="73"/>
      <c r="E808" s="5"/>
      <c r="F808" s="5"/>
      <c r="G808" s="5"/>
      <c r="H808" s="5"/>
      <c r="I808" s="73"/>
      <c r="J808" s="5"/>
      <c r="K808" s="5"/>
      <c r="L808" s="73"/>
      <c r="M808" s="5"/>
      <c r="N808" s="5"/>
      <c r="O808" s="5"/>
      <c r="P808" s="5"/>
      <c r="Q808" s="5"/>
      <c r="R808" s="5"/>
      <c r="S808" s="5"/>
      <c r="T808" s="5"/>
      <c r="U808" s="5"/>
      <c r="V808" s="5"/>
      <c r="W808" s="5"/>
      <c r="X808" s="5"/>
      <c r="Y808" s="5"/>
      <c r="Z808" s="5"/>
      <c r="AA808" s="5"/>
      <c r="AB808" s="5"/>
      <c r="AC808" s="5"/>
      <c r="AD808" s="6"/>
    </row>
    <row r="809">
      <c r="A809" s="5"/>
      <c r="B809" s="5"/>
      <c r="C809" s="73"/>
      <c r="D809" s="73"/>
      <c r="E809" s="5"/>
      <c r="F809" s="5"/>
      <c r="G809" s="5"/>
      <c r="H809" s="5"/>
      <c r="I809" s="73"/>
      <c r="J809" s="5"/>
      <c r="K809" s="5"/>
      <c r="L809" s="73"/>
      <c r="M809" s="5"/>
      <c r="N809" s="5"/>
      <c r="O809" s="5"/>
      <c r="P809" s="5"/>
      <c r="Q809" s="5"/>
      <c r="R809" s="5"/>
      <c r="S809" s="5"/>
      <c r="T809" s="5"/>
      <c r="U809" s="5"/>
      <c r="V809" s="5"/>
      <c r="W809" s="5"/>
      <c r="X809" s="5"/>
      <c r="Y809" s="5"/>
      <c r="Z809" s="5"/>
      <c r="AA809" s="5"/>
      <c r="AB809" s="5"/>
      <c r="AC809" s="5"/>
      <c r="AD809" s="6"/>
    </row>
    <row r="810">
      <c r="A810" s="5"/>
      <c r="B810" s="5"/>
      <c r="C810" s="73"/>
      <c r="D810" s="73"/>
      <c r="E810" s="5"/>
      <c r="F810" s="5"/>
      <c r="G810" s="5"/>
      <c r="H810" s="5"/>
      <c r="I810" s="73"/>
      <c r="J810" s="5"/>
      <c r="K810" s="5"/>
      <c r="L810" s="73"/>
      <c r="M810" s="5"/>
      <c r="N810" s="5"/>
      <c r="O810" s="5"/>
      <c r="P810" s="5"/>
      <c r="Q810" s="5"/>
      <c r="R810" s="5"/>
      <c r="S810" s="5"/>
      <c r="T810" s="5"/>
      <c r="U810" s="5"/>
      <c r="V810" s="5"/>
      <c r="W810" s="5"/>
      <c r="X810" s="5"/>
      <c r="Y810" s="5"/>
      <c r="Z810" s="5"/>
      <c r="AA810" s="5"/>
      <c r="AB810" s="5"/>
      <c r="AC810" s="5"/>
      <c r="AD810" s="6"/>
    </row>
    <row r="811">
      <c r="A811" s="5"/>
      <c r="B811" s="5"/>
      <c r="C811" s="73"/>
      <c r="D811" s="73"/>
      <c r="E811" s="5"/>
      <c r="F811" s="5"/>
      <c r="G811" s="5"/>
      <c r="H811" s="5"/>
      <c r="I811" s="73"/>
      <c r="J811" s="5"/>
      <c r="K811" s="5"/>
      <c r="L811" s="73"/>
      <c r="M811" s="5"/>
      <c r="N811" s="5"/>
      <c r="O811" s="5"/>
      <c r="P811" s="5"/>
      <c r="Q811" s="5"/>
      <c r="R811" s="5"/>
      <c r="S811" s="5"/>
      <c r="T811" s="5"/>
      <c r="U811" s="5"/>
      <c r="V811" s="5"/>
      <c r="W811" s="5"/>
      <c r="X811" s="5"/>
      <c r="Y811" s="5"/>
      <c r="Z811" s="5"/>
      <c r="AA811" s="5"/>
      <c r="AB811" s="5"/>
      <c r="AC811" s="5"/>
      <c r="AD811" s="6"/>
    </row>
    <row r="812">
      <c r="A812" s="5"/>
      <c r="B812" s="5"/>
      <c r="C812" s="73"/>
      <c r="D812" s="73"/>
      <c r="E812" s="5"/>
      <c r="F812" s="5"/>
      <c r="G812" s="5"/>
      <c r="H812" s="5"/>
      <c r="I812" s="73"/>
      <c r="J812" s="5"/>
      <c r="K812" s="5"/>
      <c r="L812" s="73"/>
      <c r="M812" s="5"/>
      <c r="N812" s="5"/>
      <c r="O812" s="5"/>
      <c r="P812" s="5"/>
      <c r="Q812" s="5"/>
      <c r="R812" s="5"/>
      <c r="S812" s="5"/>
      <c r="T812" s="5"/>
      <c r="U812" s="5"/>
      <c r="V812" s="5"/>
      <c r="W812" s="5"/>
      <c r="X812" s="5"/>
      <c r="Y812" s="5"/>
      <c r="Z812" s="5"/>
      <c r="AA812" s="5"/>
      <c r="AB812" s="5"/>
      <c r="AC812" s="5"/>
      <c r="AD812" s="6"/>
    </row>
    <row r="813">
      <c r="A813" s="5"/>
      <c r="B813" s="5"/>
      <c r="C813" s="73"/>
      <c r="D813" s="73"/>
      <c r="E813" s="5"/>
      <c r="F813" s="5"/>
      <c r="G813" s="5"/>
      <c r="H813" s="5"/>
      <c r="I813" s="73"/>
      <c r="J813" s="5"/>
      <c r="K813" s="5"/>
      <c r="L813" s="73"/>
      <c r="M813" s="5"/>
      <c r="N813" s="5"/>
      <c r="O813" s="5"/>
      <c r="P813" s="5"/>
      <c r="Q813" s="5"/>
      <c r="R813" s="5"/>
      <c r="S813" s="5"/>
      <c r="T813" s="5"/>
      <c r="U813" s="5"/>
      <c r="V813" s="5"/>
      <c r="W813" s="5"/>
      <c r="X813" s="5"/>
      <c r="Y813" s="5"/>
      <c r="Z813" s="5"/>
      <c r="AA813" s="5"/>
      <c r="AB813" s="5"/>
      <c r="AC813" s="5"/>
      <c r="AD813" s="6"/>
    </row>
    <row r="814">
      <c r="A814" s="5"/>
      <c r="B814" s="5"/>
      <c r="C814" s="73"/>
      <c r="D814" s="73"/>
      <c r="E814" s="5"/>
      <c r="F814" s="5"/>
      <c r="G814" s="5"/>
      <c r="H814" s="5"/>
      <c r="I814" s="73"/>
      <c r="J814" s="5"/>
      <c r="K814" s="5"/>
      <c r="L814" s="73"/>
      <c r="M814" s="5"/>
      <c r="N814" s="5"/>
      <c r="O814" s="5"/>
      <c r="P814" s="5"/>
      <c r="Q814" s="5"/>
      <c r="R814" s="5"/>
      <c r="S814" s="5"/>
      <c r="T814" s="5"/>
      <c r="U814" s="5"/>
      <c r="V814" s="5"/>
      <c r="W814" s="5"/>
      <c r="X814" s="5"/>
      <c r="Y814" s="5"/>
      <c r="Z814" s="5"/>
      <c r="AA814" s="5"/>
      <c r="AB814" s="5"/>
      <c r="AC814" s="5"/>
      <c r="AD814" s="6"/>
    </row>
    <row r="815">
      <c r="A815" s="5"/>
      <c r="B815" s="5"/>
      <c r="C815" s="73"/>
      <c r="D815" s="73"/>
      <c r="E815" s="5"/>
      <c r="F815" s="5"/>
      <c r="G815" s="5"/>
      <c r="H815" s="5"/>
      <c r="I815" s="73"/>
      <c r="J815" s="5"/>
      <c r="K815" s="5"/>
      <c r="L815" s="73"/>
      <c r="M815" s="5"/>
      <c r="N815" s="5"/>
      <c r="O815" s="5"/>
      <c r="P815" s="5"/>
      <c r="Q815" s="5"/>
      <c r="R815" s="5"/>
      <c r="S815" s="5"/>
      <c r="T815" s="5"/>
      <c r="U815" s="5"/>
      <c r="V815" s="5"/>
      <c r="W815" s="5"/>
      <c r="X815" s="5"/>
      <c r="Y815" s="5"/>
      <c r="Z815" s="5"/>
      <c r="AA815" s="5"/>
      <c r="AB815" s="5"/>
      <c r="AC815" s="5"/>
      <c r="AD815" s="6"/>
    </row>
    <row r="816">
      <c r="A816" s="5"/>
      <c r="B816" s="5"/>
      <c r="C816" s="73"/>
      <c r="D816" s="73"/>
      <c r="E816" s="5"/>
      <c r="F816" s="5"/>
      <c r="G816" s="5"/>
      <c r="H816" s="5"/>
      <c r="I816" s="73"/>
      <c r="J816" s="5"/>
      <c r="K816" s="5"/>
      <c r="L816" s="73"/>
      <c r="M816" s="5"/>
      <c r="N816" s="5"/>
      <c r="O816" s="5"/>
      <c r="P816" s="5"/>
      <c r="Q816" s="5"/>
      <c r="R816" s="5"/>
      <c r="S816" s="5"/>
      <c r="T816" s="5"/>
      <c r="U816" s="5"/>
      <c r="V816" s="5"/>
      <c r="W816" s="5"/>
      <c r="X816" s="5"/>
      <c r="Y816" s="5"/>
      <c r="Z816" s="5"/>
      <c r="AA816" s="5"/>
      <c r="AB816" s="5"/>
      <c r="AC816" s="5"/>
      <c r="AD816" s="6"/>
    </row>
    <row r="817">
      <c r="A817" s="5"/>
      <c r="B817" s="5"/>
      <c r="C817" s="73"/>
      <c r="D817" s="73"/>
      <c r="E817" s="5"/>
      <c r="F817" s="5"/>
      <c r="G817" s="5"/>
      <c r="H817" s="5"/>
      <c r="I817" s="73"/>
      <c r="J817" s="5"/>
      <c r="K817" s="5"/>
      <c r="L817" s="73"/>
      <c r="M817" s="5"/>
      <c r="N817" s="5"/>
      <c r="O817" s="5"/>
      <c r="P817" s="5"/>
      <c r="Q817" s="5"/>
      <c r="R817" s="5"/>
      <c r="S817" s="5"/>
      <c r="T817" s="5"/>
      <c r="U817" s="5"/>
      <c r="V817" s="5"/>
      <c r="W817" s="5"/>
      <c r="X817" s="5"/>
      <c r="Y817" s="5"/>
      <c r="Z817" s="5"/>
      <c r="AA817" s="5"/>
      <c r="AB817" s="5"/>
      <c r="AC817" s="5"/>
      <c r="AD817" s="6"/>
    </row>
    <row r="818">
      <c r="A818" s="5"/>
      <c r="B818" s="5"/>
      <c r="C818" s="73"/>
      <c r="D818" s="73"/>
      <c r="E818" s="5"/>
      <c r="F818" s="5"/>
      <c r="G818" s="5"/>
      <c r="H818" s="5"/>
      <c r="I818" s="73"/>
      <c r="J818" s="5"/>
      <c r="K818" s="5"/>
      <c r="L818" s="73"/>
      <c r="M818" s="5"/>
      <c r="N818" s="5"/>
      <c r="O818" s="5"/>
      <c r="P818" s="5"/>
      <c r="Q818" s="5"/>
      <c r="R818" s="5"/>
      <c r="S818" s="5"/>
      <c r="T818" s="5"/>
      <c r="U818" s="5"/>
      <c r="V818" s="5"/>
      <c r="W818" s="5"/>
      <c r="X818" s="5"/>
      <c r="Y818" s="5"/>
      <c r="Z818" s="5"/>
      <c r="AA818" s="5"/>
      <c r="AB818" s="5"/>
      <c r="AC818" s="5"/>
      <c r="AD818" s="6"/>
    </row>
    <row r="819">
      <c r="A819" s="5"/>
      <c r="B819" s="5"/>
      <c r="C819" s="73"/>
      <c r="D819" s="73"/>
      <c r="E819" s="5"/>
      <c r="F819" s="5"/>
      <c r="G819" s="5"/>
      <c r="H819" s="5"/>
      <c r="I819" s="73"/>
      <c r="J819" s="5"/>
      <c r="K819" s="5"/>
      <c r="L819" s="73"/>
      <c r="M819" s="5"/>
      <c r="N819" s="5"/>
      <c r="O819" s="5"/>
      <c r="P819" s="5"/>
      <c r="Q819" s="5"/>
      <c r="R819" s="5"/>
      <c r="S819" s="5"/>
      <c r="T819" s="5"/>
      <c r="U819" s="5"/>
      <c r="V819" s="5"/>
      <c r="W819" s="5"/>
      <c r="X819" s="5"/>
      <c r="Y819" s="5"/>
      <c r="Z819" s="5"/>
      <c r="AA819" s="5"/>
      <c r="AB819" s="5"/>
      <c r="AC819" s="5"/>
      <c r="AD819" s="6"/>
    </row>
    <row r="820">
      <c r="A820" s="5"/>
      <c r="B820" s="5"/>
      <c r="C820" s="73"/>
      <c r="D820" s="73"/>
      <c r="E820" s="5"/>
      <c r="F820" s="5"/>
      <c r="G820" s="5"/>
      <c r="H820" s="5"/>
      <c r="I820" s="73"/>
      <c r="J820" s="5"/>
      <c r="K820" s="5"/>
      <c r="L820" s="73"/>
      <c r="M820" s="5"/>
      <c r="N820" s="5"/>
      <c r="O820" s="5"/>
      <c r="P820" s="5"/>
      <c r="Q820" s="5"/>
      <c r="R820" s="5"/>
      <c r="S820" s="5"/>
      <c r="T820" s="5"/>
      <c r="U820" s="5"/>
      <c r="V820" s="5"/>
      <c r="W820" s="5"/>
      <c r="X820" s="5"/>
      <c r="Y820" s="5"/>
      <c r="Z820" s="5"/>
      <c r="AA820" s="5"/>
      <c r="AB820" s="5"/>
      <c r="AC820" s="5"/>
      <c r="AD820" s="6"/>
    </row>
    <row r="821">
      <c r="A821" s="5"/>
      <c r="B821" s="5"/>
      <c r="C821" s="73"/>
      <c r="D821" s="73"/>
      <c r="E821" s="5"/>
      <c r="F821" s="5"/>
      <c r="G821" s="5"/>
      <c r="H821" s="5"/>
      <c r="I821" s="73"/>
      <c r="J821" s="5"/>
      <c r="K821" s="5"/>
      <c r="L821" s="73"/>
      <c r="M821" s="5"/>
      <c r="N821" s="5"/>
      <c r="O821" s="5"/>
      <c r="P821" s="5"/>
      <c r="Q821" s="5"/>
      <c r="R821" s="5"/>
      <c r="S821" s="5"/>
      <c r="T821" s="5"/>
      <c r="U821" s="5"/>
      <c r="V821" s="5"/>
      <c r="W821" s="5"/>
      <c r="X821" s="5"/>
      <c r="Y821" s="5"/>
      <c r="Z821" s="5"/>
      <c r="AA821" s="5"/>
      <c r="AB821" s="5"/>
      <c r="AC821" s="5"/>
      <c r="AD821" s="6"/>
    </row>
    <row r="822">
      <c r="A822" s="5"/>
      <c r="B822" s="5"/>
      <c r="C822" s="73"/>
      <c r="D822" s="73"/>
      <c r="E822" s="5"/>
      <c r="F822" s="5"/>
      <c r="G822" s="5"/>
      <c r="H822" s="5"/>
      <c r="I822" s="73"/>
      <c r="J822" s="5"/>
      <c r="K822" s="5"/>
      <c r="L822" s="73"/>
      <c r="M822" s="5"/>
      <c r="N822" s="5"/>
      <c r="O822" s="5"/>
      <c r="P822" s="5"/>
      <c r="Q822" s="5"/>
      <c r="R822" s="5"/>
      <c r="S822" s="5"/>
      <c r="T822" s="5"/>
      <c r="U822" s="5"/>
      <c r="V822" s="5"/>
      <c r="W822" s="5"/>
      <c r="X822" s="5"/>
      <c r="Y822" s="5"/>
      <c r="Z822" s="5"/>
      <c r="AA822" s="5"/>
      <c r="AB822" s="5"/>
      <c r="AC822" s="5"/>
      <c r="AD822" s="6"/>
    </row>
    <row r="823">
      <c r="A823" s="5"/>
      <c r="B823" s="5"/>
      <c r="C823" s="73"/>
      <c r="D823" s="73"/>
      <c r="E823" s="5"/>
      <c r="F823" s="5"/>
      <c r="G823" s="5"/>
      <c r="H823" s="5"/>
      <c r="I823" s="73"/>
      <c r="J823" s="5"/>
      <c r="K823" s="5"/>
      <c r="L823" s="73"/>
      <c r="M823" s="5"/>
      <c r="N823" s="5"/>
      <c r="O823" s="5"/>
      <c r="P823" s="5"/>
      <c r="Q823" s="5"/>
      <c r="R823" s="5"/>
      <c r="S823" s="5"/>
      <c r="T823" s="5"/>
      <c r="U823" s="5"/>
      <c r="V823" s="5"/>
      <c r="W823" s="5"/>
      <c r="X823" s="5"/>
      <c r="Y823" s="5"/>
      <c r="Z823" s="5"/>
      <c r="AA823" s="5"/>
      <c r="AB823" s="5"/>
      <c r="AC823" s="5"/>
      <c r="AD823" s="6"/>
    </row>
    <row r="824">
      <c r="A824" s="5"/>
      <c r="B824" s="5"/>
      <c r="C824" s="73"/>
      <c r="D824" s="73"/>
      <c r="E824" s="5"/>
      <c r="F824" s="5"/>
      <c r="G824" s="5"/>
      <c r="H824" s="5"/>
      <c r="I824" s="73"/>
      <c r="J824" s="5"/>
      <c r="K824" s="5"/>
      <c r="L824" s="73"/>
      <c r="M824" s="5"/>
      <c r="N824" s="5"/>
      <c r="O824" s="5"/>
      <c r="P824" s="5"/>
      <c r="Q824" s="5"/>
      <c r="R824" s="5"/>
      <c r="S824" s="5"/>
      <c r="T824" s="5"/>
      <c r="U824" s="5"/>
      <c r="V824" s="5"/>
      <c r="W824" s="5"/>
      <c r="X824" s="5"/>
      <c r="Y824" s="5"/>
      <c r="Z824" s="5"/>
      <c r="AA824" s="5"/>
      <c r="AB824" s="5"/>
      <c r="AC824" s="5"/>
      <c r="AD824" s="6"/>
    </row>
    <row r="825">
      <c r="A825" s="5"/>
      <c r="B825" s="5"/>
      <c r="C825" s="73"/>
      <c r="D825" s="73"/>
      <c r="E825" s="5"/>
      <c r="F825" s="5"/>
      <c r="G825" s="5"/>
      <c r="H825" s="5"/>
      <c r="I825" s="73"/>
      <c r="J825" s="5"/>
      <c r="K825" s="5"/>
      <c r="L825" s="73"/>
      <c r="M825" s="5"/>
      <c r="N825" s="5"/>
      <c r="O825" s="5"/>
      <c r="P825" s="5"/>
      <c r="Q825" s="5"/>
      <c r="R825" s="5"/>
      <c r="S825" s="5"/>
      <c r="T825" s="5"/>
      <c r="U825" s="5"/>
      <c r="V825" s="5"/>
      <c r="W825" s="5"/>
      <c r="X825" s="5"/>
      <c r="Y825" s="5"/>
      <c r="Z825" s="5"/>
      <c r="AA825" s="5"/>
      <c r="AB825" s="5"/>
      <c r="AC825" s="5"/>
      <c r="AD825" s="6"/>
    </row>
    <row r="826">
      <c r="A826" s="5"/>
      <c r="B826" s="5"/>
      <c r="C826" s="73"/>
      <c r="D826" s="73"/>
      <c r="E826" s="5"/>
      <c r="F826" s="5"/>
      <c r="G826" s="5"/>
      <c r="H826" s="5"/>
      <c r="I826" s="73"/>
      <c r="J826" s="5"/>
      <c r="K826" s="5"/>
      <c r="L826" s="73"/>
      <c r="M826" s="5"/>
      <c r="N826" s="5"/>
      <c r="O826" s="5"/>
      <c r="P826" s="5"/>
      <c r="Q826" s="5"/>
      <c r="R826" s="5"/>
      <c r="S826" s="5"/>
      <c r="T826" s="5"/>
      <c r="U826" s="5"/>
      <c r="V826" s="5"/>
      <c r="W826" s="5"/>
      <c r="X826" s="5"/>
      <c r="Y826" s="5"/>
      <c r="Z826" s="5"/>
      <c r="AA826" s="5"/>
      <c r="AB826" s="5"/>
      <c r="AC826" s="5"/>
      <c r="AD826" s="6"/>
    </row>
    <row r="827">
      <c r="A827" s="5"/>
      <c r="B827" s="5"/>
      <c r="C827" s="73"/>
      <c r="D827" s="73"/>
      <c r="E827" s="5"/>
      <c r="F827" s="5"/>
      <c r="G827" s="5"/>
      <c r="H827" s="5"/>
      <c r="I827" s="73"/>
      <c r="J827" s="5"/>
      <c r="K827" s="5"/>
      <c r="L827" s="73"/>
      <c r="M827" s="5"/>
      <c r="N827" s="5"/>
      <c r="O827" s="5"/>
      <c r="P827" s="5"/>
      <c r="Q827" s="5"/>
      <c r="R827" s="5"/>
      <c r="S827" s="5"/>
      <c r="T827" s="5"/>
      <c r="U827" s="5"/>
      <c r="V827" s="5"/>
      <c r="W827" s="5"/>
      <c r="X827" s="5"/>
      <c r="Y827" s="5"/>
      <c r="Z827" s="5"/>
      <c r="AA827" s="5"/>
      <c r="AB827" s="5"/>
      <c r="AC827" s="5"/>
      <c r="AD827" s="6"/>
    </row>
    <row r="828">
      <c r="A828" s="5"/>
      <c r="B828" s="5"/>
      <c r="C828" s="73"/>
      <c r="D828" s="73"/>
      <c r="E828" s="5"/>
      <c r="F828" s="5"/>
      <c r="G828" s="5"/>
      <c r="H828" s="5"/>
      <c r="I828" s="73"/>
      <c r="J828" s="5"/>
      <c r="K828" s="5"/>
      <c r="L828" s="73"/>
      <c r="M828" s="5"/>
      <c r="N828" s="5"/>
      <c r="O828" s="5"/>
      <c r="P828" s="5"/>
      <c r="Q828" s="5"/>
      <c r="R828" s="5"/>
      <c r="S828" s="5"/>
      <c r="T828" s="5"/>
      <c r="U828" s="5"/>
      <c r="V828" s="5"/>
      <c r="W828" s="5"/>
      <c r="X828" s="5"/>
      <c r="Y828" s="5"/>
      <c r="Z828" s="5"/>
      <c r="AA828" s="5"/>
      <c r="AB828" s="5"/>
      <c r="AC828" s="5"/>
      <c r="AD828" s="6"/>
    </row>
    <row r="829">
      <c r="A829" s="5"/>
      <c r="B829" s="5"/>
      <c r="C829" s="73"/>
      <c r="D829" s="73"/>
      <c r="E829" s="5"/>
      <c r="F829" s="5"/>
      <c r="G829" s="5"/>
      <c r="H829" s="5"/>
      <c r="I829" s="73"/>
      <c r="J829" s="5"/>
      <c r="K829" s="5"/>
      <c r="L829" s="73"/>
      <c r="M829" s="5"/>
      <c r="N829" s="5"/>
      <c r="O829" s="5"/>
      <c r="P829" s="5"/>
      <c r="Q829" s="5"/>
      <c r="R829" s="5"/>
      <c r="S829" s="5"/>
      <c r="T829" s="5"/>
      <c r="U829" s="5"/>
      <c r="V829" s="5"/>
      <c r="W829" s="5"/>
      <c r="X829" s="5"/>
      <c r="Y829" s="5"/>
      <c r="Z829" s="5"/>
      <c r="AA829" s="5"/>
      <c r="AB829" s="5"/>
      <c r="AC829" s="5"/>
      <c r="AD829" s="6"/>
    </row>
    <row r="830">
      <c r="A830" s="5"/>
      <c r="B830" s="5"/>
      <c r="C830" s="73"/>
      <c r="D830" s="73"/>
      <c r="E830" s="5"/>
      <c r="F830" s="5"/>
      <c r="G830" s="5"/>
      <c r="H830" s="5"/>
      <c r="I830" s="73"/>
      <c r="J830" s="5"/>
      <c r="K830" s="5"/>
      <c r="L830" s="73"/>
      <c r="M830" s="5"/>
      <c r="N830" s="5"/>
      <c r="O830" s="5"/>
      <c r="P830" s="5"/>
      <c r="Q830" s="5"/>
      <c r="R830" s="5"/>
      <c r="S830" s="5"/>
      <c r="T830" s="5"/>
      <c r="U830" s="5"/>
      <c r="V830" s="5"/>
      <c r="W830" s="5"/>
      <c r="X830" s="5"/>
      <c r="Y830" s="5"/>
      <c r="Z830" s="5"/>
      <c r="AA830" s="5"/>
      <c r="AB830" s="5"/>
      <c r="AC830" s="5"/>
      <c r="AD830" s="6"/>
    </row>
    <row r="831">
      <c r="A831" s="5"/>
      <c r="B831" s="5"/>
      <c r="C831" s="73"/>
      <c r="D831" s="73"/>
      <c r="E831" s="5"/>
      <c r="F831" s="5"/>
      <c r="G831" s="5"/>
      <c r="H831" s="5"/>
      <c r="I831" s="73"/>
      <c r="J831" s="5"/>
      <c r="K831" s="5"/>
      <c r="L831" s="73"/>
      <c r="M831" s="5"/>
      <c r="N831" s="5"/>
      <c r="O831" s="5"/>
      <c r="P831" s="5"/>
      <c r="Q831" s="5"/>
      <c r="R831" s="5"/>
      <c r="S831" s="5"/>
      <c r="T831" s="5"/>
      <c r="U831" s="5"/>
      <c r="V831" s="5"/>
      <c r="W831" s="5"/>
      <c r="X831" s="5"/>
      <c r="Y831" s="5"/>
      <c r="Z831" s="5"/>
      <c r="AA831" s="5"/>
      <c r="AB831" s="5"/>
      <c r="AC831" s="5"/>
      <c r="AD831" s="6"/>
    </row>
    <row r="832">
      <c r="A832" s="5"/>
      <c r="B832" s="5"/>
      <c r="C832" s="73"/>
      <c r="D832" s="73"/>
      <c r="E832" s="5"/>
      <c r="F832" s="5"/>
      <c r="G832" s="5"/>
      <c r="H832" s="5"/>
      <c r="I832" s="73"/>
      <c r="J832" s="5"/>
      <c r="K832" s="5"/>
      <c r="L832" s="73"/>
      <c r="M832" s="5"/>
      <c r="N832" s="5"/>
      <c r="O832" s="5"/>
      <c r="P832" s="5"/>
      <c r="Q832" s="5"/>
      <c r="R832" s="5"/>
      <c r="S832" s="5"/>
      <c r="T832" s="5"/>
      <c r="U832" s="5"/>
      <c r="V832" s="5"/>
      <c r="W832" s="5"/>
      <c r="X832" s="5"/>
      <c r="Y832" s="5"/>
      <c r="Z832" s="5"/>
      <c r="AA832" s="5"/>
      <c r="AB832" s="5"/>
      <c r="AC832" s="5"/>
      <c r="AD832" s="6"/>
    </row>
    <row r="833">
      <c r="A833" s="5"/>
      <c r="B833" s="5"/>
      <c r="C833" s="73"/>
      <c r="D833" s="73"/>
      <c r="E833" s="5"/>
      <c r="F833" s="5"/>
      <c r="G833" s="5"/>
      <c r="H833" s="5"/>
      <c r="I833" s="73"/>
      <c r="J833" s="5"/>
      <c r="K833" s="5"/>
      <c r="L833" s="73"/>
      <c r="M833" s="5"/>
      <c r="N833" s="5"/>
      <c r="O833" s="5"/>
      <c r="P833" s="5"/>
      <c r="Q833" s="5"/>
      <c r="R833" s="5"/>
      <c r="S833" s="5"/>
      <c r="T833" s="5"/>
      <c r="U833" s="5"/>
      <c r="V833" s="5"/>
      <c r="W833" s="5"/>
      <c r="X833" s="5"/>
      <c r="Y833" s="5"/>
      <c r="Z833" s="5"/>
      <c r="AA833" s="5"/>
      <c r="AB833" s="5"/>
      <c r="AC833" s="5"/>
      <c r="AD833" s="6"/>
    </row>
    <row r="834">
      <c r="A834" s="5"/>
      <c r="B834" s="5"/>
      <c r="C834" s="73"/>
      <c r="D834" s="73"/>
      <c r="E834" s="5"/>
      <c r="F834" s="5"/>
      <c r="G834" s="5"/>
      <c r="H834" s="5"/>
      <c r="I834" s="73"/>
      <c r="J834" s="5"/>
      <c r="K834" s="5"/>
      <c r="L834" s="73"/>
      <c r="M834" s="5"/>
      <c r="N834" s="5"/>
      <c r="O834" s="5"/>
      <c r="P834" s="5"/>
      <c r="Q834" s="5"/>
      <c r="R834" s="5"/>
      <c r="S834" s="5"/>
      <c r="T834" s="5"/>
      <c r="U834" s="5"/>
      <c r="V834" s="5"/>
      <c r="W834" s="5"/>
      <c r="X834" s="5"/>
      <c r="Y834" s="5"/>
      <c r="Z834" s="5"/>
      <c r="AA834" s="5"/>
      <c r="AB834" s="5"/>
      <c r="AC834" s="5"/>
      <c r="AD834" s="6"/>
    </row>
    <row r="835">
      <c r="A835" s="5"/>
      <c r="B835" s="5"/>
      <c r="C835" s="73"/>
      <c r="D835" s="73"/>
      <c r="E835" s="5"/>
      <c r="F835" s="5"/>
      <c r="G835" s="5"/>
      <c r="H835" s="5"/>
      <c r="I835" s="73"/>
      <c r="J835" s="5"/>
      <c r="K835" s="5"/>
      <c r="L835" s="73"/>
      <c r="M835" s="5"/>
      <c r="N835" s="5"/>
      <c r="O835" s="5"/>
      <c r="P835" s="5"/>
      <c r="Q835" s="5"/>
      <c r="R835" s="5"/>
      <c r="S835" s="5"/>
      <c r="T835" s="5"/>
      <c r="U835" s="5"/>
      <c r="V835" s="5"/>
      <c r="W835" s="5"/>
      <c r="X835" s="5"/>
      <c r="Y835" s="5"/>
      <c r="Z835" s="5"/>
      <c r="AA835" s="5"/>
      <c r="AB835" s="5"/>
      <c r="AC835" s="5"/>
      <c r="AD835" s="6"/>
    </row>
    <row r="836">
      <c r="A836" s="5"/>
      <c r="B836" s="5"/>
      <c r="C836" s="73"/>
      <c r="D836" s="73"/>
      <c r="E836" s="5"/>
      <c r="F836" s="5"/>
      <c r="G836" s="5"/>
      <c r="H836" s="5"/>
      <c r="I836" s="73"/>
      <c r="J836" s="5"/>
      <c r="K836" s="5"/>
      <c r="L836" s="73"/>
      <c r="M836" s="5"/>
      <c r="N836" s="5"/>
      <c r="O836" s="5"/>
      <c r="P836" s="5"/>
      <c r="Q836" s="5"/>
      <c r="R836" s="5"/>
      <c r="S836" s="5"/>
      <c r="T836" s="5"/>
      <c r="U836" s="5"/>
      <c r="V836" s="5"/>
      <c r="W836" s="5"/>
      <c r="X836" s="5"/>
      <c r="Y836" s="5"/>
      <c r="Z836" s="5"/>
      <c r="AA836" s="5"/>
      <c r="AB836" s="5"/>
      <c r="AC836" s="5"/>
      <c r="AD836" s="6"/>
    </row>
    <row r="837">
      <c r="A837" s="5"/>
      <c r="B837" s="5"/>
      <c r="C837" s="73"/>
      <c r="D837" s="73"/>
      <c r="E837" s="5"/>
      <c r="F837" s="5"/>
      <c r="G837" s="5"/>
      <c r="H837" s="5"/>
      <c r="I837" s="73"/>
      <c r="J837" s="5"/>
      <c r="K837" s="5"/>
      <c r="L837" s="73"/>
      <c r="M837" s="5"/>
      <c r="N837" s="5"/>
      <c r="O837" s="5"/>
      <c r="P837" s="5"/>
      <c r="Q837" s="5"/>
      <c r="R837" s="5"/>
      <c r="S837" s="5"/>
      <c r="T837" s="5"/>
      <c r="U837" s="5"/>
      <c r="V837" s="5"/>
      <c r="W837" s="5"/>
      <c r="X837" s="5"/>
      <c r="Y837" s="5"/>
      <c r="Z837" s="5"/>
      <c r="AA837" s="5"/>
      <c r="AB837" s="5"/>
      <c r="AC837" s="5"/>
      <c r="AD837" s="6"/>
    </row>
    <row r="838">
      <c r="A838" s="5"/>
      <c r="B838" s="5"/>
      <c r="C838" s="73"/>
      <c r="D838" s="73"/>
      <c r="E838" s="5"/>
      <c r="F838" s="5"/>
      <c r="G838" s="5"/>
      <c r="H838" s="5"/>
      <c r="I838" s="73"/>
      <c r="J838" s="5"/>
      <c r="K838" s="5"/>
      <c r="L838" s="73"/>
      <c r="M838" s="5"/>
      <c r="N838" s="5"/>
      <c r="O838" s="5"/>
      <c r="P838" s="5"/>
      <c r="Q838" s="5"/>
      <c r="R838" s="5"/>
      <c r="S838" s="5"/>
      <c r="T838" s="5"/>
      <c r="U838" s="5"/>
      <c r="V838" s="5"/>
      <c r="W838" s="5"/>
      <c r="X838" s="5"/>
      <c r="Y838" s="5"/>
      <c r="Z838" s="5"/>
      <c r="AA838" s="5"/>
      <c r="AB838" s="5"/>
      <c r="AC838" s="5"/>
      <c r="AD838" s="6"/>
    </row>
    <row r="839">
      <c r="A839" s="5"/>
      <c r="B839" s="5"/>
      <c r="C839" s="73"/>
      <c r="D839" s="73"/>
      <c r="E839" s="5"/>
      <c r="F839" s="5"/>
      <c r="G839" s="5"/>
      <c r="H839" s="5"/>
      <c r="I839" s="73"/>
      <c r="J839" s="5"/>
      <c r="K839" s="5"/>
      <c r="L839" s="73"/>
      <c r="M839" s="5"/>
      <c r="N839" s="5"/>
      <c r="O839" s="5"/>
      <c r="P839" s="5"/>
      <c r="Q839" s="5"/>
      <c r="R839" s="5"/>
      <c r="S839" s="5"/>
      <c r="T839" s="5"/>
      <c r="U839" s="5"/>
      <c r="V839" s="5"/>
      <c r="W839" s="5"/>
      <c r="X839" s="5"/>
      <c r="Y839" s="5"/>
      <c r="Z839" s="5"/>
      <c r="AA839" s="5"/>
      <c r="AB839" s="5"/>
      <c r="AC839" s="5"/>
      <c r="AD839" s="6"/>
    </row>
    <row r="840">
      <c r="A840" s="5"/>
      <c r="B840" s="5"/>
      <c r="C840" s="73"/>
      <c r="D840" s="73"/>
      <c r="E840" s="5"/>
      <c r="F840" s="5"/>
      <c r="G840" s="5"/>
      <c r="H840" s="5"/>
      <c r="I840" s="73"/>
      <c r="J840" s="5"/>
      <c r="K840" s="5"/>
      <c r="L840" s="73"/>
      <c r="M840" s="5"/>
      <c r="N840" s="5"/>
      <c r="O840" s="5"/>
      <c r="P840" s="5"/>
      <c r="Q840" s="5"/>
      <c r="R840" s="5"/>
      <c r="S840" s="5"/>
      <c r="T840" s="5"/>
      <c r="U840" s="5"/>
      <c r="V840" s="5"/>
      <c r="W840" s="5"/>
      <c r="X840" s="5"/>
      <c r="Y840" s="5"/>
      <c r="Z840" s="5"/>
      <c r="AA840" s="5"/>
      <c r="AB840" s="5"/>
      <c r="AC840" s="5"/>
      <c r="AD840" s="6"/>
    </row>
    <row r="841">
      <c r="A841" s="5"/>
      <c r="B841" s="5"/>
      <c r="C841" s="73"/>
      <c r="D841" s="73"/>
      <c r="E841" s="5"/>
      <c r="F841" s="5"/>
      <c r="G841" s="5"/>
      <c r="H841" s="5"/>
      <c r="I841" s="73"/>
      <c r="J841" s="5"/>
      <c r="K841" s="5"/>
      <c r="L841" s="73"/>
      <c r="M841" s="5"/>
      <c r="N841" s="5"/>
      <c r="O841" s="5"/>
      <c r="P841" s="5"/>
      <c r="Q841" s="5"/>
      <c r="R841" s="5"/>
      <c r="S841" s="5"/>
      <c r="T841" s="5"/>
      <c r="U841" s="5"/>
      <c r="V841" s="5"/>
      <c r="W841" s="5"/>
      <c r="X841" s="5"/>
      <c r="Y841" s="5"/>
      <c r="Z841" s="5"/>
      <c r="AA841" s="5"/>
      <c r="AB841" s="5"/>
      <c r="AC841" s="5"/>
      <c r="AD841" s="6"/>
    </row>
    <row r="842">
      <c r="A842" s="5"/>
      <c r="B842" s="5"/>
      <c r="C842" s="73"/>
      <c r="D842" s="73"/>
      <c r="E842" s="5"/>
      <c r="F842" s="5"/>
      <c r="G842" s="5"/>
      <c r="H842" s="5"/>
      <c r="I842" s="73"/>
      <c r="J842" s="5"/>
      <c r="K842" s="5"/>
      <c r="L842" s="73"/>
      <c r="M842" s="5"/>
      <c r="N842" s="5"/>
      <c r="O842" s="5"/>
      <c r="P842" s="5"/>
      <c r="Q842" s="5"/>
      <c r="R842" s="5"/>
      <c r="S842" s="5"/>
      <c r="T842" s="5"/>
      <c r="U842" s="5"/>
      <c r="V842" s="5"/>
      <c r="W842" s="5"/>
      <c r="X842" s="5"/>
      <c r="Y842" s="5"/>
      <c r="Z842" s="5"/>
      <c r="AA842" s="5"/>
      <c r="AB842" s="5"/>
      <c r="AC842" s="5"/>
      <c r="AD842" s="6"/>
    </row>
    <row r="843">
      <c r="A843" s="5"/>
      <c r="B843" s="5"/>
      <c r="C843" s="73"/>
      <c r="D843" s="73"/>
      <c r="E843" s="5"/>
      <c r="F843" s="5"/>
      <c r="G843" s="5"/>
      <c r="H843" s="5"/>
      <c r="I843" s="73"/>
      <c r="J843" s="5"/>
      <c r="K843" s="5"/>
      <c r="L843" s="73"/>
      <c r="M843" s="5"/>
      <c r="N843" s="5"/>
      <c r="O843" s="5"/>
      <c r="P843" s="5"/>
      <c r="Q843" s="5"/>
      <c r="R843" s="5"/>
      <c r="S843" s="5"/>
      <c r="T843" s="5"/>
      <c r="U843" s="5"/>
      <c r="V843" s="5"/>
      <c r="W843" s="5"/>
      <c r="X843" s="5"/>
      <c r="Y843" s="5"/>
      <c r="Z843" s="5"/>
      <c r="AA843" s="5"/>
      <c r="AB843" s="5"/>
      <c r="AC843" s="5"/>
      <c r="AD843" s="6"/>
    </row>
    <row r="844">
      <c r="A844" s="5"/>
      <c r="B844" s="5"/>
      <c r="C844" s="73"/>
      <c r="D844" s="73"/>
      <c r="E844" s="5"/>
      <c r="F844" s="5"/>
      <c r="G844" s="5"/>
      <c r="H844" s="5"/>
      <c r="I844" s="73"/>
      <c r="J844" s="5"/>
      <c r="K844" s="5"/>
      <c r="L844" s="73"/>
      <c r="M844" s="5"/>
      <c r="N844" s="5"/>
      <c r="O844" s="5"/>
      <c r="P844" s="5"/>
      <c r="Q844" s="5"/>
      <c r="R844" s="5"/>
      <c r="S844" s="5"/>
      <c r="T844" s="5"/>
      <c r="U844" s="5"/>
      <c r="V844" s="5"/>
      <c r="W844" s="5"/>
      <c r="X844" s="5"/>
      <c r="Y844" s="5"/>
      <c r="Z844" s="5"/>
      <c r="AA844" s="5"/>
      <c r="AB844" s="5"/>
      <c r="AC844" s="5"/>
      <c r="AD844" s="6"/>
    </row>
    <row r="845">
      <c r="A845" s="5"/>
      <c r="B845" s="5"/>
      <c r="C845" s="73"/>
      <c r="D845" s="73"/>
      <c r="E845" s="5"/>
      <c r="F845" s="5"/>
      <c r="G845" s="5"/>
      <c r="H845" s="5"/>
      <c r="I845" s="73"/>
      <c r="J845" s="5"/>
      <c r="K845" s="5"/>
      <c r="L845" s="73"/>
      <c r="M845" s="5"/>
      <c r="N845" s="5"/>
      <c r="O845" s="5"/>
      <c r="P845" s="5"/>
      <c r="Q845" s="5"/>
      <c r="R845" s="5"/>
      <c r="S845" s="5"/>
      <c r="T845" s="5"/>
      <c r="U845" s="5"/>
      <c r="V845" s="5"/>
      <c r="W845" s="5"/>
      <c r="X845" s="5"/>
      <c r="Y845" s="5"/>
      <c r="Z845" s="5"/>
      <c r="AA845" s="5"/>
      <c r="AB845" s="5"/>
      <c r="AC845" s="5"/>
      <c r="AD845" s="6"/>
    </row>
    <row r="846">
      <c r="A846" s="5"/>
      <c r="B846" s="5"/>
      <c r="C846" s="73"/>
      <c r="D846" s="73"/>
      <c r="E846" s="5"/>
      <c r="F846" s="5"/>
      <c r="G846" s="5"/>
      <c r="H846" s="5"/>
      <c r="I846" s="73"/>
      <c r="J846" s="5"/>
      <c r="K846" s="5"/>
      <c r="L846" s="73"/>
      <c r="M846" s="5"/>
      <c r="N846" s="5"/>
      <c r="O846" s="5"/>
      <c r="P846" s="5"/>
      <c r="Q846" s="5"/>
      <c r="R846" s="5"/>
      <c r="S846" s="5"/>
      <c r="T846" s="5"/>
      <c r="U846" s="5"/>
      <c r="V846" s="5"/>
      <c r="W846" s="5"/>
      <c r="X846" s="5"/>
      <c r="Y846" s="5"/>
      <c r="Z846" s="5"/>
      <c r="AA846" s="5"/>
      <c r="AB846" s="5"/>
      <c r="AC846" s="5"/>
      <c r="AD846" s="6"/>
    </row>
    <row r="847">
      <c r="A847" s="5"/>
      <c r="B847" s="5"/>
      <c r="C847" s="73"/>
      <c r="D847" s="73"/>
      <c r="E847" s="5"/>
      <c r="F847" s="5"/>
      <c r="G847" s="5"/>
      <c r="H847" s="5"/>
      <c r="I847" s="73"/>
      <c r="J847" s="5"/>
      <c r="K847" s="5"/>
      <c r="L847" s="73"/>
      <c r="M847" s="5"/>
      <c r="N847" s="5"/>
      <c r="O847" s="5"/>
      <c r="P847" s="5"/>
      <c r="Q847" s="5"/>
      <c r="R847" s="5"/>
      <c r="S847" s="5"/>
      <c r="T847" s="5"/>
      <c r="U847" s="5"/>
      <c r="V847" s="5"/>
      <c r="W847" s="5"/>
      <c r="X847" s="5"/>
      <c r="Y847" s="5"/>
      <c r="Z847" s="5"/>
      <c r="AA847" s="5"/>
      <c r="AB847" s="5"/>
      <c r="AC847" s="5"/>
      <c r="AD847" s="6"/>
    </row>
    <row r="848">
      <c r="A848" s="5"/>
      <c r="B848" s="5"/>
      <c r="C848" s="73"/>
      <c r="D848" s="73"/>
      <c r="E848" s="5"/>
      <c r="F848" s="5"/>
      <c r="G848" s="5"/>
      <c r="H848" s="5"/>
      <c r="I848" s="73"/>
      <c r="J848" s="5"/>
      <c r="K848" s="5"/>
      <c r="L848" s="73"/>
      <c r="M848" s="5"/>
      <c r="N848" s="5"/>
      <c r="O848" s="5"/>
      <c r="P848" s="5"/>
      <c r="Q848" s="5"/>
      <c r="R848" s="5"/>
      <c r="S848" s="5"/>
      <c r="T848" s="5"/>
      <c r="U848" s="5"/>
      <c r="V848" s="5"/>
      <c r="W848" s="5"/>
      <c r="X848" s="5"/>
      <c r="Y848" s="5"/>
      <c r="Z848" s="5"/>
      <c r="AA848" s="5"/>
      <c r="AB848" s="5"/>
      <c r="AC848" s="5"/>
      <c r="AD848" s="6"/>
    </row>
    <row r="849">
      <c r="A849" s="5"/>
      <c r="B849" s="5"/>
      <c r="C849" s="73"/>
      <c r="D849" s="73"/>
      <c r="E849" s="5"/>
      <c r="F849" s="5"/>
      <c r="G849" s="5"/>
      <c r="H849" s="5"/>
      <c r="I849" s="73"/>
      <c r="J849" s="5"/>
      <c r="K849" s="5"/>
      <c r="L849" s="73"/>
      <c r="M849" s="5"/>
      <c r="N849" s="5"/>
      <c r="O849" s="5"/>
      <c r="P849" s="5"/>
      <c r="Q849" s="5"/>
      <c r="R849" s="5"/>
      <c r="S849" s="5"/>
      <c r="T849" s="5"/>
      <c r="U849" s="5"/>
      <c r="V849" s="5"/>
      <c r="W849" s="5"/>
      <c r="X849" s="5"/>
      <c r="Y849" s="5"/>
      <c r="Z849" s="5"/>
      <c r="AA849" s="5"/>
      <c r="AB849" s="5"/>
      <c r="AC849" s="5"/>
      <c r="AD849" s="6"/>
    </row>
    <row r="850">
      <c r="A850" s="5"/>
      <c r="B850" s="5"/>
      <c r="C850" s="73"/>
      <c r="D850" s="73"/>
      <c r="E850" s="5"/>
      <c r="F850" s="5"/>
      <c r="G850" s="5"/>
      <c r="H850" s="5"/>
      <c r="I850" s="73"/>
      <c r="J850" s="5"/>
      <c r="K850" s="5"/>
      <c r="L850" s="73"/>
      <c r="M850" s="5"/>
      <c r="N850" s="5"/>
      <c r="O850" s="5"/>
      <c r="P850" s="5"/>
      <c r="Q850" s="5"/>
      <c r="R850" s="5"/>
      <c r="S850" s="5"/>
      <c r="T850" s="5"/>
      <c r="U850" s="5"/>
      <c r="V850" s="5"/>
      <c r="W850" s="5"/>
      <c r="X850" s="5"/>
      <c r="Y850" s="5"/>
      <c r="Z850" s="5"/>
      <c r="AA850" s="5"/>
      <c r="AB850" s="5"/>
      <c r="AC850" s="5"/>
      <c r="AD850" s="6"/>
    </row>
    <row r="851">
      <c r="A851" s="5"/>
      <c r="B851" s="5"/>
      <c r="C851" s="73"/>
      <c r="D851" s="73"/>
      <c r="E851" s="5"/>
      <c r="F851" s="5"/>
      <c r="G851" s="5"/>
      <c r="H851" s="5"/>
      <c r="I851" s="73"/>
      <c r="J851" s="5"/>
      <c r="K851" s="5"/>
      <c r="L851" s="73"/>
      <c r="M851" s="5"/>
      <c r="N851" s="5"/>
      <c r="O851" s="5"/>
      <c r="P851" s="5"/>
      <c r="Q851" s="5"/>
      <c r="R851" s="5"/>
      <c r="S851" s="5"/>
      <c r="T851" s="5"/>
      <c r="U851" s="5"/>
      <c r="V851" s="5"/>
      <c r="W851" s="5"/>
      <c r="X851" s="5"/>
      <c r="Y851" s="5"/>
      <c r="Z851" s="5"/>
      <c r="AA851" s="5"/>
      <c r="AB851" s="5"/>
      <c r="AC851" s="5"/>
      <c r="AD851" s="6"/>
    </row>
    <row r="852">
      <c r="A852" s="5"/>
      <c r="B852" s="5"/>
      <c r="C852" s="73"/>
      <c r="D852" s="73"/>
      <c r="E852" s="5"/>
      <c r="F852" s="5"/>
      <c r="G852" s="5"/>
      <c r="H852" s="5"/>
      <c r="I852" s="73"/>
      <c r="J852" s="5"/>
      <c r="K852" s="5"/>
      <c r="L852" s="73"/>
      <c r="M852" s="5"/>
      <c r="N852" s="5"/>
      <c r="O852" s="5"/>
      <c r="P852" s="5"/>
      <c r="Q852" s="5"/>
      <c r="R852" s="5"/>
      <c r="S852" s="5"/>
      <c r="T852" s="5"/>
      <c r="U852" s="5"/>
      <c r="V852" s="5"/>
      <c r="W852" s="5"/>
      <c r="X852" s="5"/>
      <c r="Y852" s="5"/>
      <c r="Z852" s="5"/>
      <c r="AA852" s="5"/>
      <c r="AB852" s="5"/>
      <c r="AC852" s="5"/>
      <c r="AD852" s="6"/>
    </row>
    <row r="853">
      <c r="A853" s="5"/>
      <c r="B853" s="5"/>
      <c r="C853" s="73"/>
      <c r="D853" s="73"/>
      <c r="E853" s="5"/>
      <c r="F853" s="5"/>
      <c r="G853" s="5"/>
      <c r="H853" s="5"/>
      <c r="I853" s="73"/>
      <c r="J853" s="5"/>
      <c r="K853" s="5"/>
      <c r="L853" s="73"/>
      <c r="M853" s="5"/>
      <c r="N853" s="5"/>
      <c r="O853" s="5"/>
      <c r="P853" s="5"/>
      <c r="Q853" s="5"/>
      <c r="R853" s="5"/>
      <c r="S853" s="5"/>
      <c r="T853" s="5"/>
      <c r="U853" s="5"/>
      <c r="V853" s="5"/>
      <c r="W853" s="5"/>
      <c r="X853" s="5"/>
      <c r="Y853" s="5"/>
      <c r="Z853" s="5"/>
      <c r="AA853" s="5"/>
      <c r="AB853" s="5"/>
      <c r="AC853" s="5"/>
      <c r="AD853" s="6"/>
    </row>
    <row r="854">
      <c r="A854" s="5"/>
      <c r="B854" s="5"/>
      <c r="C854" s="73"/>
      <c r="D854" s="73"/>
      <c r="E854" s="5"/>
      <c r="F854" s="5"/>
      <c r="G854" s="5"/>
      <c r="H854" s="5"/>
      <c r="I854" s="73"/>
      <c r="J854" s="5"/>
      <c r="K854" s="5"/>
      <c r="L854" s="73"/>
      <c r="M854" s="5"/>
      <c r="N854" s="5"/>
      <c r="O854" s="5"/>
      <c r="P854" s="5"/>
      <c r="Q854" s="5"/>
      <c r="R854" s="5"/>
      <c r="S854" s="5"/>
      <c r="T854" s="5"/>
      <c r="U854" s="5"/>
      <c r="V854" s="5"/>
      <c r="W854" s="5"/>
      <c r="X854" s="5"/>
      <c r="Y854" s="5"/>
      <c r="Z854" s="5"/>
      <c r="AA854" s="5"/>
      <c r="AB854" s="5"/>
      <c r="AC854" s="5"/>
      <c r="AD854" s="6"/>
    </row>
    <row r="855">
      <c r="A855" s="5"/>
      <c r="B855" s="5"/>
      <c r="C855" s="73"/>
      <c r="D855" s="73"/>
      <c r="E855" s="5"/>
      <c r="F855" s="5"/>
      <c r="G855" s="5"/>
      <c r="H855" s="5"/>
      <c r="I855" s="73"/>
      <c r="J855" s="5"/>
      <c r="K855" s="5"/>
      <c r="L855" s="73"/>
      <c r="M855" s="5"/>
      <c r="N855" s="5"/>
      <c r="O855" s="5"/>
      <c r="P855" s="5"/>
      <c r="Q855" s="5"/>
      <c r="R855" s="5"/>
      <c r="S855" s="5"/>
      <c r="T855" s="5"/>
      <c r="U855" s="5"/>
      <c r="V855" s="5"/>
      <c r="W855" s="5"/>
      <c r="X855" s="5"/>
      <c r="Y855" s="5"/>
      <c r="Z855" s="5"/>
      <c r="AA855" s="5"/>
      <c r="AB855" s="5"/>
      <c r="AC855" s="5"/>
      <c r="AD855" s="6"/>
    </row>
    <row r="856">
      <c r="A856" s="5"/>
      <c r="B856" s="5"/>
      <c r="C856" s="73"/>
      <c r="D856" s="73"/>
      <c r="E856" s="5"/>
      <c r="F856" s="5"/>
      <c r="G856" s="5"/>
      <c r="H856" s="5"/>
      <c r="I856" s="73"/>
      <c r="J856" s="5"/>
      <c r="K856" s="5"/>
      <c r="L856" s="73"/>
      <c r="M856" s="5"/>
      <c r="N856" s="5"/>
      <c r="O856" s="5"/>
      <c r="P856" s="5"/>
      <c r="Q856" s="5"/>
      <c r="R856" s="5"/>
      <c r="S856" s="5"/>
      <c r="T856" s="5"/>
      <c r="U856" s="5"/>
      <c r="V856" s="5"/>
      <c r="W856" s="5"/>
      <c r="X856" s="5"/>
      <c r="Y856" s="5"/>
      <c r="Z856" s="5"/>
      <c r="AA856" s="5"/>
      <c r="AB856" s="5"/>
      <c r="AC856" s="5"/>
      <c r="AD856" s="6"/>
    </row>
    <row r="857">
      <c r="A857" s="5"/>
      <c r="B857" s="5"/>
      <c r="C857" s="73"/>
      <c r="D857" s="73"/>
      <c r="E857" s="5"/>
      <c r="F857" s="5"/>
      <c r="G857" s="5"/>
      <c r="H857" s="5"/>
      <c r="I857" s="73"/>
      <c r="J857" s="5"/>
      <c r="K857" s="5"/>
      <c r="L857" s="73"/>
      <c r="M857" s="5"/>
      <c r="N857" s="5"/>
      <c r="O857" s="5"/>
      <c r="P857" s="5"/>
      <c r="Q857" s="5"/>
      <c r="R857" s="5"/>
      <c r="S857" s="5"/>
      <c r="T857" s="5"/>
      <c r="U857" s="5"/>
      <c r="V857" s="5"/>
      <c r="W857" s="5"/>
      <c r="X857" s="5"/>
      <c r="Y857" s="5"/>
      <c r="Z857" s="5"/>
      <c r="AA857" s="5"/>
      <c r="AB857" s="5"/>
      <c r="AC857" s="5"/>
      <c r="AD857" s="6"/>
    </row>
    <row r="858">
      <c r="A858" s="5"/>
      <c r="B858" s="5"/>
      <c r="C858" s="73"/>
      <c r="D858" s="73"/>
      <c r="E858" s="5"/>
      <c r="F858" s="5"/>
      <c r="G858" s="5"/>
      <c r="H858" s="5"/>
      <c r="I858" s="73"/>
      <c r="J858" s="5"/>
      <c r="K858" s="5"/>
      <c r="L858" s="73"/>
      <c r="M858" s="5"/>
      <c r="N858" s="5"/>
      <c r="O858" s="5"/>
      <c r="P858" s="5"/>
      <c r="Q858" s="5"/>
      <c r="R858" s="5"/>
      <c r="S858" s="5"/>
      <c r="T858" s="5"/>
      <c r="U858" s="5"/>
      <c r="V858" s="5"/>
      <c r="W858" s="5"/>
      <c r="X858" s="5"/>
      <c r="Y858" s="5"/>
      <c r="Z858" s="5"/>
      <c r="AA858" s="5"/>
      <c r="AB858" s="5"/>
      <c r="AC858" s="5"/>
      <c r="AD858" s="6"/>
    </row>
    <row r="859">
      <c r="A859" s="5"/>
      <c r="B859" s="5"/>
      <c r="C859" s="73"/>
      <c r="D859" s="73"/>
      <c r="E859" s="5"/>
      <c r="F859" s="5"/>
      <c r="G859" s="5"/>
      <c r="H859" s="5"/>
      <c r="I859" s="73"/>
      <c r="J859" s="5"/>
      <c r="K859" s="5"/>
      <c r="L859" s="73"/>
      <c r="M859" s="5"/>
      <c r="N859" s="5"/>
      <c r="O859" s="5"/>
      <c r="P859" s="5"/>
      <c r="Q859" s="5"/>
      <c r="R859" s="5"/>
      <c r="S859" s="5"/>
      <c r="T859" s="5"/>
      <c r="U859" s="5"/>
      <c r="V859" s="5"/>
      <c r="W859" s="5"/>
      <c r="X859" s="5"/>
      <c r="Y859" s="5"/>
      <c r="Z859" s="5"/>
      <c r="AA859" s="5"/>
      <c r="AB859" s="5"/>
      <c r="AC859" s="5"/>
      <c r="AD859" s="6"/>
    </row>
    <row r="860">
      <c r="A860" s="5"/>
      <c r="B860" s="5"/>
      <c r="C860" s="73"/>
      <c r="D860" s="73"/>
      <c r="E860" s="5"/>
      <c r="F860" s="5"/>
      <c r="G860" s="5"/>
      <c r="H860" s="5"/>
      <c r="I860" s="73"/>
      <c r="J860" s="5"/>
      <c r="K860" s="5"/>
      <c r="L860" s="73"/>
      <c r="M860" s="5"/>
      <c r="N860" s="5"/>
      <c r="O860" s="5"/>
      <c r="P860" s="5"/>
      <c r="Q860" s="5"/>
      <c r="R860" s="5"/>
      <c r="S860" s="5"/>
      <c r="T860" s="5"/>
      <c r="U860" s="5"/>
      <c r="V860" s="5"/>
      <c r="W860" s="5"/>
      <c r="X860" s="5"/>
      <c r="Y860" s="5"/>
      <c r="Z860" s="5"/>
      <c r="AA860" s="5"/>
      <c r="AB860" s="5"/>
      <c r="AC860" s="5"/>
      <c r="AD860" s="6"/>
    </row>
    <row r="861">
      <c r="A861" s="5"/>
      <c r="B861" s="5"/>
      <c r="C861" s="73"/>
      <c r="D861" s="73"/>
      <c r="E861" s="5"/>
      <c r="F861" s="5"/>
      <c r="G861" s="5"/>
      <c r="H861" s="5"/>
      <c r="I861" s="73"/>
      <c r="J861" s="5"/>
      <c r="K861" s="5"/>
      <c r="L861" s="73"/>
      <c r="M861" s="5"/>
      <c r="N861" s="5"/>
      <c r="O861" s="5"/>
      <c r="P861" s="5"/>
      <c r="Q861" s="5"/>
      <c r="R861" s="5"/>
      <c r="S861" s="5"/>
      <c r="T861" s="5"/>
      <c r="U861" s="5"/>
      <c r="V861" s="5"/>
      <c r="W861" s="5"/>
      <c r="X861" s="5"/>
      <c r="Y861" s="5"/>
      <c r="Z861" s="5"/>
      <c r="AA861" s="5"/>
      <c r="AB861" s="5"/>
      <c r="AC861" s="5"/>
      <c r="AD861" s="6"/>
    </row>
    <row r="862">
      <c r="A862" s="5"/>
      <c r="B862" s="5"/>
      <c r="C862" s="73"/>
      <c r="D862" s="73"/>
      <c r="E862" s="5"/>
      <c r="F862" s="5"/>
      <c r="G862" s="5"/>
      <c r="H862" s="5"/>
      <c r="I862" s="73"/>
      <c r="J862" s="5"/>
      <c r="K862" s="5"/>
      <c r="L862" s="73"/>
      <c r="M862" s="5"/>
      <c r="N862" s="5"/>
      <c r="O862" s="5"/>
      <c r="P862" s="5"/>
      <c r="Q862" s="5"/>
      <c r="R862" s="5"/>
      <c r="S862" s="5"/>
      <c r="T862" s="5"/>
      <c r="U862" s="5"/>
      <c r="V862" s="5"/>
      <c r="W862" s="5"/>
      <c r="X862" s="5"/>
      <c r="Y862" s="5"/>
      <c r="Z862" s="5"/>
      <c r="AA862" s="5"/>
      <c r="AB862" s="5"/>
      <c r="AC862" s="5"/>
      <c r="AD862" s="6"/>
    </row>
    <row r="863">
      <c r="A863" s="5"/>
      <c r="B863" s="5"/>
      <c r="C863" s="73"/>
      <c r="D863" s="73"/>
      <c r="E863" s="5"/>
      <c r="F863" s="5"/>
      <c r="G863" s="5"/>
      <c r="H863" s="5"/>
      <c r="I863" s="73"/>
      <c r="J863" s="5"/>
      <c r="K863" s="5"/>
      <c r="L863" s="73"/>
      <c r="M863" s="5"/>
      <c r="N863" s="5"/>
      <c r="O863" s="5"/>
      <c r="P863" s="5"/>
      <c r="Q863" s="5"/>
      <c r="R863" s="5"/>
      <c r="S863" s="5"/>
      <c r="T863" s="5"/>
      <c r="U863" s="5"/>
      <c r="V863" s="5"/>
      <c r="W863" s="5"/>
      <c r="X863" s="5"/>
      <c r="Y863" s="5"/>
      <c r="Z863" s="5"/>
      <c r="AA863" s="5"/>
      <c r="AB863" s="5"/>
      <c r="AC863" s="5"/>
      <c r="AD863" s="6"/>
    </row>
    <row r="864">
      <c r="A864" s="5"/>
      <c r="B864" s="5"/>
      <c r="C864" s="73"/>
      <c r="D864" s="73"/>
      <c r="E864" s="5"/>
      <c r="F864" s="5"/>
      <c r="G864" s="5"/>
      <c r="H864" s="5"/>
      <c r="I864" s="73"/>
      <c r="J864" s="5"/>
      <c r="K864" s="5"/>
      <c r="L864" s="73"/>
      <c r="M864" s="5"/>
      <c r="N864" s="5"/>
      <c r="O864" s="5"/>
      <c r="P864" s="5"/>
      <c r="Q864" s="5"/>
      <c r="R864" s="5"/>
      <c r="S864" s="5"/>
      <c r="T864" s="5"/>
      <c r="U864" s="5"/>
      <c r="V864" s="5"/>
      <c r="W864" s="5"/>
      <c r="X864" s="5"/>
      <c r="Y864" s="5"/>
      <c r="Z864" s="5"/>
      <c r="AA864" s="5"/>
      <c r="AB864" s="5"/>
      <c r="AC864" s="5"/>
      <c r="AD864" s="6"/>
    </row>
    <row r="865">
      <c r="A865" s="5"/>
      <c r="B865" s="5"/>
      <c r="C865" s="73"/>
      <c r="D865" s="73"/>
      <c r="E865" s="5"/>
      <c r="F865" s="5"/>
      <c r="G865" s="5"/>
      <c r="H865" s="5"/>
      <c r="I865" s="73"/>
      <c r="J865" s="5"/>
      <c r="K865" s="5"/>
      <c r="L865" s="73"/>
      <c r="M865" s="5"/>
      <c r="N865" s="5"/>
      <c r="O865" s="5"/>
      <c r="P865" s="5"/>
      <c r="Q865" s="5"/>
      <c r="R865" s="5"/>
      <c r="S865" s="5"/>
      <c r="T865" s="5"/>
      <c r="U865" s="5"/>
      <c r="V865" s="5"/>
      <c r="W865" s="5"/>
      <c r="X865" s="5"/>
      <c r="Y865" s="5"/>
      <c r="Z865" s="5"/>
      <c r="AA865" s="5"/>
      <c r="AB865" s="5"/>
      <c r="AC865" s="5"/>
      <c r="AD865" s="6"/>
    </row>
    <row r="866">
      <c r="A866" s="5"/>
      <c r="B866" s="5"/>
      <c r="C866" s="73"/>
      <c r="D866" s="73"/>
      <c r="E866" s="5"/>
      <c r="F866" s="5"/>
      <c r="G866" s="5"/>
      <c r="H866" s="5"/>
      <c r="I866" s="73"/>
      <c r="J866" s="5"/>
      <c r="K866" s="5"/>
      <c r="L866" s="73"/>
      <c r="M866" s="5"/>
      <c r="N866" s="5"/>
      <c r="O866" s="5"/>
      <c r="P866" s="5"/>
      <c r="Q866" s="5"/>
      <c r="R866" s="5"/>
      <c r="S866" s="5"/>
      <c r="T866" s="5"/>
      <c r="U866" s="5"/>
      <c r="V866" s="5"/>
      <c r="W866" s="5"/>
      <c r="X866" s="5"/>
      <c r="Y866" s="5"/>
      <c r="Z866" s="5"/>
      <c r="AA866" s="5"/>
      <c r="AB866" s="5"/>
      <c r="AC866" s="5"/>
      <c r="AD866" s="6"/>
    </row>
    <row r="867">
      <c r="A867" s="5"/>
      <c r="B867" s="5"/>
      <c r="C867" s="73"/>
      <c r="D867" s="73"/>
      <c r="E867" s="5"/>
      <c r="F867" s="5"/>
      <c r="G867" s="5"/>
      <c r="H867" s="5"/>
      <c r="I867" s="73"/>
      <c r="J867" s="5"/>
      <c r="K867" s="5"/>
      <c r="L867" s="73"/>
      <c r="M867" s="5"/>
      <c r="N867" s="5"/>
      <c r="O867" s="5"/>
      <c r="P867" s="5"/>
      <c r="Q867" s="5"/>
      <c r="R867" s="5"/>
      <c r="S867" s="5"/>
      <c r="T867" s="5"/>
      <c r="U867" s="5"/>
      <c r="V867" s="5"/>
      <c r="W867" s="5"/>
      <c r="X867" s="5"/>
      <c r="Y867" s="5"/>
      <c r="Z867" s="5"/>
      <c r="AA867" s="5"/>
      <c r="AB867" s="5"/>
      <c r="AC867" s="5"/>
      <c r="AD867" s="6"/>
    </row>
    <row r="868">
      <c r="A868" s="5"/>
      <c r="B868" s="5"/>
      <c r="C868" s="73"/>
      <c r="D868" s="73"/>
      <c r="E868" s="5"/>
      <c r="F868" s="5"/>
      <c r="G868" s="5"/>
      <c r="H868" s="5"/>
      <c r="I868" s="73"/>
      <c r="J868" s="5"/>
      <c r="K868" s="5"/>
      <c r="L868" s="73"/>
      <c r="M868" s="5"/>
      <c r="N868" s="5"/>
      <c r="O868" s="5"/>
      <c r="P868" s="5"/>
      <c r="Q868" s="5"/>
      <c r="R868" s="5"/>
      <c r="S868" s="5"/>
      <c r="T868" s="5"/>
      <c r="U868" s="5"/>
      <c r="V868" s="5"/>
      <c r="W868" s="5"/>
      <c r="X868" s="5"/>
      <c r="Y868" s="5"/>
      <c r="Z868" s="5"/>
      <c r="AA868" s="5"/>
      <c r="AB868" s="5"/>
      <c r="AC868" s="5"/>
      <c r="AD868" s="6"/>
    </row>
    <row r="869">
      <c r="A869" s="5"/>
      <c r="B869" s="5"/>
      <c r="C869" s="73"/>
      <c r="D869" s="73"/>
      <c r="E869" s="5"/>
      <c r="F869" s="5"/>
      <c r="G869" s="5"/>
      <c r="H869" s="5"/>
      <c r="I869" s="73"/>
      <c r="J869" s="5"/>
      <c r="K869" s="5"/>
      <c r="L869" s="73"/>
      <c r="M869" s="5"/>
      <c r="N869" s="5"/>
      <c r="O869" s="5"/>
      <c r="P869" s="5"/>
      <c r="Q869" s="5"/>
      <c r="R869" s="5"/>
      <c r="S869" s="5"/>
      <c r="T869" s="5"/>
      <c r="U869" s="5"/>
      <c r="V869" s="5"/>
      <c r="W869" s="5"/>
      <c r="X869" s="5"/>
      <c r="Y869" s="5"/>
      <c r="Z869" s="5"/>
      <c r="AA869" s="5"/>
      <c r="AB869" s="5"/>
      <c r="AC869" s="5"/>
      <c r="AD869" s="6"/>
    </row>
    <row r="870">
      <c r="A870" s="5"/>
      <c r="B870" s="5"/>
      <c r="C870" s="73"/>
      <c r="D870" s="73"/>
      <c r="E870" s="5"/>
      <c r="F870" s="5"/>
      <c r="G870" s="5"/>
      <c r="H870" s="5"/>
      <c r="I870" s="73"/>
      <c r="J870" s="5"/>
      <c r="K870" s="5"/>
      <c r="L870" s="73"/>
      <c r="M870" s="5"/>
      <c r="N870" s="5"/>
      <c r="O870" s="5"/>
      <c r="P870" s="5"/>
      <c r="Q870" s="5"/>
      <c r="R870" s="5"/>
      <c r="S870" s="5"/>
      <c r="T870" s="5"/>
      <c r="U870" s="5"/>
      <c r="V870" s="5"/>
      <c r="W870" s="5"/>
      <c r="X870" s="5"/>
      <c r="Y870" s="5"/>
      <c r="Z870" s="5"/>
      <c r="AA870" s="5"/>
      <c r="AB870" s="5"/>
      <c r="AC870" s="5"/>
      <c r="AD870" s="6"/>
    </row>
    <row r="871">
      <c r="A871" s="5"/>
      <c r="B871" s="5"/>
      <c r="C871" s="73"/>
      <c r="D871" s="73"/>
      <c r="E871" s="5"/>
      <c r="F871" s="5"/>
      <c r="G871" s="5"/>
      <c r="H871" s="5"/>
      <c r="I871" s="73"/>
      <c r="J871" s="5"/>
      <c r="K871" s="5"/>
      <c r="L871" s="73"/>
      <c r="M871" s="5"/>
      <c r="N871" s="5"/>
      <c r="O871" s="5"/>
      <c r="P871" s="5"/>
      <c r="Q871" s="5"/>
      <c r="R871" s="5"/>
      <c r="S871" s="5"/>
      <c r="T871" s="5"/>
      <c r="U871" s="5"/>
      <c r="V871" s="5"/>
      <c r="W871" s="5"/>
      <c r="X871" s="5"/>
      <c r="Y871" s="5"/>
      <c r="Z871" s="5"/>
      <c r="AA871" s="5"/>
      <c r="AB871" s="5"/>
      <c r="AC871" s="5"/>
      <c r="AD871" s="6"/>
    </row>
    <row r="872">
      <c r="A872" s="5"/>
      <c r="B872" s="5"/>
      <c r="C872" s="73"/>
      <c r="D872" s="73"/>
      <c r="E872" s="5"/>
      <c r="F872" s="5"/>
      <c r="G872" s="5"/>
      <c r="H872" s="5"/>
      <c r="I872" s="73"/>
      <c r="J872" s="5"/>
      <c r="K872" s="5"/>
      <c r="L872" s="73"/>
      <c r="M872" s="5"/>
      <c r="N872" s="5"/>
      <c r="O872" s="5"/>
      <c r="P872" s="5"/>
      <c r="Q872" s="5"/>
      <c r="R872" s="5"/>
      <c r="S872" s="5"/>
      <c r="T872" s="5"/>
      <c r="U872" s="5"/>
      <c r="V872" s="5"/>
      <c r="W872" s="5"/>
      <c r="X872" s="5"/>
      <c r="Y872" s="5"/>
      <c r="Z872" s="5"/>
      <c r="AA872" s="5"/>
      <c r="AB872" s="5"/>
      <c r="AC872" s="5"/>
      <c r="AD872" s="6"/>
    </row>
    <row r="873">
      <c r="A873" s="5"/>
      <c r="B873" s="5"/>
      <c r="C873" s="73"/>
      <c r="D873" s="73"/>
      <c r="E873" s="5"/>
      <c r="F873" s="5"/>
      <c r="G873" s="5"/>
      <c r="H873" s="5"/>
      <c r="I873" s="73"/>
      <c r="J873" s="5"/>
      <c r="K873" s="5"/>
      <c r="L873" s="73"/>
      <c r="M873" s="5"/>
      <c r="N873" s="5"/>
      <c r="O873" s="5"/>
      <c r="P873" s="5"/>
      <c r="Q873" s="5"/>
      <c r="R873" s="5"/>
      <c r="S873" s="5"/>
      <c r="T873" s="5"/>
      <c r="U873" s="5"/>
      <c r="V873" s="5"/>
      <c r="W873" s="5"/>
      <c r="X873" s="5"/>
      <c r="Y873" s="5"/>
      <c r="Z873" s="5"/>
      <c r="AA873" s="5"/>
      <c r="AB873" s="5"/>
      <c r="AC873" s="5"/>
      <c r="AD873" s="6"/>
    </row>
    <row r="874">
      <c r="A874" s="5"/>
      <c r="B874" s="5"/>
      <c r="C874" s="73"/>
      <c r="D874" s="73"/>
      <c r="E874" s="5"/>
      <c r="F874" s="5"/>
      <c r="G874" s="5"/>
      <c r="H874" s="5"/>
      <c r="I874" s="73"/>
      <c r="J874" s="5"/>
      <c r="K874" s="5"/>
      <c r="L874" s="73"/>
      <c r="M874" s="5"/>
      <c r="N874" s="5"/>
      <c r="O874" s="5"/>
      <c r="P874" s="5"/>
      <c r="Q874" s="5"/>
      <c r="R874" s="5"/>
      <c r="S874" s="5"/>
      <c r="T874" s="5"/>
      <c r="U874" s="5"/>
      <c r="V874" s="5"/>
      <c r="W874" s="5"/>
      <c r="X874" s="5"/>
      <c r="Y874" s="5"/>
      <c r="Z874" s="5"/>
      <c r="AA874" s="5"/>
      <c r="AB874" s="5"/>
      <c r="AC874" s="5"/>
      <c r="AD874" s="6"/>
    </row>
    <row r="875">
      <c r="A875" s="5"/>
      <c r="B875" s="5"/>
      <c r="C875" s="73"/>
      <c r="D875" s="73"/>
      <c r="E875" s="5"/>
      <c r="F875" s="5"/>
      <c r="G875" s="5"/>
      <c r="H875" s="5"/>
      <c r="I875" s="73"/>
      <c r="J875" s="5"/>
      <c r="K875" s="5"/>
      <c r="L875" s="73"/>
      <c r="M875" s="5"/>
      <c r="N875" s="5"/>
      <c r="O875" s="5"/>
      <c r="P875" s="5"/>
      <c r="Q875" s="5"/>
      <c r="R875" s="5"/>
      <c r="S875" s="5"/>
      <c r="T875" s="5"/>
      <c r="U875" s="5"/>
      <c r="V875" s="5"/>
      <c r="W875" s="5"/>
      <c r="X875" s="5"/>
      <c r="Y875" s="5"/>
      <c r="Z875" s="5"/>
      <c r="AA875" s="5"/>
      <c r="AB875" s="5"/>
      <c r="AC875" s="5"/>
      <c r="AD875" s="6"/>
    </row>
    <row r="876">
      <c r="A876" s="5"/>
      <c r="B876" s="5"/>
      <c r="C876" s="73"/>
      <c r="D876" s="73"/>
      <c r="E876" s="5"/>
      <c r="F876" s="5"/>
      <c r="G876" s="5"/>
      <c r="H876" s="5"/>
      <c r="I876" s="73"/>
      <c r="J876" s="5"/>
      <c r="K876" s="5"/>
      <c r="L876" s="73"/>
      <c r="M876" s="5"/>
      <c r="N876" s="5"/>
      <c r="O876" s="5"/>
      <c r="P876" s="5"/>
      <c r="Q876" s="5"/>
      <c r="R876" s="5"/>
      <c r="S876" s="5"/>
      <c r="T876" s="5"/>
      <c r="U876" s="5"/>
      <c r="V876" s="5"/>
      <c r="W876" s="5"/>
      <c r="X876" s="5"/>
      <c r="Y876" s="5"/>
      <c r="Z876" s="5"/>
      <c r="AA876" s="5"/>
      <c r="AB876" s="5"/>
      <c r="AC876" s="5"/>
      <c r="AD876" s="6"/>
    </row>
    <row r="877">
      <c r="A877" s="5"/>
      <c r="B877" s="5"/>
      <c r="C877" s="73"/>
      <c r="D877" s="73"/>
      <c r="E877" s="5"/>
      <c r="F877" s="5"/>
      <c r="G877" s="5"/>
      <c r="H877" s="5"/>
      <c r="I877" s="73"/>
      <c r="J877" s="5"/>
      <c r="K877" s="5"/>
      <c r="L877" s="73"/>
      <c r="M877" s="5"/>
      <c r="N877" s="5"/>
      <c r="O877" s="5"/>
      <c r="P877" s="5"/>
      <c r="Q877" s="5"/>
      <c r="R877" s="5"/>
      <c r="S877" s="5"/>
      <c r="T877" s="5"/>
      <c r="U877" s="5"/>
      <c r="V877" s="5"/>
      <c r="W877" s="5"/>
      <c r="X877" s="5"/>
      <c r="Y877" s="5"/>
      <c r="Z877" s="5"/>
      <c r="AA877" s="5"/>
      <c r="AB877" s="5"/>
      <c r="AC877" s="5"/>
      <c r="AD877" s="6"/>
    </row>
    <row r="878">
      <c r="A878" s="5"/>
      <c r="B878" s="5"/>
      <c r="C878" s="73"/>
      <c r="D878" s="73"/>
      <c r="E878" s="5"/>
      <c r="F878" s="5"/>
      <c r="G878" s="5"/>
      <c r="H878" s="5"/>
      <c r="I878" s="73"/>
      <c r="J878" s="5"/>
      <c r="K878" s="5"/>
      <c r="L878" s="73"/>
      <c r="M878" s="5"/>
      <c r="N878" s="5"/>
      <c r="O878" s="5"/>
      <c r="P878" s="5"/>
      <c r="Q878" s="5"/>
      <c r="R878" s="5"/>
      <c r="S878" s="5"/>
      <c r="T878" s="5"/>
      <c r="U878" s="5"/>
      <c r="V878" s="5"/>
      <c r="W878" s="5"/>
      <c r="X878" s="5"/>
      <c r="Y878" s="5"/>
      <c r="Z878" s="5"/>
      <c r="AA878" s="5"/>
      <c r="AB878" s="5"/>
      <c r="AC878" s="5"/>
      <c r="AD878" s="6"/>
    </row>
    <row r="879">
      <c r="A879" s="5"/>
      <c r="B879" s="5"/>
      <c r="C879" s="73"/>
      <c r="D879" s="73"/>
      <c r="E879" s="5"/>
      <c r="F879" s="5"/>
      <c r="G879" s="5"/>
      <c r="H879" s="5"/>
      <c r="I879" s="73"/>
      <c r="J879" s="5"/>
      <c r="K879" s="5"/>
      <c r="L879" s="73"/>
      <c r="M879" s="5"/>
      <c r="N879" s="5"/>
      <c r="O879" s="5"/>
      <c r="P879" s="5"/>
      <c r="Q879" s="5"/>
      <c r="R879" s="5"/>
      <c r="S879" s="5"/>
      <c r="T879" s="5"/>
      <c r="U879" s="5"/>
      <c r="V879" s="5"/>
      <c r="W879" s="5"/>
      <c r="X879" s="5"/>
      <c r="Y879" s="5"/>
      <c r="Z879" s="5"/>
      <c r="AA879" s="5"/>
      <c r="AB879" s="5"/>
      <c r="AC879" s="5"/>
      <c r="AD879" s="6"/>
    </row>
    <row r="880">
      <c r="A880" s="5"/>
      <c r="B880" s="5"/>
      <c r="C880" s="73"/>
      <c r="D880" s="73"/>
      <c r="E880" s="5"/>
      <c r="F880" s="5"/>
      <c r="G880" s="5"/>
      <c r="H880" s="5"/>
      <c r="I880" s="73"/>
      <c r="J880" s="5"/>
      <c r="K880" s="5"/>
      <c r="L880" s="73"/>
      <c r="M880" s="5"/>
      <c r="N880" s="5"/>
      <c r="O880" s="5"/>
      <c r="P880" s="5"/>
      <c r="Q880" s="5"/>
      <c r="R880" s="5"/>
      <c r="S880" s="5"/>
      <c r="T880" s="5"/>
      <c r="U880" s="5"/>
      <c r="V880" s="5"/>
      <c r="W880" s="5"/>
      <c r="X880" s="5"/>
      <c r="Y880" s="5"/>
      <c r="Z880" s="5"/>
      <c r="AA880" s="5"/>
      <c r="AB880" s="5"/>
      <c r="AC880" s="5"/>
      <c r="AD880" s="6"/>
    </row>
    <row r="881">
      <c r="A881" s="5"/>
      <c r="B881" s="5"/>
      <c r="C881" s="73"/>
      <c r="D881" s="73"/>
      <c r="E881" s="5"/>
      <c r="F881" s="5"/>
      <c r="G881" s="5"/>
      <c r="H881" s="5"/>
      <c r="I881" s="73"/>
      <c r="J881" s="5"/>
      <c r="K881" s="5"/>
      <c r="L881" s="73"/>
      <c r="M881" s="5"/>
      <c r="N881" s="5"/>
      <c r="O881" s="5"/>
      <c r="P881" s="5"/>
      <c r="Q881" s="5"/>
      <c r="R881" s="5"/>
      <c r="S881" s="5"/>
      <c r="T881" s="5"/>
      <c r="U881" s="5"/>
      <c r="V881" s="5"/>
      <c r="W881" s="5"/>
      <c r="X881" s="5"/>
      <c r="Y881" s="5"/>
      <c r="Z881" s="5"/>
      <c r="AA881" s="5"/>
      <c r="AB881" s="5"/>
      <c r="AC881" s="5"/>
      <c r="AD881" s="6"/>
    </row>
    <row r="882">
      <c r="A882" s="5"/>
      <c r="B882" s="5"/>
      <c r="C882" s="73"/>
      <c r="D882" s="73"/>
      <c r="E882" s="5"/>
      <c r="F882" s="5"/>
      <c r="G882" s="5"/>
      <c r="H882" s="5"/>
      <c r="I882" s="73"/>
      <c r="J882" s="5"/>
      <c r="K882" s="5"/>
      <c r="L882" s="73"/>
      <c r="M882" s="5"/>
      <c r="N882" s="5"/>
      <c r="O882" s="5"/>
      <c r="P882" s="5"/>
      <c r="Q882" s="5"/>
      <c r="R882" s="5"/>
      <c r="S882" s="5"/>
      <c r="T882" s="5"/>
      <c r="U882" s="5"/>
      <c r="V882" s="5"/>
      <c r="W882" s="5"/>
      <c r="X882" s="5"/>
      <c r="Y882" s="5"/>
      <c r="Z882" s="5"/>
      <c r="AA882" s="5"/>
      <c r="AB882" s="5"/>
      <c r="AC882" s="5"/>
      <c r="AD882" s="6"/>
    </row>
    <row r="883">
      <c r="A883" s="5"/>
      <c r="B883" s="5"/>
      <c r="C883" s="73"/>
      <c r="D883" s="73"/>
      <c r="E883" s="5"/>
      <c r="F883" s="5"/>
      <c r="G883" s="5"/>
      <c r="H883" s="5"/>
      <c r="I883" s="73"/>
      <c r="J883" s="5"/>
      <c r="K883" s="5"/>
      <c r="L883" s="73"/>
      <c r="M883" s="5"/>
      <c r="N883" s="5"/>
      <c r="O883" s="5"/>
      <c r="P883" s="5"/>
      <c r="Q883" s="5"/>
      <c r="R883" s="5"/>
      <c r="S883" s="5"/>
      <c r="T883" s="5"/>
      <c r="U883" s="5"/>
      <c r="V883" s="5"/>
      <c r="W883" s="5"/>
      <c r="X883" s="5"/>
      <c r="Y883" s="5"/>
      <c r="Z883" s="5"/>
      <c r="AA883" s="5"/>
      <c r="AB883" s="5"/>
      <c r="AC883" s="5"/>
      <c r="AD883" s="6"/>
    </row>
    <row r="884">
      <c r="A884" s="5"/>
      <c r="B884" s="5"/>
      <c r="C884" s="73"/>
      <c r="D884" s="73"/>
      <c r="E884" s="5"/>
      <c r="F884" s="5"/>
      <c r="G884" s="5"/>
      <c r="H884" s="5"/>
      <c r="I884" s="73"/>
      <c r="J884" s="5"/>
      <c r="K884" s="5"/>
      <c r="L884" s="73"/>
      <c r="M884" s="5"/>
      <c r="N884" s="5"/>
      <c r="O884" s="5"/>
      <c r="P884" s="5"/>
      <c r="Q884" s="5"/>
      <c r="R884" s="5"/>
      <c r="S884" s="5"/>
      <c r="T884" s="5"/>
      <c r="U884" s="5"/>
      <c r="V884" s="5"/>
      <c r="W884" s="5"/>
      <c r="X884" s="5"/>
      <c r="Y884" s="5"/>
      <c r="Z884" s="5"/>
      <c r="AA884" s="5"/>
      <c r="AB884" s="5"/>
      <c r="AC884" s="5"/>
      <c r="AD884" s="6"/>
    </row>
    <row r="885">
      <c r="A885" s="5"/>
      <c r="B885" s="5"/>
      <c r="C885" s="73"/>
      <c r="D885" s="73"/>
      <c r="E885" s="5"/>
      <c r="F885" s="5"/>
      <c r="G885" s="5"/>
      <c r="H885" s="5"/>
      <c r="I885" s="73"/>
      <c r="J885" s="5"/>
      <c r="K885" s="5"/>
      <c r="L885" s="73"/>
      <c r="M885" s="5"/>
      <c r="N885" s="5"/>
      <c r="O885" s="5"/>
      <c r="P885" s="5"/>
      <c r="Q885" s="5"/>
      <c r="R885" s="5"/>
      <c r="S885" s="5"/>
      <c r="T885" s="5"/>
      <c r="U885" s="5"/>
      <c r="V885" s="5"/>
      <c r="W885" s="5"/>
      <c r="X885" s="5"/>
      <c r="Y885" s="5"/>
      <c r="Z885" s="5"/>
      <c r="AA885" s="5"/>
      <c r="AB885" s="5"/>
      <c r="AC885" s="5"/>
      <c r="AD885" s="6"/>
    </row>
    <row r="886">
      <c r="A886" s="5"/>
      <c r="B886" s="5"/>
      <c r="C886" s="73"/>
      <c r="D886" s="73"/>
      <c r="E886" s="5"/>
      <c r="F886" s="5"/>
      <c r="G886" s="5"/>
      <c r="H886" s="5"/>
      <c r="I886" s="73"/>
      <c r="J886" s="5"/>
      <c r="K886" s="5"/>
      <c r="L886" s="73"/>
      <c r="M886" s="5"/>
      <c r="N886" s="5"/>
      <c r="O886" s="5"/>
      <c r="P886" s="5"/>
      <c r="Q886" s="5"/>
      <c r="R886" s="5"/>
      <c r="S886" s="5"/>
      <c r="T886" s="5"/>
      <c r="U886" s="5"/>
      <c r="V886" s="5"/>
      <c r="W886" s="5"/>
      <c r="X886" s="5"/>
      <c r="Y886" s="5"/>
      <c r="Z886" s="5"/>
      <c r="AA886" s="5"/>
      <c r="AB886" s="5"/>
      <c r="AC886" s="5"/>
      <c r="AD886" s="6"/>
    </row>
    <row r="887">
      <c r="A887" s="5"/>
      <c r="B887" s="5"/>
      <c r="C887" s="73"/>
      <c r="D887" s="73"/>
      <c r="E887" s="5"/>
      <c r="F887" s="5"/>
      <c r="G887" s="5"/>
      <c r="H887" s="5"/>
      <c r="I887" s="73"/>
      <c r="J887" s="5"/>
      <c r="K887" s="5"/>
      <c r="L887" s="73"/>
      <c r="M887" s="5"/>
      <c r="N887" s="5"/>
      <c r="O887" s="5"/>
      <c r="P887" s="5"/>
      <c r="Q887" s="5"/>
      <c r="R887" s="5"/>
      <c r="S887" s="5"/>
      <c r="T887" s="5"/>
      <c r="U887" s="5"/>
      <c r="V887" s="5"/>
      <c r="W887" s="5"/>
      <c r="X887" s="5"/>
      <c r="Y887" s="5"/>
      <c r="Z887" s="5"/>
      <c r="AA887" s="5"/>
      <c r="AB887" s="5"/>
      <c r="AC887" s="5"/>
      <c r="AD887" s="6"/>
    </row>
    <row r="888">
      <c r="A888" s="5"/>
      <c r="B888" s="5"/>
      <c r="C888" s="73"/>
      <c r="D888" s="73"/>
      <c r="E888" s="5"/>
      <c r="F888" s="5"/>
      <c r="G888" s="5"/>
      <c r="H888" s="5"/>
      <c r="I888" s="73"/>
      <c r="J888" s="5"/>
      <c r="K888" s="5"/>
      <c r="L888" s="73"/>
      <c r="M888" s="5"/>
      <c r="N888" s="5"/>
      <c r="O888" s="5"/>
      <c r="P888" s="5"/>
      <c r="Q888" s="5"/>
      <c r="R888" s="5"/>
      <c r="S888" s="5"/>
      <c r="T888" s="5"/>
      <c r="U888" s="5"/>
      <c r="V888" s="5"/>
      <c r="W888" s="5"/>
      <c r="X888" s="5"/>
      <c r="Y888" s="5"/>
      <c r="Z888" s="5"/>
      <c r="AA888" s="5"/>
      <c r="AB888" s="5"/>
      <c r="AC888" s="5"/>
      <c r="AD888" s="6"/>
    </row>
    <row r="889">
      <c r="A889" s="5"/>
      <c r="B889" s="5"/>
      <c r="C889" s="73"/>
      <c r="D889" s="73"/>
      <c r="E889" s="5"/>
      <c r="F889" s="5"/>
      <c r="G889" s="5"/>
      <c r="H889" s="5"/>
      <c r="I889" s="73"/>
      <c r="J889" s="5"/>
      <c r="K889" s="5"/>
      <c r="L889" s="73"/>
      <c r="M889" s="5"/>
      <c r="N889" s="5"/>
      <c r="O889" s="5"/>
      <c r="P889" s="5"/>
      <c r="Q889" s="5"/>
      <c r="R889" s="5"/>
      <c r="S889" s="5"/>
      <c r="T889" s="5"/>
      <c r="U889" s="5"/>
      <c r="V889" s="5"/>
      <c r="W889" s="5"/>
      <c r="X889" s="5"/>
      <c r="Y889" s="5"/>
      <c r="Z889" s="5"/>
      <c r="AA889" s="5"/>
      <c r="AB889" s="5"/>
      <c r="AC889" s="5"/>
      <c r="AD889" s="6"/>
    </row>
    <row r="890">
      <c r="A890" s="5"/>
      <c r="B890" s="5"/>
      <c r="C890" s="73"/>
      <c r="D890" s="73"/>
      <c r="E890" s="5"/>
      <c r="F890" s="5"/>
      <c r="G890" s="5"/>
      <c r="H890" s="5"/>
      <c r="I890" s="73"/>
      <c r="J890" s="5"/>
      <c r="K890" s="5"/>
      <c r="L890" s="73"/>
      <c r="M890" s="5"/>
      <c r="N890" s="5"/>
      <c r="O890" s="5"/>
      <c r="P890" s="5"/>
      <c r="Q890" s="5"/>
      <c r="R890" s="5"/>
      <c r="S890" s="5"/>
      <c r="T890" s="5"/>
      <c r="U890" s="5"/>
      <c r="V890" s="5"/>
      <c r="W890" s="5"/>
      <c r="X890" s="5"/>
      <c r="Y890" s="5"/>
      <c r="Z890" s="5"/>
      <c r="AA890" s="5"/>
      <c r="AB890" s="5"/>
      <c r="AC890" s="5"/>
      <c r="AD890" s="6"/>
    </row>
    <row r="891">
      <c r="A891" s="5"/>
      <c r="B891" s="5"/>
      <c r="C891" s="73"/>
      <c r="D891" s="73"/>
      <c r="E891" s="5"/>
      <c r="F891" s="5"/>
      <c r="G891" s="5"/>
      <c r="H891" s="5"/>
      <c r="I891" s="73"/>
      <c r="J891" s="5"/>
      <c r="K891" s="5"/>
      <c r="L891" s="73"/>
      <c r="M891" s="5"/>
      <c r="N891" s="5"/>
      <c r="O891" s="5"/>
      <c r="P891" s="5"/>
      <c r="Q891" s="5"/>
      <c r="R891" s="5"/>
      <c r="S891" s="5"/>
      <c r="T891" s="5"/>
      <c r="U891" s="5"/>
      <c r="V891" s="5"/>
      <c r="W891" s="5"/>
      <c r="X891" s="5"/>
      <c r="Y891" s="5"/>
      <c r="Z891" s="5"/>
      <c r="AA891" s="5"/>
      <c r="AB891" s="5"/>
      <c r="AC891" s="5"/>
      <c r="AD891" s="6"/>
    </row>
    <row r="892">
      <c r="A892" s="5"/>
      <c r="B892" s="5"/>
      <c r="C892" s="73"/>
      <c r="D892" s="73"/>
      <c r="E892" s="5"/>
      <c r="F892" s="5"/>
      <c r="G892" s="5"/>
      <c r="H892" s="5"/>
      <c r="I892" s="73"/>
      <c r="J892" s="5"/>
      <c r="K892" s="5"/>
      <c r="L892" s="73"/>
      <c r="M892" s="5"/>
      <c r="N892" s="5"/>
      <c r="O892" s="5"/>
      <c r="P892" s="5"/>
      <c r="Q892" s="5"/>
      <c r="R892" s="5"/>
      <c r="S892" s="5"/>
      <c r="T892" s="5"/>
      <c r="U892" s="5"/>
      <c r="V892" s="5"/>
      <c r="W892" s="5"/>
      <c r="X892" s="5"/>
      <c r="Y892" s="5"/>
      <c r="Z892" s="5"/>
      <c r="AA892" s="5"/>
      <c r="AB892" s="5"/>
      <c r="AC892" s="5"/>
      <c r="AD892" s="6"/>
    </row>
    <row r="893">
      <c r="A893" s="5"/>
      <c r="B893" s="5"/>
      <c r="C893" s="73"/>
      <c r="D893" s="73"/>
      <c r="E893" s="5"/>
      <c r="F893" s="5"/>
      <c r="G893" s="5"/>
      <c r="H893" s="5"/>
      <c r="I893" s="73"/>
      <c r="J893" s="5"/>
      <c r="K893" s="5"/>
      <c r="L893" s="73"/>
      <c r="M893" s="5"/>
      <c r="N893" s="5"/>
      <c r="O893" s="5"/>
      <c r="P893" s="5"/>
      <c r="Q893" s="5"/>
      <c r="R893" s="5"/>
      <c r="S893" s="5"/>
      <c r="T893" s="5"/>
      <c r="U893" s="5"/>
      <c r="V893" s="5"/>
      <c r="W893" s="5"/>
      <c r="X893" s="5"/>
      <c r="Y893" s="5"/>
      <c r="Z893" s="5"/>
      <c r="AA893" s="5"/>
      <c r="AB893" s="5"/>
      <c r="AC893" s="5"/>
      <c r="AD893" s="6"/>
    </row>
    <row r="894">
      <c r="A894" s="5"/>
      <c r="B894" s="5"/>
      <c r="C894" s="73"/>
      <c r="D894" s="73"/>
      <c r="E894" s="5"/>
      <c r="F894" s="5"/>
      <c r="G894" s="5"/>
      <c r="H894" s="5"/>
      <c r="I894" s="73"/>
      <c r="J894" s="5"/>
      <c r="K894" s="5"/>
      <c r="L894" s="73"/>
      <c r="M894" s="5"/>
      <c r="N894" s="5"/>
      <c r="O894" s="5"/>
      <c r="P894" s="5"/>
      <c r="Q894" s="5"/>
      <c r="R894" s="5"/>
      <c r="S894" s="5"/>
      <c r="T894" s="5"/>
      <c r="U894" s="5"/>
      <c r="V894" s="5"/>
      <c r="W894" s="5"/>
      <c r="X894" s="5"/>
      <c r="Y894" s="5"/>
      <c r="Z894" s="5"/>
      <c r="AA894" s="5"/>
      <c r="AB894" s="5"/>
      <c r="AC894" s="5"/>
      <c r="AD894" s="6"/>
    </row>
    <row r="895">
      <c r="A895" s="5"/>
      <c r="B895" s="5"/>
      <c r="C895" s="73"/>
      <c r="D895" s="73"/>
      <c r="E895" s="5"/>
      <c r="F895" s="5"/>
      <c r="G895" s="5"/>
      <c r="H895" s="5"/>
      <c r="I895" s="73"/>
      <c r="J895" s="5"/>
      <c r="K895" s="5"/>
      <c r="L895" s="73"/>
      <c r="M895" s="5"/>
      <c r="N895" s="5"/>
      <c r="O895" s="5"/>
      <c r="P895" s="5"/>
      <c r="Q895" s="5"/>
      <c r="R895" s="5"/>
      <c r="S895" s="5"/>
      <c r="T895" s="5"/>
      <c r="U895" s="5"/>
      <c r="V895" s="5"/>
      <c r="W895" s="5"/>
      <c r="X895" s="5"/>
      <c r="Y895" s="5"/>
      <c r="Z895" s="5"/>
      <c r="AA895" s="5"/>
      <c r="AB895" s="5"/>
      <c r="AC895" s="5"/>
      <c r="AD895" s="6"/>
    </row>
    <row r="896">
      <c r="A896" s="5"/>
      <c r="B896" s="5"/>
      <c r="C896" s="73"/>
      <c r="D896" s="73"/>
      <c r="E896" s="5"/>
      <c r="F896" s="5"/>
      <c r="G896" s="5"/>
      <c r="H896" s="5"/>
      <c r="I896" s="73"/>
      <c r="J896" s="5"/>
      <c r="K896" s="5"/>
      <c r="L896" s="73"/>
      <c r="M896" s="5"/>
      <c r="N896" s="5"/>
      <c r="O896" s="5"/>
      <c r="P896" s="5"/>
      <c r="Q896" s="5"/>
      <c r="R896" s="5"/>
      <c r="S896" s="5"/>
      <c r="T896" s="5"/>
      <c r="U896" s="5"/>
      <c r="V896" s="5"/>
      <c r="W896" s="5"/>
      <c r="X896" s="5"/>
      <c r="Y896" s="5"/>
      <c r="Z896" s="5"/>
      <c r="AA896" s="5"/>
      <c r="AB896" s="5"/>
      <c r="AC896" s="5"/>
      <c r="AD896" s="6"/>
    </row>
    <row r="897">
      <c r="A897" s="5"/>
      <c r="B897" s="5"/>
      <c r="C897" s="73"/>
      <c r="D897" s="73"/>
      <c r="E897" s="5"/>
      <c r="F897" s="5"/>
      <c r="G897" s="5"/>
      <c r="H897" s="5"/>
      <c r="I897" s="73"/>
      <c r="J897" s="5"/>
      <c r="K897" s="5"/>
      <c r="L897" s="73"/>
      <c r="M897" s="5"/>
      <c r="N897" s="5"/>
      <c r="O897" s="5"/>
      <c r="P897" s="5"/>
      <c r="Q897" s="5"/>
      <c r="R897" s="5"/>
      <c r="S897" s="5"/>
      <c r="T897" s="5"/>
      <c r="U897" s="5"/>
      <c r="V897" s="5"/>
      <c r="W897" s="5"/>
      <c r="X897" s="5"/>
      <c r="Y897" s="5"/>
      <c r="Z897" s="5"/>
      <c r="AA897" s="5"/>
      <c r="AB897" s="5"/>
      <c r="AC897" s="5"/>
      <c r="AD897" s="6"/>
    </row>
    <row r="898">
      <c r="A898" s="5"/>
      <c r="B898" s="5"/>
      <c r="C898" s="73"/>
      <c r="D898" s="73"/>
      <c r="E898" s="5"/>
      <c r="F898" s="5"/>
      <c r="G898" s="5"/>
      <c r="H898" s="5"/>
      <c r="I898" s="73"/>
      <c r="J898" s="5"/>
      <c r="K898" s="5"/>
      <c r="L898" s="73"/>
      <c r="M898" s="5"/>
      <c r="N898" s="5"/>
      <c r="O898" s="5"/>
      <c r="P898" s="5"/>
      <c r="Q898" s="5"/>
      <c r="R898" s="5"/>
      <c r="S898" s="5"/>
      <c r="T898" s="5"/>
      <c r="U898" s="5"/>
      <c r="V898" s="5"/>
      <c r="W898" s="5"/>
      <c r="X898" s="5"/>
      <c r="Y898" s="5"/>
      <c r="Z898" s="5"/>
      <c r="AA898" s="5"/>
      <c r="AB898" s="5"/>
      <c r="AC898" s="5"/>
      <c r="AD898" s="6"/>
    </row>
    <row r="899">
      <c r="A899" s="5"/>
      <c r="B899" s="5"/>
      <c r="C899" s="73"/>
      <c r="D899" s="73"/>
      <c r="E899" s="5"/>
      <c r="F899" s="5"/>
      <c r="G899" s="5"/>
      <c r="H899" s="5"/>
      <c r="I899" s="73"/>
      <c r="J899" s="5"/>
      <c r="K899" s="5"/>
      <c r="L899" s="73"/>
      <c r="M899" s="5"/>
      <c r="N899" s="5"/>
      <c r="O899" s="5"/>
      <c r="P899" s="5"/>
      <c r="Q899" s="5"/>
      <c r="R899" s="5"/>
      <c r="S899" s="5"/>
      <c r="T899" s="5"/>
      <c r="U899" s="5"/>
      <c r="V899" s="5"/>
      <c r="W899" s="5"/>
      <c r="X899" s="5"/>
      <c r="Y899" s="5"/>
      <c r="Z899" s="5"/>
      <c r="AA899" s="5"/>
      <c r="AB899" s="5"/>
      <c r="AC899" s="5"/>
      <c r="AD899" s="6"/>
    </row>
    <row r="900">
      <c r="A900" s="5"/>
      <c r="B900" s="5"/>
      <c r="C900" s="73"/>
      <c r="D900" s="73"/>
      <c r="E900" s="5"/>
      <c r="F900" s="5"/>
      <c r="G900" s="5"/>
      <c r="H900" s="5"/>
      <c r="I900" s="73"/>
      <c r="J900" s="5"/>
      <c r="K900" s="5"/>
      <c r="L900" s="73"/>
      <c r="M900" s="5"/>
      <c r="N900" s="5"/>
      <c r="O900" s="5"/>
      <c r="P900" s="5"/>
      <c r="Q900" s="5"/>
      <c r="R900" s="5"/>
      <c r="S900" s="5"/>
      <c r="T900" s="5"/>
      <c r="U900" s="5"/>
      <c r="V900" s="5"/>
      <c r="W900" s="5"/>
      <c r="X900" s="5"/>
      <c r="Y900" s="5"/>
      <c r="Z900" s="5"/>
      <c r="AA900" s="5"/>
      <c r="AB900" s="5"/>
      <c r="AC900" s="5"/>
      <c r="AD900" s="6"/>
    </row>
    <row r="901">
      <c r="A901" s="5"/>
      <c r="B901" s="5"/>
      <c r="C901" s="73"/>
      <c r="D901" s="73"/>
      <c r="E901" s="5"/>
      <c r="F901" s="5"/>
      <c r="G901" s="5"/>
      <c r="H901" s="5"/>
      <c r="I901" s="73"/>
      <c r="J901" s="5"/>
      <c r="K901" s="5"/>
      <c r="L901" s="73"/>
      <c r="M901" s="5"/>
      <c r="N901" s="5"/>
      <c r="O901" s="5"/>
      <c r="P901" s="5"/>
      <c r="Q901" s="5"/>
      <c r="R901" s="5"/>
      <c r="S901" s="5"/>
      <c r="T901" s="5"/>
      <c r="U901" s="5"/>
      <c r="V901" s="5"/>
      <c r="W901" s="5"/>
      <c r="X901" s="5"/>
      <c r="Y901" s="5"/>
      <c r="Z901" s="5"/>
      <c r="AA901" s="5"/>
      <c r="AB901" s="5"/>
      <c r="AC901" s="5"/>
      <c r="AD901" s="6"/>
    </row>
    <row r="902">
      <c r="A902" s="5"/>
      <c r="B902" s="5"/>
      <c r="C902" s="73"/>
      <c r="D902" s="73"/>
      <c r="E902" s="5"/>
      <c r="F902" s="5"/>
      <c r="G902" s="5"/>
      <c r="H902" s="5"/>
      <c r="I902" s="73"/>
      <c r="J902" s="5"/>
      <c r="K902" s="5"/>
      <c r="L902" s="73"/>
      <c r="M902" s="5"/>
      <c r="N902" s="5"/>
      <c r="O902" s="5"/>
      <c r="P902" s="5"/>
      <c r="Q902" s="5"/>
      <c r="R902" s="5"/>
      <c r="S902" s="5"/>
      <c r="T902" s="5"/>
      <c r="U902" s="5"/>
      <c r="V902" s="5"/>
      <c r="W902" s="5"/>
      <c r="X902" s="5"/>
      <c r="Y902" s="5"/>
      <c r="Z902" s="5"/>
      <c r="AA902" s="5"/>
      <c r="AB902" s="5"/>
      <c r="AC902" s="5"/>
      <c r="AD902" s="6"/>
    </row>
    <row r="903">
      <c r="A903" s="5"/>
      <c r="B903" s="5"/>
      <c r="C903" s="73"/>
      <c r="D903" s="73"/>
      <c r="E903" s="5"/>
      <c r="F903" s="5"/>
      <c r="G903" s="5"/>
      <c r="H903" s="5"/>
      <c r="I903" s="73"/>
      <c r="J903" s="5"/>
      <c r="K903" s="5"/>
      <c r="L903" s="73"/>
      <c r="M903" s="5"/>
      <c r="N903" s="5"/>
      <c r="O903" s="5"/>
      <c r="P903" s="5"/>
      <c r="Q903" s="5"/>
      <c r="R903" s="5"/>
      <c r="S903" s="5"/>
      <c r="T903" s="5"/>
      <c r="U903" s="5"/>
      <c r="V903" s="5"/>
      <c r="W903" s="5"/>
      <c r="X903" s="5"/>
      <c r="Y903" s="5"/>
      <c r="Z903" s="5"/>
      <c r="AA903" s="5"/>
      <c r="AB903" s="5"/>
      <c r="AC903" s="5"/>
      <c r="AD903" s="6"/>
    </row>
    <row r="904">
      <c r="A904" s="5"/>
      <c r="B904" s="5"/>
      <c r="C904" s="73"/>
      <c r="D904" s="73"/>
      <c r="E904" s="5"/>
      <c r="F904" s="5"/>
      <c r="G904" s="5"/>
      <c r="H904" s="5"/>
      <c r="I904" s="73"/>
      <c r="J904" s="5"/>
      <c r="K904" s="5"/>
      <c r="L904" s="73"/>
      <c r="M904" s="5"/>
      <c r="N904" s="5"/>
      <c r="O904" s="5"/>
      <c r="P904" s="5"/>
      <c r="Q904" s="5"/>
      <c r="R904" s="5"/>
      <c r="S904" s="5"/>
      <c r="T904" s="5"/>
      <c r="U904" s="5"/>
      <c r="V904" s="5"/>
      <c r="W904" s="5"/>
      <c r="X904" s="5"/>
      <c r="Y904" s="5"/>
      <c r="Z904" s="5"/>
      <c r="AA904" s="5"/>
      <c r="AB904" s="5"/>
      <c r="AC904" s="5"/>
      <c r="AD904" s="6"/>
    </row>
    <row r="905">
      <c r="A905" s="5"/>
      <c r="B905" s="5"/>
      <c r="C905" s="73"/>
      <c r="D905" s="73"/>
      <c r="E905" s="5"/>
      <c r="F905" s="5"/>
      <c r="G905" s="5"/>
      <c r="H905" s="5"/>
      <c r="I905" s="73"/>
      <c r="J905" s="5"/>
      <c r="K905" s="5"/>
      <c r="L905" s="73"/>
      <c r="M905" s="5"/>
      <c r="N905" s="5"/>
      <c r="O905" s="5"/>
      <c r="P905" s="5"/>
      <c r="Q905" s="5"/>
      <c r="R905" s="5"/>
      <c r="S905" s="5"/>
      <c r="T905" s="5"/>
      <c r="U905" s="5"/>
      <c r="V905" s="5"/>
      <c r="W905" s="5"/>
      <c r="X905" s="5"/>
      <c r="Y905" s="5"/>
      <c r="Z905" s="5"/>
      <c r="AA905" s="5"/>
      <c r="AB905" s="5"/>
      <c r="AC905" s="5"/>
      <c r="AD905" s="6"/>
    </row>
    <row r="906">
      <c r="A906" s="5"/>
      <c r="B906" s="5"/>
      <c r="C906" s="73"/>
      <c r="D906" s="73"/>
      <c r="E906" s="5"/>
      <c r="F906" s="5"/>
      <c r="G906" s="5"/>
      <c r="H906" s="5"/>
      <c r="I906" s="73"/>
      <c r="J906" s="5"/>
      <c r="K906" s="5"/>
      <c r="L906" s="73"/>
      <c r="M906" s="5"/>
      <c r="N906" s="5"/>
      <c r="O906" s="5"/>
      <c r="P906" s="5"/>
      <c r="Q906" s="5"/>
      <c r="R906" s="5"/>
      <c r="S906" s="5"/>
      <c r="T906" s="5"/>
      <c r="U906" s="5"/>
      <c r="V906" s="5"/>
      <c r="W906" s="5"/>
      <c r="X906" s="5"/>
      <c r="Y906" s="5"/>
      <c r="Z906" s="5"/>
      <c r="AA906" s="5"/>
      <c r="AB906" s="5"/>
      <c r="AC906" s="5"/>
      <c r="AD906" s="6"/>
    </row>
    <row r="907">
      <c r="A907" s="5"/>
      <c r="B907" s="5"/>
      <c r="C907" s="73"/>
      <c r="D907" s="73"/>
      <c r="E907" s="5"/>
      <c r="F907" s="5"/>
      <c r="G907" s="5"/>
      <c r="H907" s="5"/>
      <c r="I907" s="73"/>
      <c r="J907" s="5"/>
      <c r="K907" s="5"/>
      <c r="L907" s="73"/>
      <c r="M907" s="5"/>
      <c r="N907" s="5"/>
      <c r="O907" s="5"/>
      <c r="P907" s="5"/>
      <c r="Q907" s="5"/>
      <c r="R907" s="5"/>
      <c r="S907" s="5"/>
      <c r="T907" s="5"/>
      <c r="U907" s="5"/>
      <c r="V907" s="5"/>
      <c r="W907" s="5"/>
      <c r="X907" s="5"/>
      <c r="Y907" s="5"/>
      <c r="Z907" s="5"/>
      <c r="AA907" s="5"/>
      <c r="AB907" s="5"/>
      <c r="AC907" s="5"/>
      <c r="AD907" s="6"/>
    </row>
    <row r="908">
      <c r="A908" s="5"/>
      <c r="B908" s="5"/>
      <c r="C908" s="73"/>
      <c r="D908" s="73"/>
      <c r="E908" s="5"/>
      <c r="F908" s="5"/>
      <c r="G908" s="5"/>
      <c r="H908" s="5"/>
      <c r="I908" s="73"/>
      <c r="J908" s="5"/>
      <c r="K908" s="5"/>
      <c r="L908" s="73"/>
      <c r="M908" s="5"/>
      <c r="N908" s="5"/>
      <c r="O908" s="5"/>
      <c r="P908" s="5"/>
      <c r="Q908" s="5"/>
      <c r="R908" s="5"/>
      <c r="S908" s="5"/>
      <c r="T908" s="5"/>
      <c r="U908" s="5"/>
      <c r="V908" s="5"/>
      <c r="W908" s="5"/>
      <c r="X908" s="5"/>
      <c r="Y908" s="5"/>
      <c r="Z908" s="5"/>
      <c r="AA908" s="5"/>
      <c r="AB908" s="5"/>
      <c r="AC908" s="5"/>
      <c r="AD908" s="6"/>
    </row>
    <row r="909">
      <c r="A909" s="5"/>
      <c r="B909" s="5"/>
      <c r="C909" s="73"/>
      <c r="D909" s="73"/>
      <c r="E909" s="5"/>
      <c r="F909" s="5"/>
      <c r="G909" s="5"/>
      <c r="H909" s="5"/>
      <c r="I909" s="73"/>
      <c r="J909" s="5"/>
      <c r="K909" s="5"/>
      <c r="L909" s="73"/>
      <c r="M909" s="5"/>
      <c r="N909" s="5"/>
      <c r="O909" s="5"/>
      <c r="P909" s="5"/>
      <c r="Q909" s="5"/>
      <c r="R909" s="5"/>
      <c r="S909" s="5"/>
      <c r="T909" s="5"/>
      <c r="U909" s="5"/>
      <c r="V909" s="5"/>
      <c r="W909" s="5"/>
      <c r="X909" s="5"/>
      <c r="Y909" s="5"/>
      <c r="Z909" s="5"/>
      <c r="AA909" s="5"/>
      <c r="AB909" s="5"/>
      <c r="AC909" s="5"/>
      <c r="AD909" s="6"/>
    </row>
    <row r="910">
      <c r="A910" s="5"/>
      <c r="B910" s="5"/>
      <c r="C910" s="73"/>
      <c r="D910" s="73"/>
      <c r="E910" s="5"/>
      <c r="F910" s="5"/>
      <c r="G910" s="5"/>
      <c r="H910" s="5"/>
      <c r="I910" s="73"/>
      <c r="J910" s="5"/>
      <c r="K910" s="5"/>
      <c r="L910" s="73"/>
      <c r="M910" s="5"/>
      <c r="N910" s="5"/>
      <c r="O910" s="5"/>
      <c r="P910" s="5"/>
      <c r="Q910" s="5"/>
      <c r="R910" s="5"/>
      <c r="S910" s="5"/>
      <c r="T910" s="5"/>
      <c r="U910" s="5"/>
      <c r="V910" s="5"/>
      <c r="W910" s="5"/>
      <c r="X910" s="5"/>
      <c r="Y910" s="5"/>
      <c r="Z910" s="5"/>
      <c r="AA910" s="5"/>
      <c r="AB910" s="5"/>
      <c r="AC910" s="5"/>
      <c r="AD910" s="6"/>
    </row>
    <row r="911">
      <c r="A911" s="5"/>
      <c r="B911" s="5"/>
      <c r="C911" s="73"/>
      <c r="D911" s="73"/>
      <c r="E911" s="5"/>
      <c r="F911" s="5"/>
      <c r="G911" s="5"/>
      <c r="H911" s="5"/>
      <c r="I911" s="73"/>
      <c r="J911" s="5"/>
      <c r="K911" s="5"/>
      <c r="L911" s="73"/>
      <c r="M911" s="5"/>
      <c r="N911" s="5"/>
      <c r="O911" s="5"/>
      <c r="P911" s="5"/>
      <c r="Q911" s="5"/>
      <c r="R911" s="5"/>
      <c r="S911" s="5"/>
      <c r="T911" s="5"/>
      <c r="U911" s="5"/>
      <c r="V911" s="5"/>
      <c r="W911" s="5"/>
      <c r="X911" s="5"/>
      <c r="Y911" s="5"/>
      <c r="Z911" s="5"/>
      <c r="AA911" s="5"/>
      <c r="AB911" s="5"/>
      <c r="AC911" s="5"/>
      <c r="AD911" s="6"/>
    </row>
    <row r="912">
      <c r="A912" s="5"/>
      <c r="B912" s="5"/>
      <c r="C912" s="73"/>
      <c r="D912" s="73"/>
      <c r="E912" s="5"/>
      <c r="F912" s="5"/>
      <c r="G912" s="5"/>
      <c r="H912" s="5"/>
      <c r="I912" s="73"/>
      <c r="J912" s="5"/>
      <c r="K912" s="5"/>
      <c r="L912" s="73"/>
      <c r="M912" s="5"/>
      <c r="N912" s="5"/>
      <c r="O912" s="5"/>
      <c r="P912" s="5"/>
      <c r="Q912" s="5"/>
      <c r="R912" s="5"/>
      <c r="S912" s="5"/>
      <c r="T912" s="5"/>
      <c r="U912" s="5"/>
      <c r="V912" s="5"/>
      <c r="W912" s="5"/>
      <c r="X912" s="5"/>
      <c r="Y912" s="5"/>
      <c r="Z912" s="5"/>
      <c r="AA912" s="5"/>
      <c r="AB912" s="5"/>
      <c r="AC912" s="5"/>
      <c r="AD912" s="6"/>
    </row>
    <row r="913">
      <c r="A913" s="5"/>
      <c r="B913" s="5"/>
      <c r="C913" s="73"/>
      <c r="D913" s="73"/>
      <c r="E913" s="5"/>
      <c r="F913" s="5"/>
      <c r="G913" s="5"/>
      <c r="H913" s="5"/>
      <c r="I913" s="73"/>
      <c r="J913" s="5"/>
      <c r="K913" s="5"/>
      <c r="L913" s="73"/>
      <c r="M913" s="5"/>
      <c r="N913" s="5"/>
      <c r="O913" s="5"/>
      <c r="P913" s="5"/>
      <c r="Q913" s="5"/>
      <c r="R913" s="5"/>
      <c r="S913" s="5"/>
      <c r="T913" s="5"/>
      <c r="U913" s="5"/>
      <c r="V913" s="5"/>
      <c r="W913" s="5"/>
      <c r="X913" s="5"/>
      <c r="Y913" s="5"/>
      <c r="Z913" s="5"/>
      <c r="AA913" s="5"/>
      <c r="AB913" s="5"/>
      <c r="AC913" s="5"/>
      <c r="AD913" s="6"/>
    </row>
    <row r="914">
      <c r="A914" s="5"/>
      <c r="B914" s="5"/>
      <c r="C914" s="73"/>
      <c r="D914" s="73"/>
      <c r="E914" s="5"/>
      <c r="F914" s="5"/>
      <c r="G914" s="5"/>
      <c r="H914" s="5"/>
      <c r="I914" s="73"/>
      <c r="J914" s="5"/>
      <c r="K914" s="5"/>
      <c r="L914" s="73"/>
      <c r="M914" s="5"/>
      <c r="N914" s="5"/>
      <c r="O914" s="5"/>
      <c r="P914" s="5"/>
      <c r="Q914" s="5"/>
      <c r="R914" s="5"/>
      <c r="S914" s="5"/>
      <c r="T914" s="5"/>
      <c r="U914" s="5"/>
      <c r="V914" s="5"/>
      <c r="W914" s="5"/>
      <c r="X914" s="5"/>
      <c r="Y914" s="5"/>
      <c r="Z914" s="5"/>
      <c r="AA914" s="5"/>
      <c r="AB914" s="5"/>
      <c r="AC914" s="5"/>
      <c r="AD914" s="6"/>
    </row>
    <row r="915">
      <c r="A915" s="5"/>
      <c r="B915" s="5"/>
      <c r="C915" s="73"/>
      <c r="D915" s="73"/>
      <c r="E915" s="5"/>
      <c r="F915" s="5"/>
      <c r="G915" s="5"/>
      <c r="H915" s="5"/>
      <c r="I915" s="73"/>
      <c r="J915" s="5"/>
      <c r="K915" s="5"/>
      <c r="L915" s="73"/>
      <c r="M915" s="5"/>
      <c r="N915" s="5"/>
      <c r="O915" s="5"/>
      <c r="P915" s="5"/>
      <c r="Q915" s="5"/>
      <c r="R915" s="5"/>
      <c r="S915" s="5"/>
      <c r="T915" s="5"/>
      <c r="U915" s="5"/>
      <c r="V915" s="5"/>
      <c r="W915" s="5"/>
      <c r="X915" s="5"/>
      <c r="Y915" s="5"/>
      <c r="Z915" s="5"/>
      <c r="AA915" s="5"/>
      <c r="AB915" s="5"/>
      <c r="AC915" s="5"/>
      <c r="AD915" s="6"/>
    </row>
    <row r="916">
      <c r="A916" s="5"/>
      <c r="B916" s="5"/>
      <c r="C916" s="73"/>
      <c r="D916" s="73"/>
      <c r="E916" s="5"/>
      <c r="F916" s="5"/>
      <c r="G916" s="5"/>
      <c r="H916" s="5"/>
      <c r="I916" s="73"/>
      <c r="J916" s="5"/>
      <c r="K916" s="5"/>
      <c r="L916" s="73"/>
      <c r="M916" s="5"/>
      <c r="N916" s="5"/>
      <c r="O916" s="5"/>
      <c r="P916" s="5"/>
      <c r="Q916" s="5"/>
      <c r="R916" s="5"/>
      <c r="S916" s="5"/>
      <c r="T916" s="5"/>
      <c r="U916" s="5"/>
      <c r="V916" s="5"/>
      <c r="W916" s="5"/>
      <c r="X916" s="5"/>
      <c r="Y916" s="5"/>
      <c r="Z916" s="5"/>
      <c r="AA916" s="5"/>
      <c r="AB916" s="5"/>
      <c r="AC916" s="5"/>
      <c r="AD916" s="6"/>
    </row>
    <row r="917">
      <c r="A917" s="5"/>
      <c r="B917" s="5"/>
      <c r="C917" s="73"/>
      <c r="D917" s="73"/>
      <c r="E917" s="5"/>
      <c r="F917" s="5"/>
      <c r="G917" s="5"/>
      <c r="H917" s="5"/>
      <c r="I917" s="73"/>
      <c r="J917" s="5"/>
      <c r="K917" s="5"/>
      <c r="L917" s="73"/>
      <c r="M917" s="5"/>
      <c r="N917" s="5"/>
      <c r="O917" s="5"/>
      <c r="P917" s="5"/>
      <c r="Q917" s="5"/>
      <c r="R917" s="5"/>
      <c r="S917" s="5"/>
      <c r="T917" s="5"/>
      <c r="U917" s="5"/>
      <c r="V917" s="5"/>
      <c r="W917" s="5"/>
      <c r="X917" s="5"/>
      <c r="Y917" s="5"/>
      <c r="Z917" s="5"/>
      <c r="AA917" s="5"/>
      <c r="AB917" s="5"/>
      <c r="AC917" s="5"/>
      <c r="AD917" s="6"/>
    </row>
    <row r="918">
      <c r="A918" s="5"/>
      <c r="B918" s="5"/>
      <c r="C918" s="73"/>
      <c r="D918" s="73"/>
      <c r="E918" s="5"/>
      <c r="F918" s="5"/>
      <c r="G918" s="5"/>
      <c r="H918" s="5"/>
      <c r="I918" s="73"/>
      <c r="J918" s="5"/>
      <c r="K918" s="5"/>
      <c r="L918" s="73"/>
      <c r="M918" s="5"/>
      <c r="N918" s="5"/>
      <c r="O918" s="5"/>
      <c r="P918" s="5"/>
      <c r="Q918" s="5"/>
      <c r="R918" s="5"/>
      <c r="S918" s="5"/>
      <c r="T918" s="5"/>
      <c r="U918" s="5"/>
      <c r="V918" s="5"/>
      <c r="W918" s="5"/>
      <c r="X918" s="5"/>
      <c r="Y918" s="5"/>
      <c r="Z918" s="5"/>
      <c r="AA918" s="5"/>
      <c r="AB918" s="5"/>
      <c r="AC918" s="5"/>
      <c r="AD918" s="6"/>
    </row>
    <row r="919">
      <c r="A919" s="5"/>
      <c r="B919" s="5"/>
      <c r="C919" s="73"/>
      <c r="D919" s="73"/>
      <c r="E919" s="5"/>
      <c r="F919" s="5"/>
      <c r="G919" s="5"/>
      <c r="H919" s="5"/>
      <c r="I919" s="73"/>
      <c r="J919" s="5"/>
      <c r="K919" s="5"/>
      <c r="L919" s="73"/>
      <c r="M919" s="5"/>
      <c r="N919" s="5"/>
      <c r="O919" s="5"/>
      <c r="P919" s="5"/>
      <c r="Q919" s="5"/>
      <c r="R919" s="5"/>
      <c r="S919" s="5"/>
      <c r="T919" s="5"/>
      <c r="U919" s="5"/>
      <c r="V919" s="5"/>
      <c r="W919" s="5"/>
      <c r="X919" s="5"/>
      <c r="Y919" s="5"/>
      <c r="Z919" s="5"/>
      <c r="AA919" s="5"/>
      <c r="AB919" s="5"/>
      <c r="AC919" s="5"/>
      <c r="AD919" s="6"/>
    </row>
    <row r="920">
      <c r="A920" s="5"/>
      <c r="B920" s="5"/>
      <c r="C920" s="73"/>
      <c r="D920" s="73"/>
      <c r="E920" s="5"/>
      <c r="F920" s="5"/>
      <c r="G920" s="5"/>
      <c r="H920" s="5"/>
      <c r="I920" s="73"/>
      <c r="J920" s="5"/>
      <c r="K920" s="5"/>
      <c r="L920" s="73"/>
      <c r="M920" s="5"/>
      <c r="N920" s="5"/>
      <c r="O920" s="5"/>
      <c r="P920" s="5"/>
      <c r="Q920" s="5"/>
      <c r="R920" s="5"/>
      <c r="S920" s="5"/>
      <c r="T920" s="5"/>
      <c r="U920" s="5"/>
      <c r="V920" s="5"/>
      <c r="W920" s="5"/>
      <c r="X920" s="5"/>
      <c r="Y920" s="5"/>
      <c r="Z920" s="5"/>
      <c r="AA920" s="5"/>
      <c r="AB920" s="5"/>
      <c r="AC920" s="5"/>
      <c r="AD920" s="6"/>
    </row>
    <row r="921">
      <c r="A921" s="5"/>
      <c r="B921" s="5"/>
      <c r="C921" s="73"/>
      <c r="D921" s="73"/>
      <c r="E921" s="5"/>
      <c r="F921" s="5"/>
      <c r="G921" s="5"/>
      <c r="H921" s="5"/>
      <c r="I921" s="73"/>
      <c r="J921" s="5"/>
      <c r="K921" s="5"/>
      <c r="L921" s="73"/>
      <c r="M921" s="5"/>
      <c r="N921" s="5"/>
      <c r="O921" s="5"/>
      <c r="P921" s="5"/>
      <c r="Q921" s="5"/>
      <c r="R921" s="5"/>
      <c r="S921" s="5"/>
      <c r="T921" s="5"/>
      <c r="U921" s="5"/>
      <c r="V921" s="5"/>
      <c r="W921" s="5"/>
      <c r="X921" s="5"/>
      <c r="Y921" s="5"/>
      <c r="Z921" s="5"/>
      <c r="AA921" s="5"/>
      <c r="AB921" s="5"/>
      <c r="AC921" s="5"/>
      <c r="AD921" s="6"/>
    </row>
    <row r="922">
      <c r="A922" s="5"/>
      <c r="B922" s="5"/>
      <c r="C922" s="73"/>
      <c r="D922" s="73"/>
      <c r="E922" s="5"/>
      <c r="F922" s="5"/>
      <c r="G922" s="5"/>
      <c r="H922" s="5"/>
      <c r="I922" s="73"/>
      <c r="J922" s="5"/>
      <c r="K922" s="5"/>
      <c r="L922" s="73"/>
      <c r="M922" s="5"/>
      <c r="N922" s="5"/>
      <c r="O922" s="5"/>
      <c r="P922" s="5"/>
      <c r="Q922" s="5"/>
      <c r="R922" s="5"/>
      <c r="S922" s="5"/>
      <c r="T922" s="5"/>
      <c r="U922" s="5"/>
      <c r="V922" s="5"/>
      <c r="W922" s="5"/>
      <c r="X922" s="5"/>
      <c r="Y922" s="5"/>
      <c r="Z922" s="5"/>
      <c r="AA922" s="5"/>
      <c r="AB922" s="5"/>
      <c r="AC922" s="5"/>
      <c r="AD922" s="6"/>
    </row>
    <row r="923">
      <c r="A923" s="5"/>
      <c r="B923" s="5"/>
      <c r="C923" s="73"/>
      <c r="D923" s="73"/>
      <c r="E923" s="5"/>
      <c r="F923" s="5"/>
      <c r="G923" s="5"/>
      <c r="H923" s="5"/>
      <c r="I923" s="73"/>
      <c r="J923" s="5"/>
      <c r="K923" s="5"/>
      <c r="L923" s="73"/>
      <c r="M923" s="5"/>
      <c r="N923" s="5"/>
      <c r="O923" s="5"/>
      <c r="P923" s="5"/>
      <c r="Q923" s="5"/>
      <c r="R923" s="5"/>
      <c r="S923" s="5"/>
      <c r="T923" s="5"/>
      <c r="U923" s="5"/>
      <c r="V923" s="5"/>
      <c r="W923" s="5"/>
      <c r="X923" s="5"/>
      <c r="Y923" s="5"/>
      <c r="Z923" s="5"/>
      <c r="AA923" s="5"/>
      <c r="AB923" s="5"/>
      <c r="AC923" s="5"/>
      <c r="AD923" s="6"/>
    </row>
    <row r="924">
      <c r="A924" s="5"/>
      <c r="B924" s="5"/>
      <c r="C924" s="73"/>
      <c r="D924" s="73"/>
      <c r="E924" s="5"/>
      <c r="F924" s="5"/>
      <c r="G924" s="5"/>
      <c r="H924" s="5"/>
      <c r="I924" s="73"/>
      <c r="J924" s="5"/>
      <c r="K924" s="5"/>
      <c r="L924" s="73"/>
      <c r="M924" s="5"/>
      <c r="N924" s="5"/>
      <c r="O924" s="5"/>
      <c r="P924" s="5"/>
      <c r="Q924" s="5"/>
      <c r="R924" s="5"/>
      <c r="S924" s="5"/>
      <c r="T924" s="5"/>
      <c r="U924" s="5"/>
      <c r="V924" s="5"/>
      <c r="W924" s="5"/>
      <c r="X924" s="5"/>
      <c r="Y924" s="5"/>
      <c r="Z924" s="5"/>
      <c r="AA924" s="5"/>
      <c r="AB924" s="5"/>
      <c r="AC924" s="5"/>
      <c r="AD924" s="6"/>
    </row>
    <row r="925">
      <c r="A925" s="5"/>
      <c r="B925" s="5"/>
      <c r="C925" s="73"/>
      <c r="D925" s="73"/>
      <c r="E925" s="5"/>
      <c r="F925" s="5"/>
      <c r="G925" s="5"/>
      <c r="H925" s="5"/>
      <c r="I925" s="73"/>
      <c r="J925" s="5"/>
      <c r="K925" s="5"/>
      <c r="L925" s="73"/>
      <c r="M925" s="5"/>
      <c r="N925" s="5"/>
      <c r="O925" s="5"/>
      <c r="P925" s="5"/>
      <c r="Q925" s="5"/>
      <c r="R925" s="5"/>
      <c r="S925" s="5"/>
      <c r="T925" s="5"/>
      <c r="U925" s="5"/>
      <c r="V925" s="5"/>
      <c r="W925" s="5"/>
      <c r="X925" s="5"/>
      <c r="Y925" s="5"/>
      <c r="Z925" s="5"/>
      <c r="AA925" s="5"/>
      <c r="AB925" s="5"/>
      <c r="AC925" s="5"/>
      <c r="AD925" s="6"/>
    </row>
    <row r="926">
      <c r="A926" s="5"/>
      <c r="B926" s="5"/>
      <c r="C926" s="73"/>
      <c r="D926" s="73"/>
      <c r="E926" s="5"/>
      <c r="F926" s="5"/>
      <c r="G926" s="5"/>
      <c r="H926" s="5"/>
      <c r="I926" s="73"/>
      <c r="J926" s="5"/>
      <c r="K926" s="5"/>
      <c r="L926" s="73"/>
      <c r="M926" s="5"/>
      <c r="N926" s="5"/>
      <c r="O926" s="5"/>
      <c r="P926" s="5"/>
      <c r="Q926" s="5"/>
      <c r="R926" s="5"/>
      <c r="S926" s="5"/>
      <c r="T926" s="5"/>
      <c r="U926" s="5"/>
      <c r="V926" s="5"/>
      <c r="W926" s="5"/>
      <c r="X926" s="5"/>
      <c r="Y926" s="5"/>
      <c r="Z926" s="5"/>
      <c r="AA926" s="5"/>
      <c r="AB926" s="5"/>
      <c r="AC926" s="5"/>
      <c r="AD926" s="6"/>
    </row>
    <row r="927">
      <c r="A927" s="5"/>
      <c r="B927" s="5"/>
      <c r="C927" s="73"/>
      <c r="D927" s="73"/>
      <c r="E927" s="5"/>
      <c r="F927" s="5"/>
      <c r="G927" s="5"/>
      <c r="H927" s="5"/>
      <c r="I927" s="73"/>
      <c r="J927" s="5"/>
      <c r="K927" s="5"/>
      <c r="L927" s="73"/>
      <c r="M927" s="5"/>
      <c r="N927" s="5"/>
      <c r="O927" s="5"/>
      <c r="P927" s="5"/>
      <c r="Q927" s="5"/>
      <c r="R927" s="5"/>
      <c r="S927" s="5"/>
      <c r="T927" s="5"/>
      <c r="U927" s="5"/>
      <c r="V927" s="5"/>
      <c r="W927" s="5"/>
      <c r="X927" s="5"/>
      <c r="Y927" s="5"/>
      <c r="Z927" s="5"/>
      <c r="AA927" s="5"/>
      <c r="AB927" s="5"/>
      <c r="AC927" s="5"/>
      <c r="AD927" s="6"/>
    </row>
    <row r="928">
      <c r="A928" s="5"/>
      <c r="B928" s="5"/>
      <c r="C928" s="73"/>
      <c r="D928" s="73"/>
      <c r="E928" s="5"/>
      <c r="F928" s="5"/>
      <c r="G928" s="5"/>
      <c r="H928" s="5"/>
      <c r="I928" s="73"/>
      <c r="J928" s="5"/>
      <c r="K928" s="5"/>
      <c r="L928" s="73"/>
      <c r="M928" s="5"/>
      <c r="N928" s="5"/>
      <c r="O928" s="5"/>
      <c r="P928" s="5"/>
      <c r="Q928" s="5"/>
      <c r="R928" s="5"/>
      <c r="S928" s="5"/>
      <c r="T928" s="5"/>
      <c r="U928" s="5"/>
      <c r="V928" s="5"/>
      <c r="W928" s="5"/>
      <c r="X928" s="5"/>
      <c r="Y928" s="5"/>
      <c r="Z928" s="5"/>
      <c r="AA928" s="5"/>
      <c r="AB928" s="5"/>
      <c r="AC928" s="5"/>
      <c r="AD928" s="6"/>
    </row>
    <row r="929">
      <c r="A929" s="5"/>
      <c r="B929" s="5"/>
      <c r="C929" s="73"/>
      <c r="D929" s="73"/>
      <c r="E929" s="5"/>
      <c r="F929" s="5"/>
      <c r="G929" s="5"/>
      <c r="H929" s="5"/>
      <c r="I929" s="73"/>
      <c r="J929" s="5"/>
      <c r="K929" s="5"/>
      <c r="L929" s="73"/>
      <c r="M929" s="5"/>
      <c r="N929" s="5"/>
      <c r="O929" s="5"/>
      <c r="P929" s="5"/>
      <c r="Q929" s="5"/>
      <c r="R929" s="5"/>
      <c r="S929" s="5"/>
      <c r="T929" s="5"/>
      <c r="U929" s="5"/>
      <c r="V929" s="5"/>
      <c r="W929" s="5"/>
      <c r="X929" s="5"/>
      <c r="Y929" s="5"/>
      <c r="Z929" s="5"/>
      <c r="AA929" s="5"/>
      <c r="AB929" s="5"/>
      <c r="AC929" s="5"/>
      <c r="AD929" s="6"/>
    </row>
    <row r="930">
      <c r="A930" s="5"/>
      <c r="B930" s="5"/>
      <c r="C930" s="73"/>
      <c r="D930" s="73"/>
      <c r="E930" s="5"/>
      <c r="F930" s="5"/>
      <c r="G930" s="5"/>
      <c r="H930" s="5"/>
      <c r="I930" s="73"/>
      <c r="J930" s="5"/>
      <c r="K930" s="5"/>
      <c r="L930" s="73"/>
      <c r="M930" s="5"/>
      <c r="N930" s="5"/>
      <c r="O930" s="5"/>
      <c r="P930" s="5"/>
      <c r="Q930" s="5"/>
      <c r="R930" s="5"/>
      <c r="S930" s="5"/>
      <c r="T930" s="5"/>
      <c r="U930" s="5"/>
      <c r="V930" s="5"/>
      <c r="W930" s="5"/>
      <c r="X930" s="5"/>
      <c r="Y930" s="5"/>
      <c r="Z930" s="5"/>
      <c r="AA930" s="5"/>
      <c r="AB930" s="5"/>
      <c r="AC930" s="5"/>
      <c r="AD930" s="6"/>
    </row>
    <row r="931">
      <c r="A931" s="5"/>
      <c r="B931" s="5"/>
      <c r="C931" s="73"/>
      <c r="D931" s="73"/>
      <c r="E931" s="5"/>
      <c r="F931" s="5"/>
      <c r="G931" s="5"/>
      <c r="H931" s="5"/>
      <c r="I931" s="73"/>
      <c r="J931" s="5"/>
      <c r="K931" s="5"/>
      <c r="L931" s="73"/>
      <c r="M931" s="5"/>
      <c r="N931" s="5"/>
      <c r="O931" s="5"/>
      <c r="P931" s="5"/>
      <c r="Q931" s="5"/>
      <c r="R931" s="5"/>
      <c r="S931" s="5"/>
      <c r="T931" s="5"/>
      <c r="U931" s="5"/>
      <c r="V931" s="5"/>
      <c r="W931" s="5"/>
      <c r="X931" s="5"/>
      <c r="Y931" s="5"/>
      <c r="Z931" s="5"/>
      <c r="AA931" s="5"/>
      <c r="AB931" s="5"/>
      <c r="AC931" s="5"/>
      <c r="AD931" s="6"/>
    </row>
    <row r="932">
      <c r="A932" s="5"/>
      <c r="B932" s="5"/>
      <c r="C932" s="73"/>
      <c r="D932" s="73"/>
      <c r="E932" s="5"/>
      <c r="F932" s="5"/>
      <c r="G932" s="5"/>
      <c r="H932" s="5"/>
      <c r="I932" s="73"/>
      <c r="J932" s="5"/>
      <c r="K932" s="5"/>
      <c r="L932" s="73"/>
      <c r="M932" s="5"/>
      <c r="N932" s="5"/>
      <c r="O932" s="5"/>
      <c r="P932" s="5"/>
      <c r="Q932" s="5"/>
      <c r="R932" s="5"/>
      <c r="S932" s="5"/>
      <c r="T932" s="5"/>
      <c r="U932" s="5"/>
      <c r="V932" s="5"/>
      <c r="W932" s="5"/>
      <c r="X932" s="5"/>
      <c r="Y932" s="5"/>
      <c r="Z932" s="5"/>
      <c r="AA932" s="5"/>
      <c r="AB932" s="5"/>
      <c r="AC932" s="5"/>
      <c r="AD932" s="6"/>
    </row>
    <row r="933">
      <c r="A933" s="5"/>
      <c r="B933" s="5"/>
      <c r="C933" s="73"/>
      <c r="D933" s="73"/>
      <c r="E933" s="5"/>
      <c r="F933" s="5"/>
      <c r="G933" s="5"/>
      <c r="H933" s="5"/>
      <c r="I933" s="73"/>
      <c r="J933" s="5"/>
      <c r="K933" s="5"/>
      <c r="L933" s="73"/>
      <c r="M933" s="5"/>
      <c r="N933" s="5"/>
      <c r="O933" s="5"/>
      <c r="P933" s="5"/>
      <c r="Q933" s="5"/>
      <c r="R933" s="5"/>
      <c r="S933" s="5"/>
      <c r="T933" s="5"/>
      <c r="U933" s="5"/>
      <c r="V933" s="5"/>
      <c r="W933" s="5"/>
      <c r="X933" s="5"/>
      <c r="Y933" s="5"/>
      <c r="Z933" s="5"/>
      <c r="AA933" s="5"/>
      <c r="AB933" s="5"/>
      <c r="AC933" s="5"/>
      <c r="AD933" s="6"/>
    </row>
    <row r="934">
      <c r="A934" s="5"/>
      <c r="B934" s="5"/>
      <c r="C934" s="73"/>
      <c r="D934" s="73"/>
      <c r="E934" s="5"/>
      <c r="F934" s="5"/>
      <c r="G934" s="5"/>
      <c r="H934" s="5"/>
      <c r="I934" s="73"/>
      <c r="J934" s="5"/>
      <c r="K934" s="5"/>
      <c r="L934" s="73"/>
      <c r="M934" s="5"/>
      <c r="N934" s="5"/>
      <c r="O934" s="5"/>
      <c r="P934" s="5"/>
      <c r="Q934" s="5"/>
      <c r="R934" s="5"/>
      <c r="S934" s="5"/>
      <c r="T934" s="5"/>
      <c r="U934" s="5"/>
      <c r="V934" s="5"/>
      <c r="W934" s="5"/>
      <c r="X934" s="5"/>
      <c r="Y934" s="5"/>
      <c r="Z934" s="5"/>
      <c r="AA934" s="5"/>
      <c r="AB934" s="5"/>
      <c r="AC934" s="5"/>
      <c r="AD934" s="6"/>
    </row>
    <row r="935">
      <c r="A935" s="5"/>
      <c r="B935" s="5"/>
      <c r="C935" s="73"/>
      <c r="D935" s="73"/>
      <c r="E935" s="5"/>
      <c r="F935" s="5"/>
      <c r="G935" s="5"/>
      <c r="H935" s="5"/>
      <c r="I935" s="73"/>
      <c r="J935" s="5"/>
      <c r="K935" s="5"/>
      <c r="L935" s="73"/>
      <c r="M935" s="5"/>
      <c r="N935" s="5"/>
      <c r="O935" s="5"/>
      <c r="P935" s="5"/>
      <c r="Q935" s="5"/>
      <c r="R935" s="5"/>
      <c r="S935" s="5"/>
      <c r="T935" s="5"/>
      <c r="U935" s="5"/>
      <c r="V935" s="5"/>
      <c r="W935" s="5"/>
      <c r="X935" s="5"/>
      <c r="Y935" s="5"/>
      <c r="Z935" s="5"/>
      <c r="AA935" s="5"/>
      <c r="AB935" s="5"/>
      <c r="AC935" s="5"/>
      <c r="AD935" s="6"/>
    </row>
    <row r="936">
      <c r="A936" s="5"/>
      <c r="B936" s="5"/>
      <c r="C936" s="73"/>
      <c r="D936" s="73"/>
      <c r="E936" s="5"/>
      <c r="F936" s="5"/>
      <c r="G936" s="5"/>
      <c r="H936" s="5"/>
      <c r="I936" s="73"/>
      <c r="J936" s="5"/>
      <c r="K936" s="5"/>
      <c r="L936" s="73"/>
      <c r="M936" s="5"/>
      <c r="N936" s="5"/>
      <c r="O936" s="5"/>
      <c r="P936" s="5"/>
      <c r="Q936" s="5"/>
      <c r="R936" s="5"/>
      <c r="S936" s="5"/>
      <c r="T936" s="5"/>
      <c r="U936" s="5"/>
      <c r="V936" s="5"/>
      <c r="W936" s="5"/>
      <c r="X936" s="5"/>
      <c r="Y936" s="5"/>
      <c r="Z936" s="5"/>
      <c r="AA936" s="5"/>
      <c r="AB936" s="5"/>
      <c r="AC936" s="5"/>
      <c r="AD936" s="6"/>
    </row>
    <row r="937">
      <c r="A937" s="5"/>
      <c r="B937" s="5"/>
      <c r="C937" s="73"/>
      <c r="D937" s="73"/>
      <c r="E937" s="5"/>
      <c r="F937" s="5"/>
      <c r="G937" s="5"/>
      <c r="H937" s="5"/>
      <c r="I937" s="73"/>
      <c r="J937" s="5"/>
      <c r="K937" s="5"/>
      <c r="L937" s="73"/>
      <c r="M937" s="5"/>
      <c r="N937" s="5"/>
      <c r="O937" s="5"/>
      <c r="P937" s="5"/>
      <c r="Q937" s="5"/>
      <c r="R937" s="5"/>
      <c r="S937" s="5"/>
      <c r="T937" s="5"/>
      <c r="U937" s="5"/>
      <c r="V937" s="5"/>
      <c r="W937" s="5"/>
      <c r="X937" s="5"/>
      <c r="Y937" s="5"/>
      <c r="Z937" s="5"/>
      <c r="AA937" s="5"/>
      <c r="AB937" s="5"/>
      <c r="AC937" s="5"/>
      <c r="AD937" s="6"/>
    </row>
    <row r="938">
      <c r="A938" s="5"/>
      <c r="B938" s="5"/>
      <c r="C938" s="73"/>
      <c r="D938" s="73"/>
      <c r="E938" s="5"/>
      <c r="F938" s="5"/>
      <c r="G938" s="5"/>
      <c r="H938" s="5"/>
      <c r="I938" s="73"/>
      <c r="J938" s="5"/>
      <c r="K938" s="5"/>
      <c r="L938" s="73"/>
      <c r="M938" s="5"/>
      <c r="N938" s="5"/>
      <c r="O938" s="5"/>
      <c r="P938" s="5"/>
      <c r="Q938" s="5"/>
      <c r="R938" s="5"/>
      <c r="S938" s="5"/>
      <c r="T938" s="5"/>
      <c r="U938" s="5"/>
      <c r="V938" s="5"/>
      <c r="W938" s="5"/>
      <c r="X938" s="5"/>
      <c r="Y938" s="5"/>
      <c r="Z938" s="5"/>
      <c r="AA938" s="5"/>
      <c r="AB938" s="5"/>
      <c r="AC938" s="5"/>
      <c r="AD938" s="6"/>
    </row>
    <row r="939">
      <c r="A939" s="5"/>
      <c r="B939" s="5"/>
      <c r="C939" s="73"/>
      <c r="D939" s="73"/>
      <c r="E939" s="5"/>
      <c r="F939" s="5"/>
      <c r="G939" s="5"/>
      <c r="H939" s="5"/>
      <c r="I939" s="73"/>
      <c r="J939" s="5"/>
      <c r="K939" s="5"/>
      <c r="L939" s="73"/>
      <c r="M939" s="5"/>
      <c r="N939" s="5"/>
      <c r="O939" s="5"/>
      <c r="P939" s="5"/>
      <c r="Q939" s="5"/>
      <c r="R939" s="5"/>
      <c r="S939" s="5"/>
      <c r="T939" s="5"/>
      <c r="U939" s="5"/>
      <c r="V939" s="5"/>
      <c r="W939" s="5"/>
      <c r="X939" s="5"/>
      <c r="Y939" s="5"/>
      <c r="Z939" s="5"/>
      <c r="AA939" s="5"/>
      <c r="AB939" s="5"/>
      <c r="AC939" s="5"/>
      <c r="AD939" s="6"/>
    </row>
    <row r="940">
      <c r="A940" s="5"/>
      <c r="B940" s="5"/>
      <c r="C940" s="73"/>
      <c r="D940" s="73"/>
      <c r="E940" s="5"/>
      <c r="F940" s="5"/>
      <c r="G940" s="5"/>
      <c r="H940" s="5"/>
      <c r="I940" s="73"/>
      <c r="J940" s="5"/>
      <c r="K940" s="5"/>
      <c r="L940" s="73"/>
      <c r="M940" s="5"/>
      <c r="N940" s="5"/>
      <c r="O940" s="5"/>
      <c r="P940" s="5"/>
      <c r="Q940" s="5"/>
      <c r="R940" s="5"/>
      <c r="S940" s="5"/>
      <c r="T940" s="5"/>
      <c r="U940" s="5"/>
      <c r="V940" s="5"/>
      <c r="W940" s="5"/>
      <c r="X940" s="5"/>
      <c r="Y940" s="5"/>
      <c r="Z940" s="5"/>
      <c r="AA940" s="5"/>
      <c r="AB940" s="5"/>
      <c r="AC940" s="5"/>
      <c r="AD940" s="6"/>
    </row>
    <row r="941">
      <c r="A941" s="5"/>
      <c r="B941" s="5"/>
      <c r="C941" s="73"/>
      <c r="D941" s="73"/>
      <c r="E941" s="5"/>
      <c r="F941" s="5"/>
      <c r="G941" s="5"/>
      <c r="H941" s="5"/>
      <c r="I941" s="73"/>
      <c r="J941" s="5"/>
      <c r="K941" s="5"/>
      <c r="L941" s="73"/>
      <c r="M941" s="5"/>
      <c r="N941" s="5"/>
      <c r="O941" s="5"/>
      <c r="P941" s="5"/>
      <c r="Q941" s="5"/>
      <c r="R941" s="5"/>
      <c r="S941" s="5"/>
      <c r="T941" s="5"/>
      <c r="U941" s="5"/>
      <c r="V941" s="5"/>
      <c r="W941" s="5"/>
      <c r="X941" s="5"/>
      <c r="Y941" s="5"/>
      <c r="Z941" s="5"/>
      <c r="AA941" s="5"/>
      <c r="AB941" s="5"/>
      <c r="AC941" s="5"/>
      <c r="AD941" s="6"/>
    </row>
    <row r="942">
      <c r="A942" s="5"/>
      <c r="B942" s="5"/>
      <c r="C942" s="73"/>
      <c r="D942" s="73"/>
      <c r="E942" s="5"/>
      <c r="F942" s="5"/>
      <c r="G942" s="5"/>
      <c r="H942" s="5"/>
      <c r="I942" s="73"/>
      <c r="J942" s="5"/>
      <c r="K942" s="5"/>
      <c r="L942" s="73"/>
      <c r="M942" s="5"/>
      <c r="N942" s="5"/>
      <c r="O942" s="5"/>
      <c r="P942" s="5"/>
      <c r="Q942" s="5"/>
      <c r="R942" s="5"/>
      <c r="S942" s="5"/>
      <c r="T942" s="5"/>
      <c r="U942" s="5"/>
      <c r="V942" s="5"/>
      <c r="W942" s="5"/>
      <c r="X942" s="5"/>
      <c r="Y942" s="5"/>
      <c r="Z942" s="5"/>
      <c r="AA942" s="5"/>
      <c r="AB942" s="5"/>
      <c r="AC942" s="5"/>
      <c r="AD942" s="6"/>
    </row>
    <row r="943">
      <c r="A943" s="5"/>
      <c r="B943" s="5"/>
      <c r="C943" s="73"/>
      <c r="D943" s="73"/>
      <c r="E943" s="5"/>
      <c r="F943" s="5"/>
      <c r="G943" s="5"/>
      <c r="H943" s="5"/>
      <c r="I943" s="73"/>
      <c r="J943" s="5"/>
      <c r="K943" s="5"/>
      <c r="L943" s="73"/>
      <c r="M943" s="5"/>
      <c r="N943" s="5"/>
      <c r="O943" s="5"/>
      <c r="P943" s="5"/>
      <c r="Q943" s="5"/>
      <c r="R943" s="5"/>
      <c r="S943" s="5"/>
      <c r="T943" s="5"/>
      <c r="U943" s="5"/>
      <c r="V943" s="5"/>
      <c r="W943" s="5"/>
      <c r="X943" s="5"/>
      <c r="Y943" s="5"/>
      <c r="Z943" s="5"/>
      <c r="AA943" s="5"/>
      <c r="AB943" s="5"/>
      <c r="AC943" s="5"/>
      <c r="AD943" s="6"/>
    </row>
    <row r="944">
      <c r="A944" s="5"/>
      <c r="B944" s="5"/>
      <c r="C944" s="73"/>
      <c r="D944" s="73"/>
      <c r="E944" s="5"/>
      <c r="F944" s="5"/>
      <c r="G944" s="5"/>
      <c r="H944" s="5"/>
      <c r="I944" s="73"/>
      <c r="J944" s="5"/>
      <c r="K944" s="5"/>
      <c r="L944" s="73"/>
      <c r="M944" s="5"/>
      <c r="N944" s="5"/>
      <c r="O944" s="5"/>
      <c r="P944" s="5"/>
      <c r="Q944" s="5"/>
      <c r="R944" s="5"/>
      <c r="S944" s="5"/>
      <c r="T944" s="5"/>
      <c r="U944" s="5"/>
      <c r="V944" s="5"/>
      <c r="W944" s="5"/>
      <c r="X944" s="5"/>
      <c r="Y944" s="5"/>
      <c r="Z944" s="5"/>
      <c r="AA944" s="5"/>
      <c r="AB944" s="5"/>
      <c r="AC944" s="5"/>
      <c r="AD944" s="6"/>
    </row>
    <row r="945">
      <c r="A945" s="5"/>
      <c r="B945" s="5"/>
      <c r="C945" s="73"/>
      <c r="D945" s="73"/>
      <c r="E945" s="5"/>
      <c r="F945" s="5"/>
      <c r="G945" s="5"/>
      <c r="H945" s="5"/>
      <c r="I945" s="73"/>
      <c r="J945" s="5"/>
      <c r="K945" s="5"/>
      <c r="L945" s="73"/>
      <c r="M945" s="5"/>
      <c r="N945" s="5"/>
      <c r="O945" s="5"/>
      <c r="P945" s="5"/>
      <c r="Q945" s="5"/>
      <c r="R945" s="5"/>
      <c r="S945" s="5"/>
      <c r="T945" s="5"/>
      <c r="U945" s="5"/>
      <c r="V945" s="5"/>
      <c r="W945" s="5"/>
      <c r="X945" s="5"/>
      <c r="Y945" s="5"/>
      <c r="Z945" s="5"/>
      <c r="AA945" s="5"/>
      <c r="AB945" s="5"/>
      <c r="AC945" s="5"/>
      <c r="AD945" s="6"/>
    </row>
    <row r="946">
      <c r="A946" s="5"/>
      <c r="B946" s="5"/>
      <c r="C946" s="73"/>
      <c r="D946" s="73"/>
      <c r="E946" s="5"/>
      <c r="F946" s="5"/>
      <c r="G946" s="5"/>
      <c r="H946" s="5"/>
      <c r="I946" s="73"/>
      <c r="J946" s="5"/>
      <c r="K946" s="5"/>
      <c r="L946" s="73"/>
      <c r="M946" s="5"/>
      <c r="N946" s="5"/>
      <c r="O946" s="5"/>
      <c r="P946" s="5"/>
      <c r="Q946" s="5"/>
      <c r="R946" s="5"/>
      <c r="S946" s="5"/>
      <c r="T946" s="5"/>
      <c r="U946" s="5"/>
      <c r="V946" s="5"/>
      <c r="W946" s="5"/>
      <c r="X946" s="5"/>
      <c r="Y946" s="5"/>
      <c r="Z946" s="5"/>
      <c r="AA946" s="5"/>
      <c r="AB946" s="5"/>
      <c r="AC946" s="5"/>
      <c r="AD946" s="6"/>
    </row>
    <row r="947">
      <c r="A947" s="5"/>
      <c r="B947" s="5"/>
      <c r="C947" s="73"/>
      <c r="D947" s="73"/>
      <c r="E947" s="5"/>
      <c r="F947" s="5"/>
      <c r="G947" s="5"/>
      <c r="H947" s="5"/>
      <c r="I947" s="73"/>
      <c r="J947" s="5"/>
      <c r="K947" s="5"/>
      <c r="L947" s="73"/>
      <c r="M947" s="5"/>
      <c r="N947" s="5"/>
      <c r="O947" s="5"/>
      <c r="P947" s="5"/>
      <c r="Q947" s="5"/>
      <c r="R947" s="5"/>
      <c r="S947" s="5"/>
      <c r="T947" s="5"/>
      <c r="U947" s="5"/>
      <c r="V947" s="5"/>
      <c r="W947" s="5"/>
      <c r="X947" s="5"/>
      <c r="Y947" s="5"/>
      <c r="Z947" s="5"/>
      <c r="AA947" s="5"/>
      <c r="AB947" s="5"/>
      <c r="AC947" s="5"/>
      <c r="AD947" s="6"/>
    </row>
    <row r="948">
      <c r="A948" s="5"/>
      <c r="B948" s="5"/>
      <c r="C948" s="73"/>
      <c r="D948" s="73"/>
      <c r="E948" s="5"/>
      <c r="F948" s="5"/>
      <c r="G948" s="5"/>
      <c r="H948" s="5"/>
      <c r="I948" s="73"/>
      <c r="J948" s="5"/>
      <c r="K948" s="5"/>
      <c r="L948" s="73"/>
      <c r="M948" s="5"/>
      <c r="N948" s="5"/>
      <c r="O948" s="5"/>
      <c r="P948" s="5"/>
      <c r="Q948" s="5"/>
      <c r="R948" s="5"/>
      <c r="S948" s="5"/>
      <c r="T948" s="5"/>
      <c r="U948" s="5"/>
      <c r="V948" s="5"/>
      <c r="W948" s="5"/>
      <c r="X948" s="5"/>
      <c r="Y948" s="5"/>
      <c r="Z948" s="5"/>
      <c r="AA948" s="5"/>
      <c r="AB948" s="5"/>
      <c r="AC948" s="5"/>
      <c r="AD948" s="6"/>
    </row>
    <row r="949">
      <c r="A949" s="5"/>
      <c r="B949" s="5"/>
      <c r="C949" s="73"/>
      <c r="D949" s="73"/>
      <c r="E949" s="5"/>
      <c r="F949" s="5"/>
      <c r="G949" s="5"/>
      <c r="H949" s="5"/>
      <c r="I949" s="73"/>
      <c r="J949" s="5"/>
      <c r="K949" s="5"/>
      <c r="L949" s="73"/>
      <c r="M949" s="5"/>
      <c r="N949" s="5"/>
      <c r="O949" s="5"/>
      <c r="P949" s="5"/>
      <c r="Q949" s="5"/>
      <c r="R949" s="5"/>
      <c r="S949" s="5"/>
      <c r="T949" s="5"/>
      <c r="U949" s="5"/>
      <c r="V949" s="5"/>
      <c r="W949" s="5"/>
      <c r="X949" s="5"/>
      <c r="Y949" s="5"/>
      <c r="Z949" s="5"/>
      <c r="AA949" s="5"/>
      <c r="AB949" s="5"/>
      <c r="AC949" s="5"/>
      <c r="AD949" s="6"/>
    </row>
    <row r="950">
      <c r="A950" s="5"/>
      <c r="B950" s="5"/>
      <c r="C950" s="73"/>
      <c r="D950" s="73"/>
      <c r="E950" s="5"/>
      <c r="F950" s="5"/>
      <c r="G950" s="5"/>
      <c r="H950" s="5"/>
      <c r="I950" s="73"/>
      <c r="J950" s="5"/>
      <c r="K950" s="5"/>
      <c r="L950" s="73"/>
      <c r="M950" s="5"/>
      <c r="N950" s="5"/>
      <c r="O950" s="5"/>
      <c r="P950" s="5"/>
      <c r="Q950" s="5"/>
      <c r="R950" s="5"/>
      <c r="S950" s="5"/>
      <c r="T950" s="5"/>
      <c r="U950" s="5"/>
      <c r="V950" s="5"/>
      <c r="W950" s="5"/>
      <c r="X950" s="5"/>
      <c r="Y950" s="5"/>
      <c r="Z950" s="5"/>
      <c r="AA950" s="5"/>
      <c r="AB950" s="5"/>
      <c r="AC950" s="5"/>
      <c r="AD950" s="6"/>
    </row>
    <row r="951">
      <c r="A951" s="5"/>
      <c r="B951" s="5"/>
      <c r="C951" s="73"/>
      <c r="D951" s="73"/>
      <c r="E951" s="5"/>
      <c r="F951" s="5"/>
      <c r="G951" s="5"/>
      <c r="H951" s="5"/>
      <c r="I951" s="73"/>
      <c r="J951" s="5"/>
      <c r="K951" s="5"/>
      <c r="L951" s="73"/>
      <c r="M951" s="5"/>
      <c r="N951" s="5"/>
      <c r="O951" s="5"/>
      <c r="P951" s="5"/>
      <c r="Q951" s="5"/>
      <c r="R951" s="5"/>
      <c r="S951" s="5"/>
      <c r="T951" s="5"/>
      <c r="U951" s="5"/>
      <c r="V951" s="5"/>
      <c r="W951" s="5"/>
      <c r="X951" s="5"/>
      <c r="Y951" s="5"/>
      <c r="Z951" s="5"/>
      <c r="AA951" s="5"/>
      <c r="AB951" s="5"/>
      <c r="AC951" s="5"/>
      <c r="AD951" s="6"/>
    </row>
    <row r="952">
      <c r="A952" s="5"/>
      <c r="B952" s="5"/>
      <c r="C952" s="73"/>
      <c r="D952" s="73"/>
      <c r="E952" s="5"/>
      <c r="F952" s="5"/>
      <c r="G952" s="5"/>
      <c r="H952" s="5"/>
      <c r="I952" s="73"/>
      <c r="J952" s="5"/>
      <c r="K952" s="5"/>
      <c r="L952" s="73"/>
      <c r="M952" s="5"/>
      <c r="N952" s="5"/>
      <c r="O952" s="5"/>
      <c r="P952" s="5"/>
      <c r="Q952" s="5"/>
      <c r="R952" s="5"/>
      <c r="S952" s="5"/>
      <c r="T952" s="5"/>
      <c r="U952" s="5"/>
      <c r="V952" s="5"/>
      <c r="W952" s="5"/>
      <c r="X952" s="5"/>
      <c r="Y952" s="5"/>
      <c r="Z952" s="5"/>
      <c r="AA952" s="5"/>
      <c r="AB952" s="5"/>
      <c r="AC952" s="5"/>
      <c r="AD952" s="6"/>
    </row>
    <row r="953">
      <c r="A953" s="5"/>
      <c r="B953" s="5"/>
      <c r="C953" s="73"/>
      <c r="D953" s="73"/>
      <c r="E953" s="5"/>
      <c r="F953" s="5"/>
      <c r="G953" s="5"/>
      <c r="H953" s="5"/>
      <c r="I953" s="73"/>
      <c r="J953" s="5"/>
      <c r="K953" s="5"/>
      <c r="L953" s="73"/>
      <c r="M953" s="5"/>
      <c r="N953" s="5"/>
      <c r="O953" s="5"/>
      <c r="P953" s="5"/>
      <c r="Q953" s="5"/>
      <c r="R953" s="5"/>
      <c r="S953" s="5"/>
      <c r="T953" s="5"/>
      <c r="U953" s="5"/>
      <c r="V953" s="5"/>
      <c r="W953" s="5"/>
      <c r="X953" s="5"/>
      <c r="Y953" s="5"/>
      <c r="Z953" s="5"/>
      <c r="AA953" s="5"/>
      <c r="AB953" s="5"/>
      <c r="AC953" s="5"/>
      <c r="AD953" s="6"/>
    </row>
    <row r="954">
      <c r="A954" s="5"/>
      <c r="B954" s="5"/>
      <c r="C954" s="73"/>
      <c r="D954" s="73"/>
      <c r="E954" s="5"/>
      <c r="F954" s="5"/>
      <c r="G954" s="5"/>
      <c r="H954" s="5"/>
      <c r="I954" s="73"/>
      <c r="J954" s="5"/>
      <c r="K954" s="5"/>
      <c r="L954" s="73"/>
      <c r="M954" s="5"/>
      <c r="N954" s="5"/>
      <c r="O954" s="5"/>
      <c r="P954" s="5"/>
      <c r="Q954" s="5"/>
      <c r="R954" s="5"/>
      <c r="S954" s="5"/>
      <c r="T954" s="5"/>
      <c r="U954" s="5"/>
      <c r="V954" s="5"/>
      <c r="W954" s="5"/>
      <c r="X954" s="5"/>
      <c r="Y954" s="5"/>
      <c r="Z954" s="5"/>
      <c r="AA954" s="5"/>
      <c r="AB954" s="5"/>
      <c r="AC954" s="5"/>
      <c r="AD954" s="6"/>
    </row>
    <row r="955">
      <c r="A955" s="5"/>
      <c r="B955" s="5"/>
      <c r="C955" s="73"/>
      <c r="D955" s="73"/>
      <c r="E955" s="5"/>
      <c r="F955" s="5"/>
      <c r="G955" s="5"/>
      <c r="H955" s="5"/>
      <c r="I955" s="73"/>
      <c r="J955" s="5"/>
      <c r="K955" s="5"/>
      <c r="L955" s="73"/>
      <c r="M955" s="5"/>
      <c r="N955" s="5"/>
      <c r="O955" s="5"/>
      <c r="P955" s="5"/>
      <c r="Q955" s="5"/>
      <c r="R955" s="5"/>
      <c r="S955" s="5"/>
      <c r="T955" s="5"/>
      <c r="U955" s="5"/>
      <c r="V955" s="5"/>
      <c r="W955" s="5"/>
      <c r="X955" s="5"/>
      <c r="Y955" s="5"/>
      <c r="Z955" s="5"/>
      <c r="AA955" s="5"/>
      <c r="AB955" s="5"/>
      <c r="AC955" s="5"/>
      <c r="AD955" s="6"/>
    </row>
    <row r="956">
      <c r="A956" s="5"/>
      <c r="B956" s="5"/>
      <c r="C956" s="73"/>
      <c r="D956" s="73"/>
      <c r="E956" s="5"/>
      <c r="F956" s="5"/>
      <c r="G956" s="5"/>
      <c r="H956" s="5"/>
      <c r="I956" s="73"/>
      <c r="J956" s="5"/>
      <c r="K956" s="5"/>
      <c r="L956" s="73"/>
      <c r="M956" s="5"/>
      <c r="N956" s="5"/>
      <c r="O956" s="5"/>
      <c r="P956" s="5"/>
      <c r="Q956" s="5"/>
      <c r="R956" s="5"/>
      <c r="S956" s="5"/>
      <c r="T956" s="5"/>
      <c r="U956" s="5"/>
      <c r="V956" s="5"/>
      <c r="W956" s="5"/>
      <c r="X956" s="5"/>
      <c r="Y956" s="5"/>
      <c r="Z956" s="5"/>
      <c r="AA956" s="5"/>
      <c r="AB956" s="5"/>
      <c r="AC956" s="5"/>
      <c r="AD956" s="6"/>
    </row>
    <row r="957">
      <c r="A957" s="5"/>
      <c r="B957" s="5"/>
      <c r="C957" s="73"/>
      <c r="D957" s="73"/>
      <c r="E957" s="5"/>
      <c r="F957" s="5"/>
      <c r="G957" s="5"/>
      <c r="H957" s="5"/>
      <c r="I957" s="73"/>
      <c r="J957" s="5"/>
      <c r="K957" s="5"/>
      <c r="L957" s="73"/>
      <c r="M957" s="5"/>
      <c r="N957" s="5"/>
      <c r="O957" s="5"/>
      <c r="P957" s="5"/>
      <c r="Q957" s="5"/>
      <c r="R957" s="5"/>
      <c r="S957" s="5"/>
      <c r="T957" s="5"/>
      <c r="U957" s="5"/>
      <c r="V957" s="5"/>
      <c r="W957" s="5"/>
      <c r="X957" s="5"/>
      <c r="Y957" s="5"/>
      <c r="Z957" s="5"/>
      <c r="AA957" s="5"/>
      <c r="AB957" s="5"/>
      <c r="AC957" s="5"/>
      <c r="AD957" s="6"/>
    </row>
    <row r="958">
      <c r="A958" s="5"/>
      <c r="B958" s="5"/>
      <c r="C958" s="73"/>
      <c r="D958" s="73"/>
      <c r="E958" s="5"/>
      <c r="F958" s="5"/>
      <c r="G958" s="5"/>
      <c r="H958" s="5"/>
      <c r="I958" s="73"/>
      <c r="J958" s="5"/>
      <c r="K958" s="5"/>
      <c r="L958" s="73"/>
      <c r="M958" s="5"/>
      <c r="N958" s="5"/>
      <c r="O958" s="5"/>
      <c r="P958" s="5"/>
      <c r="Q958" s="5"/>
      <c r="R958" s="5"/>
      <c r="S958" s="5"/>
      <c r="T958" s="5"/>
      <c r="U958" s="5"/>
      <c r="V958" s="5"/>
      <c r="W958" s="5"/>
      <c r="X958" s="5"/>
      <c r="Y958" s="5"/>
      <c r="Z958" s="5"/>
      <c r="AA958" s="5"/>
      <c r="AB958" s="5"/>
      <c r="AC958" s="5"/>
      <c r="AD958" s="6"/>
    </row>
    <row r="959">
      <c r="A959" s="5"/>
      <c r="B959" s="5"/>
      <c r="C959" s="73"/>
      <c r="D959" s="73"/>
      <c r="E959" s="5"/>
      <c r="F959" s="5"/>
      <c r="G959" s="5"/>
      <c r="H959" s="5"/>
      <c r="I959" s="73"/>
      <c r="J959" s="5"/>
      <c r="K959" s="5"/>
      <c r="L959" s="73"/>
      <c r="M959" s="5"/>
      <c r="N959" s="5"/>
      <c r="O959" s="5"/>
      <c r="P959" s="5"/>
      <c r="Q959" s="5"/>
      <c r="R959" s="5"/>
      <c r="S959" s="5"/>
      <c r="T959" s="5"/>
      <c r="U959" s="5"/>
      <c r="V959" s="5"/>
      <c r="W959" s="5"/>
      <c r="X959" s="5"/>
      <c r="Y959" s="5"/>
      <c r="Z959" s="5"/>
      <c r="AA959" s="5"/>
      <c r="AB959" s="5"/>
      <c r="AC959" s="5"/>
      <c r="AD959" s="6"/>
    </row>
    <row r="960">
      <c r="A960" s="5"/>
      <c r="B960" s="5"/>
      <c r="C960" s="73"/>
      <c r="D960" s="73"/>
      <c r="E960" s="5"/>
      <c r="F960" s="5"/>
      <c r="G960" s="5"/>
      <c r="H960" s="5"/>
      <c r="I960" s="73"/>
      <c r="J960" s="5"/>
      <c r="K960" s="5"/>
      <c r="L960" s="73"/>
      <c r="M960" s="5"/>
      <c r="N960" s="5"/>
      <c r="O960" s="5"/>
      <c r="P960" s="5"/>
      <c r="Q960" s="5"/>
      <c r="R960" s="5"/>
      <c r="S960" s="5"/>
      <c r="T960" s="5"/>
      <c r="U960" s="5"/>
      <c r="V960" s="5"/>
      <c r="W960" s="5"/>
      <c r="X960" s="5"/>
      <c r="Y960" s="5"/>
      <c r="Z960" s="5"/>
      <c r="AA960" s="5"/>
      <c r="AB960" s="5"/>
      <c r="AC960" s="5"/>
      <c r="AD960" s="6"/>
    </row>
    <row r="961">
      <c r="A961" s="5"/>
      <c r="B961" s="5"/>
      <c r="C961" s="73"/>
      <c r="D961" s="73"/>
      <c r="E961" s="5"/>
      <c r="F961" s="5"/>
      <c r="G961" s="5"/>
      <c r="H961" s="5"/>
      <c r="I961" s="73"/>
      <c r="J961" s="5"/>
      <c r="K961" s="5"/>
      <c r="L961" s="73"/>
      <c r="M961" s="5"/>
      <c r="N961" s="5"/>
      <c r="O961" s="5"/>
      <c r="P961" s="5"/>
      <c r="Q961" s="5"/>
      <c r="R961" s="5"/>
      <c r="S961" s="5"/>
      <c r="T961" s="5"/>
      <c r="U961" s="5"/>
      <c r="V961" s="5"/>
      <c r="W961" s="5"/>
      <c r="X961" s="5"/>
      <c r="Y961" s="5"/>
      <c r="Z961" s="5"/>
      <c r="AA961" s="5"/>
      <c r="AB961" s="5"/>
      <c r="AC961" s="5"/>
      <c r="AD961" s="6"/>
    </row>
    <row r="962">
      <c r="A962" s="5"/>
      <c r="B962" s="5"/>
      <c r="C962" s="73"/>
      <c r="D962" s="73"/>
      <c r="E962" s="5"/>
      <c r="F962" s="5"/>
      <c r="G962" s="5"/>
      <c r="H962" s="5"/>
      <c r="I962" s="73"/>
      <c r="J962" s="5"/>
      <c r="K962" s="5"/>
      <c r="L962" s="73"/>
      <c r="M962" s="5"/>
      <c r="N962" s="5"/>
      <c r="O962" s="5"/>
      <c r="P962" s="5"/>
      <c r="Q962" s="5"/>
      <c r="R962" s="5"/>
      <c r="S962" s="5"/>
      <c r="T962" s="5"/>
      <c r="U962" s="5"/>
      <c r="V962" s="5"/>
      <c r="W962" s="5"/>
      <c r="X962" s="5"/>
      <c r="Y962" s="5"/>
      <c r="Z962" s="5"/>
      <c r="AA962" s="5"/>
      <c r="AB962" s="5"/>
      <c r="AC962" s="5"/>
      <c r="AD962" s="6"/>
    </row>
    <row r="963">
      <c r="A963" s="5"/>
      <c r="B963" s="5"/>
      <c r="C963" s="73"/>
      <c r="D963" s="73"/>
      <c r="E963" s="5"/>
      <c r="F963" s="5"/>
      <c r="G963" s="5"/>
      <c r="H963" s="5"/>
      <c r="I963" s="73"/>
      <c r="J963" s="5"/>
      <c r="K963" s="5"/>
      <c r="L963" s="73"/>
      <c r="M963" s="5"/>
      <c r="N963" s="5"/>
      <c r="O963" s="5"/>
      <c r="P963" s="5"/>
      <c r="Q963" s="5"/>
      <c r="R963" s="5"/>
      <c r="S963" s="5"/>
      <c r="T963" s="5"/>
      <c r="U963" s="5"/>
      <c r="V963" s="5"/>
      <c r="W963" s="5"/>
      <c r="X963" s="5"/>
      <c r="Y963" s="5"/>
      <c r="Z963" s="5"/>
      <c r="AA963" s="5"/>
      <c r="AB963" s="5"/>
      <c r="AC963" s="5"/>
      <c r="AD963" s="6"/>
    </row>
    <row r="964">
      <c r="A964" s="5"/>
      <c r="B964" s="5"/>
      <c r="C964" s="73"/>
      <c r="D964" s="73"/>
      <c r="E964" s="5"/>
      <c r="F964" s="5"/>
      <c r="G964" s="5"/>
      <c r="H964" s="5"/>
      <c r="I964" s="73"/>
      <c r="J964" s="5"/>
      <c r="K964" s="5"/>
      <c r="L964" s="73"/>
      <c r="M964" s="5"/>
      <c r="N964" s="5"/>
      <c r="O964" s="5"/>
      <c r="P964" s="5"/>
      <c r="Q964" s="5"/>
      <c r="R964" s="5"/>
      <c r="S964" s="5"/>
      <c r="T964" s="5"/>
      <c r="U964" s="5"/>
      <c r="V964" s="5"/>
      <c r="W964" s="5"/>
      <c r="X964" s="5"/>
      <c r="Y964" s="5"/>
      <c r="Z964" s="5"/>
      <c r="AA964" s="5"/>
      <c r="AB964" s="5"/>
      <c r="AC964" s="5"/>
      <c r="AD964" s="6"/>
    </row>
    <row r="965">
      <c r="A965" s="5"/>
      <c r="B965" s="5"/>
      <c r="C965" s="73"/>
      <c r="D965" s="73"/>
      <c r="E965" s="5"/>
      <c r="F965" s="5"/>
      <c r="G965" s="5"/>
      <c r="H965" s="5"/>
      <c r="I965" s="73"/>
      <c r="J965" s="5"/>
      <c r="K965" s="5"/>
      <c r="L965" s="73"/>
      <c r="M965" s="5"/>
      <c r="N965" s="5"/>
      <c r="O965" s="5"/>
      <c r="P965" s="5"/>
      <c r="Q965" s="5"/>
      <c r="R965" s="5"/>
      <c r="S965" s="5"/>
      <c r="T965" s="5"/>
      <c r="U965" s="5"/>
      <c r="V965" s="5"/>
      <c r="W965" s="5"/>
      <c r="X965" s="5"/>
      <c r="Y965" s="5"/>
      <c r="Z965" s="5"/>
      <c r="AA965" s="5"/>
      <c r="AB965" s="5"/>
      <c r="AC965" s="5"/>
      <c r="AD965" s="6"/>
    </row>
    <row r="966">
      <c r="A966" s="5"/>
      <c r="B966" s="5"/>
      <c r="C966" s="73"/>
      <c r="D966" s="73"/>
      <c r="E966" s="5"/>
      <c r="F966" s="5"/>
      <c r="G966" s="5"/>
      <c r="H966" s="5"/>
      <c r="I966" s="73"/>
      <c r="J966" s="5"/>
      <c r="K966" s="5"/>
      <c r="L966" s="73"/>
      <c r="M966" s="5"/>
      <c r="N966" s="5"/>
      <c r="O966" s="5"/>
      <c r="P966" s="5"/>
      <c r="Q966" s="5"/>
      <c r="R966" s="5"/>
      <c r="S966" s="5"/>
      <c r="T966" s="5"/>
      <c r="U966" s="5"/>
      <c r="V966" s="5"/>
      <c r="W966" s="5"/>
      <c r="X966" s="5"/>
      <c r="Y966" s="5"/>
      <c r="Z966" s="5"/>
      <c r="AA966" s="5"/>
      <c r="AB966" s="5"/>
      <c r="AC966" s="5"/>
      <c r="AD966" s="6"/>
    </row>
    <row r="967">
      <c r="A967" s="5"/>
      <c r="B967" s="5"/>
      <c r="C967" s="73"/>
      <c r="D967" s="73"/>
      <c r="E967" s="5"/>
      <c r="F967" s="5"/>
      <c r="G967" s="5"/>
      <c r="H967" s="5"/>
      <c r="I967" s="73"/>
      <c r="J967" s="5"/>
      <c r="K967" s="5"/>
      <c r="L967" s="73"/>
      <c r="M967" s="5"/>
      <c r="N967" s="5"/>
      <c r="O967" s="5"/>
      <c r="P967" s="5"/>
      <c r="Q967" s="5"/>
      <c r="R967" s="5"/>
      <c r="S967" s="5"/>
      <c r="T967" s="5"/>
      <c r="U967" s="5"/>
      <c r="V967" s="5"/>
      <c r="W967" s="5"/>
      <c r="X967" s="5"/>
      <c r="Y967" s="5"/>
      <c r="Z967" s="5"/>
      <c r="AA967" s="5"/>
      <c r="AB967" s="5"/>
      <c r="AC967" s="5"/>
      <c r="AD967" s="6"/>
    </row>
    <row r="968">
      <c r="A968" s="5"/>
      <c r="B968" s="5"/>
      <c r="C968" s="73"/>
      <c r="D968" s="73"/>
      <c r="E968" s="5"/>
      <c r="F968" s="5"/>
      <c r="G968" s="5"/>
      <c r="H968" s="5"/>
      <c r="I968" s="73"/>
      <c r="J968" s="5"/>
      <c r="K968" s="5"/>
      <c r="L968" s="73"/>
      <c r="M968" s="5"/>
      <c r="N968" s="5"/>
      <c r="O968" s="5"/>
      <c r="P968" s="5"/>
      <c r="Q968" s="5"/>
      <c r="R968" s="5"/>
      <c r="S968" s="5"/>
      <c r="T968" s="5"/>
      <c r="U968" s="5"/>
      <c r="V968" s="5"/>
      <c r="W968" s="5"/>
      <c r="X968" s="5"/>
      <c r="Y968" s="5"/>
      <c r="Z968" s="5"/>
      <c r="AA968" s="5"/>
      <c r="AB968" s="5"/>
      <c r="AC968" s="5"/>
      <c r="AD968" s="6"/>
    </row>
    <row r="969">
      <c r="A969" s="5"/>
      <c r="B969" s="5"/>
      <c r="C969" s="73"/>
      <c r="D969" s="73"/>
      <c r="E969" s="5"/>
      <c r="F969" s="5"/>
      <c r="G969" s="5"/>
      <c r="H969" s="5"/>
      <c r="I969" s="73"/>
      <c r="J969" s="5"/>
      <c r="K969" s="5"/>
      <c r="L969" s="73"/>
      <c r="M969" s="5"/>
      <c r="N969" s="5"/>
      <c r="O969" s="5"/>
      <c r="P969" s="5"/>
      <c r="Q969" s="5"/>
      <c r="R969" s="5"/>
      <c r="S969" s="5"/>
      <c r="T969" s="5"/>
      <c r="U969" s="5"/>
      <c r="V969" s="5"/>
      <c r="W969" s="5"/>
      <c r="X969" s="5"/>
      <c r="Y969" s="5"/>
      <c r="Z969" s="5"/>
      <c r="AA969" s="5"/>
      <c r="AB969" s="5"/>
      <c r="AC969" s="5"/>
      <c r="AD969" s="6"/>
    </row>
    <row r="970">
      <c r="A970" s="5"/>
      <c r="B970" s="5"/>
      <c r="C970" s="73"/>
      <c r="D970" s="73"/>
      <c r="E970" s="5"/>
      <c r="F970" s="5"/>
      <c r="G970" s="5"/>
      <c r="H970" s="5"/>
      <c r="I970" s="73"/>
      <c r="J970" s="5"/>
      <c r="K970" s="5"/>
      <c r="L970" s="73"/>
      <c r="M970" s="5"/>
      <c r="N970" s="5"/>
      <c r="O970" s="5"/>
      <c r="P970" s="5"/>
      <c r="Q970" s="5"/>
      <c r="R970" s="5"/>
      <c r="S970" s="5"/>
      <c r="T970" s="5"/>
      <c r="U970" s="5"/>
      <c r="V970" s="5"/>
      <c r="W970" s="5"/>
      <c r="X970" s="5"/>
      <c r="Y970" s="5"/>
      <c r="Z970" s="5"/>
      <c r="AA970" s="5"/>
      <c r="AB970" s="5"/>
      <c r="AC970" s="5"/>
      <c r="AD970" s="6"/>
    </row>
    <row r="971">
      <c r="A971" s="5"/>
      <c r="B971" s="5"/>
      <c r="C971" s="73"/>
      <c r="D971" s="73"/>
      <c r="E971" s="5"/>
      <c r="F971" s="5"/>
      <c r="G971" s="5"/>
      <c r="H971" s="5"/>
      <c r="I971" s="73"/>
      <c r="J971" s="5"/>
      <c r="K971" s="5"/>
      <c r="L971" s="73"/>
      <c r="M971" s="5"/>
      <c r="N971" s="5"/>
      <c r="O971" s="5"/>
      <c r="P971" s="5"/>
      <c r="Q971" s="5"/>
      <c r="R971" s="5"/>
      <c r="S971" s="5"/>
      <c r="T971" s="5"/>
      <c r="U971" s="5"/>
      <c r="V971" s="5"/>
      <c r="W971" s="5"/>
      <c r="X971" s="5"/>
      <c r="Y971" s="5"/>
      <c r="Z971" s="5"/>
      <c r="AA971" s="5"/>
      <c r="AB971" s="5"/>
      <c r="AC971" s="5"/>
      <c r="AD971" s="6"/>
    </row>
    <row r="972">
      <c r="A972" s="5"/>
      <c r="B972" s="5"/>
      <c r="C972" s="73"/>
      <c r="D972" s="73"/>
      <c r="E972" s="5"/>
      <c r="F972" s="5"/>
      <c r="G972" s="5"/>
      <c r="H972" s="5"/>
      <c r="I972" s="73"/>
      <c r="J972" s="5"/>
      <c r="K972" s="5"/>
      <c r="L972" s="73"/>
      <c r="M972" s="5"/>
      <c r="N972" s="5"/>
      <c r="O972" s="5"/>
      <c r="P972" s="5"/>
      <c r="Q972" s="5"/>
      <c r="R972" s="5"/>
      <c r="S972" s="5"/>
      <c r="T972" s="5"/>
      <c r="U972" s="5"/>
      <c r="V972" s="5"/>
      <c r="W972" s="5"/>
      <c r="X972" s="5"/>
      <c r="Y972" s="5"/>
      <c r="Z972" s="5"/>
      <c r="AA972" s="5"/>
      <c r="AB972" s="5"/>
      <c r="AC972" s="5"/>
      <c r="AD972" s="6"/>
    </row>
    <row r="973">
      <c r="A973" s="5"/>
      <c r="B973" s="5"/>
      <c r="C973" s="73"/>
      <c r="D973" s="73"/>
      <c r="E973" s="5"/>
      <c r="F973" s="5"/>
      <c r="G973" s="5"/>
      <c r="H973" s="5"/>
      <c r="I973" s="73"/>
      <c r="J973" s="5"/>
      <c r="K973" s="5"/>
      <c r="L973" s="73"/>
      <c r="M973" s="5"/>
      <c r="N973" s="5"/>
      <c r="O973" s="5"/>
      <c r="P973" s="5"/>
      <c r="Q973" s="5"/>
      <c r="R973" s="5"/>
      <c r="S973" s="5"/>
      <c r="T973" s="5"/>
      <c r="U973" s="5"/>
      <c r="V973" s="5"/>
      <c r="W973" s="5"/>
      <c r="X973" s="5"/>
      <c r="Y973" s="5"/>
      <c r="Z973" s="5"/>
      <c r="AA973" s="5"/>
      <c r="AB973" s="5"/>
      <c r="AC973" s="5"/>
      <c r="AD973" s="6"/>
    </row>
    <row r="974">
      <c r="A974" s="5"/>
      <c r="B974" s="5"/>
      <c r="C974" s="73"/>
      <c r="D974" s="73"/>
      <c r="E974" s="5"/>
      <c r="F974" s="5"/>
      <c r="G974" s="5"/>
      <c r="H974" s="5"/>
      <c r="I974" s="73"/>
      <c r="J974" s="5"/>
      <c r="K974" s="5"/>
      <c r="L974" s="73"/>
      <c r="M974" s="5"/>
      <c r="N974" s="5"/>
      <c r="O974" s="5"/>
      <c r="P974" s="5"/>
      <c r="Q974" s="5"/>
      <c r="R974" s="5"/>
      <c r="S974" s="5"/>
      <c r="T974" s="5"/>
      <c r="U974" s="5"/>
      <c r="V974" s="5"/>
      <c r="W974" s="5"/>
      <c r="X974" s="5"/>
      <c r="Y974" s="5"/>
      <c r="Z974" s="5"/>
      <c r="AA974" s="5"/>
      <c r="AB974" s="5"/>
      <c r="AC974" s="5"/>
      <c r="AD974" s="6"/>
    </row>
    <row r="975">
      <c r="A975" s="5"/>
      <c r="B975" s="5"/>
      <c r="C975" s="73"/>
      <c r="D975" s="73"/>
      <c r="E975" s="5"/>
      <c r="F975" s="5"/>
      <c r="G975" s="5"/>
      <c r="H975" s="5"/>
      <c r="I975" s="73"/>
      <c r="J975" s="5"/>
      <c r="K975" s="5"/>
      <c r="L975" s="73"/>
      <c r="M975" s="5"/>
      <c r="N975" s="5"/>
      <c r="O975" s="5"/>
      <c r="P975" s="5"/>
      <c r="Q975" s="5"/>
      <c r="R975" s="5"/>
      <c r="S975" s="5"/>
      <c r="T975" s="5"/>
      <c r="U975" s="5"/>
      <c r="V975" s="5"/>
      <c r="W975" s="5"/>
      <c r="X975" s="5"/>
      <c r="Y975" s="5"/>
      <c r="Z975" s="5"/>
      <c r="AA975" s="5"/>
      <c r="AB975" s="5"/>
      <c r="AC975" s="5"/>
      <c r="AD975" s="6"/>
    </row>
    <row r="976">
      <c r="A976" s="5"/>
      <c r="B976" s="5"/>
      <c r="C976" s="73"/>
      <c r="D976" s="73"/>
      <c r="E976" s="5"/>
      <c r="F976" s="5"/>
      <c r="G976" s="5"/>
      <c r="H976" s="5"/>
      <c r="I976" s="73"/>
      <c r="J976" s="5"/>
      <c r="K976" s="5"/>
      <c r="L976" s="73"/>
      <c r="M976" s="5"/>
      <c r="N976" s="5"/>
      <c r="O976" s="5"/>
      <c r="P976" s="5"/>
      <c r="Q976" s="5"/>
      <c r="R976" s="5"/>
      <c r="S976" s="5"/>
      <c r="T976" s="5"/>
      <c r="U976" s="5"/>
      <c r="V976" s="5"/>
      <c r="W976" s="5"/>
      <c r="X976" s="5"/>
      <c r="Y976" s="5"/>
      <c r="Z976" s="5"/>
      <c r="AA976" s="5"/>
      <c r="AB976" s="5"/>
      <c r="AC976" s="5"/>
      <c r="AD976" s="6"/>
    </row>
    <row r="977">
      <c r="A977" s="5"/>
      <c r="B977" s="5"/>
      <c r="C977" s="73"/>
      <c r="D977" s="73"/>
      <c r="E977" s="5"/>
      <c r="F977" s="5"/>
      <c r="G977" s="5"/>
      <c r="H977" s="5"/>
      <c r="I977" s="73"/>
      <c r="J977" s="5"/>
      <c r="K977" s="5"/>
      <c r="L977" s="73"/>
      <c r="M977" s="5"/>
      <c r="N977" s="5"/>
      <c r="O977" s="5"/>
      <c r="P977" s="5"/>
      <c r="Q977" s="5"/>
      <c r="R977" s="5"/>
      <c r="S977" s="5"/>
      <c r="T977" s="5"/>
      <c r="U977" s="5"/>
      <c r="V977" s="5"/>
      <c r="W977" s="5"/>
      <c r="X977" s="5"/>
      <c r="Y977" s="5"/>
      <c r="Z977" s="5"/>
      <c r="AA977" s="5"/>
      <c r="AB977" s="5"/>
      <c r="AC977" s="5"/>
      <c r="AD977" s="6"/>
    </row>
    <row r="978">
      <c r="A978" s="5"/>
      <c r="B978" s="5"/>
      <c r="C978" s="73"/>
      <c r="D978" s="73"/>
      <c r="E978" s="5"/>
      <c r="F978" s="5"/>
      <c r="G978" s="5"/>
      <c r="H978" s="5"/>
      <c r="I978" s="73"/>
      <c r="J978" s="5"/>
      <c r="K978" s="5"/>
      <c r="L978" s="73"/>
      <c r="M978" s="5"/>
      <c r="N978" s="5"/>
      <c r="O978" s="5"/>
      <c r="P978" s="5"/>
      <c r="Q978" s="5"/>
      <c r="R978" s="5"/>
      <c r="S978" s="5"/>
      <c r="T978" s="5"/>
      <c r="U978" s="5"/>
      <c r="V978" s="5"/>
      <c r="W978" s="5"/>
      <c r="X978" s="5"/>
      <c r="Y978" s="5"/>
      <c r="Z978" s="5"/>
      <c r="AA978" s="5"/>
      <c r="AB978" s="5"/>
      <c r="AC978" s="5"/>
      <c r="AD978" s="6"/>
    </row>
    <row r="979">
      <c r="A979" s="5"/>
      <c r="B979" s="5"/>
      <c r="C979" s="73"/>
      <c r="D979" s="73"/>
      <c r="E979" s="5"/>
      <c r="F979" s="5"/>
      <c r="G979" s="5"/>
      <c r="H979" s="5"/>
      <c r="I979" s="73"/>
      <c r="J979" s="5"/>
      <c r="K979" s="5"/>
      <c r="L979" s="73"/>
      <c r="M979" s="5"/>
      <c r="N979" s="5"/>
      <c r="O979" s="5"/>
      <c r="P979" s="5"/>
      <c r="Q979" s="5"/>
      <c r="R979" s="5"/>
      <c r="S979" s="5"/>
      <c r="T979" s="5"/>
      <c r="U979" s="5"/>
      <c r="V979" s="5"/>
      <c r="W979" s="5"/>
      <c r="X979" s="5"/>
      <c r="Y979" s="5"/>
      <c r="Z979" s="5"/>
      <c r="AA979" s="5"/>
      <c r="AB979" s="5"/>
      <c r="AC979" s="5"/>
      <c r="AD979" s="6"/>
    </row>
    <row r="980">
      <c r="A980" s="5"/>
      <c r="B980" s="5"/>
      <c r="C980" s="73"/>
      <c r="D980" s="73"/>
      <c r="E980" s="5"/>
      <c r="F980" s="5"/>
      <c r="G980" s="5"/>
      <c r="H980" s="5"/>
      <c r="I980" s="73"/>
      <c r="J980" s="5"/>
      <c r="K980" s="5"/>
      <c r="L980" s="73"/>
      <c r="M980" s="5"/>
      <c r="N980" s="5"/>
      <c r="O980" s="5"/>
      <c r="P980" s="5"/>
      <c r="Q980" s="5"/>
      <c r="R980" s="5"/>
      <c r="S980" s="5"/>
      <c r="T980" s="5"/>
      <c r="U980" s="5"/>
      <c r="V980" s="5"/>
      <c r="W980" s="5"/>
      <c r="X980" s="5"/>
      <c r="Y980" s="5"/>
      <c r="Z980" s="5"/>
      <c r="AA980" s="5"/>
      <c r="AB980" s="5"/>
      <c r="AC980" s="5"/>
      <c r="AD980" s="6"/>
    </row>
    <row r="981">
      <c r="A981" s="5"/>
      <c r="B981" s="5"/>
      <c r="C981" s="73"/>
      <c r="D981" s="73"/>
      <c r="E981" s="5"/>
      <c r="F981" s="5"/>
      <c r="G981" s="5"/>
      <c r="H981" s="5"/>
      <c r="I981" s="73"/>
      <c r="J981" s="5"/>
      <c r="K981" s="5"/>
      <c r="L981" s="73"/>
      <c r="M981" s="5"/>
      <c r="N981" s="5"/>
      <c r="O981" s="5"/>
      <c r="P981" s="5"/>
      <c r="Q981" s="5"/>
      <c r="R981" s="5"/>
      <c r="S981" s="5"/>
      <c r="T981" s="5"/>
      <c r="U981" s="5"/>
      <c r="V981" s="5"/>
      <c r="W981" s="5"/>
      <c r="X981" s="5"/>
      <c r="Y981" s="5"/>
      <c r="Z981" s="5"/>
      <c r="AA981" s="5"/>
      <c r="AB981" s="5"/>
      <c r="AC981" s="5"/>
      <c r="AD981" s="6"/>
    </row>
    <row r="982">
      <c r="A982" s="5"/>
      <c r="B982" s="5"/>
      <c r="C982" s="73"/>
      <c r="D982" s="73"/>
      <c r="E982" s="5"/>
      <c r="F982" s="5"/>
      <c r="G982" s="5"/>
      <c r="H982" s="5"/>
      <c r="I982" s="73"/>
      <c r="J982" s="5"/>
      <c r="K982" s="5"/>
      <c r="L982" s="73"/>
      <c r="M982" s="5"/>
      <c r="N982" s="5"/>
      <c r="O982" s="5"/>
      <c r="P982" s="5"/>
      <c r="Q982" s="5"/>
      <c r="R982" s="5"/>
      <c r="S982" s="5"/>
      <c r="T982" s="5"/>
      <c r="U982" s="5"/>
      <c r="V982" s="5"/>
      <c r="W982" s="5"/>
      <c r="X982" s="5"/>
      <c r="Y982" s="5"/>
      <c r="Z982" s="5"/>
      <c r="AA982" s="5"/>
      <c r="AB982" s="5"/>
      <c r="AC982" s="5"/>
      <c r="AD982" s="6"/>
    </row>
    <row r="983">
      <c r="A983" s="5"/>
      <c r="B983" s="5"/>
      <c r="C983" s="73"/>
      <c r="D983" s="73"/>
      <c r="E983" s="5"/>
      <c r="F983" s="5"/>
      <c r="G983" s="5"/>
      <c r="H983" s="5"/>
      <c r="I983" s="73"/>
      <c r="J983" s="5"/>
      <c r="K983" s="5"/>
      <c r="L983" s="73"/>
      <c r="M983" s="5"/>
      <c r="N983" s="5"/>
      <c r="O983" s="5"/>
      <c r="P983" s="5"/>
      <c r="Q983" s="5"/>
      <c r="R983" s="5"/>
      <c r="S983" s="5"/>
      <c r="T983" s="5"/>
      <c r="U983" s="5"/>
      <c r="V983" s="5"/>
      <c r="W983" s="5"/>
      <c r="X983" s="5"/>
      <c r="Y983" s="5"/>
      <c r="Z983" s="5"/>
      <c r="AA983" s="5"/>
      <c r="AB983" s="5"/>
      <c r="AC983" s="5"/>
      <c r="AD983" s="6"/>
    </row>
    <row r="984">
      <c r="A984" s="5"/>
      <c r="B984" s="5"/>
      <c r="C984" s="73"/>
      <c r="D984" s="73"/>
      <c r="E984" s="5"/>
      <c r="F984" s="5"/>
      <c r="G984" s="5"/>
      <c r="H984" s="5"/>
      <c r="I984" s="73"/>
      <c r="J984" s="5"/>
      <c r="K984" s="5"/>
      <c r="L984" s="73"/>
      <c r="M984" s="5"/>
      <c r="N984" s="5"/>
      <c r="O984" s="5"/>
      <c r="P984" s="5"/>
      <c r="Q984" s="5"/>
      <c r="R984" s="5"/>
      <c r="S984" s="5"/>
      <c r="T984" s="5"/>
      <c r="U984" s="5"/>
      <c r="V984" s="5"/>
      <c r="W984" s="5"/>
      <c r="X984" s="5"/>
      <c r="Y984" s="5"/>
      <c r="Z984" s="5"/>
      <c r="AA984" s="5"/>
      <c r="AB984" s="5"/>
      <c r="AC984" s="5"/>
      <c r="AD984" s="6"/>
    </row>
    <row r="985">
      <c r="A985" s="5"/>
      <c r="B985" s="5"/>
      <c r="C985" s="73"/>
      <c r="D985" s="73"/>
      <c r="E985" s="5"/>
      <c r="F985" s="5"/>
      <c r="G985" s="5"/>
      <c r="H985" s="5"/>
      <c r="I985" s="73"/>
      <c r="J985" s="5"/>
      <c r="K985" s="5"/>
      <c r="L985" s="73"/>
      <c r="M985" s="5"/>
      <c r="N985" s="5"/>
      <c r="O985" s="5"/>
      <c r="P985" s="5"/>
      <c r="Q985" s="5"/>
      <c r="R985" s="5"/>
      <c r="S985" s="5"/>
      <c r="T985" s="5"/>
      <c r="U985" s="5"/>
      <c r="V985" s="5"/>
      <c r="W985" s="5"/>
      <c r="X985" s="5"/>
      <c r="Y985" s="5"/>
      <c r="Z985" s="5"/>
      <c r="AA985" s="5"/>
      <c r="AB985" s="5"/>
      <c r="AC985" s="5"/>
      <c r="AD985" s="6"/>
    </row>
    <row r="986">
      <c r="A986" s="5"/>
      <c r="B986" s="5"/>
      <c r="C986" s="73"/>
      <c r="D986" s="73"/>
      <c r="E986" s="5"/>
      <c r="F986" s="5"/>
      <c r="G986" s="5"/>
      <c r="H986" s="5"/>
      <c r="I986" s="73"/>
      <c r="J986" s="5"/>
      <c r="K986" s="5"/>
      <c r="L986" s="73"/>
      <c r="M986" s="5"/>
      <c r="N986" s="5"/>
      <c r="O986" s="5"/>
      <c r="P986" s="5"/>
      <c r="Q986" s="5"/>
      <c r="R986" s="5"/>
      <c r="S986" s="5"/>
      <c r="T986" s="5"/>
      <c r="U986" s="5"/>
      <c r="V986" s="5"/>
      <c r="W986" s="5"/>
      <c r="X986" s="5"/>
      <c r="Y986" s="5"/>
      <c r="Z986" s="5"/>
      <c r="AA986" s="5"/>
      <c r="AB986" s="5"/>
      <c r="AC986" s="5"/>
      <c r="AD986" s="6"/>
    </row>
    <row r="987">
      <c r="A987" s="5"/>
      <c r="B987" s="5"/>
      <c r="C987" s="73"/>
      <c r="D987" s="73"/>
      <c r="E987" s="5"/>
      <c r="F987" s="5"/>
      <c r="G987" s="5"/>
      <c r="H987" s="5"/>
      <c r="I987" s="73"/>
      <c r="J987" s="5"/>
      <c r="K987" s="5"/>
      <c r="L987" s="73"/>
      <c r="M987" s="5"/>
      <c r="N987" s="5"/>
      <c r="O987" s="5"/>
      <c r="P987" s="5"/>
      <c r="Q987" s="5"/>
      <c r="R987" s="5"/>
      <c r="S987" s="5"/>
      <c r="T987" s="5"/>
      <c r="U987" s="5"/>
      <c r="V987" s="5"/>
      <c r="W987" s="5"/>
      <c r="X987" s="5"/>
      <c r="Y987" s="5"/>
      <c r="Z987" s="5"/>
      <c r="AA987" s="5"/>
      <c r="AB987" s="5"/>
      <c r="AC987" s="5"/>
      <c r="AD987" s="6"/>
    </row>
    <row r="988">
      <c r="A988" s="5"/>
      <c r="B988" s="5"/>
      <c r="C988" s="73"/>
      <c r="D988" s="73"/>
      <c r="E988" s="5"/>
      <c r="F988" s="5"/>
      <c r="G988" s="5"/>
      <c r="H988" s="5"/>
      <c r="I988" s="73"/>
      <c r="J988" s="5"/>
      <c r="K988" s="5"/>
      <c r="L988" s="73"/>
      <c r="M988" s="5"/>
      <c r="N988" s="5"/>
      <c r="O988" s="5"/>
      <c r="P988" s="5"/>
      <c r="Q988" s="5"/>
      <c r="R988" s="5"/>
      <c r="S988" s="5"/>
      <c r="T988" s="5"/>
      <c r="U988" s="5"/>
      <c r="V988" s="5"/>
      <c r="W988" s="5"/>
      <c r="X988" s="5"/>
      <c r="Y988" s="5"/>
      <c r="Z988" s="5"/>
      <c r="AA988" s="5"/>
      <c r="AB988" s="5"/>
      <c r="AC988" s="5"/>
      <c r="AD988" s="6"/>
    </row>
    <row r="989">
      <c r="A989" s="5"/>
      <c r="B989" s="5"/>
      <c r="C989" s="73"/>
      <c r="D989" s="73"/>
      <c r="E989" s="5"/>
      <c r="F989" s="5"/>
      <c r="G989" s="5"/>
      <c r="H989" s="5"/>
      <c r="I989" s="73"/>
      <c r="J989" s="5"/>
      <c r="K989" s="5"/>
      <c r="L989" s="73"/>
      <c r="M989" s="5"/>
      <c r="N989" s="5"/>
      <c r="O989" s="5"/>
      <c r="P989" s="5"/>
      <c r="Q989" s="5"/>
      <c r="R989" s="5"/>
      <c r="S989" s="5"/>
      <c r="T989" s="5"/>
      <c r="U989" s="5"/>
      <c r="V989" s="5"/>
      <c r="W989" s="5"/>
      <c r="X989" s="5"/>
      <c r="Y989" s="5"/>
      <c r="Z989" s="5"/>
      <c r="AA989" s="5"/>
      <c r="AB989" s="5"/>
      <c r="AC989" s="5"/>
      <c r="AD989" s="6"/>
    </row>
    <row r="990">
      <c r="A990" s="5"/>
      <c r="B990" s="5"/>
      <c r="C990" s="73"/>
      <c r="D990" s="73"/>
      <c r="E990" s="5"/>
      <c r="F990" s="5"/>
      <c r="G990" s="5"/>
      <c r="H990" s="5"/>
      <c r="I990" s="73"/>
      <c r="J990" s="5"/>
      <c r="K990" s="5"/>
      <c r="L990" s="73"/>
      <c r="M990" s="5"/>
      <c r="N990" s="5"/>
      <c r="O990" s="5"/>
      <c r="P990" s="5"/>
      <c r="Q990" s="5"/>
      <c r="R990" s="5"/>
      <c r="S990" s="5"/>
      <c r="T990" s="5"/>
      <c r="U990" s="5"/>
      <c r="V990" s="5"/>
      <c r="W990" s="5"/>
      <c r="X990" s="5"/>
      <c r="Y990" s="5"/>
      <c r="Z990" s="5"/>
      <c r="AA990" s="5"/>
      <c r="AB990" s="5"/>
      <c r="AC990" s="5"/>
      <c r="AD990" s="6"/>
    </row>
    <row r="991">
      <c r="A991" s="5"/>
      <c r="B991" s="5"/>
      <c r="C991" s="73"/>
      <c r="D991" s="73"/>
      <c r="E991" s="5"/>
      <c r="F991" s="5"/>
      <c r="G991" s="5"/>
      <c r="H991" s="5"/>
      <c r="I991" s="73"/>
      <c r="J991" s="5"/>
      <c r="K991" s="5"/>
      <c r="L991" s="73"/>
      <c r="M991" s="5"/>
      <c r="N991" s="5"/>
      <c r="O991" s="5"/>
      <c r="P991" s="5"/>
      <c r="Q991" s="5"/>
      <c r="R991" s="5"/>
      <c r="S991" s="5"/>
      <c r="T991" s="5"/>
      <c r="U991" s="5"/>
      <c r="V991" s="5"/>
      <c r="W991" s="5"/>
      <c r="X991" s="5"/>
      <c r="Y991" s="5"/>
      <c r="Z991" s="5"/>
      <c r="AA991" s="5"/>
      <c r="AB991" s="5"/>
      <c r="AC991" s="5"/>
      <c r="AD991" s="6"/>
    </row>
    <row r="992">
      <c r="A992" s="5"/>
      <c r="B992" s="5"/>
      <c r="C992" s="73"/>
      <c r="D992" s="73"/>
      <c r="E992" s="5"/>
      <c r="F992" s="5"/>
      <c r="G992" s="5"/>
      <c r="H992" s="5"/>
      <c r="I992" s="73"/>
      <c r="J992" s="5"/>
      <c r="K992" s="5"/>
      <c r="L992" s="73"/>
      <c r="M992" s="5"/>
      <c r="N992" s="5"/>
      <c r="O992" s="5"/>
      <c r="P992" s="5"/>
      <c r="Q992" s="5"/>
      <c r="R992" s="5"/>
      <c r="S992" s="5"/>
      <c r="T992" s="5"/>
      <c r="U992" s="5"/>
      <c r="V992" s="5"/>
      <c r="W992" s="5"/>
      <c r="X992" s="5"/>
      <c r="Y992" s="5"/>
      <c r="Z992" s="5"/>
      <c r="AA992" s="5"/>
      <c r="AB992" s="5"/>
      <c r="AC992" s="5"/>
      <c r="AD992" s="6"/>
    </row>
    <row r="993">
      <c r="A993" s="5"/>
      <c r="B993" s="5"/>
      <c r="C993" s="73"/>
      <c r="D993" s="73"/>
      <c r="E993" s="5"/>
      <c r="F993" s="5"/>
      <c r="G993" s="5"/>
      <c r="H993" s="5"/>
      <c r="I993" s="73"/>
      <c r="J993" s="5"/>
      <c r="K993" s="5"/>
      <c r="L993" s="73"/>
      <c r="M993" s="5"/>
      <c r="N993" s="5"/>
      <c r="O993" s="5"/>
      <c r="P993" s="5"/>
      <c r="Q993" s="5"/>
      <c r="R993" s="5"/>
      <c r="S993" s="5"/>
      <c r="T993" s="5"/>
      <c r="U993" s="5"/>
      <c r="V993" s="5"/>
      <c r="W993" s="5"/>
      <c r="X993" s="5"/>
      <c r="Y993" s="5"/>
      <c r="Z993" s="5"/>
      <c r="AA993" s="5"/>
      <c r="AB993" s="5"/>
      <c r="AC993" s="5"/>
      <c r="AD993" s="6"/>
    </row>
    <row r="994">
      <c r="A994" s="5"/>
      <c r="B994" s="5"/>
      <c r="C994" s="73"/>
      <c r="D994" s="73"/>
      <c r="E994" s="5"/>
      <c r="F994" s="5"/>
      <c r="G994" s="5"/>
      <c r="H994" s="5"/>
      <c r="I994" s="73"/>
      <c r="J994" s="5"/>
      <c r="K994" s="5"/>
      <c r="L994" s="73"/>
      <c r="M994" s="5"/>
      <c r="N994" s="5"/>
      <c r="O994" s="5"/>
      <c r="P994" s="5"/>
      <c r="Q994" s="5"/>
      <c r="R994" s="5"/>
      <c r="S994" s="5"/>
      <c r="T994" s="5"/>
      <c r="U994" s="5"/>
      <c r="V994" s="5"/>
      <c r="W994" s="5"/>
      <c r="X994" s="5"/>
      <c r="Y994" s="5"/>
      <c r="Z994" s="5"/>
      <c r="AA994" s="5"/>
      <c r="AB994" s="5"/>
      <c r="AC994" s="5"/>
      <c r="AD994" s="6"/>
    </row>
    <row r="995">
      <c r="A995" s="5"/>
      <c r="B995" s="5"/>
      <c r="C995" s="73"/>
      <c r="D995" s="73"/>
      <c r="E995" s="5"/>
      <c r="F995" s="5"/>
      <c r="G995" s="5"/>
      <c r="H995" s="5"/>
      <c r="I995" s="73"/>
      <c r="J995" s="5"/>
      <c r="K995" s="5"/>
      <c r="L995" s="73"/>
      <c r="M995" s="5"/>
      <c r="N995" s="5"/>
      <c r="O995" s="5"/>
      <c r="P995" s="5"/>
      <c r="Q995" s="5"/>
      <c r="R995" s="5"/>
      <c r="S995" s="5"/>
      <c r="T995" s="5"/>
      <c r="U995" s="5"/>
      <c r="V995" s="5"/>
      <c r="W995" s="5"/>
      <c r="X995" s="5"/>
      <c r="Y995" s="5"/>
      <c r="Z995" s="5"/>
      <c r="AA995" s="5"/>
      <c r="AB995" s="5"/>
      <c r="AC995" s="5"/>
      <c r="AD995" s="6"/>
    </row>
    <row r="996">
      <c r="A996" s="5"/>
      <c r="B996" s="5"/>
      <c r="C996" s="73"/>
      <c r="D996" s="73"/>
      <c r="E996" s="5"/>
      <c r="F996" s="5"/>
      <c r="G996" s="5"/>
      <c r="H996" s="5"/>
      <c r="I996" s="73"/>
      <c r="J996" s="5"/>
      <c r="K996" s="5"/>
      <c r="L996" s="73"/>
      <c r="M996" s="5"/>
      <c r="N996" s="5"/>
      <c r="O996" s="5"/>
      <c r="P996" s="5"/>
      <c r="Q996" s="5"/>
      <c r="R996" s="5"/>
      <c r="S996" s="5"/>
      <c r="T996" s="5"/>
      <c r="U996" s="5"/>
      <c r="V996" s="5"/>
      <c r="W996" s="5"/>
      <c r="X996" s="5"/>
      <c r="Y996" s="5"/>
      <c r="Z996" s="5"/>
      <c r="AA996" s="5"/>
      <c r="AB996" s="5"/>
      <c r="AC996" s="5"/>
      <c r="AD996" s="6"/>
    </row>
    <row r="997">
      <c r="A997" s="5"/>
      <c r="B997" s="5"/>
      <c r="C997" s="73"/>
      <c r="D997" s="73"/>
      <c r="E997" s="5"/>
      <c r="F997" s="5"/>
      <c r="G997" s="5"/>
      <c r="H997" s="5"/>
      <c r="I997" s="73"/>
      <c r="J997" s="5"/>
      <c r="K997" s="5"/>
      <c r="L997" s="73"/>
      <c r="M997" s="5"/>
      <c r="N997" s="5"/>
      <c r="O997" s="5"/>
      <c r="P997" s="5"/>
      <c r="Q997" s="5"/>
      <c r="R997" s="5"/>
      <c r="S997" s="5"/>
      <c r="T997" s="5"/>
      <c r="U997" s="5"/>
      <c r="V997" s="5"/>
      <c r="W997" s="5"/>
      <c r="X997" s="5"/>
      <c r="Y997" s="5"/>
      <c r="Z997" s="5"/>
      <c r="AA997" s="5"/>
      <c r="AB997" s="5"/>
      <c r="AC997" s="5"/>
      <c r="AD997" s="6"/>
    </row>
    <row r="998">
      <c r="A998" s="5"/>
      <c r="B998" s="5"/>
      <c r="C998" s="73"/>
      <c r="D998" s="73"/>
      <c r="E998" s="5"/>
      <c r="F998" s="5"/>
      <c r="G998" s="5"/>
      <c r="H998" s="5"/>
      <c r="I998" s="73"/>
      <c r="J998" s="5"/>
      <c r="K998" s="5"/>
      <c r="L998" s="73"/>
      <c r="M998" s="5"/>
      <c r="N998" s="5"/>
      <c r="O998" s="5"/>
      <c r="P998" s="5"/>
      <c r="Q998" s="5"/>
      <c r="R998" s="5"/>
      <c r="S998" s="5"/>
      <c r="T998" s="5"/>
      <c r="U998" s="5"/>
      <c r="V998" s="5"/>
      <c r="W998" s="5"/>
      <c r="X998" s="5"/>
      <c r="Y998" s="5"/>
      <c r="Z998" s="5"/>
      <c r="AA998" s="5"/>
      <c r="AB998" s="5"/>
      <c r="AC998" s="5"/>
      <c r="AD998" s="6"/>
    </row>
    <row r="999">
      <c r="A999" s="5"/>
      <c r="B999" s="5"/>
      <c r="C999" s="73"/>
      <c r="D999" s="73"/>
      <c r="E999" s="5"/>
      <c r="F999" s="5"/>
      <c r="G999" s="5"/>
      <c r="H999" s="5"/>
      <c r="I999" s="73"/>
      <c r="J999" s="5"/>
      <c r="K999" s="5"/>
      <c r="L999" s="73"/>
      <c r="M999" s="5"/>
      <c r="N999" s="5"/>
      <c r="O999" s="5"/>
      <c r="P999" s="5"/>
      <c r="Q999" s="5"/>
      <c r="R999" s="5"/>
      <c r="S999" s="5"/>
      <c r="T999" s="5"/>
      <c r="U999" s="5"/>
      <c r="V999" s="5"/>
      <c r="W999" s="5"/>
      <c r="X999" s="5"/>
      <c r="Y999" s="5"/>
      <c r="Z999" s="5"/>
      <c r="AA999" s="5"/>
      <c r="AB999" s="5"/>
      <c r="AC999" s="5"/>
      <c r="AD999" s="6"/>
    </row>
    <row r="1000">
      <c r="A1000" s="5"/>
      <c r="B1000" s="5"/>
      <c r="C1000" s="73"/>
      <c r="D1000" s="73"/>
      <c r="E1000" s="5"/>
      <c r="F1000" s="5"/>
      <c r="G1000" s="5"/>
      <c r="H1000" s="5"/>
      <c r="I1000" s="73"/>
      <c r="J1000" s="5"/>
      <c r="K1000" s="5"/>
      <c r="L1000" s="73"/>
      <c r="M1000" s="5"/>
      <c r="N1000" s="5"/>
      <c r="O1000" s="5"/>
      <c r="P1000" s="5"/>
      <c r="Q1000" s="5"/>
      <c r="R1000" s="5"/>
      <c r="S1000" s="5"/>
      <c r="T1000" s="5"/>
      <c r="U1000" s="5"/>
      <c r="V1000" s="5"/>
      <c r="W1000" s="5"/>
      <c r="X1000" s="5"/>
      <c r="Y1000" s="5"/>
      <c r="Z1000" s="5"/>
      <c r="AA1000" s="5"/>
      <c r="AB1000" s="5"/>
      <c r="AC1000" s="5"/>
      <c r="AD1000" s="6"/>
    </row>
    <row r="1001">
      <c r="A1001" s="5"/>
      <c r="B1001" s="5"/>
      <c r="C1001" s="73"/>
      <c r="D1001" s="73"/>
      <c r="E1001" s="5"/>
      <c r="F1001" s="5"/>
      <c r="G1001" s="5"/>
      <c r="H1001" s="5"/>
      <c r="I1001" s="73"/>
      <c r="J1001" s="5"/>
      <c r="K1001" s="5"/>
      <c r="L1001" s="73"/>
      <c r="M1001" s="5"/>
      <c r="N1001" s="5"/>
      <c r="O1001" s="5"/>
      <c r="P1001" s="5"/>
      <c r="Q1001" s="5"/>
      <c r="R1001" s="5"/>
      <c r="S1001" s="5"/>
      <c r="T1001" s="5"/>
      <c r="U1001" s="5"/>
      <c r="V1001" s="5"/>
      <c r="W1001" s="5"/>
      <c r="X1001" s="5"/>
      <c r="Y1001" s="5"/>
      <c r="Z1001" s="5"/>
      <c r="AA1001" s="5"/>
      <c r="AB1001" s="5"/>
      <c r="AC1001" s="5"/>
      <c r="AD1001" s="6"/>
    </row>
    <row r="1002">
      <c r="A1002" s="5"/>
      <c r="B1002" s="5"/>
      <c r="C1002" s="73"/>
      <c r="D1002" s="73"/>
      <c r="E1002" s="5"/>
      <c r="F1002" s="5"/>
      <c r="G1002" s="5"/>
      <c r="H1002" s="5"/>
      <c r="I1002" s="73"/>
      <c r="J1002" s="5"/>
      <c r="K1002" s="5"/>
      <c r="L1002" s="73"/>
      <c r="M1002" s="5"/>
      <c r="N1002" s="5"/>
      <c r="O1002" s="5"/>
      <c r="P1002" s="5"/>
      <c r="Q1002" s="5"/>
      <c r="R1002" s="5"/>
      <c r="S1002" s="5"/>
      <c r="T1002" s="5"/>
      <c r="U1002" s="5"/>
      <c r="V1002" s="5"/>
      <c r="W1002" s="5"/>
      <c r="X1002" s="5"/>
      <c r="Y1002" s="5"/>
      <c r="Z1002" s="5"/>
      <c r="AA1002" s="5"/>
      <c r="AB1002" s="5"/>
      <c r="AC1002" s="5"/>
      <c r="AD1002" s="6"/>
    </row>
    <row r="1003">
      <c r="A1003" s="5"/>
      <c r="B1003" s="5"/>
      <c r="C1003" s="73"/>
      <c r="D1003" s="73"/>
      <c r="E1003" s="5"/>
      <c r="F1003" s="5"/>
      <c r="G1003" s="5"/>
      <c r="H1003" s="5"/>
      <c r="I1003" s="73"/>
      <c r="J1003" s="5"/>
      <c r="K1003" s="5"/>
      <c r="L1003" s="73"/>
      <c r="M1003" s="5"/>
      <c r="N1003" s="5"/>
      <c r="O1003" s="5"/>
      <c r="P1003" s="5"/>
      <c r="Q1003" s="5"/>
      <c r="R1003" s="5"/>
      <c r="S1003" s="5"/>
      <c r="T1003" s="5"/>
      <c r="U1003" s="5"/>
      <c r="V1003" s="5"/>
      <c r="W1003" s="5"/>
      <c r="X1003" s="5"/>
      <c r="Y1003" s="5"/>
      <c r="Z1003" s="5"/>
      <c r="AA1003" s="5"/>
      <c r="AB1003" s="5"/>
      <c r="AC1003" s="5"/>
      <c r="AD1003" s="6"/>
    </row>
    <row r="1004">
      <c r="A1004" s="5"/>
      <c r="B1004" s="5"/>
      <c r="C1004" s="73"/>
      <c r="D1004" s="73"/>
      <c r="E1004" s="5"/>
      <c r="F1004" s="5"/>
      <c r="G1004" s="5"/>
      <c r="H1004" s="5"/>
      <c r="I1004" s="73"/>
      <c r="J1004" s="5"/>
      <c r="K1004" s="5"/>
      <c r="L1004" s="73"/>
      <c r="M1004" s="5"/>
      <c r="N1004" s="5"/>
      <c r="O1004" s="5"/>
      <c r="P1004" s="5"/>
      <c r="Q1004" s="5"/>
      <c r="R1004" s="5"/>
      <c r="S1004" s="5"/>
      <c r="T1004" s="5"/>
      <c r="U1004" s="5"/>
      <c r="V1004" s="5"/>
      <c r="W1004" s="5"/>
      <c r="X1004" s="5"/>
      <c r="Y1004" s="5"/>
      <c r="Z1004" s="5"/>
      <c r="AA1004" s="5"/>
      <c r="AB1004" s="5"/>
      <c r="AC1004" s="5"/>
      <c r="AD1004" s="6"/>
    </row>
  </sheetData>
  <dataValidations>
    <dataValidation type="list" allowBlank="1" sqref="A2:A1004">
      <formula1>"Currently Accepting Volunteers,Currently Accepting with Conditions,Currently NOT Accepting Volunteers"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86"/>
    <col customWidth="1" min="2" max="2" width="15.86"/>
    <col customWidth="1" min="4" max="4" width="19.0"/>
    <col customWidth="1" min="5" max="5" width="21.43"/>
    <col customWidth="1" min="6" max="6" width="28.14"/>
    <col customWidth="1" min="8" max="8" width="17.86"/>
    <col customWidth="1" min="9" max="9" width="26.14"/>
    <col customWidth="1" min="10" max="10" width="27.43"/>
    <col customWidth="1" min="11" max="11" width="27.86"/>
  </cols>
  <sheetData>
    <row r="1">
      <c r="A1" s="8" t="s">
        <v>12</v>
      </c>
      <c r="B1" s="9"/>
      <c r="C1" s="9"/>
      <c r="D1" s="9"/>
      <c r="E1" s="9"/>
      <c r="F1" s="9"/>
      <c r="G1" s="10"/>
      <c r="H1" s="107" t="s">
        <v>25</v>
      </c>
    </row>
    <row r="2">
      <c r="A2" s="108" t="s">
        <v>0</v>
      </c>
      <c r="B2" s="109" t="s">
        <v>73</v>
      </c>
      <c r="C2" s="109" t="s">
        <v>74</v>
      </c>
      <c r="D2" s="110" t="s">
        <v>75</v>
      </c>
      <c r="E2" s="110" t="s">
        <v>329</v>
      </c>
      <c r="F2" s="110" t="s">
        <v>330</v>
      </c>
      <c r="G2" s="109" t="s">
        <v>199</v>
      </c>
      <c r="H2" s="111" t="s">
        <v>331</v>
      </c>
      <c r="I2" s="112" t="s">
        <v>332</v>
      </c>
      <c r="J2" s="112" t="s">
        <v>333</v>
      </c>
      <c r="K2" s="113" t="s">
        <v>334</v>
      </c>
    </row>
    <row r="3">
      <c r="A3" t="str">
        <f>IFERROR(__xludf.DUMMYFUNCTION("filter(Assignments!B3:B1000,Assignments!P3:P1000=""Somatic Cancer"",Assignments!O3:O1000=""Comprehensive"")"),"Declined")</f>
        <v>Declined</v>
      </c>
      <c r="B3" t="str">
        <f>IFERROR(__xludf.DUMMYFUNCTION("filter(Assignments!C3:C1000,Assignments!P3:P1000=""Somatic Cancer"",Assignments!O3:O1000=""Comprehensive"")"),"")</f>
        <v/>
      </c>
      <c r="C3" t="str">
        <f>IFERROR(__xludf.DUMMYFUNCTION("filter(Assignments!D3:D1000,Assignments!P3:P1000=""Somatic Cancer"",Assignments!O3:O1000=""Comprehensive"")"),"")</f>
        <v/>
      </c>
      <c r="D3" s="67" t="str">
        <f>IFERROR(__xludf.DUMMYFUNCTION("filter(Assignments!E3:E1000,Assignments!P3:P1000=""Somatic Cancer"",Assignments!O3:O1000=""Comprehensive"")"),"No")</f>
        <v>No</v>
      </c>
      <c r="E3" s="67" t="str">
        <f>IFERROR(__xludf.DUMMYFUNCTION("filter(Assignments!F3:F1000,Assignments!P3:P1000=""Somatic Cancer"",Assignments!O3:O1000=""Comprehensive"")"),"No")</f>
        <v>No</v>
      </c>
      <c r="F3" s="62" t="str">
        <f>IFERROR(__xludf.DUMMYFUNCTION("filter(Assignments!G3:G1000,Assignments!P3:P1000=""Somatic Cancer"",Assignments!O3:O1000=""Comprehensive"")"),"Somatic Cancer")</f>
        <v>Somatic Cancer</v>
      </c>
      <c r="G3" t="str">
        <f>IFERROR(__xludf.DUMMYFUNCTION("filter(Assignments!H3:H1000,Assignments!P3:P1000=""Somatic Cancer"",Assignments!O3:O1000=""Comprehensive"")"),"Pediatric cancer")</f>
        <v>Pediatric cancer</v>
      </c>
      <c r="H3" t="str">
        <f>IFERROR(__xludf.DUMMYFUNCTION("filter(Assignments!L3:L1000,Assignments!P3:P1000=""Somatic Cancer"",Assignments!O3:O1000=""Comprehensive"")"),"Suneeta Mandava")</f>
        <v>Suneeta Mandava</v>
      </c>
      <c r="I3" t="str">
        <f>IFERROR(__xludf.DUMMYFUNCTION("filter(Assignments!M3:M1000,Assignments!P3:P1000=""Somatic Cancer"",Assignments!O3:O1000=""Comprehensive"")"),"suneeta.mandava@gmail.com")</f>
        <v>suneeta.mandava@gmail.com</v>
      </c>
      <c r="J3" s="62" t="str">
        <f>IFERROR(__xludf.DUMMYFUNCTION("filter(Assignments!O3:O1000,Assignments!P3:P1000=""Somatic Cancer"",Assignments!O3:O1000=""Comprehensive"")"),"Comprehensive")</f>
        <v>Comprehensive</v>
      </c>
      <c r="K3" t="str">
        <f>IFERROR(__xludf.DUMMYFUNCTION("filter(Assignments!W3:W1000,Assignments!P3:P1000=""Somatic Cancer"",Assignments!O3:O1000=""Comprehensive"")"),"somatic cancer TP53")</f>
        <v>somatic cancer TP53</v>
      </c>
    </row>
    <row r="4">
      <c r="A4" t="str">
        <f>IFERROR(__xludf.DUMMYFUNCTION("""COMPUTED_VALUE"""),"Unresponsive")</f>
        <v>Unresponsive</v>
      </c>
      <c r="B4" s="116">
        <f>IFERROR(__xludf.DUMMYFUNCTION("""COMPUTED_VALUE"""),43474.0)</f>
        <v>43474</v>
      </c>
      <c r="C4" s="120">
        <f>IFERROR(__xludf.DUMMYFUNCTION("""COMPUTED_VALUE"""),43476.0)</f>
        <v>43476</v>
      </c>
      <c r="D4" s="62" t="str">
        <f>IFERROR(__xludf.DUMMYFUNCTION("""COMPUTED_VALUE"""),"Yes")</f>
        <v>Yes</v>
      </c>
      <c r="E4" s="62" t="str">
        <f>IFERROR(__xludf.DUMMYFUNCTION("""COMPUTED_VALUE"""),"No")</f>
        <v>No</v>
      </c>
      <c r="F4" s="62" t="str">
        <f>IFERROR(__xludf.DUMMYFUNCTION("""COMPUTED_VALUE"""),"Somatic Cancer")</f>
        <v>Somatic Cancer</v>
      </c>
      <c r="G4" t="str">
        <f>IFERROR(__xludf.DUMMYFUNCTION("""COMPUTED_VALUE"""),"Somatic WG")</f>
        <v>Somatic WG</v>
      </c>
      <c r="H4" t="str">
        <f>IFERROR(__xludf.DUMMYFUNCTION("""COMPUTED_VALUE"""),"Rajavarman Kittu")</f>
        <v>Rajavarman Kittu</v>
      </c>
      <c r="I4" t="str">
        <f>IFERROR(__xludf.DUMMYFUNCTION("""COMPUTED_VALUE"""),"rajavarman21@gmail.com")</f>
        <v>rajavarman21@gmail.com</v>
      </c>
      <c r="J4" s="62" t="str">
        <f>IFERROR(__xludf.DUMMYFUNCTION("""COMPUTED_VALUE"""),"Comprehensive")</f>
        <v>Comprehensive</v>
      </c>
      <c r="K4" t="str">
        <f>IFERROR(__xludf.DUMMYFUNCTION("""COMPUTED_VALUE"""),"As mentioned above in the table( ranking) i prefer to contribute. if that is not possible i would like to be any ClinGen Expert Panel/Working Group where there is need for help.")</f>
        <v>As mentioned above in the table( ranking) i prefer to contribute. if that is not possible i would like to be any ClinGen Expert Panel/Working Group where there is need for help.</v>
      </c>
    </row>
    <row r="5">
      <c r="A5" t="str">
        <f>IFERROR(__xludf.DUMMYFUNCTION("""COMPUTED_VALUE"""),"Unresponsive")</f>
        <v>Unresponsive</v>
      </c>
      <c r="B5" s="114">
        <f>IFERROR(__xludf.DUMMYFUNCTION("""COMPUTED_VALUE"""),43476.0)</f>
        <v>43476</v>
      </c>
      <c r="C5" s="120">
        <f>IFERROR(__xludf.DUMMYFUNCTION("""COMPUTED_VALUE"""),43476.0)</f>
        <v>43476</v>
      </c>
      <c r="D5" s="62" t="str">
        <f>IFERROR(__xludf.DUMMYFUNCTION("""COMPUTED_VALUE"""),"Yes")</f>
        <v>Yes</v>
      </c>
      <c r="E5" s="62" t="str">
        <f>IFERROR(__xludf.DUMMYFUNCTION("""COMPUTED_VALUE"""),"No")</f>
        <v>No</v>
      </c>
      <c r="F5" s="62" t="str">
        <f>IFERROR(__xludf.DUMMYFUNCTION("""COMPUTED_VALUE"""),"Somatic Cancer")</f>
        <v>Somatic Cancer</v>
      </c>
      <c r="G5" t="str">
        <f>IFERROR(__xludf.DUMMYFUNCTION("""COMPUTED_VALUE"""),"pancreatic cancer taskforce")</f>
        <v>pancreatic cancer taskforce</v>
      </c>
      <c r="H5" t="str">
        <f>IFERROR(__xludf.DUMMYFUNCTION("""COMPUTED_VALUE"""),"Sameeha Shirwadkar")</f>
        <v>Sameeha Shirwadkar</v>
      </c>
      <c r="I5" t="str">
        <f>IFERROR(__xludf.DUMMYFUNCTION("""COMPUTED_VALUE"""),"sameeha9@gmail.com")</f>
        <v>sameeha9@gmail.com</v>
      </c>
      <c r="J5" s="62" t="str">
        <f>IFERROR(__xludf.DUMMYFUNCTION("""COMPUTED_VALUE"""),"Comprehensive")</f>
        <v>Comprehensive</v>
      </c>
      <c r="K5" t="str">
        <f>IFERROR(__xludf.DUMMYFUNCTION("""COMPUTED_VALUE"""),"Somatic/Germline Variant Curation Group and TP53 Variant Curation Expert Panel")</f>
        <v>Somatic/Germline Variant Curation Group and TP53 Variant Curation Expert Panel</v>
      </c>
    </row>
    <row r="6">
      <c r="A6" t="str">
        <f>IFERROR(__xludf.DUMMYFUNCTION("""COMPUTED_VALUE"""),"Unresponsive")</f>
        <v>Unresponsive</v>
      </c>
      <c r="B6" t="str">
        <f>IFERROR(__xludf.DUMMYFUNCTION("""COMPUTED_VALUE"""),"")</f>
        <v/>
      </c>
      <c r="C6" s="120" t="str">
        <f>IFERROR(__xludf.DUMMYFUNCTION("""COMPUTED_VALUE"""),"")</f>
        <v/>
      </c>
      <c r="D6" s="62" t="str">
        <f>IFERROR(__xludf.DUMMYFUNCTION("""COMPUTED_VALUE"""),"No")</f>
        <v>No</v>
      </c>
      <c r="E6" s="62" t="str">
        <f>IFERROR(__xludf.DUMMYFUNCTION("""COMPUTED_VALUE"""),"No")</f>
        <v>No</v>
      </c>
      <c r="F6" s="62" t="str">
        <f>IFERROR(__xludf.DUMMYFUNCTION("""COMPUTED_VALUE"""),"Somatic Cancer")</f>
        <v>Somatic Cancer</v>
      </c>
      <c r="G6" t="str">
        <f>IFERROR(__xludf.DUMMYFUNCTION("""COMPUTED_VALUE"""),"pediatric cancer taskforce")</f>
        <v>pediatric cancer taskforce</v>
      </c>
      <c r="H6" t="str">
        <f>IFERROR(__xludf.DUMMYFUNCTION("""COMPUTED_VALUE"""),"Heather Williams")</f>
        <v>Heather Williams</v>
      </c>
      <c r="I6" t="str">
        <f>IFERROR(__xludf.DUMMYFUNCTION("""COMPUTED_VALUE"""),"heather.williams30@nhs.net")</f>
        <v>heather.williams30@nhs.net</v>
      </c>
      <c r="J6" s="62" t="str">
        <f>IFERROR(__xludf.DUMMYFUNCTION("""COMPUTED_VALUE"""),"Comprehensive")</f>
        <v>Comprehensive</v>
      </c>
      <c r="K6" t="str">
        <f>IFERROR(__xludf.DUMMYFUNCTION("""COMPUTED_VALUE"""),"Myeloid Malignancy Variant Curation Expert Panel Somatic/Germline Variant Curation Group")</f>
        <v>Myeloid Malignancy Variant Curation Expert Panel Somatic/Germline Variant Curation Group</v>
      </c>
    </row>
    <row r="7">
      <c r="A7" t="str">
        <f>IFERROR(__xludf.DUMMYFUNCTION("""COMPUTED_VALUE"""),"Unresponsive")</f>
        <v>Unresponsive</v>
      </c>
      <c r="B7" s="115">
        <f>IFERROR(__xludf.DUMMYFUNCTION("""COMPUTED_VALUE"""),43411.0)</f>
        <v>43411</v>
      </c>
      <c r="C7" s="120">
        <f>IFERROR(__xludf.DUMMYFUNCTION("""COMPUTED_VALUE"""),43476.0)</f>
        <v>43476</v>
      </c>
      <c r="D7" s="62" t="str">
        <f>IFERROR(__xludf.DUMMYFUNCTION("""COMPUTED_VALUE"""),"Yes")</f>
        <v>Yes</v>
      </c>
      <c r="E7" s="62" t="str">
        <f>IFERROR(__xludf.DUMMYFUNCTION("""COMPUTED_VALUE"""),"No")</f>
        <v>No</v>
      </c>
      <c r="F7" s="62" t="str">
        <f>IFERROR(__xludf.DUMMYFUNCTION("""COMPUTED_VALUE"""),"Somatic Cancer")</f>
        <v>Somatic Cancer</v>
      </c>
      <c r="G7" t="str">
        <f>IFERROR(__xludf.DUMMYFUNCTION("""COMPUTED_VALUE"""),"pediatric cancer taskforce")</f>
        <v>pediatric cancer taskforce</v>
      </c>
      <c r="H7" t="str">
        <f>IFERROR(__xludf.DUMMYFUNCTION("""COMPUTED_VALUE"""),"Laura Richards")</f>
        <v>Laura Richards</v>
      </c>
      <c r="I7" t="str">
        <f>IFERROR(__xludf.DUMMYFUNCTION("""COMPUTED_VALUE"""),"lauram.richards@mail.utoronto.ca")</f>
        <v>lauram.richards@mail.utoronto.ca</v>
      </c>
      <c r="J7" s="62" t="str">
        <f>IFERROR(__xludf.DUMMYFUNCTION("""COMPUTED_VALUE"""),"Comprehensive")</f>
        <v>Comprehensive</v>
      </c>
      <c r="K7" t="str">
        <f>IFERROR(__xludf.DUMMYFUNCTION("""COMPUTED_VALUE"""),"All expert panels in Hereditary Cancer CDWG")</f>
        <v>All expert panels in Hereditary Cancer CDWG</v>
      </c>
    </row>
    <row r="8">
      <c r="A8" t="str">
        <f>IFERROR(__xludf.DUMMYFUNCTION("""COMPUTED_VALUE"""),"Unresponsive")</f>
        <v>Unresponsive</v>
      </c>
      <c r="B8" s="115">
        <f>IFERROR(__xludf.DUMMYFUNCTION("""COMPUTED_VALUE"""),43411.0)</f>
        <v>43411</v>
      </c>
      <c r="C8" s="120" t="str">
        <f>IFERROR(__xludf.DUMMYFUNCTION("""COMPUTED_VALUE"""),"")</f>
        <v/>
      </c>
      <c r="D8" s="62" t="str">
        <f>IFERROR(__xludf.DUMMYFUNCTION("""COMPUTED_VALUE"""),"No")</f>
        <v>No</v>
      </c>
      <c r="E8" s="62" t="str">
        <f>IFERROR(__xludf.DUMMYFUNCTION("""COMPUTED_VALUE"""),"No")</f>
        <v>No</v>
      </c>
      <c r="F8" s="62" t="str">
        <f>IFERROR(__xludf.DUMMYFUNCTION("""COMPUTED_VALUE"""),"Somatic Cancer")</f>
        <v>Somatic Cancer</v>
      </c>
      <c r="G8" t="str">
        <f>IFERROR(__xludf.DUMMYFUNCTION("""COMPUTED_VALUE"""),"")</f>
        <v/>
      </c>
      <c r="H8" t="str">
        <f>IFERROR(__xludf.DUMMYFUNCTION("""COMPUTED_VALUE"""),"Aysegul Ozanturk")</f>
        <v>Aysegul Ozanturk</v>
      </c>
      <c r="I8" t="str">
        <f>IFERROR(__xludf.DUMMYFUNCTION("""COMPUTED_VALUE"""),"aozanturk@gmail.com")</f>
        <v>aozanturk@gmail.com</v>
      </c>
      <c r="J8" s="62" t="str">
        <f>IFERROR(__xludf.DUMMYFUNCTION("""COMPUTED_VALUE"""),"Comprehensive")</f>
        <v>Comprehensive</v>
      </c>
      <c r="K8" t="str">
        <f>IFERROR(__xludf.DUMMYFUNCTION("""COMPUTED_VALUE"""),"I would say mostly rare disorders. I have an expertise on ciliary disorders/ Syndromic IDs/ inborn error of metabolic disorders. Happy to share my resume.")</f>
        <v>I would say mostly rare disorders. I have an expertise on ciliary disorders/ Syndromic IDs/ inborn error of metabolic disorders. Happy to share my resume.</v>
      </c>
    </row>
    <row r="9">
      <c r="A9" t="str">
        <f>IFERROR(__xludf.DUMMYFUNCTION("""COMPUTED_VALUE"""),"Declined")</f>
        <v>Declined</v>
      </c>
      <c r="B9" s="115">
        <f>IFERROR(__xludf.DUMMYFUNCTION("""COMPUTED_VALUE"""),43411.0)</f>
        <v>43411</v>
      </c>
      <c r="C9" s="120">
        <f>IFERROR(__xludf.DUMMYFUNCTION("""COMPUTED_VALUE"""),43476.0)</f>
        <v>43476</v>
      </c>
      <c r="D9" s="62" t="str">
        <f>IFERROR(__xludf.DUMMYFUNCTION("""COMPUTED_VALUE"""),"Yes")</f>
        <v>Yes</v>
      </c>
      <c r="E9" s="62" t="str">
        <f>IFERROR(__xludf.DUMMYFUNCTION("""COMPUTED_VALUE"""),"No")</f>
        <v>No</v>
      </c>
      <c r="F9" s="62" t="str">
        <f>IFERROR(__xludf.DUMMYFUNCTION("""COMPUTED_VALUE"""),"Somatic Cancer")</f>
        <v>Somatic Cancer</v>
      </c>
      <c r="G9" t="str">
        <f>IFERROR(__xludf.DUMMYFUNCTION("""COMPUTED_VALUE"""),"pancreatic cancer taskforce")</f>
        <v>pancreatic cancer taskforce</v>
      </c>
      <c r="H9" t="str">
        <f>IFERROR(__xludf.DUMMYFUNCTION("""COMPUTED_VALUE"""),"Kaylee Barber")</f>
        <v>Kaylee Barber</v>
      </c>
      <c r="I9" t="str">
        <f>IFERROR(__xludf.DUMMYFUNCTION("""COMPUTED_VALUE"""),"kbarber@bioreference.com")</f>
        <v>kbarber@bioreference.com</v>
      </c>
      <c r="J9" s="62" t="str">
        <f>IFERROR(__xludf.DUMMYFUNCTION("""COMPUTED_VALUE"""),"Comprehensive")</f>
        <v>Comprehensive</v>
      </c>
      <c r="K9" t="str">
        <f>IFERROR(__xludf.DUMMYFUNCTION("""COMPUTED_VALUE"""),"Somatic Cancer Working Group, Somatic/Germline Variant Curation Group")</f>
        <v>Somatic Cancer Working Group, Somatic/Germline Variant Curation Group</v>
      </c>
    </row>
    <row r="10">
      <c r="A10" t="str">
        <f>IFERROR(__xludf.DUMMYFUNCTION("""COMPUTED_VALUE"""),"Assigned")</f>
        <v>Assigned</v>
      </c>
      <c r="B10" s="115">
        <f>IFERROR(__xludf.DUMMYFUNCTION("""COMPUTED_VALUE"""),43411.0)</f>
        <v>43411</v>
      </c>
      <c r="C10" s="120">
        <f>IFERROR(__xludf.DUMMYFUNCTION("""COMPUTED_VALUE"""),43476.0)</f>
        <v>43476</v>
      </c>
      <c r="D10" s="62" t="str">
        <f>IFERROR(__xludf.DUMMYFUNCTION("""COMPUTED_VALUE"""),"Yes")</f>
        <v>Yes</v>
      </c>
      <c r="E10" s="62" t="str">
        <f>IFERROR(__xludf.DUMMYFUNCTION("""COMPUTED_VALUE"""),"No")</f>
        <v>No</v>
      </c>
      <c r="F10" s="62" t="str">
        <f>IFERROR(__xludf.DUMMYFUNCTION("""COMPUTED_VALUE"""),"Somatic Cancer")</f>
        <v>Somatic Cancer</v>
      </c>
      <c r="G10" t="str">
        <f>IFERROR(__xludf.DUMMYFUNCTION("""COMPUTED_VALUE"""),"pediatric and pancreatic cancer taskforces")</f>
        <v>pediatric and pancreatic cancer taskforces</v>
      </c>
      <c r="H10" t="str">
        <f>IFERROR(__xludf.DUMMYFUNCTION("""COMPUTED_VALUE"""),"Wan-Hsin Lin")</f>
        <v>Wan-Hsin Lin</v>
      </c>
      <c r="I10" t="str">
        <f>IFERROR(__xludf.DUMMYFUNCTION("""COMPUTED_VALUE"""),"lin.wanhsin@mayo.edu")</f>
        <v>lin.wanhsin@mayo.edu</v>
      </c>
      <c r="J10" s="62" t="str">
        <f>IFERROR(__xludf.DUMMYFUNCTION("""COMPUTED_VALUE"""),"Comprehensive")</f>
        <v>Comprehensive</v>
      </c>
      <c r="K10" t="str">
        <f>IFERROR(__xludf.DUMMYFUNCTION("""COMPUTED_VALUE"""),"The Expert Panels/Working Groups that I am interested in are listed below. 1. ""Clinical Domain Working Groups""-Hereditary Cancer CDWG: Hereditary Cancer Gene Curation Expert Panel, Myeloid Malignancy Variant Curation Expert Panel, Somatic/Germline Varia"&amp;"nt Curation Group. 2. Gene Curation Working Group 3. Somatic Cancer Working Group")</f>
        <v>The Expert Panels/Working Groups that I am interested in are listed below. 1. "Clinical Domain Working Groups"-Hereditary Cancer CDWG: Hereditary Cancer Gene Curation Expert Panel, Myeloid Malignancy Variant Curation Expert Panel, Somatic/Germline Variant Curation Group. 2. Gene Curation Working Group 3. Somatic Cancer Working Group</v>
      </c>
    </row>
    <row r="11">
      <c r="A11" t="str">
        <f>IFERROR(__xludf.DUMMYFUNCTION("""COMPUTED_VALUE"""),"Unresponsive")</f>
        <v>Unresponsive</v>
      </c>
      <c r="B11" s="115">
        <f>IFERROR(__xludf.DUMMYFUNCTION("""COMPUTED_VALUE"""),43411.0)</f>
        <v>43411</v>
      </c>
      <c r="C11" s="120">
        <f>IFERROR(__xludf.DUMMYFUNCTION("""COMPUTED_VALUE"""),43476.0)</f>
        <v>43476</v>
      </c>
      <c r="D11" s="62" t="str">
        <f>IFERROR(__xludf.DUMMYFUNCTION("""COMPUTED_VALUE"""),"Yes")</f>
        <v>Yes</v>
      </c>
      <c r="E11" s="62" t="str">
        <f>IFERROR(__xludf.DUMMYFUNCTION("""COMPUTED_VALUE"""),"No")</f>
        <v>No</v>
      </c>
      <c r="F11" s="62" t="str">
        <f>IFERROR(__xludf.DUMMYFUNCTION("""COMPUTED_VALUE"""),"Somatic Cancer")</f>
        <v>Somatic Cancer</v>
      </c>
      <c r="G11" t="str">
        <f>IFERROR(__xludf.DUMMYFUNCTION("""COMPUTED_VALUE"""),"pediatric cancer taskforce")</f>
        <v>pediatric cancer taskforce</v>
      </c>
      <c r="H11" t="str">
        <f>IFERROR(__xludf.DUMMYFUNCTION("""COMPUTED_VALUE"""),"Stefan Rentas")</f>
        <v>Stefan Rentas</v>
      </c>
      <c r="I11" t="str">
        <f>IFERROR(__xludf.DUMMYFUNCTION("""COMPUTED_VALUE"""),"rentass@email.chop.edu")</f>
        <v>rentass@email.chop.edu</v>
      </c>
      <c r="J11" s="62" t="str">
        <f>IFERROR(__xludf.DUMMYFUNCTION("""COMPUTED_VALUE"""),"Comprehensive")</f>
        <v>Comprehensive</v>
      </c>
      <c r="K11" t="str">
        <f>IFERROR(__xludf.DUMMYFUNCTION("""COMPUTED_VALUE"""),"As a current trainee in laboratory genomics I think it would be a fantastic experience to get involved in the ClinGen community. I have interest in assisting and volunteering with the Hereditary Cancer Gene Curation Expert Panel, Somatic/Germline Variant "&amp;"Curation Group, Myeloid Malignancy Variant Curation Expert Panel, or the Dosage Sensitivity Curation team.")</f>
        <v>As a current trainee in laboratory genomics I think it would be a fantastic experience to get involved in the ClinGen community. I have interest in assisting and volunteering with the Hereditary Cancer Gene Curation Expert Panel, Somatic/Germline Variant Curation Group, Myeloid Malignancy Variant Curation Expert Panel, or the Dosage Sensitivity Curation team.</v>
      </c>
    </row>
    <row r="12">
      <c r="A12" t="str">
        <f>IFERROR(__xludf.DUMMYFUNCTION("""COMPUTED_VALUE"""),"Unresponsive")</f>
        <v>Unresponsive</v>
      </c>
      <c r="B12" s="116">
        <f>IFERROR(__xludf.DUMMYFUNCTION("""COMPUTED_VALUE"""),43434.0)</f>
        <v>43434</v>
      </c>
      <c r="C12" s="120" t="str">
        <f>IFERROR(__xludf.DUMMYFUNCTION("""COMPUTED_VALUE"""),"")</f>
        <v/>
      </c>
      <c r="D12" s="62" t="str">
        <f>IFERROR(__xludf.DUMMYFUNCTION("""COMPUTED_VALUE"""),"No")</f>
        <v>No</v>
      </c>
      <c r="E12" s="62" t="str">
        <f>IFERROR(__xludf.DUMMYFUNCTION("""COMPUTED_VALUE"""),"No")</f>
        <v>No</v>
      </c>
      <c r="F12" s="62" t="str">
        <f>IFERROR(__xludf.DUMMYFUNCTION("""COMPUTED_VALUE"""),"Somatic Cancer")</f>
        <v>Somatic Cancer</v>
      </c>
      <c r="G12" t="str">
        <f>IFERROR(__xludf.DUMMYFUNCTION("""COMPUTED_VALUE"""),"")</f>
        <v/>
      </c>
      <c r="H12" t="str">
        <f>IFERROR(__xludf.DUMMYFUNCTION("""COMPUTED_VALUE"""),"Willonie Mendonca")</f>
        <v>Willonie Mendonca</v>
      </c>
      <c r="I12" t="str">
        <f>IFERROR(__xludf.DUMMYFUNCTION("""COMPUTED_VALUE"""),"willonie@gmail.com")</f>
        <v>willonie@gmail.com</v>
      </c>
      <c r="J12" s="62" t="str">
        <f>IFERROR(__xludf.DUMMYFUNCTION("""COMPUTED_VALUE"""),"Comprehensive")</f>
        <v>Comprehensive</v>
      </c>
      <c r="K12" t="str">
        <f>IFERROR(__xludf.DUMMYFUNCTION("""COMPUTED_VALUE"""),"Somatic cancer working groupHereditary cancer working group")</f>
        <v>Somatic cancer working groupHereditary cancer working group</v>
      </c>
    </row>
    <row r="13">
      <c r="A13" t="str">
        <f>IFERROR(__xludf.DUMMYFUNCTION("""COMPUTED_VALUE"""),"Unresponsive")</f>
        <v>Unresponsive</v>
      </c>
      <c r="B13" s="116">
        <f>IFERROR(__xludf.DUMMYFUNCTION("""COMPUTED_VALUE"""),43434.0)</f>
        <v>43434</v>
      </c>
      <c r="C13" s="120">
        <f>IFERROR(__xludf.DUMMYFUNCTION("""COMPUTED_VALUE"""),43476.0)</f>
        <v>43476</v>
      </c>
      <c r="D13" s="62" t="str">
        <f>IFERROR(__xludf.DUMMYFUNCTION("""COMPUTED_VALUE"""),"Yes")</f>
        <v>Yes</v>
      </c>
      <c r="E13" s="62" t="str">
        <f>IFERROR(__xludf.DUMMYFUNCTION("""COMPUTED_VALUE"""),"No")</f>
        <v>No</v>
      </c>
      <c r="F13" s="62" t="str">
        <f>IFERROR(__xludf.DUMMYFUNCTION("""COMPUTED_VALUE"""),"Somatic Cancer")</f>
        <v>Somatic Cancer</v>
      </c>
      <c r="G13" t="str">
        <f>IFERROR(__xludf.DUMMYFUNCTION("""COMPUTED_VALUE"""),"pancreatic cancer taskforce")</f>
        <v>pancreatic cancer taskforce</v>
      </c>
      <c r="H13" t="str">
        <f>IFERROR(__xludf.DUMMYFUNCTION("""COMPUTED_VALUE"""),"Iman Haroun")</f>
        <v>Iman Haroun</v>
      </c>
      <c r="I13" t="str">
        <f>IFERROR(__xludf.DUMMYFUNCTION("""COMPUTED_VALUE"""),"iman.haroun@readinghealth.org")</f>
        <v>iman.haroun@readinghealth.org</v>
      </c>
      <c r="J13" s="62" t="str">
        <f>IFERROR(__xludf.DUMMYFUNCTION("""COMPUTED_VALUE"""),"Comprehensive")</f>
        <v>Comprehensive</v>
      </c>
      <c r="K13" t="str">
        <f>IFERROR(__xludf.DUMMYFUNCTION("""COMPUTED_VALUE"""),"Somatic Cancer, Pancreatic")</f>
        <v>Somatic Cancer, Pancreatic</v>
      </c>
    </row>
    <row r="14">
      <c r="A14" t="str">
        <f>IFERROR(__xludf.DUMMYFUNCTION("""COMPUTED_VALUE"""),"Contacted")</f>
        <v>Contacted</v>
      </c>
      <c r="B14" t="str">
        <f>IFERROR(__xludf.DUMMYFUNCTION("""COMPUTED_VALUE"""),"")</f>
        <v/>
      </c>
      <c r="C14" s="120">
        <f>IFERROR(__xludf.DUMMYFUNCTION("""COMPUTED_VALUE"""),43598.0)</f>
        <v>43598</v>
      </c>
      <c r="D14" s="62" t="str">
        <f>IFERROR(__xludf.DUMMYFUNCTION("""COMPUTED_VALUE"""),"Yes")</f>
        <v>Yes</v>
      </c>
      <c r="E14" s="62" t="str">
        <f>IFERROR(__xludf.DUMMYFUNCTION("""COMPUTED_VALUE"""),"No")</f>
        <v>No</v>
      </c>
      <c r="F14" s="62" t="str">
        <f>IFERROR(__xludf.DUMMYFUNCTION("""COMPUTED_VALUE"""),"Somatic Cancer")</f>
        <v>Somatic Cancer</v>
      </c>
      <c r="G14" t="str">
        <f>IFERROR(__xludf.DUMMYFUNCTION("""COMPUTED_VALUE"""),"")</f>
        <v/>
      </c>
      <c r="H14" t="str">
        <f>IFERROR(__xludf.DUMMYFUNCTION("""COMPUTED_VALUE"""),"Qiuxiang Ou")</f>
        <v>Qiuxiang Ou</v>
      </c>
      <c r="I14" t="str">
        <f>IFERROR(__xludf.DUMMYFUNCTION("""COMPUTED_VALUE"""),"dorothy.ou@gmail.com")</f>
        <v>dorothy.ou@gmail.com</v>
      </c>
      <c r="J14" s="62" t="str">
        <f>IFERROR(__xludf.DUMMYFUNCTION("""COMPUTED_VALUE"""),"Comprehensive")</f>
        <v>Comprehensive</v>
      </c>
      <c r="K14" t="str">
        <f>IFERROR(__xludf.DUMMYFUNCTION("""COMPUTED_VALUE"""),"Somatic Cancer Working Group")</f>
        <v>Somatic Cancer Working Group</v>
      </c>
    </row>
    <row r="15">
      <c r="A15" t="str">
        <f>IFERROR(__xludf.DUMMYFUNCTION("""COMPUTED_VALUE"""),"Assigned")</f>
        <v>Assigned</v>
      </c>
      <c r="B15" s="115">
        <f>IFERROR(__xludf.DUMMYFUNCTION("""COMPUTED_VALUE"""),43467.0)</f>
        <v>43467</v>
      </c>
      <c r="C15" s="116">
        <f>IFERROR(__xludf.DUMMYFUNCTION("""COMPUTED_VALUE"""),43476.0)</f>
        <v>43476</v>
      </c>
      <c r="D15" s="62" t="str">
        <f>IFERROR(__xludf.DUMMYFUNCTION("""COMPUTED_VALUE"""),"Yes")</f>
        <v>Yes</v>
      </c>
      <c r="E15" s="62" t="str">
        <f>IFERROR(__xludf.DUMMYFUNCTION("""COMPUTED_VALUE"""),"No")</f>
        <v>No</v>
      </c>
      <c r="F15" s="62" t="str">
        <f>IFERROR(__xludf.DUMMYFUNCTION("""COMPUTED_VALUE"""),"Actionability")</f>
        <v>Actionability</v>
      </c>
      <c r="G15" t="str">
        <f>IFERROR(__xludf.DUMMYFUNCTION("""COMPUTED_VALUE"""),"Actionability")</f>
        <v>Actionability</v>
      </c>
      <c r="H15" t="str">
        <f>IFERROR(__xludf.DUMMYFUNCTION("""COMPUTED_VALUE"""),"Laura Fuqua")</f>
        <v>Laura Fuqua</v>
      </c>
      <c r="I15" t="str">
        <f>IFERROR(__xludf.DUMMYFUNCTION("""COMPUTED_VALUE"""),"laura.fuqua@gmail.com")</f>
        <v>laura.fuqua@gmail.com</v>
      </c>
      <c r="J15" s="62" t="str">
        <f>IFERROR(__xludf.DUMMYFUNCTION("""COMPUTED_VALUE"""),"Comprehensive")</f>
        <v>Comprehensive</v>
      </c>
      <c r="K15" t="str">
        <f>IFERROR(__xludf.DUMMYFUNCTION("""COMPUTED_VALUE"""),"NA")</f>
        <v>NA</v>
      </c>
    </row>
    <row r="16">
      <c r="A16" t="str">
        <f>IFERROR(__xludf.DUMMYFUNCTION("""COMPUTED_VALUE"""),"Unresponsive")</f>
        <v>Unresponsive</v>
      </c>
      <c r="B16" t="str">
        <f>IFERROR(__xludf.DUMMYFUNCTION("""COMPUTED_VALUE"""),"")</f>
        <v/>
      </c>
      <c r="C16" t="str">
        <f>IFERROR(__xludf.DUMMYFUNCTION("""COMPUTED_VALUE"""),"")</f>
        <v/>
      </c>
      <c r="D16" s="62" t="str">
        <f>IFERROR(__xludf.DUMMYFUNCTION("""COMPUTED_VALUE"""),"No")</f>
        <v>No</v>
      </c>
      <c r="E16" s="62" t="str">
        <f>IFERROR(__xludf.DUMMYFUNCTION("""COMPUTED_VALUE"""),"No")</f>
        <v>No</v>
      </c>
      <c r="F16" s="62" t="str">
        <f>IFERROR(__xludf.DUMMYFUNCTION("""COMPUTED_VALUE"""),"Somatic Cancer")</f>
        <v>Somatic Cancer</v>
      </c>
      <c r="G16" t="str">
        <f>IFERROR(__xludf.DUMMYFUNCTION("""COMPUTED_VALUE"""),"")</f>
        <v/>
      </c>
      <c r="H16" t="str">
        <f>IFERROR(__xludf.DUMMYFUNCTION("""COMPUTED_VALUE"""),"Milda Auglyte")</f>
        <v>Milda Auglyte</v>
      </c>
      <c r="I16" t="str">
        <f>IFERROR(__xludf.DUMMYFUNCTION("""COMPUTED_VALUE"""),"mildaaug@gmail.com")</f>
        <v>mildaaug@gmail.com</v>
      </c>
      <c r="J16" s="62" t="str">
        <f>IFERROR(__xludf.DUMMYFUNCTION("""COMPUTED_VALUE"""),"Comprehensive")</f>
        <v>Comprehensive</v>
      </c>
      <c r="K16" t="str">
        <f>IFERROR(__xludf.DUMMYFUNCTION("""COMPUTED_VALUE"""),"I would be interested in newly forming groups: Breast/Ovarian Cancer, Nonsmall cell lung cancer and Somatic TP53.")</f>
        <v>I would be interested in newly forming groups: Breast/Ovarian Cancer, Nonsmall cell lung cancer and Somatic TP53.</v>
      </c>
    </row>
    <row r="17">
      <c r="A17" t="str">
        <f>IFERROR(__xludf.DUMMYFUNCTION("""COMPUTED_VALUE"""),"Declined")</f>
        <v>Declined</v>
      </c>
      <c r="B17" t="str">
        <f>IFERROR(__xludf.DUMMYFUNCTION("""COMPUTED_VALUE"""),"")</f>
        <v/>
      </c>
      <c r="C17" t="str">
        <f>IFERROR(__xludf.DUMMYFUNCTION("""COMPUTED_VALUE"""),"")</f>
        <v/>
      </c>
      <c r="D17" s="62" t="str">
        <f>IFERROR(__xludf.DUMMYFUNCTION("""COMPUTED_VALUE"""),"No")</f>
        <v>No</v>
      </c>
      <c r="E17" s="62" t="str">
        <f>IFERROR(__xludf.DUMMYFUNCTION("""COMPUTED_VALUE"""),"No")</f>
        <v>No</v>
      </c>
      <c r="F17" s="62" t="str">
        <f>IFERROR(__xludf.DUMMYFUNCTION("""COMPUTED_VALUE"""),"Somatic Cancer")</f>
        <v>Somatic Cancer</v>
      </c>
      <c r="G17" t="str">
        <f>IFERROR(__xludf.DUMMYFUNCTION("""COMPUTED_VALUE"""),"Pediatric cancer taskforce")</f>
        <v>Pediatric cancer taskforce</v>
      </c>
      <c r="H17" t="str">
        <f>IFERROR(__xludf.DUMMYFUNCTION("""COMPUTED_VALUE"""),"Andres Ressia")</f>
        <v>Andres Ressia</v>
      </c>
      <c r="I17" t="str">
        <f>IFERROR(__xludf.DUMMYFUNCTION("""COMPUTED_VALUE"""),"andresressiacolino@gmail.com")</f>
        <v>andresressiacolino@gmail.com</v>
      </c>
      <c r="J17" s="62" t="str">
        <f>IFERROR(__xludf.DUMMYFUNCTION("""COMPUTED_VALUE"""),"Comprehensive")</f>
        <v>Comprehensive</v>
      </c>
      <c r="K17" t="str">
        <f>IFERROR(__xludf.DUMMYFUNCTION("""COMPUTED_VALUE"""),"Breast/Ovarian Cancer (newly forming)")</f>
        <v>Breast/Ovarian Cancer (newly forming)</v>
      </c>
    </row>
    <row r="18">
      <c r="A18" t="str">
        <f>IFERROR(__xludf.DUMMYFUNCTION("""COMPUTED_VALUE"""),"Assigned")</f>
        <v>Assigned</v>
      </c>
      <c r="B18" s="116">
        <f>IFERROR(__xludf.DUMMYFUNCTION("""COMPUTED_VALUE"""),43452.0)</f>
        <v>43452</v>
      </c>
      <c r="C18" s="120">
        <f>IFERROR(__xludf.DUMMYFUNCTION("""COMPUTED_VALUE"""),43581.0)</f>
        <v>43581</v>
      </c>
      <c r="D18" s="62" t="str">
        <f>IFERROR(__xludf.DUMMYFUNCTION("""COMPUTED_VALUE"""),"Yes")</f>
        <v>Yes</v>
      </c>
      <c r="E18" s="62" t="str">
        <f>IFERROR(__xludf.DUMMYFUNCTION("""COMPUTED_VALUE"""),"No")</f>
        <v>No</v>
      </c>
      <c r="F18" s="62" t="str">
        <f>IFERROR(__xludf.DUMMYFUNCTION("""COMPUTED_VALUE"""),"Somatic Cancer")</f>
        <v>Somatic Cancer</v>
      </c>
      <c r="G18" t="str">
        <f>IFERROR(__xludf.DUMMYFUNCTION("""COMPUTED_VALUE"""),"Pancreatic cancer taskforce")</f>
        <v>Pancreatic cancer taskforce</v>
      </c>
      <c r="H18" t="str">
        <f>IFERROR(__xludf.DUMMYFUNCTION("""COMPUTED_VALUE"""),"Parisa Lotfi")</f>
        <v>Parisa Lotfi</v>
      </c>
      <c r="I18" t="str">
        <f>IFERROR(__xludf.DUMMYFUNCTION("""COMPUTED_VALUE"""),"Parisa_Lotfi@yahoo.com")</f>
        <v>Parisa_Lotfi@yahoo.com</v>
      </c>
      <c r="J18" s="62" t="str">
        <f>IFERROR(__xludf.DUMMYFUNCTION("""COMPUTED_VALUE"""),"Comprehensive")</f>
        <v>Comprehensive</v>
      </c>
      <c r="K18" t="str">
        <f>IFERROR(__xludf.DUMMYFUNCTION("""COMPUTED_VALUE"""),"intellectual disability/autism group")</f>
        <v>intellectual disability/autism group</v>
      </c>
    </row>
    <row r="19">
      <c r="A19" t="str">
        <f>IFERROR(__xludf.DUMMYFUNCTION("""COMPUTED_VALUE"""),"Declined")</f>
        <v>Declined</v>
      </c>
      <c r="B19" s="116">
        <f>IFERROR(__xludf.DUMMYFUNCTION("""COMPUTED_VALUE"""),43452.0)</f>
        <v>43452</v>
      </c>
      <c r="C19" t="str">
        <f>IFERROR(__xludf.DUMMYFUNCTION("""COMPUTED_VALUE"""),"")</f>
        <v/>
      </c>
      <c r="D19" s="62" t="str">
        <f>IFERROR(__xludf.DUMMYFUNCTION("""COMPUTED_VALUE"""),"No")</f>
        <v>No</v>
      </c>
      <c r="E19" s="62" t="str">
        <f>IFERROR(__xludf.DUMMYFUNCTION("""COMPUTED_VALUE"""),"No")</f>
        <v>No</v>
      </c>
      <c r="F19" s="62" t="str">
        <f>IFERROR(__xludf.DUMMYFUNCTION("""COMPUTED_VALUE"""),"Somatic Cancer")</f>
        <v>Somatic Cancer</v>
      </c>
      <c r="G19" t="str">
        <f>IFERROR(__xludf.DUMMYFUNCTION("""COMPUTED_VALUE"""),"Pediatric cancer taskforce")</f>
        <v>Pediatric cancer taskforce</v>
      </c>
      <c r="H19" t="str">
        <f>IFERROR(__xludf.DUMMYFUNCTION("""COMPUTED_VALUE"""),"Huei San Leong")</f>
        <v>Huei San Leong</v>
      </c>
      <c r="I19" t="str">
        <f>IFERROR(__xludf.DUMMYFUNCTION("""COMPUTED_VALUE"""),"hueisan.leong@petermac.org")</f>
        <v>hueisan.leong@petermac.org</v>
      </c>
      <c r="J19" s="62" t="str">
        <f>IFERROR(__xludf.DUMMYFUNCTION("""COMPUTED_VALUE"""),"Comprehensive")</f>
        <v>Comprehensive</v>
      </c>
      <c r="K19" t="str">
        <f>IFERROR(__xludf.DUMMYFUNCTION("""COMPUTED_VALUE"""),"1) Breast/Ovarian Cancer 2) Colorectal Cancer 3) CDH1")</f>
        <v>1) Breast/Ovarian Cancer 2) Colorectal Cancer 3) CDH1</v>
      </c>
    </row>
    <row r="20">
      <c r="A20" t="str">
        <f>IFERROR(__xludf.DUMMYFUNCTION("""COMPUTED_VALUE"""),"Unresponsive")</f>
        <v>Unresponsive</v>
      </c>
      <c r="B20" s="116">
        <f>IFERROR(__xludf.DUMMYFUNCTION("""COMPUTED_VALUE"""),43452.0)</f>
        <v>43452</v>
      </c>
      <c r="C20" t="str">
        <f>IFERROR(__xludf.DUMMYFUNCTION("""COMPUTED_VALUE"""),"")</f>
        <v/>
      </c>
      <c r="D20" s="62" t="str">
        <f>IFERROR(__xludf.DUMMYFUNCTION("""COMPUTED_VALUE"""),"No")</f>
        <v>No</v>
      </c>
      <c r="E20" s="62" t="str">
        <f>IFERROR(__xludf.DUMMYFUNCTION("""COMPUTED_VALUE"""),"No")</f>
        <v>No</v>
      </c>
      <c r="F20" s="62" t="str">
        <f>IFERROR(__xludf.DUMMYFUNCTION("""COMPUTED_VALUE"""),"Somatic Cancer")</f>
        <v>Somatic Cancer</v>
      </c>
      <c r="G20" t="str">
        <f>IFERROR(__xludf.DUMMYFUNCTION("""COMPUTED_VALUE"""),"")</f>
        <v/>
      </c>
      <c r="H20" t="str">
        <f>IFERROR(__xludf.DUMMYFUNCTION("""COMPUTED_VALUE"""),"Pandurang Kolekar")</f>
        <v>Pandurang Kolekar</v>
      </c>
      <c r="I20" t="str">
        <f>IFERROR(__xludf.DUMMYFUNCTION("""COMPUTED_VALUE"""),"pandurang.kolekar@gmail.com")</f>
        <v>pandurang.kolekar@gmail.com</v>
      </c>
      <c r="J20" s="62" t="str">
        <f>IFERROR(__xludf.DUMMYFUNCTION("""COMPUTED_VALUE"""),"Comprehensive")</f>
        <v>Comprehensive</v>
      </c>
      <c r="K20" t="str">
        <f>IFERROR(__xludf.DUMMYFUNCTION("""COMPUTED_VALUE"""),"Somatic cancer WG")</f>
        <v>Somatic cancer WG</v>
      </c>
    </row>
    <row r="21">
      <c r="A21" t="str">
        <f>IFERROR(__xludf.DUMMYFUNCTION("""COMPUTED_VALUE"""),"Unresponsive")</f>
        <v>Unresponsive</v>
      </c>
      <c r="B21" s="116">
        <f>IFERROR(__xludf.DUMMYFUNCTION("""COMPUTED_VALUE"""),43452.0)</f>
        <v>43452</v>
      </c>
      <c r="C21" t="str">
        <f>IFERROR(__xludf.DUMMYFUNCTION("""COMPUTED_VALUE"""),"")</f>
        <v/>
      </c>
      <c r="D21" s="62" t="str">
        <f>IFERROR(__xludf.DUMMYFUNCTION("""COMPUTED_VALUE"""),"No")</f>
        <v>No</v>
      </c>
      <c r="E21" s="62" t="str">
        <f>IFERROR(__xludf.DUMMYFUNCTION("""COMPUTED_VALUE"""),"No")</f>
        <v>No</v>
      </c>
      <c r="F21" s="62" t="str">
        <f>IFERROR(__xludf.DUMMYFUNCTION("""COMPUTED_VALUE"""),"Somatic Cancer")</f>
        <v>Somatic Cancer</v>
      </c>
      <c r="G21" t="str">
        <f>IFERROR(__xludf.DUMMYFUNCTION("""COMPUTED_VALUE"""),"")</f>
        <v/>
      </c>
      <c r="H21" t="str">
        <f>IFERROR(__xludf.DUMMYFUNCTION("""COMPUTED_VALUE"""),"Jianhong Zhou")</f>
        <v>Jianhong Zhou</v>
      </c>
      <c r="I21" t="str">
        <f>IFERROR(__xludf.DUMMYFUNCTION("""COMPUTED_VALUE"""),"jhzhou2008@hotmail.com")</f>
        <v>jhzhou2008@hotmail.com</v>
      </c>
      <c r="J21" s="62" t="str">
        <f>IFERROR(__xludf.DUMMYFUNCTION("""COMPUTED_VALUE"""),"Comprehensive")</f>
        <v>Comprehensive</v>
      </c>
      <c r="K21" t="str">
        <f>IFERROR(__xludf.DUMMYFUNCTION("""COMPUTED_VALUE"""),"Somatic Cancer WG")</f>
        <v>Somatic Cancer WG</v>
      </c>
    </row>
    <row r="22">
      <c r="A22" t="str">
        <f>IFERROR(__xludf.DUMMYFUNCTION("""COMPUTED_VALUE"""),"Contacted")</f>
        <v>Contacted</v>
      </c>
      <c r="B22" t="str">
        <f>IFERROR(__xludf.DUMMYFUNCTION("""COMPUTED_VALUE"""),"")</f>
        <v/>
      </c>
      <c r="C22" s="120">
        <f>IFERROR(__xludf.DUMMYFUNCTION("""COMPUTED_VALUE"""),43598.0)</f>
        <v>43598</v>
      </c>
      <c r="D22" s="62" t="str">
        <f>IFERROR(__xludf.DUMMYFUNCTION("""COMPUTED_VALUE"""),"Yes")</f>
        <v>Yes</v>
      </c>
      <c r="E22" s="62" t="str">
        <f>IFERROR(__xludf.DUMMYFUNCTION("""COMPUTED_VALUE"""),"No")</f>
        <v>No</v>
      </c>
      <c r="F22" s="62" t="str">
        <f>IFERROR(__xludf.DUMMYFUNCTION("""COMPUTED_VALUE"""),"Somatic Cancer")</f>
        <v>Somatic Cancer</v>
      </c>
      <c r="G22" t="str">
        <f>IFERROR(__xludf.DUMMYFUNCTION("""COMPUTED_VALUE"""),"")</f>
        <v/>
      </c>
      <c r="H22" t="str">
        <f>IFERROR(__xludf.DUMMYFUNCTION("""COMPUTED_VALUE"""),"Ranjit Shetty")</f>
        <v>Ranjit Shetty</v>
      </c>
      <c r="I22" t="str">
        <f>IFERROR(__xludf.DUMMYFUNCTION("""COMPUTED_VALUE"""),"ranjit.shetty@novartis.com")</f>
        <v>ranjit.shetty@novartis.com</v>
      </c>
      <c r="J22" s="62" t="str">
        <f>IFERROR(__xludf.DUMMYFUNCTION("""COMPUTED_VALUE"""),"Comprehensive")</f>
        <v>Comprehensive</v>
      </c>
      <c r="K22" t="str">
        <f>IFERROR(__xludf.DUMMYFUNCTION("""COMPUTED_VALUE"""),"")</f>
        <v/>
      </c>
    </row>
    <row r="23">
      <c r="A23" t="str">
        <f>IFERROR(__xludf.DUMMYFUNCTION("""COMPUTED_VALUE"""),"Contacted")</f>
        <v>Contacted</v>
      </c>
      <c r="B23" t="str">
        <f>IFERROR(__xludf.DUMMYFUNCTION("""COMPUTED_VALUE"""),"")</f>
        <v/>
      </c>
      <c r="C23" s="120">
        <f>IFERROR(__xludf.DUMMYFUNCTION("""COMPUTED_VALUE"""),43581.0)</f>
        <v>43581</v>
      </c>
      <c r="D23" s="62" t="str">
        <f>IFERROR(__xludf.DUMMYFUNCTION("""COMPUTED_VALUE"""),"Yes")</f>
        <v>Yes</v>
      </c>
      <c r="E23" s="62" t="str">
        <f>IFERROR(__xludf.DUMMYFUNCTION("""COMPUTED_VALUE"""),"No")</f>
        <v>No</v>
      </c>
      <c r="F23" s="62" t="str">
        <f>IFERROR(__xludf.DUMMYFUNCTION("""COMPUTED_VALUE"""),"Somatic Cancer")</f>
        <v>Somatic Cancer</v>
      </c>
      <c r="G23" t="str">
        <f>IFERROR(__xludf.DUMMYFUNCTION("""COMPUTED_VALUE"""),"Pediatric cancer taskforce")</f>
        <v>Pediatric cancer taskforce</v>
      </c>
      <c r="H23" t="str">
        <f>IFERROR(__xludf.DUMMYFUNCTION("""COMPUTED_VALUE"""),"HUILING XU")</f>
        <v>HUILING XU</v>
      </c>
      <c r="I23" t="str">
        <f>IFERROR(__xludf.DUMMYFUNCTION("""COMPUTED_VALUE"""),"huiling.xu@petermac.org")</f>
        <v>huiling.xu@petermac.org</v>
      </c>
      <c r="J23" s="62" t="str">
        <f>IFERROR(__xludf.DUMMYFUNCTION("""COMPUTED_VALUE"""),"Comprehensive")</f>
        <v>Comprehensive</v>
      </c>
      <c r="K23" t="str">
        <f>IFERROR(__xludf.DUMMYFUNCTION("""COMPUTED_VALUE"""),"Somatic cancer working groups")</f>
        <v>Somatic cancer working groups</v>
      </c>
    </row>
    <row r="24">
      <c r="A24" t="str">
        <f>IFERROR(__xludf.DUMMYFUNCTION("""COMPUTED_VALUE"""),"Contacted")</f>
        <v>Contacted</v>
      </c>
      <c r="B24" t="str">
        <f>IFERROR(__xludf.DUMMYFUNCTION("""COMPUTED_VALUE"""),"")</f>
        <v/>
      </c>
      <c r="C24" s="120">
        <f>IFERROR(__xludf.DUMMYFUNCTION("""COMPUTED_VALUE"""),43581.0)</f>
        <v>43581</v>
      </c>
      <c r="D24" s="62" t="str">
        <f>IFERROR(__xludf.DUMMYFUNCTION("""COMPUTED_VALUE"""),"Yes")</f>
        <v>Yes</v>
      </c>
      <c r="E24" s="62" t="str">
        <f>IFERROR(__xludf.DUMMYFUNCTION("""COMPUTED_VALUE"""),"No")</f>
        <v>No</v>
      </c>
      <c r="F24" s="62" t="str">
        <f>IFERROR(__xludf.DUMMYFUNCTION("""COMPUTED_VALUE"""),"Somatic Cancer")</f>
        <v>Somatic Cancer</v>
      </c>
      <c r="G24" t="str">
        <f>IFERROR(__xludf.DUMMYFUNCTION("""COMPUTED_VALUE"""),"")</f>
        <v/>
      </c>
      <c r="H24" t="str">
        <f>IFERROR(__xludf.DUMMYFUNCTION("""COMPUTED_VALUE"""),"Venkataswamy Eswarachari")</f>
        <v>Venkataswamy Eswarachari</v>
      </c>
      <c r="I24" t="str">
        <f>IFERROR(__xludf.DUMMYFUNCTION("""COMPUTED_VALUE"""),"venkataswamy@medgenome.com")</f>
        <v>venkataswamy@medgenome.com</v>
      </c>
      <c r="J24" s="62" t="str">
        <f>IFERROR(__xludf.DUMMYFUNCTION("""COMPUTED_VALUE"""),"Comprehensive")</f>
        <v>Comprehensive</v>
      </c>
      <c r="K24" t="str">
        <f>IFERROR(__xludf.DUMMYFUNCTION("""COMPUTED_VALUE"""),"")</f>
        <v/>
      </c>
    </row>
    <row r="25">
      <c r="A25" t="str">
        <f>IFERROR(__xludf.DUMMYFUNCTION("""COMPUTED_VALUE"""),"Contacted")</f>
        <v>Contacted</v>
      </c>
      <c r="B25" t="str">
        <f>IFERROR(__xludf.DUMMYFUNCTION("""COMPUTED_VALUE"""),"")</f>
        <v/>
      </c>
      <c r="C25" s="120">
        <f>IFERROR(__xludf.DUMMYFUNCTION("""COMPUTED_VALUE"""),43581.0)</f>
        <v>43581</v>
      </c>
      <c r="D25" s="62" t="str">
        <f>IFERROR(__xludf.DUMMYFUNCTION("""COMPUTED_VALUE"""),"Yes")</f>
        <v>Yes</v>
      </c>
      <c r="E25" s="62" t="str">
        <f>IFERROR(__xludf.DUMMYFUNCTION("""COMPUTED_VALUE"""),"No")</f>
        <v>No</v>
      </c>
      <c r="F25" s="62" t="str">
        <f>IFERROR(__xludf.DUMMYFUNCTION("""COMPUTED_VALUE"""),"Somatic Cancer")</f>
        <v>Somatic Cancer</v>
      </c>
      <c r="G25" t="str">
        <f>IFERROR(__xludf.DUMMYFUNCTION("""COMPUTED_VALUE"""),"")</f>
        <v/>
      </c>
      <c r="H25" t="str">
        <f>IFERROR(__xludf.DUMMYFUNCTION("""COMPUTED_VALUE"""),"Ying Zou")</f>
        <v>Ying Zou</v>
      </c>
      <c r="I25" t="str">
        <f>IFERROR(__xludf.DUMMYFUNCTION("""COMPUTED_VALUE""")," yzou19@jhmi.edu")</f>
        <v> yzou19@jhmi.edu</v>
      </c>
      <c r="J25" s="62" t="str">
        <f>IFERROR(__xludf.DUMMYFUNCTION("""COMPUTED_VALUE"""),"Comprehensive")</f>
        <v>Comprehensive</v>
      </c>
      <c r="K25" t="str">
        <f>IFERROR(__xludf.DUMMYFUNCTION("""COMPUTED_VALUE"""),"somatic cancer")</f>
        <v>somatic cancer</v>
      </c>
    </row>
    <row r="26">
      <c r="A26" t="str">
        <f>IFERROR(__xludf.DUMMYFUNCTION("""COMPUTED_VALUE"""),"Contacted")</f>
        <v>Contacted</v>
      </c>
      <c r="B26" s="116">
        <f>IFERROR(__xludf.DUMMYFUNCTION("""COMPUTED_VALUE"""),43705.0)</f>
        <v>43705</v>
      </c>
      <c r="C26" t="str">
        <f>IFERROR(__xludf.DUMMYFUNCTION("""COMPUTED_VALUE"""),"")</f>
        <v/>
      </c>
      <c r="D26" s="62" t="str">
        <f>IFERROR(__xludf.DUMMYFUNCTION("""COMPUTED_VALUE"""),"")</f>
        <v/>
      </c>
      <c r="E26" s="62" t="str">
        <f>IFERROR(__xludf.DUMMYFUNCTION("""COMPUTED_VALUE"""),"No")</f>
        <v>No</v>
      </c>
      <c r="F26" s="62" t="str">
        <f>IFERROR(__xludf.DUMMYFUNCTION("""COMPUTED_VALUE"""),"Somatic Cancer")</f>
        <v>Somatic Cancer</v>
      </c>
      <c r="G26" t="str">
        <f>IFERROR(__xludf.DUMMYFUNCTION("""COMPUTED_VALUE"""),"")</f>
        <v/>
      </c>
      <c r="H26" t="str">
        <f>IFERROR(__xludf.DUMMYFUNCTION("""COMPUTED_VALUE"""),"Erin Sybouts")</f>
        <v>Erin Sybouts</v>
      </c>
      <c r="I26" t="str">
        <f>IFERROR(__xludf.DUMMYFUNCTION("""COMPUTED_VALUE"""),"sybouts@livemail.uthscsa.edu")</f>
        <v>sybouts@livemail.uthscsa.edu</v>
      </c>
      <c r="J26" s="62" t="str">
        <f>IFERROR(__xludf.DUMMYFUNCTION("""COMPUTED_VALUE"""),"Comprehensive")</f>
        <v>Comprehensive</v>
      </c>
      <c r="K26" t="str">
        <f>IFERROR(__xludf.DUMMYFUNCTION("""COMPUTED_VALUE"""),"TP53")</f>
        <v>TP53</v>
      </c>
    </row>
    <row r="27">
      <c r="A27" t="str">
        <f>IFERROR(__xludf.DUMMYFUNCTION("""COMPUTED_VALUE"""),"Unresponsive")</f>
        <v>Unresponsive</v>
      </c>
      <c r="B27" t="str">
        <f>IFERROR(__xludf.DUMMYFUNCTION("""COMPUTED_VALUE"""),"")</f>
        <v/>
      </c>
      <c r="C27" s="116">
        <f>IFERROR(__xludf.DUMMYFUNCTION("""COMPUTED_VALUE"""),43476.0)</f>
        <v>43476</v>
      </c>
      <c r="D27" s="62" t="str">
        <f>IFERROR(__xludf.DUMMYFUNCTION("""COMPUTED_VALUE"""),"Yes")</f>
        <v>Yes</v>
      </c>
      <c r="E27" s="62" t="str">
        <f>IFERROR(__xludf.DUMMYFUNCTION("""COMPUTED_VALUE"""),"No")</f>
        <v>No</v>
      </c>
      <c r="F27" s="62" t="str">
        <f>IFERROR(__xludf.DUMMYFUNCTION("""COMPUTED_VALUE"""),"Somatic Cancer")</f>
        <v>Somatic Cancer</v>
      </c>
      <c r="G27" t="str">
        <f>IFERROR(__xludf.DUMMYFUNCTION("""COMPUTED_VALUE"""),"")</f>
        <v/>
      </c>
      <c r="H27" t="str">
        <f>IFERROR(__xludf.DUMMYFUNCTION("""COMPUTED_VALUE"""),"Lisa Dyer")</f>
        <v>Lisa Dyer</v>
      </c>
      <c r="I27" t="str">
        <f>IFERROR(__xludf.DUMMYFUNCTION("""COMPUTED_VALUE"""),"Lisa.Dyer@cchmc.org")</f>
        <v>Lisa.Dyer@cchmc.org</v>
      </c>
      <c r="J27" s="62" t="str">
        <f>IFERROR(__xludf.DUMMYFUNCTION("""COMPUTED_VALUE"""),"Comprehensive")</f>
        <v>Comprehensive</v>
      </c>
      <c r="K27" t="str">
        <f>IFERROR(__xludf.DUMMYFUNCTION("""COMPUTED_VALUE"""),"")</f>
        <v/>
      </c>
    </row>
    <row r="28">
      <c r="A28" t="str">
        <f>IFERROR(__xludf.DUMMYFUNCTION("""COMPUTED_VALUE"""),"Contacted")</f>
        <v>Contacted</v>
      </c>
      <c r="B28" s="116">
        <f>IFERROR(__xludf.DUMMYFUNCTION("""COMPUTED_VALUE"""),43705.0)</f>
        <v>43705</v>
      </c>
      <c r="C28" s="114">
        <f>IFERROR(__xludf.DUMMYFUNCTION("""COMPUTED_VALUE"""),43719.0)</f>
        <v>43719</v>
      </c>
      <c r="D28" s="62" t="str">
        <f>IFERROR(__xludf.DUMMYFUNCTION("""COMPUTED_VALUE"""),"No")</f>
        <v>No</v>
      </c>
      <c r="E28" s="62" t="str">
        <f>IFERROR(__xludf.DUMMYFUNCTION("""COMPUTED_VALUE"""),"No")</f>
        <v>No</v>
      </c>
      <c r="F28" s="62" t="str">
        <f>IFERROR(__xludf.DUMMYFUNCTION("""COMPUTED_VALUE"""),"Somatic Cancer")</f>
        <v>Somatic Cancer</v>
      </c>
      <c r="G28" t="str">
        <f>IFERROR(__xludf.DUMMYFUNCTION("""COMPUTED_VALUE"""),"")</f>
        <v/>
      </c>
      <c r="H28" t="str">
        <f>IFERROR(__xludf.DUMMYFUNCTION("""COMPUTED_VALUE"""),"Christina Bridges")</f>
        <v>Christina Bridges</v>
      </c>
      <c r="I28" t="str">
        <f>IFERROR(__xludf.DUMMYFUNCTION("""COMPUTED_VALUE"""),"c.bridges@med.unc.edu")</f>
        <v>c.bridges@med.unc.edu</v>
      </c>
      <c r="J28" s="62" t="str">
        <f>IFERROR(__xludf.DUMMYFUNCTION("""COMPUTED_VALUE"""),"Comprehensive")</f>
        <v>Comprehensive</v>
      </c>
      <c r="K28" t="str">
        <f>IFERROR(__xludf.DUMMYFUNCTION("""COMPUTED_VALUE"""),"I do not feel that I am qualified, at this time, for any Expert Panels, but I have indicated some preferences for Working Group involvement.  However, I would be interested to learn which areas represent ClinGen's greatest needs, currently, and I would co"&amp;"nsider if it seems I could offer value in such an area. ")</f>
        <v>I do not feel that I am qualified, at this time, for any Expert Panels, but I have indicated some preferences for Working Group involvement.  However, I would be interested to learn which areas represent ClinGen's greatest needs, currently, and I would consider if it seems I could offer value in such an area. </v>
      </c>
    </row>
    <row r="29">
      <c r="A29" t="str">
        <f>IFERROR(__xludf.DUMMYFUNCTION("""COMPUTED_VALUE"""),"Contacted")</f>
        <v>Contacted</v>
      </c>
      <c r="B29" s="116">
        <f>IFERROR(__xludf.DUMMYFUNCTION("""COMPUTED_VALUE"""),43705.0)</f>
        <v>43705</v>
      </c>
      <c r="C29" s="114">
        <f>IFERROR(__xludf.DUMMYFUNCTION("""COMPUTED_VALUE"""),43719.0)</f>
        <v>43719</v>
      </c>
      <c r="D29" s="62" t="str">
        <f>IFERROR(__xludf.DUMMYFUNCTION("""COMPUTED_VALUE"""),"No")</f>
        <v>No</v>
      </c>
      <c r="E29" s="62" t="str">
        <f>IFERROR(__xludf.DUMMYFUNCTION("""COMPUTED_VALUE"""),"No")</f>
        <v>No</v>
      </c>
      <c r="F29" s="62" t="str">
        <f>IFERROR(__xludf.DUMMYFUNCTION("""COMPUTED_VALUE"""),"Somatic Cancer")</f>
        <v>Somatic Cancer</v>
      </c>
      <c r="G29" t="str">
        <f>IFERROR(__xludf.DUMMYFUNCTION("""COMPUTED_VALUE"""),"")</f>
        <v/>
      </c>
      <c r="H29" t="str">
        <f>IFERROR(__xludf.DUMMYFUNCTION("""COMPUTED_VALUE"""),"Priyabrata Panigrahi")</f>
        <v>Priyabrata Panigrahi</v>
      </c>
      <c r="I29" t="str">
        <f>IFERROR(__xludf.DUMMYFUNCTION("""COMPUTED_VALUE"""),"pb.panigrahi86@gmail.com")</f>
        <v>pb.panigrahi86@gmail.com</v>
      </c>
      <c r="J29" s="62" t="str">
        <f>IFERROR(__xludf.DUMMYFUNCTION("""COMPUTED_VALUE"""),"Comprehensive")</f>
        <v>Comprehensive</v>
      </c>
      <c r="K29" t="str">
        <f>IFERROR(__xludf.DUMMYFUNCTION("""COMPUTED_VALUE"""),"Dont know")</f>
        <v>Dont know</v>
      </c>
    </row>
    <row r="30">
      <c r="A30" t="str">
        <f>IFERROR(__xludf.DUMMYFUNCTION("""COMPUTED_VALUE"""),"Assigned")</f>
        <v>Assigned</v>
      </c>
      <c r="B30" s="116">
        <f>IFERROR(__xludf.DUMMYFUNCTION("""COMPUTED_VALUE"""),43705.0)</f>
        <v>43705</v>
      </c>
      <c r="C30" s="114">
        <f>IFERROR(__xludf.DUMMYFUNCTION("""COMPUTED_VALUE"""),43719.0)</f>
        <v>43719</v>
      </c>
      <c r="D30" s="62" t="str">
        <f>IFERROR(__xludf.DUMMYFUNCTION("""COMPUTED_VALUE"""),"Yes")</f>
        <v>Yes</v>
      </c>
      <c r="E30" s="62" t="str">
        <f>IFERROR(__xludf.DUMMYFUNCTION("""COMPUTED_VALUE"""),"No")</f>
        <v>No</v>
      </c>
      <c r="F30" s="62" t="str">
        <f>IFERROR(__xludf.DUMMYFUNCTION("""COMPUTED_VALUE"""),"Somatic Cancer")</f>
        <v>Somatic Cancer</v>
      </c>
      <c r="G30" t="str">
        <f>IFERROR(__xludf.DUMMYFUNCTION("""COMPUTED_VALUE"""),"hematological cancer taskforce")</f>
        <v>hematological cancer taskforce</v>
      </c>
      <c r="H30" t="str">
        <f>IFERROR(__xludf.DUMMYFUNCTION("""COMPUTED_VALUE"""),"Lori Millner")</f>
        <v>Lori Millner</v>
      </c>
      <c r="I30" t="str">
        <f>IFERROR(__xludf.DUMMYFUNCTION("""COMPUTED_VALUE"""),"lorimillner77@gmail.com")</f>
        <v>lorimillner77@gmail.com</v>
      </c>
      <c r="J30" s="62" t="str">
        <f>IFERROR(__xludf.DUMMYFUNCTION("""COMPUTED_VALUE"""),"Comprehensive")</f>
        <v>Comprehensive</v>
      </c>
      <c r="K30" t="str">
        <f>IFERROR(__xludf.DUMMYFUNCTION("""COMPUTED_VALUE"""),"")</f>
        <v/>
      </c>
    </row>
    <row r="31">
      <c r="A31" t="str">
        <f>IFERROR(__xludf.DUMMYFUNCTION("""COMPUTED_VALUE"""),"Assigned")</f>
        <v>Assigned</v>
      </c>
      <c r="B31" s="116">
        <f>IFERROR(__xludf.DUMMYFUNCTION("""COMPUTED_VALUE"""),43705.0)</f>
        <v>43705</v>
      </c>
      <c r="C31" s="114">
        <f>IFERROR(__xludf.DUMMYFUNCTION("""COMPUTED_VALUE"""),43719.0)</f>
        <v>43719</v>
      </c>
      <c r="D31" s="62" t="str">
        <f>IFERROR(__xludf.DUMMYFUNCTION("""COMPUTED_VALUE"""),"Yes")</f>
        <v>Yes</v>
      </c>
      <c r="E31" s="62" t="str">
        <f>IFERROR(__xludf.DUMMYFUNCTION("""COMPUTED_VALUE"""),"No")</f>
        <v>No</v>
      </c>
      <c r="F31" s="62" t="str">
        <f>IFERROR(__xludf.DUMMYFUNCTION("""COMPUTED_VALUE"""),"Somatic Cancer")</f>
        <v>Somatic Cancer</v>
      </c>
      <c r="G31" t="str">
        <f>IFERROR(__xludf.DUMMYFUNCTION("""COMPUTED_VALUE"""),"Pediatric cancer and Hematological cancer taskforce")</f>
        <v>Pediatric cancer and Hematological cancer taskforce</v>
      </c>
      <c r="H31" t="str">
        <f>IFERROR(__xludf.DUMMYFUNCTION("""COMPUTED_VALUE"""),"Panieh Terraf")</f>
        <v>Panieh Terraf</v>
      </c>
      <c r="I31" t="str">
        <f>IFERROR(__xludf.DUMMYFUNCTION("""COMPUTED_VALUE"""),"pterraf@bwh.harvard.edu")</f>
        <v>pterraf@bwh.harvard.edu</v>
      </c>
      <c r="J31" s="62" t="str">
        <f>IFERROR(__xludf.DUMMYFUNCTION("""COMPUTED_VALUE"""),"Comprehensive")</f>
        <v>Comprehensive</v>
      </c>
      <c r="K31" t="str">
        <f>IFERROR(__xludf.DUMMYFUNCTION("""COMPUTED_VALUE"""),"Variant curation: myeloid malignancy, colorectal cancer, cardiomyopathy 
Somatic cancer working group: All, particularly pediatrics.
Dosage sensitivity: hereditary cancers, neurodevelopmental ")</f>
        <v>Variant curation: myeloid malignancy, colorectal cancer, cardiomyopathy 
Somatic cancer working group: All, particularly pediatrics.
Dosage sensitivity: hereditary cancers, neurodevelopmental </v>
      </c>
    </row>
    <row r="32">
      <c r="A32" t="str">
        <f>IFERROR(__xludf.DUMMYFUNCTION("""COMPUTED_VALUE"""),"Contacted")</f>
        <v>Contacted</v>
      </c>
      <c r="B32" s="116">
        <f>IFERROR(__xludf.DUMMYFUNCTION("""COMPUTED_VALUE"""),43705.0)</f>
        <v>43705</v>
      </c>
      <c r="C32" s="114">
        <f>IFERROR(__xludf.DUMMYFUNCTION("""COMPUTED_VALUE"""),43719.0)</f>
        <v>43719</v>
      </c>
      <c r="D32" s="62" t="str">
        <f>IFERROR(__xludf.DUMMYFUNCTION("""COMPUTED_VALUE"""),"Yes")</f>
        <v>Yes</v>
      </c>
      <c r="E32" s="62" t="str">
        <f>IFERROR(__xludf.DUMMYFUNCTION("""COMPUTED_VALUE"""),"No")</f>
        <v>No</v>
      </c>
      <c r="F32" s="62" t="str">
        <f>IFERROR(__xludf.DUMMYFUNCTION("""COMPUTED_VALUE"""),"Somatic Cancer")</f>
        <v>Somatic Cancer</v>
      </c>
      <c r="G32" t="str">
        <f>IFERROR(__xludf.DUMMYFUNCTION("""COMPUTED_VALUE"""),"")</f>
        <v/>
      </c>
      <c r="H32" t="str">
        <f>IFERROR(__xludf.DUMMYFUNCTION("""COMPUTED_VALUE"""),"Eric Kil")</f>
        <v>Eric Kil</v>
      </c>
      <c r="I32" t="str">
        <f>IFERROR(__xludf.DUMMYFUNCTION("""COMPUTED_VALUE"""),"ekil18@students.kgi.edu")</f>
        <v>ekil18@students.kgi.edu</v>
      </c>
      <c r="J32" s="62" t="str">
        <f>IFERROR(__xludf.DUMMYFUNCTION("""COMPUTED_VALUE"""),"comprehensive")</f>
        <v>comprehensive</v>
      </c>
      <c r="K32" t="str">
        <f>IFERROR(__xludf.DUMMYFUNCTION("""COMPUTED_VALUE"""),"I am interested in neuro-related conditions and cancer.")</f>
        <v>I am interested in neuro-related conditions and cancer.</v>
      </c>
    </row>
    <row r="33">
      <c r="A33" t="str">
        <f>IFERROR(__xludf.DUMMYFUNCTION("""COMPUTED_VALUE"""),"Assigned")</f>
        <v>Assigned</v>
      </c>
      <c r="B33" s="116">
        <f>IFERROR(__xludf.DUMMYFUNCTION("""COMPUTED_VALUE"""),43705.0)</f>
        <v>43705</v>
      </c>
      <c r="C33" s="114">
        <f>IFERROR(__xludf.DUMMYFUNCTION("""COMPUTED_VALUE"""),43719.0)</f>
        <v>43719</v>
      </c>
      <c r="D33" s="62" t="str">
        <f>IFERROR(__xludf.DUMMYFUNCTION("""COMPUTED_VALUE"""),"Yes")</f>
        <v>Yes</v>
      </c>
      <c r="E33" s="62" t="str">
        <f>IFERROR(__xludf.DUMMYFUNCTION("""COMPUTED_VALUE"""),"No")</f>
        <v>No</v>
      </c>
      <c r="F33" s="62" t="str">
        <f>IFERROR(__xludf.DUMMYFUNCTION("""COMPUTED_VALUE"""),"Somatic Cancer")</f>
        <v>Somatic Cancer</v>
      </c>
      <c r="G33" t="str">
        <f>IFERROR(__xludf.DUMMYFUNCTION("""COMPUTED_VALUE"""),"Genitourinary cancer taskforce")</f>
        <v>Genitourinary cancer taskforce</v>
      </c>
      <c r="H33" t="str">
        <f>IFERROR(__xludf.DUMMYFUNCTION("""COMPUTED_VALUE"""),"Joseph Steward")</f>
        <v>Joseph Steward</v>
      </c>
      <c r="I33" t="str">
        <f>IFERROR(__xludf.DUMMYFUNCTION("""COMPUTED_VALUE"""),"jsteward2930@gmail.com")</f>
        <v>jsteward2930@gmail.com</v>
      </c>
      <c r="J33" s="62" t="str">
        <f>IFERROR(__xludf.DUMMYFUNCTION("""COMPUTED_VALUE"""),"comprehensive")</f>
        <v>comprehensive</v>
      </c>
      <c r="K33" t="str">
        <f>IFERROR(__xludf.DUMMYFUNCTION("""COMPUTED_VALUE"""),"Pancreatic ")</f>
        <v>Pancreatic </v>
      </c>
    </row>
    <row r="34">
      <c r="A34" t="str">
        <f>IFERROR(__xludf.DUMMYFUNCTION("""COMPUTED_VALUE"""),"Assigned")</f>
        <v>Assigned</v>
      </c>
      <c r="B34" s="116">
        <f>IFERROR(__xludf.DUMMYFUNCTION("""COMPUTED_VALUE"""),43705.0)</f>
        <v>43705</v>
      </c>
      <c r="C34" s="116">
        <f>IFERROR(__xludf.DUMMYFUNCTION("""COMPUTED_VALUE"""),43719.0)</f>
        <v>43719</v>
      </c>
      <c r="D34" s="62" t="str">
        <f>IFERROR(__xludf.DUMMYFUNCTION("""COMPUTED_VALUE"""),"Yes")</f>
        <v>Yes</v>
      </c>
      <c r="E34" s="62" t="str">
        <f>IFERROR(__xludf.DUMMYFUNCTION("""COMPUTED_VALUE"""),"No")</f>
        <v>No</v>
      </c>
      <c r="F34" s="62" t="str">
        <f>IFERROR(__xludf.DUMMYFUNCTION("""COMPUTED_VALUE"""),"Somatic Cancer")</f>
        <v>Somatic Cancer</v>
      </c>
      <c r="G34" t="str">
        <f>IFERROR(__xludf.DUMMYFUNCTION("""COMPUTED_VALUE"""),"Hematological Cancer taskforce")</f>
        <v>Hematological Cancer taskforce</v>
      </c>
      <c r="H34" t="str">
        <f>IFERROR(__xludf.DUMMYFUNCTION("""COMPUTED_VALUE"""),"FENGLI ZHANG")</f>
        <v>FENGLI ZHANG</v>
      </c>
      <c r="I34" t="str">
        <f>IFERROR(__xludf.DUMMYFUNCTION("""COMPUTED_VALUE"""),"fengli.zhang@slh.wisc.edu")</f>
        <v>fengli.zhang@slh.wisc.edu</v>
      </c>
      <c r="J34" s="62" t="str">
        <f>IFERROR(__xludf.DUMMYFUNCTION("""COMPUTED_VALUE"""),"Comprehensive")</f>
        <v>Comprehensive</v>
      </c>
      <c r="K34" t="str">
        <f>IFERROR(__xludf.DUMMYFUNCTION("""COMPUTED_VALUE"""),"Cancer")</f>
        <v>Cancer</v>
      </c>
    </row>
    <row r="35">
      <c r="A35" t="str">
        <f>IFERROR(__xludf.DUMMYFUNCTION("""COMPUTED_VALUE"""),"Contacted")</f>
        <v>Contacted</v>
      </c>
      <c r="B35" t="str">
        <f>IFERROR(__xludf.DUMMYFUNCTION("""COMPUTED_VALUE"""),"")</f>
        <v/>
      </c>
      <c r="C35" t="str">
        <f>IFERROR(__xludf.DUMMYFUNCTION("""COMPUTED_VALUE"""),"")</f>
        <v/>
      </c>
      <c r="D35" s="62" t="str">
        <f>IFERROR(__xludf.DUMMYFUNCTION("""COMPUTED_VALUE"""),"")</f>
        <v/>
      </c>
      <c r="E35" s="62" t="str">
        <f>IFERROR(__xludf.DUMMYFUNCTION("""COMPUTED_VALUE"""),"No")</f>
        <v>No</v>
      </c>
      <c r="F35" s="62" t="str">
        <f>IFERROR(__xludf.DUMMYFUNCTION("""COMPUTED_VALUE"""),"NA")</f>
        <v>NA</v>
      </c>
      <c r="G35" t="str">
        <f>IFERROR(__xludf.DUMMYFUNCTION("""COMPUTED_VALUE"""),"")</f>
        <v/>
      </c>
      <c r="H35" t="str">
        <f>IFERROR(__xludf.DUMMYFUNCTION("""COMPUTED_VALUE"""),"Donia Hany Mostafa ")</f>
        <v>Donia Hany Mostafa </v>
      </c>
      <c r="I35" t="str">
        <f>IFERROR(__xludf.DUMMYFUNCTION("""COMPUTED_VALUE"""),"donia.1518105@stemkalubya.moe.edu.eg")</f>
        <v>donia.1518105@stemkalubya.moe.edu.eg</v>
      </c>
      <c r="J35" s="62" t="str">
        <f>IFERROR(__xludf.DUMMYFUNCTION("""COMPUTED_VALUE"""),"Comprehensive")</f>
        <v>Comprehensive</v>
      </c>
      <c r="K35" t="str">
        <f>IFERROR(__xludf.DUMMYFUNCTION("""COMPUTED_VALUE"""),"Yes, I am very interested about being in group that will help me to do many researches and will help me to be through a new experience. ")</f>
        <v>Yes, I am very interested about being in group that will help me to do many researches and will help me to be through a new experience. </v>
      </c>
    </row>
    <row r="36">
      <c r="A36" t="str">
        <f>IFERROR(__xludf.DUMMYFUNCTION("""COMPUTED_VALUE"""),"Unassigned")</f>
        <v>Unassigned</v>
      </c>
      <c r="B36" t="str">
        <f>IFERROR(__xludf.DUMMYFUNCTION("""COMPUTED_VALUE"""),"")</f>
        <v/>
      </c>
      <c r="C36" t="str">
        <f>IFERROR(__xludf.DUMMYFUNCTION("""COMPUTED_VALUE"""),"")</f>
        <v/>
      </c>
      <c r="D36" s="62" t="str">
        <f>IFERROR(__xludf.DUMMYFUNCTION("""COMPUTED_VALUE"""),"")</f>
        <v/>
      </c>
      <c r="E36" s="62" t="str">
        <f>IFERROR(__xludf.DUMMYFUNCTION("""COMPUTED_VALUE"""),"No")</f>
        <v>No</v>
      </c>
      <c r="F36" s="62" t="str">
        <f>IFERROR(__xludf.DUMMYFUNCTION("""COMPUTED_VALUE"""),"Somatic Cancer")</f>
        <v>Somatic Cancer</v>
      </c>
      <c r="G36" t="str">
        <f>IFERROR(__xludf.DUMMYFUNCTION("""COMPUTED_VALUE"""),"")</f>
        <v/>
      </c>
      <c r="H36" t="str">
        <f>IFERROR(__xludf.DUMMYFUNCTION("""COMPUTED_VALUE"""),"Rasha hekal ")</f>
        <v>Rasha hekal </v>
      </c>
      <c r="I36" t="str">
        <f>IFERROR(__xludf.DUMMYFUNCTION("""COMPUTED_VALUE"""),"rasha.hekal.152003@gmail.com")</f>
        <v>rasha.hekal.152003@gmail.com</v>
      </c>
      <c r="J36" s="62" t="str">
        <f>IFERROR(__xludf.DUMMYFUNCTION("""COMPUTED_VALUE"""),"Comprehensive")</f>
        <v>Comprehensive</v>
      </c>
      <c r="K36" t="str">
        <f>IFERROR(__xludf.DUMMYFUNCTION("""COMPUTED_VALUE"""),"Yes I am very interested to join this group. ")</f>
        <v>Yes I am very interested to join this group. </v>
      </c>
    </row>
    <row r="37">
      <c r="A37" t="str">
        <f>IFERROR(__xludf.DUMMYFUNCTION("""COMPUTED_VALUE"""),"Unassigned")</f>
        <v>Unassigned</v>
      </c>
      <c r="B37" t="str">
        <f>IFERROR(__xludf.DUMMYFUNCTION("""COMPUTED_VALUE"""),"")</f>
        <v/>
      </c>
      <c r="C37" t="str">
        <f>IFERROR(__xludf.DUMMYFUNCTION("""COMPUTED_VALUE"""),"")</f>
        <v/>
      </c>
      <c r="D37" s="62" t="str">
        <f>IFERROR(__xludf.DUMMYFUNCTION("""COMPUTED_VALUE"""),"")</f>
        <v/>
      </c>
      <c r="E37" s="62" t="str">
        <f>IFERROR(__xludf.DUMMYFUNCTION("""COMPUTED_VALUE"""),"No")</f>
        <v>No</v>
      </c>
      <c r="F37" s="62" t="str">
        <f>IFERROR(__xludf.DUMMYFUNCTION("""COMPUTED_VALUE"""),"Somatic Cancer")</f>
        <v>Somatic Cancer</v>
      </c>
      <c r="G37" t="str">
        <f>IFERROR(__xludf.DUMMYFUNCTION("""COMPUTED_VALUE"""),"")</f>
        <v/>
      </c>
      <c r="H37" t="str">
        <f>IFERROR(__xludf.DUMMYFUNCTION("""COMPUTED_VALUE"""),"Nihal Ahmed ")</f>
        <v>Nihal Ahmed </v>
      </c>
      <c r="I37" t="str">
        <f>IFERROR(__xludf.DUMMYFUNCTION("""COMPUTED_VALUE"""),"nihalahmed087@gmail.com")</f>
        <v>nihalahmed087@gmail.com</v>
      </c>
      <c r="J37" s="62" t="str">
        <f>IFERROR(__xludf.DUMMYFUNCTION("""COMPUTED_VALUE"""),"Comprehensive")</f>
        <v>Comprehensive</v>
      </c>
      <c r="K37" t="str">
        <f>IFERROR(__xludf.DUMMYFUNCTION("""COMPUTED_VALUE"""),"Not so interested ")</f>
        <v>Not so interested </v>
      </c>
    </row>
    <row r="38">
      <c r="A38" t="str">
        <f>IFERROR(__xludf.DUMMYFUNCTION("""COMPUTED_VALUE"""),"Unassigned")</f>
        <v>Unassigned</v>
      </c>
      <c r="B38" t="str">
        <f>IFERROR(__xludf.DUMMYFUNCTION("""COMPUTED_VALUE"""),"")</f>
        <v/>
      </c>
      <c r="C38" t="str">
        <f>IFERROR(__xludf.DUMMYFUNCTION("""COMPUTED_VALUE"""),"")</f>
        <v/>
      </c>
      <c r="D38" s="62" t="str">
        <f>IFERROR(__xludf.DUMMYFUNCTION("""COMPUTED_VALUE"""),"")</f>
        <v/>
      </c>
      <c r="E38" s="62" t="str">
        <f>IFERROR(__xludf.DUMMYFUNCTION("""COMPUTED_VALUE"""),"No")</f>
        <v>No</v>
      </c>
      <c r="F38" s="62" t="str">
        <f>IFERROR(__xludf.DUMMYFUNCTION("""COMPUTED_VALUE"""),"Somatic Cancer")</f>
        <v>Somatic Cancer</v>
      </c>
      <c r="G38" t="str">
        <f>IFERROR(__xludf.DUMMYFUNCTION("""COMPUTED_VALUE"""),"")</f>
        <v/>
      </c>
      <c r="H38" t="str">
        <f>IFERROR(__xludf.DUMMYFUNCTION("""COMPUTED_VALUE"""),"Zonggao Shi")</f>
        <v>Zonggao Shi</v>
      </c>
      <c r="I38" t="str">
        <f>IFERROR(__xludf.DUMMYFUNCTION("""COMPUTED_VALUE"""),"zshi1@stjude.org")</f>
        <v>zshi1@stjude.org</v>
      </c>
      <c r="J38" s="62" t="str">
        <f>IFERROR(__xludf.DUMMYFUNCTION("""COMPUTED_VALUE"""),"Comprehensive")</f>
        <v>Comprehensive</v>
      </c>
      <c r="K38" t="str">
        <f>IFERROR(__xludf.DUMMYFUNCTION("""COMPUTED_VALUE"""),"Yes, Somatic Cancer Pediatric Taskforce would be a good match")</f>
        <v>Yes, Somatic Cancer Pediatric Taskforce would be a good match</v>
      </c>
    </row>
    <row r="39">
      <c r="A39" t="str">
        <f>IFERROR(__xludf.DUMMYFUNCTION("""COMPUTED_VALUE"""),"Unassigned")</f>
        <v>Unassigned</v>
      </c>
      <c r="B39" t="str">
        <f>IFERROR(__xludf.DUMMYFUNCTION("""COMPUTED_VALUE"""),"")</f>
        <v/>
      </c>
      <c r="C39" t="str">
        <f>IFERROR(__xludf.DUMMYFUNCTION("""COMPUTED_VALUE"""),"")</f>
        <v/>
      </c>
      <c r="D39" s="62" t="str">
        <f>IFERROR(__xludf.DUMMYFUNCTION("""COMPUTED_VALUE"""),"")</f>
        <v/>
      </c>
      <c r="E39" s="62" t="str">
        <f>IFERROR(__xludf.DUMMYFUNCTION("""COMPUTED_VALUE"""),"No")</f>
        <v>No</v>
      </c>
      <c r="F39" s="62" t="str">
        <f>IFERROR(__xludf.DUMMYFUNCTION("""COMPUTED_VALUE"""),"Somatic Cancer")</f>
        <v>Somatic Cancer</v>
      </c>
      <c r="G39" t="str">
        <f>IFERROR(__xludf.DUMMYFUNCTION("""COMPUTED_VALUE"""),"")</f>
        <v/>
      </c>
      <c r="H39" t="str">
        <f>IFERROR(__xludf.DUMMYFUNCTION("""COMPUTED_VALUE"""),"Emilie Lalonde")</f>
        <v>Emilie Lalonde</v>
      </c>
      <c r="I39" t="str">
        <f>IFERROR(__xludf.DUMMYFUNCTION("""COMPUTED_VALUE"""),"lalondee@email.chop.edu")</f>
        <v>lalondee@email.chop.edu</v>
      </c>
      <c r="J39" s="62" t="str">
        <f>IFERROR(__xludf.DUMMYFUNCTION("""COMPUTED_VALUE"""),"Comprehensive")</f>
        <v>Comprehensive</v>
      </c>
      <c r="K39" t="str">
        <f>IFERROR(__xludf.DUMMYFUNCTION("""COMPUTED_VALUE"""),"Somatic cancer WG, hereditary cancer EP, RASopathy EP, Myeloid Malignancy EP, dosage hereditary cancer WG, others as needed")</f>
        <v>Somatic cancer WG, hereditary cancer EP, RASopathy EP, Myeloid Malignancy EP, dosage hereditary cancer WG, others as needed</v>
      </c>
    </row>
    <row r="40">
      <c r="A40" t="str">
        <f>IFERROR(__xludf.DUMMYFUNCTION("""COMPUTED_VALUE"""),"Unassigned")</f>
        <v>Unassigned</v>
      </c>
      <c r="B40" t="str">
        <f>IFERROR(__xludf.DUMMYFUNCTION("""COMPUTED_VALUE"""),"")</f>
        <v/>
      </c>
      <c r="C40" t="str">
        <f>IFERROR(__xludf.DUMMYFUNCTION("""COMPUTED_VALUE"""),"")</f>
        <v/>
      </c>
      <c r="D40" s="62" t="str">
        <f>IFERROR(__xludf.DUMMYFUNCTION("""COMPUTED_VALUE"""),"")</f>
        <v/>
      </c>
      <c r="E40" s="62" t="str">
        <f>IFERROR(__xludf.DUMMYFUNCTION("""COMPUTED_VALUE"""),"No")</f>
        <v>No</v>
      </c>
      <c r="F40" s="62" t="str">
        <f>IFERROR(__xludf.DUMMYFUNCTION("""COMPUTED_VALUE"""),"Somatic Cancer")</f>
        <v>Somatic Cancer</v>
      </c>
      <c r="G40" t="str">
        <f>IFERROR(__xludf.DUMMYFUNCTION("""COMPUTED_VALUE"""),"")</f>
        <v/>
      </c>
      <c r="H40" t="str">
        <f>IFERROR(__xludf.DUMMYFUNCTION("""COMPUTED_VALUE"""),"KC Vavra")</f>
        <v>KC Vavra</v>
      </c>
      <c r="I40" t="str">
        <f>IFERROR(__xludf.DUMMYFUNCTION("""COMPUTED_VALUE"""),"kc.vavra@agilent.com")</f>
        <v>kc.vavra@agilent.com</v>
      </c>
      <c r="J40" s="62" t="str">
        <f>IFERROR(__xludf.DUMMYFUNCTION("""COMPUTED_VALUE"""),"Comprehensive")</f>
        <v>Comprehensive</v>
      </c>
      <c r="K40" t="str">
        <f>IFERROR(__xludf.DUMMYFUNCTION("""COMPUTED_VALUE"""),"")</f>
        <v/>
      </c>
    </row>
    <row r="41">
      <c r="A41" t="str">
        <f>IFERROR(__xludf.DUMMYFUNCTION("""COMPUTED_VALUE"""),"Unassigned")</f>
        <v>Unassigned</v>
      </c>
      <c r="B41" t="str">
        <f>IFERROR(__xludf.DUMMYFUNCTION("""COMPUTED_VALUE"""),"")</f>
        <v/>
      </c>
      <c r="C41" t="str">
        <f>IFERROR(__xludf.DUMMYFUNCTION("""COMPUTED_VALUE"""),"")</f>
        <v/>
      </c>
      <c r="D41" s="62" t="str">
        <f>IFERROR(__xludf.DUMMYFUNCTION("""COMPUTED_VALUE"""),"")</f>
        <v/>
      </c>
      <c r="E41" s="62" t="str">
        <f>IFERROR(__xludf.DUMMYFUNCTION("""COMPUTED_VALUE"""),"No")</f>
        <v>No</v>
      </c>
      <c r="F41" s="62" t="str">
        <f>IFERROR(__xludf.DUMMYFUNCTION("""COMPUTED_VALUE"""),"Somatic Cancer")</f>
        <v>Somatic Cancer</v>
      </c>
      <c r="G41" t="str">
        <f>IFERROR(__xludf.DUMMYFUNCTION("""COMPUTED_VALUE"""),"")</f>
        <v/>
      </c>
      <c r="H41" t="str">
        <f>IFERROR(__xludf.DUMMYFUNCTION("""COMPUTED_VALUE"""),"Eileen Chen")</f>
        <v>Eileen Chen</v>
      </c>
      <c r="I41" t="str">
        <f>IFERROR(__xludf.DUMMYFUNCTION("""COMPUTED_VALUE"""),"eileen.chen.x.q@sgh.com.sg")</f>
        <v>eileen.chen.x.q@sgh.com.sg</v>
      </c>
      <c r="J41" s="62" t="str">
        <f>IFERROR(__xludf.DUMMYFUNCTION("""COMPUTED_VALUE"""),"Comprehensive")</f>
        <v>Comprehensive</v>
      </c>
      <c r="K41" t="str">
        <f>IFERROR(__xludf.DUMMYFUNCTION("""COMPUTED_VALUE"""),"Yes. Somatic Cancer Working Group as the first choice.")</f>
        <v>Yes. Somatic Cancer Working Group as the first choice.</v>
      </c>
    </row>
    <row r="42">
      <c r="A42" t="str">
        <f>IFERROR(__xludf.DUMMYFUNCTION("""COMPUTED_VALUE"""),"Unassigned")</f>
        <v>Unassigned</v>
      </c>
      <c r="B42" t="str">
        <f>IFERROR(__xludf.DUMMYFUNCTION("""COMPUTED_VALUE"""),"")</f>
        <v/>
      </c>
      <c r="C42" t="str">
        <f>IFERROR(__xludf.DUMMYFUNCTION("""COMPUTED_VALUE"""),"")</f>
        <v/>
      </c>
      <c r="D42" s="62" t="str">
        <f>IFERROR(__xludf.DUMMYFUNCTION("""COMPUTED_VALUE"""),"")</f>
        <v/>
      </c>
      <c r="E42" s="62" t="str">
        <f>IFERROR(__xludf.DUMMYFUNCTION("""COMPUTED_VALUE"""),"No")</f>
        <v>No</v>
      </c>
      <c r="F42" s="62" t="str">
        <f>IFERROR(__xludf.DUMMYFUNCTION("""COMPUTED_VALUE"""),"Somatic Cancer")</f>
        <v>Somatic Cancer</v>
      </c>
      <c r="G42" t="str">
        <f>IFERROR(__xludf.DUMMYFUNCTION("""COMPUTED_VALUE"""),"")</f>
        <v/>
      </c>
      <c r="H42" t="str">
        <f>IFERROR(__xludf.DUMMYFUNCTION("""COMPUTED_VALUE"""),"Qing Zhang")</f>
        <v>Qing Zhang</v>
      </c>
      <c r="I42" t="str">
        <f>IFERROR(__xludf.DUMMYFUNCTION("""COMPUTED_VALUE"""),"qz1seattle@yahoo.com")</f>
        <v>qz1seattle@yahoo.com</v>
      </c>
      <c r="J42" s="62" t="str">
        <f>IFERROR(__xludf.DUMMYFUNCTION("""COMPUTED_VALUE"""),"Comprehensive")</f>
        <v>Comprehensive</v>
      </c>
      <c r="K42" t="str">
        <f>IFERROR(__xludf.DUMMYFUNCTION("""COMPUTED_VALUE"""),"Somatic Cancer Working Group")</f>
        <v>Somatic Cancer Working Group</v>
      </c>
    </row>
    <row r="43">
      <c r="A43" t="str">
        <f>IFERROR(__xludf.DUMMYFUNCTION("""COMPUTED_VALUE"""),"Unassigned")</f>
        <v>Unassigned</v>
      </c>
      <c r="B43" t="str">
        <f>IFERROR(__xludf.DUMMYFUNCTION("""COMPUTED_VALUE"""),"")</f>
        <v/>
      </c>
      <c r="C43" t="str">
        <f>IFERROR(__xludf.DUMMYFUNCTION("""COMPUTED_VALUE"""),"")</f>
        <v/>
      </c>
      <c r="D43" s="62" t="str">
        <f>IFERROR(__xludf.DUMMYFUNCTION("""COMPUTED_VALUE"""),"")</f>
        <v/>
      </c>
      <c r="E43" s="62" t="str">
        <f>IFERROR(__xludf.DUMMYFUNCTION("""COMPUTED_VALUE"""),"No")</f>
        <v>No</v>
      </c>
      <c r="F43" s="62" t="str">
        <f>IFERROR(__xludf.DUMMYFUNCTION("""COMPUTED_VALUE"""),"Somatic Cancer")</f>
        <v>Somatic Cancer</v>
      </c>
      <c r="G43" t="str">
        <f>IFERROR(__xludf.DUMMYFUNCTION("""COMPUTED_VALUE"""),"")</f>
        <v/>
      </c>
      <c r="H43" t="str">
        <f>IFERROR(__xludf.DUMMYFUNCTION("""COMPUTED_VALUE"""),"Gokce Toruner")</f>
        <v>Gokce Toruner</v>
      </c>
      <c r="I43" t="str">
        <f>IFERROR(__xludf.DUMMYFUNCTION("""COMPUTED_VALUE"""),"gatoruner@mdanderson.org")</f>
        <v>gatoruner@mdanderson.org</v>
      </c>
      <c r="J43" s="62" t="str">
        <f>IFERROR(__xludf.DUMMYFUNCTION("""COMPUTED_VALUE"""),"Comprehensive")</f>
        <v>Comprehensive</v>
      </c>
      <c r="K43" t="str">
        <f>IFERROR(__xludf.DUMMYFUNCTION("""COMPUTED_VALUE"""),"Somatic Cancer")</f>
        <v>Somatic Cancer</v>
      </c>
    </row>
    <row r="44">
      <c r="A44" t="str">
        <f>IFERROR(__xludf.DUMMYFUNCTION("""COMPUTED_VALUE"""),"Unassigned")</f>
        <v>Unassigned</v>
      </c>
      <c r="B44" t="str">
        <f>IFERROR(__xludf.DUMMYFUNCTION("""COMPUTED_VALUE"""),"")</f>
        <v/>
      </c>
      <c r="C44" t="str">
        <f>IFERROR(__xludf.DUMMYFUNCTION("""COMPUTED_VALUE"""),"")</f>
        <v/>
      </c>
      <c r="D44" s="62" t="str">
        <f>IFERROR(__xludf.DUMMYFUNCTION("""COMPUTED_VALUE"""),"")</f>
        <v/>
      </c>
      <c r="E44" s="62" t="str">
        <f>IFERROR(__xludf.DUMMYFUNCTION("""COMPUTED_VALUE"""),"No")</f>
        <v>No</v>
      </c>
      <c r="F44" s="62" t="str">
        <f>IFERROR(__xludf.DUMMYFUNCTION("""COMPUTED_VALUE"""),"Somatic Cancer")</f>
        <v>Somatic Cancer</v>
      </c>
      <c r="G44" t="str">
        <f>IFERROR(__xludf.DUMMYFUNCTION("""COMPUTED_VALUE"""),"")</f>
        <v/>
      </c>
      <c r="H44" t="str">
        <f>IFERROR(__xludf.DUMMYFUNCTION("""COMPUTED_VALUE"""),"Nicole Hinceman")</f>
        <v>Nicole Hinceman</v>
      </c>
      <c r="I44" t="str">
        <f>IFERROR(__xludf.DUMMYFUNCTION("""COMPUTED_VALUE"""),"nhinceman@genedx.com")</f>
        <v>nhinceman@genedx.com</v>
      </c>
      <c r="J44" s="62" t="str">
        <f>IFERROR(__xludf.DUMMYFUNCTION("""COMPUTED_VALUE"""),"Comprehensive")</f>
        <v>Comprehensive</v>
      </c>
      <c r="K44" t="str">
        <f>IFERROR(__xludf.DUMMYFUNCTION("""COMPUTED_VALUE"""),"Pediatric Somatic Cancer Working Group")</f>
        <v>Pediatric Somatic Cancer Working Group</v>
      </c>
    </row>
    <row r="45">
      <c r="A45" t="str">
        <f>IFERROR(__xludf.DUMMYFUNCTION("""COMPUTED_VALUE"""),"Unassigned")</f>
        <v>Unassigned</v>
      </c>
      <c r="B45" t="str">
        <f>IFERROR(__xludf.DUMMYFUNCTION("""COMPUTED_VALUE"""),"")</f>
        <v/>
      </c>
      <c r="C45" t="str">
        <f>IFERROR(__xludf.DUMMYFUNCTION("""COMPUTED_VALUE"""),"")</f>
        <v/>
      </c>
      <c r="D45" s="62" t="str">
        <f>IFERROR(__xludf.DUMMYFUNCTION("""COMPUTED_VALUE"""),"")</f>
        <v/>
      </c>
      <c r="E45" s="62" t="str">
        <f>IFERROR(__xludf.DUMMYFUNCTION("""COMPUTED_VALUE"""),"No")</f>
        <v>No</v>
      </c>
      <c r="F45" s="62" t="str">
        <f>IFERROR(__xludf.DUMMYFUNCTION("""COMPUTED_VALUE"""),"Somatic Cancer")</f>
        <v>Somatic Cancer</v>
      </c>
      <c r="G45" t="str">
        <f>IFERROR(__xludf.DUMMYFUNCTION("""COMPUTED_VALUE"""),"")</f>
        <v/>
      </c>
      <c r="H45" t="str">
        <f>IFERROR(__xludf.DUMMYFUNCTION("""COMPUTED_VALUE"""),"cynthia chow")</f>
        <v>cynthia chow</v>
      </c>
      <c r="I45" t="str">
        <f>IFERROR(__xludf.DUMMYFUNCTION("""COMPUTED_VALUE"""),"cchow3@bccancer.bc.ca")</f>
        <v>cchow3@bccancer.bc.ca</v>
      </c>
      <c r="J45" s="62" t="str">
        <f>IFERROR(__xludf.DUMMYFUNCTION("""COMPUTED_VALUE"""),"Comprehensive")</f>
        <v>Comprehensive</v>
      </c>
      <c r="K45" t="str">
        <f>IFERROR(__xludf.DUMMYFUNCTION("""COMPUTED_VALUE"""),"")</f>
        <v/>
      </c>
    </row>
    <row r="46">
      <c r="A46" t="str">
        <f>IFERROR(__xludf.DUMMYFUNCTION("""COMPUTED_VALUE"""),"Unassigned")</f>
        <v>Unassigned</v>
      </c>
      <c r="B46" t="str">
        <f>IFERROR(__xludf.DUMMYFUNCTION("""COMPUTED_VALUE"""),"")</f>
        <v/>
      </c>
      <c r="C46" t="str">
        <f>IFERROR(__xludf.DUMMYFUNCTION("""COMPUTED_VALUE"""),"")</f>
        <v/>
      </c>
      <c r="D46" s="62" t="str">
        <f>IFERROR(__xludf.DUMMYFUNCTION("""COMPUTED_VALUE"""),"")</f>
        <v/>
      </c>
      <c r="E46" s="62" t="str">
        <f>IFERROR(__xludf.DUMMYFUNCTION("""COMPUTED_VALUE"""),"No")</f>
        <v>No</v>
      </c>
      <c r="F46" s="62" t="str">
        <f>IFERROR(__xludf.DUMMYFUNCTION("""COMPUTED_VALUE"""),"NA")</f>
        <v>NA</v>
      </c>
      <c r="G46" t="str">
        <f>IFERROR(__xludf.DUMMYFUNCTION("""COMPUTED_VALUE"""),"")</f>
        <v/>
      </c>
      <c r="H46" t="str">
        <f>IFERROR(__xludf.DUMMYFUNCTION("""COMPUTED_VALUE"""),"Nan Jiang")</f>
        <v>Nan Jiang</v>
      </c>
      <c r="I46" t="str">
        <f>IFERROR(__xludf.DUMMYFUNCTION("""COMPUTED_VALUE"""),"nj2421@cumc.columbia.edu")</f>
        <v>nj2421@cumc.columbia.edu</v>
      </c>
      <c r="J46" s="62" t="str">
        <f>IFERROR(__xludf.DUMMYFUNCTION("""COMPUTED_VALUE"""),"Comprehensive")</f>
        <v>Comprehensive</v>
      </c>
      <c r="K46" t="str">
        <f>IFERROR(__xludf.DUMMYFUNCTION("""COMPUTED_VALUE"""),"Hereditary Cancer, Brain Malformations , Somatic Cancer Pediatric")</f>
        <v>Hereditary Cancer, Brain Malformations , Somatic Cancer Pediatric</v>
      </c>
    </row>
    <row r="47">
      <c r="A47" t="str">
        <f>IFERROR(__xludf.DUMMYFUNCTION("""COMPUTED_VALUE"""),"Unassigned")</f>
        <v>Unassigned</v>
      </c>
      <c r="B47" t="str">
        <f>IFERROR(__xludf.DUMMYFUNCTION("""COMPUTED_VALUE"""),"")</f>
        <v/>
      </c>
      <c r="C47" t="str">
        <f>IFERROR(__xludf.DUMMYFUNCTION("""COMPUTED_VALUE"""),"")</f>
        <v/>
      </c>
      <c r="D47" s="62" t="str">
        <f>IFERROR(__xludf.DUMMYFUNCTION("""COMPUTED_VALUE"""),"")</f>
        <v/>
      </c>
      <c r="E47" s="62" t="str">
        <f>IFERROR(__xludf.DUMMYFUNCTION("""COMPUTED_VALUE"""),"No")</f>
        <v>No</v>
      </c>
      <c r="F47" s="62" t="str">
        <f>IFERROR(__xludf.DUMMYFUNCTION("""COMPUTED_VALUE"""),"NA")</f>
        <v>NA</v>
      </c>
      <c r="G47" t="str">
        <f>IFERROR(__xludf.DUMMYFUNCTION("""COMPUTED_VALUE"""),"")</f>
        <v/>
      </c>
      <c r="H47" t="str">
        <f>IFERROR(__xludf.DUMMYFUNCTION("""COMPUTED_VALUE"""),"Stephen Wicks ")</f>
        <v>Stephen Wicks </v>
      </c>
      <c r="I47" t="str">
        <f>IFERROR(__xludf.DUMMYFUNCTION("""COMPUTED_VALUE"""),"stephenwicks1@gmail.com")</f>
        <v>stephenwicks1@gmail.com</v>
      </c>
      <c r="J47" s="62" t="str">
        <f>IFERROR(__xludf.DUMMYFUNCTION("""COMPUTED_VALUE"""),"Comprehensive")</f>
        <v>Comprehensive</v>
      </c>
      <c r="K47" t="str">
        <f>IFERROR(__xludf.DUMMYFUNCTION("""COMPUTED_VALUE"""),"Somatic Cancer WG / Hereditary Cancer Panel")</f>
        <v>Somatic Cancer WG / Hereditary Cancer Panel</v>
      </c>
    </row>
    <row r="48">
      <c r="D48" s="62"/>
      <c r="E48" s="62"/>
      <c r="F48" s="62"/>
      <c r="J48" s="62"/>
    </row>
    <row r="49">
      <c r="D49" s="62"/>
      <c r="E49" s="62"/>
      <c r="F49" s="62"/>
      <c r="J49" s="62"/>
    </row>
    <row r="50">
      <c r="D50" s="62"/>
      <c r="E50" s="62"/>
      <c r="F50" s="62"/>
      <c r="J50" s="62"/>
    </row>
    <row r="51">
      <c r="D51" s="62"/>
      <c r="E51" s="62"/>
      <c r="F51" s="62"/>
      <c r="J51" s="62"/>
    </row>
    <row r="52">
      <c r="D52" s="62"/>
      <c r="E52" s="62"/>
      <c r="F52" s="62"/>
      <c r="J52" s="62"/>
    </row>
    <row r="53">
      <c r="D53" s="62"/>
      <c r="E53" s="62"/>
      <c r="F53" s="62"/>
      <c r="J53" s="62"/>
    </row>
    <row r="54">
      <c r="D54" s="62"/>
      <c r="E54" s="62"/>
      <c r="F54" s="62"/>
      <c r="J54" s="62"/>
    </row>
    <row r="55">
      <c r="D55" s="62"/>
      <c r="E55" s="62"/>
      <c r="F55" s="62"/>
      <c r="J55" s="62"/>
    </row>
    <row r="56">
      <c r="D56" s="62"/>
      <c r="E56" s="62"/>
      <c r="F56" s="62"/>
      <c r="J56" s="62"/>
    </row>
    <row r="57">
      <c r="D57" s="62"/>
      <c r="E57" s="62"/>
      <c r="F57" s="62"/>
      <c r="J57" s="62"/>
    </row>
    <row r="58">
      <c r="D58" s="62"/>
      <c r="E58" s="62"/>
      <c r="F58" s="62"/>
      <c r="J58" s="62"/>
    </row>
    <row r="59">
      <c r="D59" s="62"/>
      <c r="E59" s="62"/>
      <c r="F59" s="62"/>
      <c r="J59" s="62"/>
    </row>
    <row r="60">
      <c r="D60" s="62"/>
      <c r="E60" s="62"/>
      <c r="F60" s="62"/>
      <c r="J60" s="62"/>
    </row>
    <row r="61">
      <c r="D61" s="62"/>
      <c r="E61" s="62"/>
      <c r="F61" s="62"/>
      <c r="J61" s="62"/>
    </row>
    <row r="62">
      <c r="D62" s="62"/>
      <c r="E62" s="62"/>
      <c r="F62" s="62"/>
      <c r="J62" s="62"/>
    </row>
    <row r="63">
      <c r="D63" s="62"/>
      <c r="E63" s="62"/>
      <c r="F63" s="62"/>
      <c r="J63" s="62"/>
    </row>
    <row r="64">
      <c r="D64" s="62"/>
      <c r="E64" s="62"/>
      <c r="F64" s="62"/>
      <c r="J64" s="62"/>
    </row>
    <row r="65">
      <c r="D65" s="62"/>
      <c r="E65" s="62"/>
      <c r="F65" s="62"/>
      <c r="J65" s="62"/>
    </row>
    <row r="66">
      <c r="D66" s="62"/>
      <c r="E66" s="62"/>
      <c r="F66" s="62"/>
      <c r="J66" s="62"/>
    </row>
    <row r="67">
      <c r="D67" s="62"/>
      <c r="E67" s="62"/>
      <c r="F67" s="62"/>
      <c r="J67" s="62"/>
    </row>
    <row r="68">
      <c r="D68" s="62"/>
      <c r="E68" s="62"/>
      <c r="F68" s="62"/>
      <c r="J68" s="62"/>
    </row>
    <row r="69">
      <c r="D69" s="62"/>
      <c r="E69" s="62"/>
      <c r="F69" s="62"/>
      <c r="J69" s="62"/>
    </row>
    <row r="70">
      <c r="D70" s="62"/>
      <c r="E70" s="62"/>
      <c r="F70" s="62"/>
      <c r="J70" s="62"/>
    </row>
    <row r="71">
      <c r="D71" s="62"/>
      <c r="E71" s="62"/>
      <c r="F71" s="62"/>
      <c r="J71" s="62"/>
    </row>
    <row r="72">
      <c r="D72" s="62"/>
      <c r="E72" s="62"/>
      <c r="F72" s="62"/>
      <c r="J72" s="62"/>
    </row>
    <row r="73">
      <c r="D73" s="62"/>
      <c r="E73" s="62"/>
      <c r="F73" s="62"/>
      <c r="J73" s="62"/>
    </row>
    <row r="74">
      <c r="D74" s="62"/>
      <c r="E74" s="62"/>
      <c r="F74" s="62"/>
      <c r="J74" s="62"/>
    </row>
    <row r="75">
      <c r="D75" s="62"/>
      <c r="E75" s="62"/>
      <c r="F75" s="62"/>
      <c r="J75" s="62"/>
    </row>
    <row r="76">
      <c r="D76" s="62"/>
      <c r="E76" s="62"/>
      <c r="F76" s="62"/>
      <c r="J76" s="62"/>
    </row>
    <row r="77">
      <c r="D77" s="62"/>
      <c r="E77" s="62"/>
      <c r="F77" s="62"/>
      <c r="J77" s="62"/>
    </row>
    <row r="78">
      <c r="D78" s="62"/>
      <c r="E78" s="62"/>
      <c r="F78" s="62"/>
      <c r="J78" s="62"/>
    </row>
    <row r="79">
      <c r="D79" s="62"/>
      <c r="E79" s="62"/>
      <c r="F79" s="62"/>
      <c r="J79" s="62"/>
    </row>
    <row r="80">
      <c r="D80" s="62"/>
      <c r="E80" s="62"/>
      <c r="F80" s="62"/>
      <c r="J80" s="62"/>
    </row>
    <row r="81">
      <c r="D81" s="62"/>
      <c r="E81" s="62"/>
      <c r="F81" s="62"/>
      <c r="J81" s="62"/>
    </row>
    <row r="82">
      <c r="D82" s="62"/>
      <c r="E82" s="62"/>
      <c r="F82" s="62"/>
      <c r="J82" s="62"/>
    </row>
    <row r="83">
      <c r="D83" s="62"/>
      <c r="E83" s="62"/>
      <c r="F83" s="62"/>
      <c r="J83" s="62"/>
    </row>
    <row r="84">
      <c r="D84" s="62"/>
      <c r="E84" s="62"/>
      <c r="F84" s="62"/>
      <c r="J84" s="62"/>
    </row>
    <row r="85">
      <c r="D85" s="62"/>
      <c r="E85" s="62"/>
      <c r="F85" s="62"/>
      <c r="J85" s="62"/>
    </row>
    <row r="86">
      <c r="D86" s="62"/>
      <c r="E86" s="62"/>
      <c r="F86" s="62"/>
      <c r="J86" s="62"/>
    </row>
    <row r="87">
      <c r="D87" s="62"/>
      <c r="E87" s="62"/>
      <c r="F87" s="62"/>
      <c r="J87" s="62"/>
    </row>
    <row r="88">
      <c r="D88" s="62"/>
      <c r="E88" s="62"/>
      <c r="F88" s="62"/>
      <c r="J88" s="62"/>
    </row>
    <row r="89">
      <c r="D89" s="62"/>
      <c r="E89" s="62"/>
      <c r="F89" s="62"/>
      <c r="J89" s="62"/>
    </row>
    <row r="90">
      <c r="D90" s="62"/>
      <c r="E90" s="62"/>
      <c r="F90" s="62"/>
      <c r="J90" s="62"/>
    </row>
    <row r="91">
      <c r="D91" s="62"/>
      <c r="E91" s="62"/>
      <c r="F91" s="62"/>
      <c r="J91" s="62"/>
    </row>
    <row r="92">
      <c r="D92" s="62"/>
      <c r="E92" s="62"/>
      <c r="F92" s="62"/>
      <c r="J92" s="62"/>
    </row>
    <row r="93">
      <c r="D93" s="62"/>
      <c r="E93" s="62"/>
      <c r="F93" s="62"/>
      <c r="J93" s="62"/>
    </row>
    <row r="94">
      <c r="D94" s="62"/>
      <c r="E94" s="62"/>
      <c r="F94" s="62"/>
      <c r="J94" s="62"/>
    </row>
    <row r="95">
      <c r="D95" s="62"/>
      <c r="E95" s="62"/>
      <c r="F95" s="62"/>
      <c r="J95" s="62"/>
    </row>
    <row r="96">
      <c r="D96" s="62"/>
      <c r="E96" s="62"/>
      <c r="F96" s="62"/>
      <c r="J96" s="62"/>
    </row>
    <row r="97">
      <c r="D97" s="62"/>
      <c r="E97" s="62"/>
      <c r="F97" s="62"/>
      <c r="J97" s="62"/>
    </row>
    <row r="98">
      <c r="D98" s="62"/>
      <c r="E98" s="62"/>
      <c r="F98" s="62"/>
      <c r="J98" s="62"/>
    </row>
    <row r="99">
      <c r="D99" s="62"/>
      <c r="E99" s="62"/>
      <c r="F99" s="62"/>
      <c r="J99" s="62"/>
    </row>
    <row r="100">
      <c r="D100" s="62"/>
      <c r="E100" s="62"/>
      <c r="F100" s="62"/>
      <c r="J100" s="62"/>
    </row>
    <row r="101">
      <c r="D101" s="62"/>
      <c r="E101" s="62"/>
      <c r="F101" s="62"/>
      <c r="J101" s="62"/>
    </row>
    <row r="102">
      <c r="D102" s="62"/>
      <c r="E102" s="62"/>
      <c r="F102" s="62"/>
      <c r="J102" s="62"/>
    </row>
    <row r="103">
      <c r="D103" s="62"/>
      <c r="E103" s="62"/>
      <c r="F103" s="62"/>
      <c r="J103" s="62"/>
    </row>
    <row r="104">
      <c r="D104" s="62"/>
      <c r="E104" s="62"/>
      <c r="F104" s="62"/>
      <c r="J104" s="62"/>
    </row>
    <row r="105">
      <c r="D105" s="62"/>
      <c r="E105" s="62"/>
      <c r="F105" s="62"/>
      <c r="J105" s="62"/>
    </row>
    <row r="106">
      <c r="D106" s="62"/>
      <c r="E106" s="62"/>
      <c r="F106" s="62"/>
      <c r="J106" s="62"/>
    </row>
    <row r="107">
      <c r="D107" s="62"/>
      <c r="E107" s="62"/>
      <c r="F107" s="62"/>
      <c r="J107" s="62"/>
    </row>
    <row r="108">
      <c r="D108" s="62"/>
      <c r="E108" s="62"/>
      <c r="F108" s="62"/>
      <c r="J108" s="62"/>
    </row>
    <row r="109">
      <c r="D109" s="62"/>
      <c r="E109" s="62"/>
      <c r="F109" s="62"/>
      <c r="J109" s="62"/>
    </row>
    <row r="110">
      <c r="D110" s="62"/>
      <c r="E110" s="62"/>
      <c r="F110" s="62"/>
      <c r="J110" s="62"/>
    </row>
    <row r="111">
      <c r="D111" s="62"/>
      <c r="E111" s="62"/>
      <c r="F111" s="62"/>
      <c r="J111" s="62"/>
    </row>
    <row r="112">
      <c r="D112" s="62"/>
      <c r="E112" s="62"/>
      <c r="F112" s="62"/>
      <c r="J112" s="62"/>
    </row>
    <row r="113">
      <c r="D113" s="62"/>
      <c r="E113" s="62"/>
      <c r="F113" s="62"/>
      <c r="J113" s="62"/>
    </row>
    <row r="114">
      <c r="D114" s="62"/>
      <c r="E114" s="62"/>
      <c r="F114" s="62"/>
      <c r="J114" s="62"/>
    </row>
    <row r="115">
      <c r="D115" s="62"/>
      <c r="E115" s="62"/>
      <c r="F115" s="62"/>
      <c r="J115" s="62"/>
    </row>
    <row r="116">
      <c r="D116" s="62"/>
      <c r="E116" s="62"/>
      <c r="F116" s="62"/>
      <c r="J116" s="62"/>
    </row>
    <row r="117">
      <c r="D117" s="62"/>
      <c r="E117" s="62"/>
      <c r="F117" s="62"/>
      <c r="J117" s="62"/>
    </row>
    <row r="118">
      <c r="D118" s="62"/>
      <c r="E118" s="62"/>
      <c r="F118" s="62"/>
      <c r="J118" s="62"/>
    </row>
    <row r="119">
      <c r="D119" s="62"/>
      <c r="E119" s="62"/>
      <c r="F119" s="62"/>
      <c r="J119" s="62"/>
    </row>
    <row r="120">
      <c r="D120" s="62"/>
      <c r="E120" s="62"/>
      <c r="F120" s="62"/>
      <c r="J120" s="62"/>
    </row>
    <row r="121">
      <c r="D121" s="62"/>
      <c r="E121" s="62"/>
      <c r="F121" s="62"/>
      <c r="J121" s="62"/>
    </row>
    <row r="122">
      <c r="D122" s="62"/>
      <c r="E122" s="62"/>
      <c r="F122" s="62"/>
      <c r="J122" s="62"/>
    </row>
    <row r="123">
      <c r="D123" s="62"/>
      <c r="E123" s="62"/>
      <c r="F123" s="62"/>
      <c r="J123" s="62"/>
    </row>
    <row r="124">
      <c r="D124" s="62"/>
      <c r="E124" s="62"/>
      <c r="F124" s="62"/>
      <c r="J124" s="62"/>
    </row>
    <row r="125">
      <c r="D125" s="62"/>
      <c r="E125" s="62"/>
      <c r="F125" s="62"/>
      <c r="J125" s="62"/>
    </row>
    <row r="126">
      <c r="D126" s="62"/>
      <c r="E126" s="62"/>
      <c r="F126" s="62"/>
      <c r="J126" s="62"/>
    </row>
    <row r="127">
      <c r="D127" s="62"/>
      <c r="E127" s="62"/>
      <c r="F127" s="62"/>
      <c r="J127" s="62"/>
    </row>
    <row r="128">
      <c r="D128" s="62"/>
      <c r="E128" s="62"/>
      <c r="F128" s="62"/>
      <c r="J128" s="62"/>
    </row>
    <row r="129">
      <c r="D129" s="62"/>
      <c r="E129" s="62"/>
      <c r="F129" s="62"/>
      <c r="J129" s="62"/>
    </row>
    <row r="130">
      <c r="D130" s="62"/>
      <c r="E130" s="62"/>
      <c r="F130" s="62"/>
      <c r="J130" s="62"/>
    </row>
    <row r="131">
      <c r="D131" s="62"/>
      <c r="E131" s="62"/>
      <c r="F131" s="62"/>
      <c r="J131" s="62"/>
    </row>
    <row r="132">
      <c r="D132" s="62"/>
      <c r="E132" s="62"/>
      <c r="F132" s="62"/>
      <c r="J132" s="62"/>
    </row>
    <row r="133">
      <c r="D133" s="62"/>
      <c r="E133" s="62"/>
      <c r="F133" s="62"/>
      <c r="J133" s="62"/>
    </row>
    <row r="134">
      <c r="D134" s="62"/>
      <c r="E134" s="62"/>
      <c r="F134" s="62"/>
      <c r="J134" s="62"/>
    </row>
    <row r="135">
      <c r="D135" s="62"/>
      <c r="E135" s="62"/>
      <c r="F135" s="62"/>
      <c r="J135" s="62"/>
    </row>
    <row r="136">
      <c r="D136" s="62"/>
      <c r="E136" s="62"/>
      <c r="F136" s="62"/>
      <c r="J136" s="62"/>
    </row>
    <row r="137">
      <c r="D137" s="62"/>
      <c r="E137" s="62"/>
      <c r="F137" s="62"/>
      <c r="J137" s="62"/>
    </row>
    <row r="138">
      <c r="D138" s="62"/>
      <c r="E138" s="62"/>
      <c r="F138" s="62"/>
      <c r="J138" s="62"/>
    </row>
    <row r="139">
      <c r="D139" s="62"/>
      <c r="E139" s="62"/>
      <c r="F139" s="62"/>
      <c r="J139" s="62"/>
    </row>
    <row r="140">
      <c r="D140" s="62"/>
      <c r="E140" s="62"/>
      <c r="F140" s="62"/>
      <c r="J140" s="62"/>
    </row>
    <row r="141">
      <c r="D141" s="62"/>
      <c r="E141" s="62"/>
      <c r="F141" s="62"/>
      <c r="J141" s="62"/>
    </row>
    <row r="142">
      <c r="D142" s="62"/>
      <c r="E142" s="62"/>
      <c r="F142" s="62"/>
      <c r="J142" s="62"/>
    </row>
    <row r="143">
      <c r="D143" s="62"/>
      <c r="E143" s="62"/>
      <c r="F143" s="62"/>
      <c r="J143" s="62"/>
    </row>
    <row r="144">
      <c r="D144" s="62"/>
      <c r="E144" s="62"/>
      <c r="F144" s="62"/>
      <c r="J144" s="62"/>
    </row>
    <row r="145">
      <c r="D145" s="62"/>
      <c r="E145" s="62"/>
      <c r="F145" s="62"/>
      <c r="J145" s="62"/>
    </row>
    <row r="146">
      <c r="D146" s="62"/>
      <c r="E146" s="62"/>
      <c r="F146" s="62"/>
      <c r="J146" s="62"/>
    </row>
    <row r="147">
      <c r="D147" s="62"/>
      <c r="E147" s="62"/>
      <c r="F147" s="62"/>
      <c r="J147" s="62"/>
    </row>
    <row r="148">
      <c r="D148" s="62"/>
      <c r="E148" s="62"/>
      <c r="F148" s="62"/>
      <c r="J148" s="62"/>
    </row>
    <row r="149">
      <c r="D149" s="62"/>
      <c r="E149" s="62"/>
      <c r="F149" s="62"/>
      <c r="J149" s="62"/>
    </row>
    <row r="150">
      <c r="D150" s="62"/>
      <c r="E150" s="62"/>
      <c r="F150" s="62"/>
      <c r="J150" s="62"/>
    </row>
    <row r="151">
      <c r="D151" s="62"/>
      <c r="E151" s="62"/>
      <c r="F151" s="62"/>
      <c r="J151" s="62"/>
    </row>
    <row r="152">
      <c r="D152" s="62"/>
      <c r="E152" s="62"/>
      <c r="F152" s="62"/>
      <c r="J152" s="62"/>
    </row>
    <row r="153">
      <c r="D153" s="62"/>
      <c r="E153" s="62"/>
      <c r="F153" s="62"/>
      <c r="J153" s="62"/>
    </row>
    <row r="154">
      <c r="D154" s="62"/>
      <c r="E154" s="62"/>
      <c r="F154" s="62"/>
      <c r="J154" s="62"/>
    </row>
    <row r="155">
      <c r="D155" s="62"/>
      <c r="E155" s="62"/>
      <c r="F155" s="62"/>
      <c r="J155" s="62"/>
    </row>
    <row r="156">
      <c r="D156" s="62"/>
      <c r="E156" s="62"/>
      <c r="F156" s="62"/>
      <c r="J156" s="62"/>
    </row>
    <row r="157">
      <c r="D157" s="62"/>
      <c r="E157" s="62"/>
      <c r="F157" s="62"/>
      <c r="J157" s="62"/>
    </row>
    <row r="158">
      <c r="D158" s="62"/>
      <c r="E158" s="62"/>
      <c r="F158" s="62"/>
      <c r="J158" s="62"/>
    </row>
    <row r="159">
      <c r="D159" s="62"/>
      <c r="E159" s="62"/>
      <c r="F159" s="62"/>
      <c r="J159" s="62"/>
    </row>
    <row r="160">
      <c r="D160" s="62"/>
      <c r="E160" s="62"/>
      <c r="F160" s="62"/>
      <c r="J160" s="62"/>
    </row>
    <row r="161">
      <c r="D161" s="62"/>
      <c r="E161" s="62"/>
      <c r="F161" s="62"/>
      <c r="J161" s="62"/>
    </row>
    <row r="162">
      <c r="D162" s="62"/>
      <c r="E162" s="62"/>
      <c r="F162" s="62"/>
      <c r="J162" s="62"/>
    </row>
    <row r="163">
      <c r="D163" s="62"/>
      <c r="E163" s="62"/>
      <c r="F163" s="62"/>
      <c r="J163" s="62"/>
    </row>
    <row r="164">
      <c r="D164" s="62"/>
      <c r="E164" s="62"/>
      <c r="F164" s="62"/>
      <c r="J164" s="62"/>
    </row>
    <row r="165">
      <c r="D165" s="62"/>
      <c r="E165" s="62"/>
      <c r="F165" s="62"/>
      <c r="J165" s="62"/>
    </row>
    <row r="166">
      <c r="D166" s="62"/>
      <c r="E166" s="62"/>
      <c r="F166" s="62"/>
      <c r="J166" s="62"/>
    </row>
    <row r="167">
      <c r="D167" s="62"/>
      <c r="E167" s="62"/>
      <c r="F167" s="62"/>
      <c r="J167" s="62"/>
    </row>
    <row r="168">
      <c r="D168" s="62"/>
      <c r="E168" s="62"/>
      <c r="F168" s="62"/>
      <c r="J168" s="62"/>
    </row>
    <row r="169">
      <c r="D169" s="62"/>
      <c r="E169" s="62"/>
      <c r="F169" s="62"/>
      <c r="J169" s="62"/>
    </row>
    <row r="170">
      <c r="D170" s="62"/>
      <c r="E170" s="62"/>
      <c r="F170" s="62"/>
      <c r="J170" s="62"/>
    </row>
    <row r="171">
      <c r="D171" s="62"/>
      <c r="E171" s="62"/>
      <c r="F171" s="62"/>
      <c r="J171" s="62"/>
    </row>
    <row r="172">
      <c r="D172" s="62"/>
      <c r="E172" s="62"/>
      <c r="F172" s="62"/>
      <c r="J172" s="62"/>
    </row>
    <row r="173">
      <c r="D173" s="62"/>
      <c r="E173" s="62"/>
      <c r="F173" s="62"/>
      <c r="J173" s="62"/>
    </row>
    <row r="174">
      <c r="D174" s="62"/>
      <c r="E174" s="62"/>
      <c r="F174" s="62"/>
      <c r="J174" s="62"/>
    </row>
    <row r="175">
      <c r="D175" s="62"/>
      <c r="E175" s="62"/>
      <c r="F175" s="62"/>
      <c r="J175" s="62"/>
    </row>
    <row r="176">
      <c r="D176" s="62"/>
      <c r="E176" s="62"/>
      <c r="F176" s="62"/>
      <c r="J176" s="62"/>
    </row>
    <row r="177">
      <c r="D177" s="62"/>
      <c r="E177" s="62"/>
      <c r="F177" s="62"/>
      <c r="J177" s="62"/>
    </row>
    <row r="178">
      <c r="D178" s="62"/>
      <c r="E178" s="62"/>
      <c r="F178" s="62"/>
      <c r="J178" s="62"/>
    </row>
    <row r="179">
      <c r="D179" s="62"/>
      <c r="E179" s="62"/>
      <c r="F179" s="62"/>
      <c r="J179" s="62"/>
    </row>
    <row r="180">
      <c r="D180" s="62"/>
      <c r="E180" s="62"/>
      <c r="F180" s="62"/>
      <c r="J180" s="62"/>
    </row>
    <row r="181">
      <c r="D181" s="62"/>
      <c r="E181" s="62"/>
      <c r="F181" s="62"/>
      <c r="J181" s="62"/>
    </row>
    <row r="182">
      <c r="D182" s="62"/>
      <c r="E182" s="62"/>
      <c r="F182" s="62"/>
      <c r="J182" s="62"/>
    </row>
    <row r="183">
      <c r="D183" s="62"/>
      <c r="E183" s="62"/>
      <c r="F183" s="62"/>
      <c r="J183" s="62"/>
    </row>
    <row r="184">
      <c r="D184" s="62"/>
      <c r="E184" s="62"/>
      <c r="F184" s="62"/>
      <c r="J184" s="62"/>
    </row>
    <row r="185">
      <c r="D185" s="62"/>
      <c r="E185" s="62"/>
      <c r="F185" s="62"/>
      <c r="J185" s="62"/>
    </row>
    <row r="186">
      <c r="D186" s="62"/>
      <c r="E186" s="62"/>
      <c r="F186" s="62"/>
      <c r="J186" s="62"/>
    </row>
    <row r="187">
      <c r="D187" s="62"/>
      <c r="E187" s="62"/>
      <c r="F187" s="62"/>
      <c r="J187" s="62"/>
    </row>
    <row r="188">
      <c r="D188" s="62"/>
      <c r="E188" s="62"/>
      <c r="F188" s="62"/>
      <c r="J188" s="62"/>
    </row>
    <row r="189">
      <c r="D189" s="62"/>
      <c r="E189" s="62"/>
      <c r="F189" s="62"/>
      <c r="J189" s="62"/>
    </row>
    <row r="190">
      <c r="D190" s="62"/>
      <c r="E190" s="62"/>
      <c r="F190" s="62"/>
      <c r="J190" s="62"/>
    </row>
    <row r="191">
      <c r="D191" s="62"/>
      <c r="E191" s="62"/>
      <c r="F191" s="62"/>
      <c r="J191" s="62"/>
    </row>
    <row r="192">
      <c r="D192" s="62"/>
      <c r="E192" s="62"/>
      <c r="F192" s="62"/>
      <c r="J192" s="62"/>
    </row>
    <row r="193">
      <c r="D193" s="62"/>
      <c r="E193" s="62"/>
      <c r="F193" s="62"/>
      <c r="J193" s="62"/>
    </row>
    <row r="194">
      <c r="D194" s="62"/>
      <c r="E194" s="62"/>
      <c r="F194" s="62"/>
      <c r="J194" s="62"/>
    </row>
    <row r="195">
      <c r="D195" s="62"/>
      <c r="E195" s="62"/>
      <c r="F195" s="62"/>
      <c r="J195" s="62"/>
    </row>
    <row r="196">
      <c r="D196" s="62"/>
      <c r="E196" s="62"/>
      <c r="F196" s="62"/>
      <c r="J196" s="62"/>
    </row>
    <row r="197">
      <c r="D197" s="62"/>
      <c r="E197" s="62"/>
      <c r="F197" s="62"/>
      <c r="J197" s="62"/>
    </row>
    <row r="198">
      <c r="D198" s="62"/>
      <c r="E198" s="62"/>
      <c r="F198" s="62"/>
      <c r="J198" s="62"/>
    </row>
    <row r="199">
      <c r="D199" s="62"/>
      <c r="E199" s="62"/>
      <c r="F199" s="62"/>
      <c r="J199" s="62"/>
    </row>
    <row r="200">
      <c r="D200" s="62"/>
      <c r="E200" s="62"/>
      <c r="F200" s="62"/>
      <c r="J200" s="62"/>
    </row>
    <row r="201">
      <c r="D201" s="62"/>
      <c r="E201" s="62"/>
      <c r="F201" s="62"/>
      <c r="J201" s="62"/>
    </row>
    <row r="202">
      <c r="D202" s="62"/>
      <c r="E202" s="62"/>
      <c r="F202" s="62"/>
      <c r="J202" s="62"/>
    </row>
    <row r="203">
      <c r="D203" s="62"/>
      <c r="E203" s="62"/>
      <c r="F203" s="62"/>
      <c r="J203" s="62"/>
    </row>
    <row r="204">
      <c r="D204" s="62"/>
      <c r="E204" s="62"/>
      <c r="F204" s="62"/>
      <c r="J204" s="62"/>
    </row>
    <row r="205">
      <c r="D205" s="62"/>
      <c r="E205" s="62"/>
      <c r="F205" s="62"/>
      <c r="J205" s="62"/>
    </row>
    <row r="206">
      <c r="D206" s="62"/>
      <c r="E206" s="62"/>
      <c r="F206" s="62"/>
      <c r="J206" s="62"/>
    </row>
    <row r="207">
      <c r="D207" s="62"/>
      <c r="E207" s="62"/>
      <c r="F207" s="62"/>
      <c r="J207" s="62"/>
    </row>
    <row r="208">
      <c r="D208" s="62"/>
      <c r="E208" s="62"/>
      <c r="F208" s="62"/>
      <c r="J208" s="62"/>
    </row>
    <row r="209">
      <c r="D209" s="62"/>
      <c r="E209" s="62"/>
      <c r="F209" s="62"/>
      <c r="J209" s="62"/>
    </row>
    <row r="210">
      <c r="D210" s="62"/>
      <c r="E210" s="62"/>
      <c r="F210" s="62"/>
      <c r="J210" s="62"/>
    </row>
    <row r="211">
      <c r="D211" s="62"/>
      <c r="E211" s="62"/>
      <c r="F211" s="62"/>
      <c r="J211" s="62"/>
    </row>
    <row r="212">
      <c r="D212" s="62"/>
      <c r="E212" s="62"/>
      <c r="F212" s="62"/>
      <c r="J212" s="62"/>
    </row>
    <row r="213">
      <c r="D213" s="62"/>
      <c r="E213" s="62"/>
      <c r="F213" s="62"/>
      <c r="J213" s="62"/>
    </row>
    <row r="214">
      <c r="D214" s="62"/>
      <c r="E214" s="62"/>
      <c r="F214" s="62"/>
      <c r="J214" s="62"/>
    </row>
    <row r="215">
      <c r="D215" s="62"/>
      <c r="E215" s="62"/>
      <c r="F215" s="62"/>
      <c r="J215" s="62"/>
    </row>
    <row r="216">
      <c r="D216" s="62"/>
      <c r="E216" s="62"/>
      <c r="F216" s="62"/>
      <c r="J216" s="62"/>
    </row>
    <row r="217">
      <c r="D217" s="62"/>
      <c r="E217" s="62"/>
      <c r="F217" s="62"/>
      <c r="J217" s="62"/>
    </row>
    <row r="218">
      <c r="D218" s="62"/>
      <c r="E218" s="62"/>
      <c r="F218" s="62"/>
      <c r="J218" s="62"/>
    </row>
    <row r="219">
      <c r="D219" s="62"/>
      <c r="E219" s="62"/>
      <c r="F219" s="62"/>
      <c r="J219" s="62"/>
    </row>
    <row r="220">
      <c r="D220" s="62"/>
      <c r="E220" s="62"/>
      <c r="F220" s="62"/>
      <c r="J220" s="62"/>
    </row>
    <row r="221">
      <c r="D221" s="62"/>
      <c r="E221" s="62"/>
      <c r="F221" s="62"/>
      <c r="J221" s="62"/>
    </row>
    <row r="222">
      <c r="D222" s="62"/>
      <c r="E222" s="62"/>
      <c r="F222" s="62"/>
      <c r="J222" s="62"/>
    </row>
    <row r="223">
      <c r="D223" s="62"/>
      <c r="E223" s="62"/>
      <c r="F223" s="62"/>
      <c r="J223" s="62"/>
    </row>
    <row r="224">
      <c r="D224" s="62"/>
      <c r="E224" s="62"/>
      <c r="F224" s="62"/>
      <c r="J224" s="62"/>
    </row>
    <row r="225">
      <c r="D225" s="62"/>
      <c r="E225" s="62"/>
      <c r="F225" s="62"/>
      <c r="J225" s="62"/>
    </row>
    <row r="226">
      <c r="D226" s="62"/>
      <c r="E226" s="62"/>
      <c r="F226" s="62"/>
      <c r="J226" s="62"/>
    </row>
    <row r="227">
      <c r="D227" s="62"/>
      <c r="E227" s="62"/>
      <c r="F227" s="62"/>
      <c r="J227" s="62"/>
    </row>
    <row r="228">
      <c r="D228" s="62"/>
      <c r="E228" s="62"/>
      <c r="F228" s="62"/>
      <c r="J228" s="62"/>
    </row>
    <row r="229">
      <c r="D229" s="62"/>
      <c r="E229" s="62"/>
      <c r="F229" s="62"/>
      <c r="J229" s="62"/>
    </row>
    <row r="230">
      <c r="D230" s="62"/>
      <c r="E230" s="62"/>
      <c r="F230" s="62"/>
      <c r="J230" s="62"/>
    </row>
    <row r="231">
      <c r="D231" s="62"/>
      <c r="E231" s="62"/>
      <c r="F231" s="62"/>
      <c r="J231" s="62"/>
    </row>
    <row r="232">
      <c r="D232" s="62"/>
      <c r="E232" s="62"/>
      <c r="F232" s="62"/>
      <c r="J232" s="62"/>
    </row>
    <row r="233">
      <c r="D233" s="62"/>
      <c r="E233" s="62"/>
      <c r="F233" s="62"/>
      <c r="J233" s="62"/>
    </row>
    <row r="234">
      <c r="D234" s="62"/>
      <c r="E234" s="62"/>
      <c r="F234" s="62"/>
      <c r="J234" s="62"/>
    </row>
    <row r="235">
      <c r="D235" s="62"/>
      <c r="E235" s="62"/>
      <c r="F235" s="62"/>
      <c r="J235" s="62"/>
    </row>
    <row r="236">
      <c r="D236" s="62"/>
      <c r="E236" s="62"/>
      <c r="F236" s="62"/>
      <c r="J236" s="62"/>
    </row>
    <row r="237">
      <c r="D237" s="62"/>
      <c r="E237" s="62"/>
      <c r="F237" s="62"/>
      <c r="J237" s="62"/>
    </row>
    <row r="238">
      <c r="D238" s="62"/>
      <c r="E238" s="62"/>
      <c r="F238" s="62"/>
      <c r="J238" s="62"/>
    </row>
    <row r="239">
      <c r="D239" s="62"/>
      <c r="E239" s="62"/>
      <c r="F239" s="62"/>
      <c r="J239" s="62"/>
    </row>
    <row r="240">
      <c r="D240" s="62"/>
      <c r="E240" s="62"/>
      <c r="F240" s="62"/>
      <c r="J240" s="62"/>
    </row>
    <row r="241">
      <c r="D241" s="62"/>
      <c r="E241" s="62"/>
      <c r="F241" s="62"/>
      <c r="J241" s="62"/>
    </row>
    <row r="242">
      <c r="D242" s="62"/>
      <c r="E242" s="62"/>
      <c r="F242" s="62"/>
      <c r="J242" s="62"/>
    </row>
    <row r="243">
      <c r="D243" s="62"/>
      <c r="E243" s="62"/>
      <c r="F243" s="62"/>
      <c r="J243" s="62"/>
    </row>
    <row r="244">
      <c r="D244" s="62"/>
      <c r="E244" s="62"/>
      <c r="F244" s="62"/>
      <c r="J244" s="62"/>
    </row>
    <row r="245">
      <c r="D245" s="62"/>
      <c r="E245" s="62"/>
      <c r="F245" s="62"/>
      <c r="J245" s="62"/>
    </row>
    <row r="246">
      <c r="D246" s="62"/>
      <c r="E246" s="62"/>
      <c r="F246" s="62"/>
      <c r="J246" s="62"/>
    </row>
    <row r="247">
      <c r="D247" s="62"/>
      <c r="E247" s="62"/>
      <c r="F247" s="62"/>
      <c r="J247" s="62"/>
    </row>
    <row r="248">
      <c r="D248" s="62"/>
      <c r="E248" s="62"/>
      <c r="F248" s="62"/>
      <c r="J248" s="62"/>
    </row>
    <row r="249">
      <c r="D249" s="62"/>
      <c r="E249" s="62"/>
      <c r="F249" s="62"/>
      <c r="J249" s="62"/>
    </row>
    <row r="250">
      <c r="D250" s="62"/>
      <c r="E250" s="62"/>
      <c r="F250" s="62"/>
      <c r="J250" s="62"/>
    </row>
    <row r="251">
      <c r="D251" s="62"/>
      <c r="E251" s="62"/>
      <c r="F251" s="62"/>
      <c r="J251" s="62"/>
    </row>
    <row r="252">
      <c r="D252" s="62"/>
      <c r="E252" s="62"/>
      <c r="F252" s="62"/>
      <c r="J252" s="62"/>
    </row>
    <row r="253">
      <c r="D253" s="62"/>
      <c r="E253" s="62"/>
      <c r="F253" s="62"/>
      <c r="J253" s="62"/>
    </row>
    <row r="254">
      <c r="D254" s="62"/>
      <c r="E254" s="62"/>
      <c r="F254" s="62"/>
      <c r="J254" s="62"/>
    </row>
    <row r="255">
      <c r="D255" s="62"/>
      <c r="E255" s="62"/>
      <c r="F255" s="62"/>
      <c r="J255" s="62"/>
    </row>
    <row r="256">
      <c r="D256" s="62"/>
      <c r="E256" s="62"/>
      <c r="F256" s="62"/>
      <c r="J256" s="62"/>
    </row>
    <row r="257">
      <c r="D257" s="62"/>
      <c r="E257" s="62"/>
      <c r="F257" s="62"/>
      <c r="J257" s="62"/>
    </row>
    <row r="258">
      <c r="D258" s="62"/>
      <c r="E258" s="62"/>
      <c r="F258" s="62"/>
      <c r="J258" s="62"/>
    </row>
    <row r="259">
      <c r="D259" s="62"/>
      <c r="E259" s="62"/>
      <c r="F259" s="62"/>
      <c r="J259" s="62"/>
    </row>
    <row r="260">
      <c r="D260" s="62"/>
      <c r="E260" s="62"/>
      <c r="F260" s="62"/>
      <c r="J260" s="62"/>
    </row>
    <row r="261">
      <c r="D261" s="62"/>
      <c r="E261" s="62"/>
      <c r="F261" s="62"/>
      <c r="J261" s="62"/>
    </row>
    <row r="262">
      <c r="D262" s="62"/>
      <c r="E262" s="62"/>
      <c r="F262" s="62"/>
      <c r="J262" s="62"/>
    </row>
    <row r="263">
      <c r="D263" s="62"/>
      <c r="E263" s="62"/>
      <c r="F263" s="62"/>
      <c r="J263" s="62"/>
    </row>
    <row r="264">
      <c r="D264" s="62"/>
      <c r="E264" s="62"/>
      <c r="F264" s="62"/>
      <c r="J264" s="62"/>
    </row>
    <row r="265">
      <c r="D265" s="62"/>
      <c r="E265" s="62"/>
      <c r="F265" s="62"/>
      <c r="J265" s="62"/>
    </row>
    <row r="266">
      <c r="D266" s="62"/>
      <c r="E266" s="62"/>
      <c r="F266" s="62"/>
      <c r="J266" s="62"/>
    </row>
    <row r="267">
      <c r="D267" s="62"/>
      <c r="E267" s="62"/>
      <c r="F267" s="62"/>
      <c r="J267" s="62"/>
    </row>
    <row r="268">
      <c r="D268" s="62"/>
      <c r="E268" s="62"/>
      <c r="F268" s="62"/>
      <c r="J268" s="62"/>
    </row>
    <row r="269">
      <c r="D269" s="62"/>
      <c r="E269" s="62"/>
      <c r="F269" s="62"/>
      <c r="J269" s="62"/>
    </row>
    <row r="270">
      <c r="D270" s="62"/>
      <c r="E270" s="62"/>
      <c r="F270" s="62"/>
      <c r="J270" s="62"/>
    </row>
    <row r="271">
      <c r="D271" s="62"/>
      <c r="E271" s="62"/>
      <c r="F271" s="62"/>
      <c r="J271" s="62"/>
    </row>
    <row r="272">
      <c r="D272" s="62"/>
      <c r="E272" s="62"/>
      <c r="F272" s="62"/>
      <c r="J272" s="62"/>
    </row>
    <row r="273">
      <c r="D273" s="62"/>
      <c r="E273" s="62"/>
      <c r="F273" s="62"/>
      <c r="J273" s="62"/>
    </row>
    <row r="274">
      <c r="D274" s="62"/>
      <c r="E274" s="62"/>
      <c r="F274" s="62"/>
      <c r="J274" s="62"/>
    </row>
    <row r="275">
      <c r="D275" s="62"/>
      <c r="E275" s="62"/>
      <c r="F275" s="62"/>
      <c r="J275" s="62"/>
    </row>
    <row r="276">
      <c r="D276" s="62"/>
      <c r="E276" s="62"/>
      <c r="F276" s="62"/>
      <c r="J276" s="62"/>
    </row>
    <row r="277">
      <c r="D277" s="62"/>
      <c r="E277" s="62"/>
      <c r="F277" s="62"/>
      <c r="J277" s="62"/>
    </row>
    <row r="278">
      <c r="D278" s="62"/>
      <c r="E278" s="62"/>
      <c r="F278" s="62"/>
      <c r="J278" s="62"/>
    </row>
    <row r="279">
      <c r="D279" s="62"/>
      <c r="E279" s="62"/>
      <c r="F279" s="62"/>
      <c r="J279" s="62"/>
    </row>
    <row r="280">
      <c r="D280" s="62"/>
      <c r="E280" s="62"/>
      <c r="F280" s="62"/>
      <c r="J280" s="62"/>
    </row>
    <row r="281">
      <c r="D281" s="62"/>
      <c r="E281" s="62"/>
      <c r="F281" s="62"/>
      <c r="J281" s="62"/>
    </row>
    <row r="282">
      <c r="D282" s="62"/>
      <c r="E282" s="62"/>
      <c r="F282" s="62"/>
      <c r="J282" s="62"/>
    </row>
    <row r="283">
      <c r="D283" s="62"/>
      <c r="E283" s="62"/>
      <c r="F283" s="62"/>
      <c r="J283" s="62"/>
    </row>
    <row r="284">
      <c r="D284" s="62"/>
      <c r="E284" s="62"/>
      <c r="F284" s="62"/>
      <c r="J284" s="62"/>
    </row>
    <row r="285">
      <c r="D285" s="62"/>
      <c r="E285" s="62"/>
      <c r="F285" s="62"/>
      <c r="J285" s="62"/>
    </row>
    <row r="286">
      <c r="D286" s="62"/>
      <c r="E286" s="62"/>
      <c r="F286" s="62"/>
      <c r="J286" s="62"/>
    </row>
    <row r="287">
      <c r="D287" s="62"/>
      <c r="E287" s="62"/>
      <c r="F287" s="62"/>
      <c r="J287" s="62"/>
    </row>
    <row r="288">
      <c r="D288" s="62"/>
      <c r="E288" s="62"/>
      <c r="F288" s="62"/>
      <c r="J288" s="62"/>
    </row>
    <row r="289">
      <c r="D289" s="62"/>
      <c r="E289" s="62"/>
      <c r="F289" s="62"/>
      <c r="J289" s="62"/>
    </row>
    <row r="290">
      <c r="D290" s="62"/>
      <c r="E290" s="62"/>
      <c r="F290" s="62"/>
      <c r="J290" s="62"/>
    </row>
    <row r="291">
      <c r="D291" s="62"/>
      <c r="E291" s="62"/>
      <c r="F291" s="62"/>
      <c r="J291" s="62"/>
    </row>
    <row r="292">
      <c r="D292" s="62"/>
      <c r="E292" s="62"/>
      <c r="F292" s="62"/>
      <c r="J292" s="62"/>
    </row>
    <row r="293">
      <c r="D293" s="62"/>
      <c r="E293" s="62"/>
      <c r="F293" s="62"/>
      <c r="J293" s="62"/>
    </row>
    <row r="294">
      <c r="D294" s="62"/>
      <c r="E294" s="62"/>
      <c r="F294" s="62"/>
      <c r="J294" s="62"/>
    </row>
    <row r="295">
      <c r="D295" s="62"/>
      <c r="E295" s="62"/>
      <c r="F295" s="62"/>
      <c r="J295" s="62"/>
    </row>
    <row r="296">
      <c r="D296" s="62"/>
      <c r="E296" s="62"/>
      <c r="F296" s="62"/>
      <c r="J296" s="62"/>
    </row>
    <row r="297">
      <c r="D297" s="62"/>
      <c r="E297" s="62"/>
      <c r="F297" s="62"/>
      <c r="J297" s="62"/>
    </row>
    <row r="298">
      <c r="D298" s="62"/>
      <c r="E298" s="62"/>
      <c r="F298" s="62"/>
      <c r="J298" s="62"/>
    </row>
    <row r="299">
      <c r="D299" s="62"/>
      <c r="E299" s="62"/>
      <c r="F299" s="62"/>
      <c r="J299" s="62"/>
    </row>
    <row r="300">
      <c r="D300" s="62"/>
      <c r="E300" s="62"/>
      <c r="F300" s="62"/>
      <c r="J300" s="62"/>
    </row>
    <row r="301">
      <c r="D301" s="62"/>
      <c r="E301" s="62"/>
      <c r="F301" s="62"/>
      <c r="J301" s="62"/>
    </row>
    <row r="302">
      <c r="D302" s="62"/>
      <c r="E302" s="62"/>
      <c r="F302" s="62"/>
      <c r="J302" s="62"/>
    </row>
    <row r="303">
      <c r="D303" s="62"/>
      <c r="E303" s="62"/>
      <c r="F303" s="62"/>
      <c r="J303" s="62"/>
    </row>
    <row r="304">
      <c r="D304" s="62"/>
      <c r="E304" s="62"/>
      <c r="F304" s="62"/>
      <c r="J304" s="62"/>
    </row>
    <row r="305">
      <c r="D305" s="62"/>
      <c r="E305" s="62"/>
      <c r="F305" s="62"/>
      <c r="J305" s="62"/>
    </row>
    <row r="306">
      <c r="D306" s="62"/>
      <c r="E306" s="62"/>
      <c r="F306" s="62"/>
      <c r="J306" s="62"/>
    </row>
    <row r="307">
      <c r="D307" s="62"/>
      <c r="E307" s="62"/>
      <c r="F307" s="62"/>
      <c r="J307" s="62"/>
    </row>
    <row r="308">
      <c r="D308" s="62"/>
      <c r="E308" s="62"/>
      <c r="F308" s="62"/>
      <c r="J308" s="62"/>
    </row>
    <row r="309">
      <c r="D309" s="62"/>
      <c r="E309" s="62"/>
      <c r="F309" s="62"/>
      <c r="J309" s="62"/>
    </row>
    <row r="310">
      <c r="D310" s="62"/>
      <c r="E310" s="62"/>
      <c r="F310" s="62"/>
      <c r="J310" s="62"/>
    </row>
    <row r="311">
      <c r="D311" s="62"/>
      <c r="E311" s="62"/>
      <c r="F311" s="62"/>
      <c r="J311" s="62"/>
    </row>
    <row r="312">
      <c r="D312" s="62"/>
      <c r="E312" s="62"/>
      <c r="F312" s="62"/>
      <c r="J312" s="62"/>
    </row>
    <row r="313">
      <c r="D313" s="62"/>
      <c r="E313" s="62"/>
      <c r="F313" s="62"/>
      <c r="J313" s="62"/>
    </row>
    <row r="314">
      <c r="D314" s="62"/>
      <c r="E314" s="62"/>
      <c r="F314" s="62"/>
      <c r="J314" s="62"/>
    </row>
    <row r="315">
      <c r="D315" s="62"/>
      <c r="E315" s="62"/>
      <c r="F315" s="62"/>
      <c r="J315" s="62"/>
    </row>
    <row r="316">
      <c r="D316" s="62"/>
      <c r="E316" s="62"/>
      <c r="F316" s="62"/>
      <c r="J316" s="62"/>
    </row>
    <row r="317">
      <c r="D317" s="62"/>
      <c r="E317" s="62"/>
      <c r="F317" s="62"/>
      <c r="J317" s="62"/>
    </row>
    <row r="318">
      <c r="D318" s="62"/>
      <c r="E318" s="62"/>
      <c r="F318" s="62"/>
      <c r="J318" s="62"/>
    </row>
    <row r="319">
      <c r="D319" s="62"/>
      <c r="E319" s="62"/>
      <c r="F319" s="62"/>
      <c r="J319" s="62"/>
    </row>
    <row r="320">
      <c r="D320" s="62"/>
      <c r="E320" s="62"/>
      <c r="F320" s="62"/>
      <c r="J320" s="62"/>
    </row>
    <row r="321">
      <c r="D321" s="62"/>
      <c r="E321" s="62"/>
      <c r="F321" s="62"/>
      <c r="J321" s="62"/>
    </row>
    <row r="322">
      <c r="D322" s="62"/>
      <c r="E322" s="62"/>
      <c r="F322" s="62"/>
      <c r="J322" s="62"/>
    </row>
    <row r="323">
      <c r="D323" s="62"/>
      <c r="E323" s="62"/>
      <c r="F323" s="62"/>
      <c r="J323" s="62"/>
    </row>
    <row r="324">
      <c r="D324" s="62"/>
      <c r="E324" s="62"/>
      <c r="F324" s="62"/>
      <c r="J324" s="62"/>
    </row>
    <row r="325">
      <c r="D325" s="62"/>
      <c r="E325" s="62"/>
      <c r="F325" s="62"/>
      <c r="J325" s="62"/>
    </row>
    <row r="326">
      <c r="D326" s="62"/>
      <c r="E326" s="62"/>
      <c r="F326" s="62"/>
      <c r="J326" s="62"/>
    </row>
    <row r="327">
      <c r="D327" s="62"/>
      <c r="E327" s="62"/>
      <c r="F327" s="62"/>
      <c r="J327" s="62"/>
    </row>
    <row r="328">
      <c r="D328" s="62"/>
      <c r="E328" s="62"/>
      <c r="F328" s="62"/>
      <c r="J328" s="62"/>
    </row>
    <row r="329">
      <c r="D329" s="62"/>
      <c r="E329" s="62"/>
      <c r="F329" s="62"/>
      <c r="J329" s="62"/>
    </row>
    <row r="330">
      <c r="D330" s="62"/>
      <c r="E330" s="62"/>
      <c r="F330" s="62"/>
      <c r="J330" s="62"/>
    </row>
    <row r="331">
      <c r="D331" s="62"/>
      <c r="E331" s="62"/>
      <c r="F331" s="62"/>
      <c r="J331" s="62"/>
    </row>
    <row r="332">
      <c r="D332" s="62"/>
      <c r="E332" s="62"/>
      <c r="F332" s="62"/>
      <c r="J332" s="62"/>
    </row>
    <row r="333">
      <c r="D333" s="62"/>
      <c r="E333" s="62"/>
      <c r="F333" s="62"/>
      <c r="J333" s="62"/>
    </row>
    <row r="334">
      <c r="D334" s="62"/>
      <c r="E334" s="62"/>
      <c r="F334" s="62"/>
      <c r="J334" s="62"/>
    </row>
    <row r="335">
      <c r="D335" s="62"/>
      <c r="E335" s="62"/>
      <c r="F335" s="62"/>
      <c r="J335" s="62"/>
    </row>
    <row r="336">
      <c r="D336" s="62"/>
      <c r="E336" s="62"/>
      <c r="F336" s="62"/>
      <c r="J336" s="62"/>
    </row>
    <row r="337">
      <c r="D337" s="62"/>
      <c r="E337" s="62"/>
      <c r="F337" s="62"/>
      <c r="J337" s="62"/>
    </row>
    <row r="338">
      <c r="D338" s="62"/>
      <c r="E338" s="62"/>
      <c r="F338" s="62"/>
      <c r="J338" s="62"/>
    </row>
    <row r="339">
      <c r="D339" s="62"/>
      <c r="E339" s="62"/>
      <c r="F339" s="62"/>
      <c r="J339" s="62"/>
    </row>
    <row r="340">
      <c r="D340" s="62"/>
      <c r="E340" s="62"/>
      <c r="F340" s="62"/>
      <c r="J340" s="62"/>
    </row>
    <row r="341">
      <c r="D341" s="62"/>
      <c r="E341" s="62"/>
      <c r="F341" s="62"/>
      <c r="J341" s="62"/>
    </row>
    <row r="342">
      <c r="D342" s="62"/>
      <c r="E342" s="62"/>
      <c r="F342" s="62"/>
      <c r="J342" s="62"/>
    </row>
    <row r="343">
      <c r="D343" s="62"/>
      <c r="E343" s="62"/>
      <c r="F343" s="62"/>
      <c r="J343" s="62"/>
    </row>
    <row r="344">
      <c r="D344" s="62"/>
      <c r="E344" s="62"/>
      <c r="F344" s="62"/>
      <c r="J344" s="62"/>
    </row>
    <row r="345">
      <c r="D345" s="62"/>
      <c r="E345" s="62"/>
      <c r="F345" s="62"/>
      <c r="J345" s="62"/>
    </row>
    <row r="346">
      <c r="D346" s="62"/>
      <c r="E346" s="62"/>
      <c r="F346" s="62"/>
      <c r="J346" s="62"/>
    </row>
    <row r="347">
      <c r="D347" s="62"/>
      <c r="E347" s="62"/>
      <c r="F347" s="62"/>
      <c r="J347" s="62"/>
    </row>
    <row r="348">
      <c r="D348" s="62"/>
      <c r="E348" s="62"/>
      <c r="F348" s="62"/>
      <c r="J348" s="62"/>
    </row>
    <row r="349">
      <c r="D349" s="62"/>
      <c r="E349" s="62"/>
      <c r="F349" s="62"/>
      <c r="J349" s="62"/>
    </row>
    <row r="350">
      <c r="D350" s="62"/>
      <c r="E350" s="62"/>
      <c r="F350" s="62"/>
      <c r="J350" s="62"/>
    </row>
    <row r="351">
      <c r="D351" s="62"/>
      <c r="E351" s="62"/>
      <c r="F351" s="62"/>
      <c r="J351" s="62"/>
    </row>
    <row r="352">
      <c r="D352" s="62"/>
      <c r="E352" s="62"/>
      <c r="F352" s="62"/>
      <c r="J352" s="62"/>
    </row>
    <row r="353">
      <c r="D353" s="62"/>
      <c r="E353" s="62"/>
      <c r="F353" s="62"/>
      <c r="J353" s="62"/>
    </row>
    <row r="354">
      <c r="D354" s="62"/>
      <c r="E354" s="62"/>
      <c r="F354" s="62"/>
      <c r="J354" s="62"/>
    </row>
    <row r="355">
      <c r="D355" s="62"/>
      <c r="E355" s="62"/>
      <c r="F355" s="62"/>
      <c r="J355" s="62"/>
    </row>
    <row r="356">
      <c r="D356" s="62"/>
      <c r="E356" s="62"/>
      <c r="F356" s="62"/>
      <c r="J356" s="62"/>
    </row>
    <row r="357">
      <c r="D357" s="62"/>
      <c r="E357" s="62"/>
      <c r="F357" s="62"/>
      <c r="J357" s="62"/>
    </row>
    <row r="358">
      <c r="D358" s="62"/>
      <c r="E358" s="62"/>
      <c r="F358" s="62"/>
      <c r="J358" s="62"/>
    </row>
    <row r="359">
      <c r="D359" s="62"/>
      <c r="E359" s="62"/>
      <c r="F359" s="62"/>
      <c r="J359" s="62"/>
    </row>
    <row r="360">
      <c r="D360" s="62"/>
      <c r="E360" s="62"/>
      <c r="F360" s="62"/>
      <c r="J360" s="62"/>
    </row>
    <row r="361">
      <c r="D361" s="62"/>
      <c r="E361" s="62"/>
      <c r="F361" s="62"/>
      <c r="J361" s="62"/>
    </row>
    <row r="362">
      <c r="D362" s="62"/>
      <c r="E362" s="62"/>
      <c r="F362" s="62"/>
      <c r="J362" s="62"/>
    </row>
    <row r="363">
      <c r="D363" s="62"/>
      <c r="E363" s="62"/>
      <c r="F363" s="62"/>
      <c r="J363" s="62"/>
    </row>
    <row r="364">
      <c r="D364" s="62"/>
      <c r="E364" s="62"/>
      <c r="F364" s="62"/>
      <c r="J364" s="62"/>
    </row>
    <row r="365">
      <c r="D365" s="62"/>
      <c r="E365" s="62"/>
      <c r="F365" s="62"/>
      <c r="J365" s="62"/>
    </row>
    <row r="366">
      <c r="D366" s="62"/>
      <c r="E366" s="62"/>
      <c r="F366" s="62"/>
      <c r="J366" s="62"/>
    </row>
    <row r="367">
      <c r="D367" s="62"/>
      <c r="E367" s="62"/>
      <c r="F367" s="62"/>
      <c r="J367" s="62"/>
    </row>
    <row r="368">
      <c r="D368" s="62"/>
      <c r="E368" s="62"/>
      <c r="F368" s="62"/>
      <c r="J368" s="62"/>
    </row>
    <row r="369">
      <c r="D369" s="62"/>
      <c r="E369" s="62"/>
      <c r="F369" s="62"/>
      <c r="J369" s="62"/>
    </row>
    <row r="370">
      <c r="D370" s="62"/>
      <c r="E370" s="62"/>
      <c r="F370" s="62"/>
      <c r="J370" s="62"/>
    </row>
    <row r="371">
      <c r="D371" s="62"/>
      <c r="E371" s="62"/>
      <c r="F371" s="62"/>
      <c r="J371" s="62"/>
    </row>
    <row r="372">
      <c r="D372" s="62"/>
      <c r="E372" s="62"/>
      <c r="F372" s="62"/>
      <c r="J372" s="62"/>
    </row>
    <row r="373">
      <c r="D373" s="62"/>
      <c r="E373" s="62"/>
      <c r="F373" s="62"/>
      <c r="J373" s="62"/>
    </row>
    <row r="374">
      <c r="D374" s="62"/>
      <c r="E374" s="62"/>
      <c r="F374" s="62"/>
      <c r="J374" s="62"/>
    </row>
    <row r="375">
      <c r="D375" s="62"/>
      <c r="E375" s="62"/>
      <c r="F375" s="62"/>
      <c r="J375" s="62"/>
    </row>
    <row r="376">
      <c r="D376" s="62"/>
      <c r="E376" s="62"/>
      <c r="F376" s="62"/>
      <c r="J376" s="62"/>
    </row>
    <row r="377">
      <c r="D377" s="62"/>
      <c r="E377" s="62"/>
      <c r="F377" s="62"/>
      <c r="J377" s="62"/>
    </row>
    <row r="378">
      <c r="D378" s="62"/>
      <c r="E378" s="62"/>
      <c r="F378" s="62"/>
      <c r="J378" s="62"/>
    </row>
    <row r="379">
      <c r="D379" s="62"/>
      <c r="E379" s="62"/>
      <c r="F379" s="62"/>
      <c r="J379" s="62"/>
    </row>
    <row r="380">
      <c r="D380" s="62"/>
      <c r="E380" s="62"/>
      <c r="F380" s="62"/>
      <c r="J380" s="62"/>
    </row>
    <row r="381">
      <c r="D381" s="62"/>
      <c r="E381" s="62"/>
      <c r="F381" s="62"/>
      <c r="J381" s="62"/>
    </row>
    <row r="382">
      <c r="D382" s="62"/>
      <c r="E382" s="62"/>
      <c r="F382" s="62"/>
      <c r="J382" s="62"/>
    </row>
    <row r="383">
      <c r="D383" s="62"/>
      <c r="E383" s="62"/>
      <c r="F383" s="62"/>
      <c r="J383" s="62"/>
    </row>
    <row r="384">
      <c r="D384" s="62"/>
      <c r="E384" s="62"/>
      <c r="F384" s="62"/>
      <c r="J384" s="62"/>
    </row>
    <row r="385">
      <c r="D385" s="62"/>
      <c r="E385" s="62"/>
      <c r="F385" s="62"/>
      <c r="J385" s="62"/>
    </row>
    <row r="386">
      <c r="D386" s="62"/>
      <c r="E386" s="62"/>
      <c r="F386" s="62"/>
      <c r="J386" s="62"/>
    </row>
    <row r="387">
      <c r="D387" s="62"/>
      <c r="E387" s="62"/>
      <c r="F387" s="62"/>
      <c r="J387" s="62"/>
    </row>
    <row r="388">
      <c r="D388" s="62"/>
      <c r="E388" s="62"/>
      <c r="F388" s="62"/>
      <c r="J388" s="62"/>
    </row>
    <row r="389">
      <c r="D389" s="62"/>
      <c r="E389" s="62"/>
      <c r="F389" s="62"/>
      <c r="J389" s="62"/>
    </row>
    <row r="390">
      <c r="D390" s="62"/>
      <c r="E390" s="62"/>
      <c r="F390" s="62"/>
      <c r="J390" s="62"/>
    </row>
    <row r="391">
      <c r="D391" s="62"/>
      <c r="E391" s="62"/>
      <c r="F391" s="62"/>
      <c r="J391" s="62"/>
    </row>
    <row r="392">
      <c r="D392" s="62"/>
      <c r="E392" s="62"/>
      <c r="F392" s="62"/>
      <c r="J392" s="62"/>
    </row>
    <row r="393">
      <c r="D393" s="62"/>
      <c r="E393" s="62"/>
      <c r="F393" s="62"/>
      <c r="J393" s="62"/>
    </row>
    <row r="394">
      <c r="D394" s="62"/>
      <c r="E394" s="62"/>
      <c r="F394" s="62"/>
      <c r="J394" s="62"/>
    </row>
    <row r="395">
      <c r="D395" s="62"/>
      <c r="E395" s="62"/>
      <c r="F395" s="62"/>
      <c r="J395" s="62"/>
    </row>
    <row r="396">
      <c r="D396" s="62"/>
      <c r="E396" s="62"/>
      <c r="F396" s="62"/>
      <c r="J396" s="62"/>
    </row>
    <row r="397">
      <c r="D397" s="62"/>
      <c r="E397" s="62"/>
      <c r="F397" s="62"/>
      <c r="J397" s="62"/>
    </row>
    <row r="398">
      <c r="D398" s="62"/>
      <c r="E398" s="62"/>
      <c r="F398" s="62"/>
      <c r="J398" s="62"/>
    </row>
    <row r="399">
      <c r="D399" s="62"/>
      <c r="E399" s="62"/>
      <c r="F399" s="62"/>
      <c r="J399" s="62"/>
    </row>
    <row r="400">
      <c r="D400" s="62"/>
      <c r="E400" s="62"/>
      <c r="F400" s="62"/>
      <c r="J400" s="62"/>
    </row>
    <row r="401">
      <c r="D401" s="62"/>
      <c r="E401" s="62"/>
      <c r="F401" s="62"/>
      <c r="J401" s="62"/>
    </row>
    <row r="402">
      <c r="D402" s="62"/>
      <c r="E402" s="62"/>
      <c r="F402" s="62"/>
      <c r="J402" s="62"/>
    </row>
    <row r="403">
      <c r="D403" s="62"/>
      <c r="E403" s="62"/>
      <c r="F403" s="62"/>
      <c r="J403" s="62"/>
    </row>
    <row r="404">
      <c r="D404" s="62"/>
      <c r="E404" s="62"/>
      <c r="F404" s="62"/>
      <c r="J404" s="62"/>
    </row>
    <row r="405">
      <c r="D405" s="62"/>
      <c r="E405" s="62"/>
      <c r="F405" s="62"/>
      <c r="J405" s="62"/>
    </row>
    <row r="406">
      <c r="D406" s="62"/>
      <c r="E406" s="62"/>
      <c r="F406" s="62"/>
      <c r="J406" s="62"/>
    </row>
    <row r="407">
      <c r="D407" s="62"/>
      <c r="E407" s="62"/>
      <c r="F407" s="62"/>
      <c r="J407" s="62"/>
    </row>
    <row r="408">
      <c r="D408" s="62"/>
      <c r="E408" s="62"/>
      <c r="F408" s="62"/>
      <c r="J408" s="62"/>
    </row>
    <row r="409">
      <c r="D409" s="62"/>
      <c r="E409" s="62"/>
      <c r="F409" s="62"/>
      <c r="J409" s="62"/>
    </row>
    <row r="410">
      <c r="D410" s="62"/>
      <c r="E410" s="62"/>
      <c r="F410" s="62"/>
      <c r="J410" s="62"/>
    </row>
    <row r="411">
      <c r="D411" s="62"/>
      <c r="E411" s="62"/>
      <c r="F411" s="62"/>
      <c r="J411" s="62"/>
    </row>
    <row r="412">
      <c r="D412" s="62"/>
      <c r="E412" s="62"/>
      <c r="F412" s="62"/>
      <c r="J412" s="62"/>
    </row>
    <row r="413">
      <c r="D413" s="62"/>
      <c r="E413" s="62"/>
      <c r="F413" s="62"/>
      <c r="J413" s="62"/>
    </row>
    <row r="414">
      <c r="D414" s="62"/>
      <c r="E414" s="62"/>
      <c r="F414" s="62"/>
      <c r="J414" s="62"/>
    </row>
    <row r="415">
      <c r="D415" s="62"/>
      <c r="E415" s="62"/>
      <c r="F415" s="62"/>
      <c r="J415" s="62"/>
    </row>
    <row r="416">
      <c r="D416" s="62"/>
      <c r="E416" s="62"/>
      <c r="F416" s="62"/>
      <c r="J416" s="62"/>
    </row>
    <row r="417">
      <c r="D417" s="62"/>
      <c r="E417" s="62"/>
      <c r="F417" s="62"/>
      <c r="J417" s="62"/>
    </row>
    <row r="418">
      <c r="D418" s="62"/>
      <c r="E418" s="62"/>
      <c r="F418" s="62"/>
      <c r="J418" s="62"/>
    </row>
    <row r="419">
      <c r="D419" s="62"/>
      <c r="E419" s="62"/>
      <c r="F419" s="62"/>
      <c r="J419" s="62"/>
    </row>
    <row r="420">
      <c r="D420" s="62"/>
      <c r="E420" s="62"/>
      <c r="F420" s="62"/>
      <c r="J420" s="62"/>
    </row>
    <row r="421">
      <c r="D421" s="62"/>
      <c r="E421" s="62"/>
      <c r="F421" s="62"/>
      <c r="J421" s="62"/>
    </row>
    <row r="422">
      <c r="D422" s="62"/>
      <c r="E422" s="62"/>
      <c r="F422" s="62"/>
      <c r="J422" s="62"/>
    </row>
    <row r="423">
      <c r="D423" s="62"/>
      <c r="E423" s="62"/>
      <c r="F423" s="62"/>
      <c r="J423" s="62"/>
    </row>
    <row r="424">
      <c r="D424" s="62"/>
      <c r="E424" s="62"/>
      <c r="F424" s="62"/>
      <c r="J424" s="62"/>
    </row>
    <row r="425">
      <c r="D425" s="62"/>
      <c r="E425" s="62"/>
      <c r="F425" s="62"/>
      <c r="J425" s="62"/>
    </row>
    <row r="426">
      <c r="D426" s="62"/>
      <c r="E426" s="62"/>
      <c r="F426" s="62"/>
      <c r="J426" s="62"/>
    </row>
    <row r="427">
      <c r="D427" s="62"/>
      <c r="E427" s="62"/>
      <c r="F427" s="62"/>
      <c r="J427" s="62"/>
    </row>
    <row r="428">
      <c r="D428" s="62"/>
      <c r="E428" s="62"/>
      <c r="F428" s="62"/>
      <c r="J428" s="62"/>
    </row>
    <row r="429">
      <c r="D429" s="62"/>
      <c r="E429" s="62"/>
      <c r="F429" s="62"/>
      <c r="J429" s="62"/>
    </row>
    <row r="430">
      <c r="D430" s="62"/>
      <c r="E430" s="62"/>
      <c r="F430" s="62"/>
      <c r="J430" s="62"/>
    </row>
    <row r="431">
      <c r="D431" s="62"/>
      <c r="E431" s="62"/>
      <c r="F431" s="62"/>
      <c r="J431" s="62"/>
    </row>
    <row r="432">
      <c r="D432" s="62"/>
      <c r="E432" s="62"/>
      <c r="F432" s="62"/>
      <c r="J432" s="62"/>
    </row>
    <row r="433">
      <c r="D433" s="62"/>
      <c r="E433" s="62"/>
      <c r="F433" s="62"/>
      <c r="J433" s="62"/>
    </row>
    <row r="434">
      <c r="D434" s="62"/>
      <c r="E434" s="62"/>
      <c r="F434" s="62"/>
      <c r="J434" s="62"/>
    </row>
    <row r="435">
      <c r="D435" s="62"/>
      <c r="E435" s="62"/>
      <c r="F435" s="62"/>
      <c r="J435" s="62"/>
    </row>
    <row r="436">
      <c r="D436" s="62"/>
      <c r="E436" s="62"/>
      <c r="F436" s="62"/>
      <c r="J436" s="62"/>
    </row>
    <row r="437">
      <c r="D437" s="62"/>
      <c r="E437" s="62"/>
      <c r="F437" s="62"/>
      <c r="J437" s="62"/>
    </row>
    <row r="438">
      <c r="D438" s="62"/>
      <c r="E438" s="62"/>
      <c r="F438" s="62"/>
      <c r="J438" s="62"/>
    </row>
    <row r="439">
      <c r="D439" s="62"/>
      <c r="E439" s="62"/>
      <c r="F439" s="62"/>
      <c r="J439" s="62"/>
    </row>
    <row r="440">
      <c r="D440" s="62"/>
      <c r="E440" s="62"/>
      <c r="F440" s="62"/>
      <c r="J440" s="62"/>
    </row>
    <row r="441">
      <c r="D441" s="62"/>
      <c r="E441" s="62"/>
      <c r="F441" s="62"/>
      <c r="J441" s="62"/>
    </row>
    <row r="442">
      <c r="D442" s="62"/>
      <c r="E442" s="62"/>
      <c r="F442" s="62"/>
      <c r="J442" s="62"/>
    </row>
    <row r="443">
      <c r="D443" s="62"/>
      <c r="E443" s="62"/>
      <c r="F443" s="62"/>
      <c r="J443" s="62"/>
    </row>
    <row r="444">
      <c r="D444" s="62"/>
      <c r="E444" s="62"/>
      <c r="F444" s="62"/>
      <c r="J444" s="62"/>
    </row>
    <row r="445">
      <c r="D445" s="62"/>
      <c r="E445" s="62"/>
      <c r="F445" s="62"/>
      <c r="J445" s="62"/>
    </row>
    <row r="446">
      <c r="D446" s="62"/>
      <c r="E446" s="62"/>
      <c r="F446" s="62"/>
      <c r="J446" s="62"/>
    </row>
    <row r="447">
      <c r="D447" s="62"/>
      <c r="E447" s="62"/>
      <c r="F447" s="62"/>
      <c r="J447" s="62"/>
    </row>
    <row r="448">
      <c r="D448" s="62"/>
      <c r="E448" s="62"/>
      <c r="F448" s="62"/>
      <c r="J448" s="62"/>
    </row>
    <row r="449">
      <c r="D449" s="62"/>
      <c r="E449" s="62"/>
      <c r="F449" s="62"/>
      <c r="J449" s="62"/>
    </row>
    <row r="450">
      <c r="D450" s="62"/>
      <c r="E450" s="62"/>
      <c r="F450" s="62"/>
      <c r="J450" s="62"/>
    </row>
    <row r="451">
      <c r="D451" s="62"/>
      <c r="E451" s="62"/>
      <c r="F451" s="62"/>
      <c r="J451" s="62"/>
    </row>
    <row r="452">
      <c r="D452" s="62"/>
      <c r="E452" s="62"/>
      <c r="F452" s="62"/>
      <c r="J452" s="62"/>
    </row>
    <row r="453">
      <c r="D453" s="62"/>
      <c r="E453" s="62"/>
      <c r="F453" s="62"/>
      <c r="J453" s="62"/>
    </row>
    <row r="454">
      <c r="D454" s="62"/>
      <c r="E454" s="62"/>
      <c r="F454" s="62"/>
      <c r="J454" s="62"/>
    </row>
    <row r="455">
      <c r="D455" s="62"/>
      <c r="E455" s="62"/>
      <c r="F455" s="62"/>
      <c r="J455" s="62"/>
    </row>
    <row r="456">
      <c r="D456" s="62"/>
      <c r="E456" s="62"/>
      <c r="F456" s="62"/>
      <c r="J456" s="62"/>
    </row>
    <row r="457">
      <c r="D457" s="62"/>
      <c r="E457" s="62"/>
      <c r="F457" s="62"/>
      <c r="J457" s="62"/>
    </row>
    <row r="458">
      <c r="D458" s="62"/>
      <c r="E458" s="62"/>
      <c r="F458" s="62"/>
      <c r="J458" s="62"/>
    </row>
    <row r="459">
      <c r="D459" s="62"/>
      <c r="E459" s="62"/>
      <c r="F459" s="62"/>
      <c r="J459" s="62"/>
    </row>
    <row r="460">
      <c r="D460" s="62"/>
      <c r="E460" s="62"/>
      <c r="F460" s="62"/>
      <c r="J460" s="62"/>
    </row>
    <row r="461">
      <c r="D461" s="62"/>
      <c r="E461" s="62"/>
      <c r="F461" s="62"/>
      <c r="J461" s="62"/>
    </row>
    <row r="462">
      <c r="D462" s="62"/>
      <c r="E462" s="62"/>
      <c r="F462" s="62"/>
      <c r="J462" s="62"/>
    </row>
    <row r="463">
      <c r="D463" s="62"/>
      <c r="E463" s="62"/>
      <c r="F463" s="62"/>
      <c r="J463" s="62"/>
    </row>
    <row r="464">
      <c r="D464" s="62"/>
      <c r="E464" s="62"/>
      <c r="F464" s="62"/>
      <c r="J464" s="62"/>
    </row>
    <row r="465">
      <c r="D465" s="62"/>
      <c r="E465" s="62"/>
      <c r="F465" s="62"/>
      <c r="J465" s="62"/>
    </row>
    <row r="466">
      <c r="D466" s="62"/>
      <c r="E466" s="62"/>
      <c r="F466" s="62"/>
      <c r="J466" s="62"/>
    </row>
    <row r="467">
      <c r="D467" s="62"/>
      <c r="E467" s="62"/>
      <c r="F467" s="62"/>
      <c r="J467" s="62"/>
    </row>
    <row r="468">
      <c r="D468" s="62"/>
      <c r="E468" s="62"/>
      <c r="F468" s="62"/>
      <c r="J468" s="62"/>
    </row>
    <row r="469">
      <c r="D469" s="62"/>
      <c r="E469" s="62"/>
      <c r="F469" s="62"/>
      <c r="J469" s="62"/>
    </row>
    <row r="470">
      <c r="D470" s="62"/>
      <c r="E470" s="62"/>
      <c r="F470" s="62"/>
      <c r="J470" s="62"/>
    </row>
    <row r="471">
      <c r="D471" s="62"/>
      <c r="E471" s="62"/>
      <c r="F471" s="62"/>
      <c r="J471" s="62"/>
    </row>
    <row r="472">
      <c r="D472" s="62"/>
      <c r="E472" s="62"/>
      <c r="F472" s="62"/>
      <c r="J472" s="62"/>
    </row>
    <row r="473">
      <c r="D473" s="62"/>
      <c r="E473" s="62"/>
      <c r="F473" s="62"/>
      <c r="J473" s="62"/>
    </row>
    <row r="474">
      <c r="D474" s="62"/>
      <c r="E474" s="62"/>
      <c r="F474" s="62"/>
      <c r="J474" s="62"/>
    </row>
    <row r="475">
      <c r="D475" s="62"/>
      <c r="E475" s="62"/>
      <c r="F475" s="62"/>
      <c r="J475" s="62"/>
    </row>
    <row r="476">
      <c r="D476" s="62"/>
      <c r="E476" s="62"/>
      <c r="F476" s="62"/>
      <c r="J476" s="62"/>
    </row>
    <row r="477">
      <c r="D477" s="62"/>
      <c r="E477" s="62"/>
      <c r="F477" s="62"/>
      <c r="J477" s="62"/>
    </row>
    <row r="478">
      <c r="D478" s="62"/>
      <c r="E478" s="62"/>
      <c r="F478" s="62"/>
      <c r="J478" s="62"/>
    </row>
    <row r="479">
      <c r="D479" s="62"/>
      <c r="E479" s="62"/>
      <c r="F479" s="62"/>
      <c r="J479" s="62"/>
    </row>
    <row r="480">
      <c r="D480" s="62"/>
      <c r="E480" s="62"/>
      <c r="F480" s="62"/>
      <c r="J480" s="62"/>
    </row>
    <row r="481">
      <c r="D481" s="62"/>
      <c r="E481" s="62"/>
      <c r="F481" s="62"/>
      <c r="J481" s="62"/>
    </row>
    <row r="482">
      <c r="D482" s="62"/>
      <c r="E482" s="62"/>
      <c r="F482" s="62"/>
      <c r="J482" s="62"/>
    </row>
    <row r="483">
      <c r="D483" s="62"/>
      <c r="E483" s="62"/>
      <c r="F483" s="62"/>
      <c r="J483" s="62"/>
    </row>
    <row r="484">
      <c r="D484" s="62"/>
      <c r="E484" s="62"/>
      <c r="F484" s="62"/>
      <c r="J484" s="62"/>
    </row>
    <row r="485">
      <c r="D485" s="62"/>
      <c r="E485" s="62"/>
      <c r="F485" s="62"/>
      <c r="J485" s="62"/>
    </row>
    <row r="486">
      <c r="D486" s="62"/>
      <c r="E486" s="62"/>
      <c r="F486" s="62"/>
      <c r="J486" s="62"/>
    </row>
    <row r="487">
      <c r="D487" s="62"/>
      <c r="E487" s="62"/>
      <c r="F487" s="62"/>
      <c r="J487" s="62"/>
    </row>
    <row r="488">
      <c r="D488" s="62"/>
      <c r="E488" s="62"/>
      <c r="F488" s="62"/>
      <c r="J488" s="62"/>
    </row>
    <row r="489">
      <c r="D489" s="62"/>
      <c r="E489" s="62"/>
      <c r="F489" s="62"/>
      <c r="J489" s="62"/>
    </row>
    <row r="490">
      <c r="D490" s="62"/>
      <c r="E490" s="62"/>
      <c r="F490" s="62"/>
      <c r="J490" s="62"/>
    </row>
    <row r="491">
      <c r="D491" s="62"/>
      <c r="E491" s="62"/>
      <c r="F491" s="62"/>
      <c r="J491" s="62"/>
    </row>
    <row r="492">
      <c r="D492" s="62"/>
      <c r="E492" s="62"/>
      <c r="F492" s="62"/>
      <c r="J492" s="62"/>
    </row>
    <row r="493">
      <c r="D493" s="62"/>
      <c r="E493" s="62"/>
      <c r="F493" s="62"/>
      <c r="J493" s="62"/>
    </row>
    <row r="494">
      <c r="D494" s="62"/>
      <c r="E494" s="62"/>
      <c r="F494" s="62"/>
      <c r="J494" s="62"/>
    </row>
    <row r="495">
      <c r="D495" s="62"/>
      <c r="E495" s="62"/>
      <c r="F495" s="62"/>
      <c r="J495" s="62"/>
    </row>
    <row r="496">
      <c r="D496" s="62"/>
      <c r="E496" s="62"/>
      <c r="F496" s="62"/>
      <c r="J496" s="62"/>
    </row>
    <row r="497">
      <c r="D497" s="62"/>
      <c r="E497" s="62"/>
      <c r="F497" s="62"/>
      <c r="J497" s="62"/>
    </row>
    <row r="498">
      <c r="D498" s="62"/>
      <c r="E498" s="62"/>
      <c r="F498" s="62"/>
      <c r="J498" s="62"/>
    </row>
    <row r="499">
      <c r="D499" s="62"/>
      <c r="E499" s="62"/>
      <c r="F499" s="62"/>
      <c r="J499" s="62"/>
    </row>
    <row r="500">
      <c r="D500" s="62"/>
      <c r="E500" s="62"/>
      <c r="F500" s="62"/>
      <c r="J500" s="62"/>
    </row>
    <row r="501">
      <c r="D501" s="62"/>
      <c r="E501" s="62"/>
      <c r="F501" s="62"/>
      <c r="J501" s="62"/>
    </row>
    <row r="502">
      <c r="D502" s="62"/>
      <c r="E502" s="62"/>
      <c r="F502" s="62"/>
      <c r="J502" s="62"/>
    </row>
    <row r="503">
      <c r="D503" s="62"/>
      <c r="E503" s="62"/>
      <c r="F503" s="62"/>
      <c r="J503" s="62"/>
    </row>
    <row r="504">
      <c r="D504" s="62"/>
      <c r="E504" s="62"/>
      <c r="F504" s="62"/>
      <c r="J504" s="62"/>
    </row>
    <row r="505">
      <c r="D505" s="62"/>
      <c r="E505" s="62"/>
      <c r="F505" s="62"/>
      <c r="J505" s="62"/>
    </row>
    <row r="506">
      <c r="D506" s="62"/>
      <c r="E506" s="62"/>
      <c r="F506" s="62"/>
      <c r="J506" s="62"/>
    </row>
    <row r="507">
      <c r="D507" s="62"/>
      <c r="E507" s="62"/>
      <c r="F507" s="62"/>
      <c r="J507" s="62"/>
    </row>
    <row r="508">
      <c r="D508" s="62"/>
      <c r="E508" s="62"/>
      <c r="F508" s="62"/>
      <c r="J508" s="62"/>
    </row>
    <row r="509">
      <c r="D509" s="62"/>
      <c r="E509" s="62"/>
      <c r="F509" s="62"/>
      <c r="J509" s="62"/>
    </row>
    <row r="510">
      <c r="D510" s="62"/>
      <c r="E510" s="62"/>
      <c r="F510" s="62"/>
      <c r="J510" s="62"/>
    </row>
    <row r="511">
      <c r="D511" s="62"/>
      <c r="E511" s="62"/>
      <c r="F511" s="62"/>
      <c r="J511" s="62"/>
    </row>
    <row r="512">
      <c r="D512" s="62"/>
      <c r="E512" s="62"/>
      <c r="F512" s="62"/>
      <c r="J512" s="62"/>
    </row>
    <row r="513">
      <c r="D513" s="62"/>
      <c r="E513" s="62"/>
      <c r="F513" s="62"/>
      <c r="J513" s="62"/>
    </row>
    <row r="514">
      <c r="D514" s="62"/>
      <c r="E514" s="62"/>
      <c r="F514" s="62"/>
      <c r="J514" s="62"/>
    </row>
    <row r="515">
      <c r="D515" s="62"/>
      <c r="E515" s="62"/>
      <c r="F515" s="62"/>
      <c r="J515" s="62"/>
    </row>
    <row r="516">
      <c r="D516" s="62"/>
      <c r="E516" s="62"/>
      <c r="F516" s="62"/>
      <c r="J516" s="62"/>
    </row>
    <row r="517">
      <c r="D517" s="62"/>
      <c r="E517" s="62"/>
      <c r="F517" s="62"/>
      <c r="J517" s="62"/>
    </row>
    <row r="518">
      <c r="D518" s="62"/>
      <c r="E518" s="62"/>
      <c r="F518" s="62"/>
      <c r="J518" s="62"/>
    </row>
    <row r="519">
      <c r="D519" s="62"/>
      <c r="E519" s="62"/>
      <c r="F519" s="62"/>
      <c r="J519" s="62"/>
    </row>
    <row r="520">
      <c r="D520" s="62"/>
      <c r="E520" s="62"/>
      <c r="F520" s="62"/>
      <c r="J520" s="62"/>
    </row>
    <row r="521">
      <c r="D521" s="62"/>
      <c r="E521" s="62"/>
      <c r="F521" s="62"/>
      <c r="J521" s="62"/>
    </row>
    <row r="522">
      <c r="D522" s="62"/>
      <c r="E522" s="62"/>
      <c r="F522" s="62"/>
      <c r="J522" s="62"/>
    </row>
    <row r="523">
      <c r="D523" s="62"/>
      <c r="E523" s="62"/>
      <c r="F523" s="62"/>
      <c r="J523" s="62"/>
    </row>
    <row r="524">
      <c r="D524" s="62"/>
      <c r="E524" s="62"/>
      <c r="F524" s="62"/>
      <c r="J524" s="62"/>
    </row>
    <row r="525">
      <c r="D525" s="62"/>
      <c r="E525" s="62"/>
      <c r="F525" s="62"/>
      <c r="J525" s="62"/>
    </row>
    <row r="526">
      <c r="D526" s="62"/>
      <c r="E526" s="62"/>
      <c r="F526" s="62"/>
      <c r="J526" s="62"/>
    </row>
    <row r="527">
      <c r="D527" s="62"/>
      <c r="E527" s="62"/>
      <c r="F527" s="62"/>
      <c r="J527" s="62"/>
    </row>
    <row r="528">
      <c r="D528" s="62"/>
      <c r="E528" s="62"/>
      <c r="F528" s="62"/>
      <c r="J528" s="62"/>
    </row>
    <row r="529">
      <c r="D529" s="62"/>
      <c r="E529" s="62"/>
      <c r="F529" s="62"/>
      <c r="J529" s="62"/>
    </row>
    <row r="530">
      <c r="D530" s="62"/>
      <c r="E530" s="62"/>
      <c r="F530" s="62"/>
      <c r="J530" s="62"/>
    </row>
    <row r="531">
      <c r="D531" s="62"/>
      <c r="E531" s="62"/>
      <c r="F531" s="62"/>
      <c r="J531" s="62"/>
    </row>
    <row r="532">
      <c r="D532" s="62"/>
      <c r="E532" s="62"/>
      <c r="F532" s="62"/>
      <c r="J532" s="62"/>
    </row>
    <row r="533">
      <c r="D533" s="62"/>
      <c r="E533" s="62"/>
      <c r="F533" s="62"/>
      <c r="J533" s="62"/>
    </row>
    <row r="534">
      <c r="D534" s="62"/>
      <c r="E534" s="62"/>
      <c r="F534" s="62"/>
      <c r="J534" s="62"/>
    </row>
    <row r="535">
      <c r="D535" s="62"/>
      <c r="E535" s="62"/>
      <c r="F535" s="62"/>
      <c r="J535" s="62"/>
    </row>
    <row r="536">
      <c r="D536" s="62"/>
      <c r="E536" s="62"/>
      <c r="F536" s="62"/>
      <c r="J536" s="62"/>
    </row>
    <row r="537">
      <c r="D537" s="62"/>
      <c r="E537" s="62"/>
      <c r="F537" s="62"/>
      <c r="J537" s="62"/>
    </row>
    <row r="538">
      <c r="D538" s="62"/>
      <c r="E538" s="62"/>
      <c r="F538" s="62"/>
      <c r="J538" s="62"/>
    </row>
    <row r="539">
      <c r="D539" s="62"/>
      <c r="E539" s="62"/>
      <c r="F539" s="62"/>
      <c r="J539" s="62"/>
    </row>
    <row r="540">
      <c r="D540" s="62"/>
      <c r="E540" s="62"/>
      <c r="F540" s="62"/>
      <c r="J540" s="62"/>
    </row>
    <row r="541">
      <c r="D541" s="62"/>
      <c r="E541" s="62"/>
      <c r="F541" s="62"/>
      <c r="J541" s="62"/>
    </row>
    <row r="542">
      <c r="D542" s="62"/>
      <c r="E542" s="62"/>
      <c r="F542" s="62"/>
      <c r="J542" s="62"/>
    </row>
    <row r="543">
      <c r="D543" s="62"/>
      <c r="E543" s="62"/>
      <c r="F543" s="62"/>
      <c r="J543" s="62"/>
    </row>
    <row r="544">
      <c r="D544" s="62"/>
      <c r="E544" s="62"/>
      <c r="F544" s="62"/>
      <c r="J544" s="62"/>
    </row>
    <row r="545">
      <c r="D545" s="62"/>
      <c r="E545" s="62"/>
      <c r="F545" s="62"/>
      <c r="J545" s="62"/>
    </row>
    <row r="546">
      <c r="D546" s="62"/>
      <c r="E546" s="62"/>
      <c r="F546" s="62"/>
      <c r="J546" s="62"/>
    </row>
    <row r="547">
      <c r="D547" s="62"/>
      <c r="E547" s="62"/>
      <c r="F547" s="62"/>
      <c r="J547" s="62"/>
    </row>
    <row r="548">
      <c r="D548" s="62"/>
      <c r="E548" s="62"/>
      <c r="F548" s="62"/>
      <c r="J548" s="62"/>
    </row>
    <row r="549">
      <c r="D549" s="62"/>
      <c r="E549" s="62"/>
      <c r="F549" s="62"/>
      <c r="J549" s="62"/>
    </row>
    <row r="550">
      <c r="D550" s="62"/>
      <c r="E550" s="62"/>
      <c r="F550" s="62"/>
      <c r="J550" s="62"/>
    </row>
    <row r="551">
      <c r="D551" s="62"/>
      <c r="E551" s="62"/>
      <c r="F551" s="62"/>
      <c r="J551" s="62"/>
    </row>
    <row r="552">
      <c r="D552" s="62"/>
      <c r="E552" s="62"/>
      <c r="F552" s="62"/>
      <c r="J552" s="62"/>
    </row>
    <row r="553">
      <c r="D553" s="62"/>
      <c r="E553" s="62"/>
      <c r="F553" s="62"/>
      <c r="J553" s="62"/>
    </row>
    <row r="554">
      <c r="D554" s="62"/>
      <c r="E554" s="62"/>
      <c r="F554" s="62"/>
      <c r="J554" s="62"/>
    </row>
    <row r="555">
      <c r="D555" s="62"/>
      <c r="E555" s="62"/>
      <c r="F555" s="62"/>
      <c r="J555" s="62"/>
    </row>
    <row r="556">
      <c r="D556" s="62"/>
      <c r="E556" s="62"/>
      <c r="F556" s="62"/>
      <c r="J556" s="62"/>
    </row>
    <row r="557">
      <c r="D557" s="62"/>
      <c r="E557" s="62"/>
      <c r="F557" s="62"/>
      <c r="J557" s="62"/>
    </row>
    <row r="558">
      <c r="D558" s="62"/>
      <c r="E558" s="62"/>
      <c r="F558" s="62"/>
      <c r="J558" s="62"/>
    </row>
    <row r="559">
      <c r="D559" s="62"/>
      <c r="E559" s="62"/>
      <c r="F559" s="62"/>
      <c r="J559" s="62"/>
    </row>
    <row r="560">
      <c r="D560" s="62"/>
      <c r="E560" s="62"/>
      <c r="F560" s="62"/>
      <c r="J560" s="62"/>
    </row>
    <row r="561">
      <c r="D561" s="62"/>
      <c r="E561" s="62"/>
      <c r="F561" s="62"/>
      <c r="J561" s="62"/>
    </row>
    <row r="562">
      <c r="D562" s="62"/>
      <c r="E562" s="62"/>
      <c r="F562" s="62"/>
      <c r="J562" s="62"/>
    </row>
    <row r="563">
      <c r="D563" s="62"/>
      <c r="E563" s="62"/>
      <c r="F563" s="62"/>
      <c r="J563" s="62"/>
    </row>
    <row r="564">
      <c r="D564" s="62"/>
      <c r="E564" s="62"/>
      <c r="F564" s="62"/>
      <c r="J564" s="62"/>
    </row>
    <row r="565">
      <c r="D565" s="62"/>
      <c r="E565" s="62"/>
      <c r="F565" s="62"/>
      <c r="J565" s="62"/>
    </row>
    <row r="566">
      <c r="D566" s="62"/>
      <c r="E566" s="62"/>
      <c r="F566" s="62"/>
      <c r="J566" s="62"/>
    </row>
    <row r="567">
      <c r="D567" s="62"/>
      <c r="E567" s="62"/>
      <c r="F567" s="62"/>
      <c r="J567" s="62"/>
    </row>
    <row r="568">
      <c r="D568" s="62"/>
      <c r="E568" s="62"/>
      <c r="F568" s="62"/>
      <c r="J568" s="62"/>
    </row>
    <row r="569">
      <c r="D569" s="62"/>
      <c r="E569" s="62"/>
      <c r="F569" s="62"/>
      <c r="J569" s="62"/>
    </row>
    <row r="570">
      <c r="D570" s="62"/>
      <c r="E570" s="62"/>
      <c r="F570" s="62"/>
      <c r="J570" s="62"/>
    </row>
    <row r="571">
      <c r="D571" s="62"/>
      <c r="E571" s="62"/>
      <c r="F571" s="62"/>
      <c r="J571" s="62"/>
    </row>
    <row r="572">
      <c r="D572" s="62"/>
      <c r="E572" s="62"/>
      <c r="F572" s="62"/>
      <c r="J572" s="62"/>
    </row>
    <row r="573">
      <c r="D573" s="62"/>
      <c r="E573" s="62"/>
      <c r="F573" s="62"/>
      <c r="J573" s="62"/>
    </row>
    <row r="574">
      <c r="D574" s="62"/>
      <c r="E574" s="62"/>
      <c r="F574" s="62"/>
      <c r="J574" s="62"/>
    </row>
    <row r="575">
      <c r="D575" s="62"/>
      <c r="E575" s="62"/>
      <c r="F575" s="62"/>
      <c r="J575" s="62"/>
    </row>
    <row r="576">
      <c r="D576" s="62"/>
      <c r="E576" s="62"/>
      <c r="F576" s="62"/>
      <c r="J576" s="62"/>
    </row>
    <row r="577">
      <c r="D577" s="62"/>
      <c r="E577" s="62"/>
      <c r="F577" s="62"/>
      <c r="J577" s="62"/>
    </row>
    <row r="578">
      <c r="D578" s="62"/>
      <c r="E578" s="62"/>
      <c r="F578" s="62"/>
      <c r="J578" s="62"/>
    </row>
    <row r="579">
      <c r="D579" s="62"/>
      <c r="E579" s="62"/>
      <c r="F579" s="62"/>
      <c r="J579" s="62"/>
    </row>
    <row r="580">
      <c r="D580" s="62"/>
      <c r="E580" s="62"/>
      <c r="F580" s="62"/>
      <c r="J580" s="62"/>
    </row>
    <row r="581">
      <c r="D581" s="62"/>
      <c r="E581" s="62"/>
      <c r="F581" s="62"/>
      <c r="J581" s="62"/>
    </row>
    <row r="582">
      <c r="D582" s="62"/>
      <c r="E582" s="62"/>
      <c r="F582" s="62"/>
      <c r="J582" s="62"/>
    </row>
    <row r="583">
      <c r="D583" s="62"/>
      <c r="E583" s="62"/>
      <c r="F583" s="62"/>
      <c r="J583" s="62"/>
    </row>
    <row r="584">
      <c r="D584" s="62"/>
      <c r="E584" s="62"/>
      <c r="F584" s="62"/>
      <c r="J584" s="62"/>
    </row>
    <row r="585">
      <c r="D585" s="62"/>
      <c r="E585" s="62"/>
      <c r="F585" s="62"/>
      <c r="J585" s="62"/>
    </row>
    <row r="586">
      <c r="D586" s="62"/>
      <c r="E586" s="62"/>
      <c r="F586" s="62"/>
      <c r="J586" s="62"/>
    </row>
    <row r="587">
      <c r="D587" s="62"/>
      <c r="E587" s="62"/>
      <c r="F587" s="62"/>
      <c r="J587" s="62"/>
    </row>
    <row r="588">
      <c r="D588" s="62"/>
      <c r="E588" s="62"/>
      <c r="F588" s="62"/>
      <c r="J588" s="62"/>
    </row>
    <row r="589">
      <c r="D589" s="62"/>
      <c r="E589" s="62"/>
      <c r="F589" s="62"/>
      <c r="J589" s="62"/>
    </row>
    <row r="590">
      <c r="D590" s="62"/>
      <c r="E590" s="62"/>
      <c r="F590" s="62"/>
      <c r="J590" s="62"/>
    </row>
    <row r="591">
      <c r="D591" s="62"/>
      <c r="E591" s="62"/>
      <c r="F591" s="62"/>
      <c r="J591" s="62"/>
    </row>
    <row r="592">
      <c r="D592" s="62"/>
      <c r="E592" s="62"/>
      <c r="F592" s="62"/>
      <c r="J592" s="62"/>
    </row>
    <row r="593">
      <c r="D593" s="62"/>
      <c r="E593" s="62"/>
      <c r="F593" s="62"/>
      <c r="J593" s="62"/>
    </row>
    <row r="594">
      <c r="D594" s="62"/>
      <c r="E594" s="62"/>
      <c r="F594" s="62"/>
      <c r="J594" s="62"/>
    </row>
    <row r="595">
      <c r="D595" s="62"/>
      <c r="E595" s="62"/>
      <c r="F595" s="62"/>
      <c r="J595" s="62"/>
    </row>
    <row r="596">
      <c r="D596" s="62"/>
      <c r="E596" s="62"/>
      <c r="F596" s="62"/>
      <c r="J596" s="62"/>
    </row>
    <row r="597">
      <c r="D597" s="62"/>
      <c r="E597" s="62"/>
      <c r="F597" s="62"/>
      <c r="J597" s="62"/>
    </row>
    <row r="598">
      <c r="D598" s="62"/>
      <c r="E598" s="62"/>
      <c r="F598" s="62"/>
      <c r="J598" s="62"/>
    </row>
    <row r="599">
      <c r="D599" s="62"/>
      <c r="E599" s="62"/>
      <c r="F599" s="62"/>
      <c r="J599" s="62"/>
    </row>
    <row r="600">
      <c r="D600" s="62"/>
      <c r="E600" s="62"/>
      <c r="F600" s="62"/>
      <c r="J600" s="62"/>
    </row>
    <row r="601">
      <c r="D601" s="62"/>
      <c r="E601" s="62"/>
      <c r="F601" s="62"/>
      <c r="J601" s="62"/>
    </row>
    <row r="602">
      <c r="D602" s="62"/>
      <c r="E602" s="62"/>
      <c r="F602" s="62"/>
      <c r="J602" s="62"/>
    </row>
    <row r="603">
      <c r="D603" s="62"/>
      <c r="E603" s="62"/>
      <c r="F603" s="62"/>
      <c r="J603" s="62"/>
    </row>
    <row r="604">
      <c r="D604" s="62"/>
      <c r="E604" s="62"/>
      <c r="F604" s="62"/>
      <c r="J604" s="62"/>
    </row>
    <row r="605">
      <c r="D605" s="62"/>
      <c r="E605" s="62"/>
      <c r="F605" s="62"/>
      <c r="J605" s="62"/>
    </row>
    <row r="606">
      <c r="D606" s="62"/>
      <c r="E606" s="62"/>
      <c r="F606" s="62"/>
      <c r="J606" s="62"/>
    </row>
    <row r="607">
      <c r="D607" s="62"/>
      <c r="E607" s="62"/>
      <c r="F607" s="62"/>
      <c r="J607" s="62"/>
    </row>
    <row r="608">
      <c r="D608" s="62"/>
      <c r="E608" s="62"/>
      <c r="F608" s="62"/>
      <c r="J608" s="62"/>
    </row>
    <row r="609">
      <c r="D609" s="62"/>
      <c r="E609" s="62"/>
      <c r="F609" s="62"/>
      <c r="J609" s="62"/>
    </row>
    <row r="610">
      <c r="D610" s="62"/>
      <c r="E610" s="62"/>
      <c r="F610" s="62"/>
      <c r="J610" s="62"/>
    </row>
    <row r="611">
      <c r="D611" s="62"/>
      <c r="E611" s="62"/>
      <c r="F611" s="62"/>
      <c r="J611" s="62"/>
    </row>
    <row r="612">
      <c r="D612" s="62"/>
      <c r="E612" s="62"/>
      <c r="F612" s="62"/>
      <c r="J612" s="62"/>
    </row>
    <row r="613">
      <c r="D613" s="62"/>
      <c r="E613" s="62"/>
      <c r="F613" s="62"/>
      <c r="J613" s="62"/>
    </row>
    <row r="614">
      <c r="D614" s="62"/>
      <c r="E614" s="62"/>
      <c r="F614" s="62"/>
      <c r="J614" s="62"/>
    </row>
    <row r="615">
      <c r="D615" s="62"/>
      <c r="E615" s="62"/>
      <c r="F615" s="62"/>
      <c r="J615" s="62"/>
    </row>
    <row r="616">
      <c r="D616" s="62"/>
      <c r="E616" s="62"/>
      <c r="F616" s="62"/>
      <c r="J616" s="62"/>
    </row>
    <row r="617">
      <c r="D617" s="62"/>
      <c r="E617" s="62"/>
      <c r="F617" s="62"/>
      <c r="J617" s="62"/>
    </row>
    <row r="618">
      <c r="D618" s="62"/>
      <c r="E618" s="62"/>
      <c r="F618" s="62"/>
      <c r="J618" s="62"/>
    </row>
    <row r="619">
      <c r="D619" s="62"/>
      <c r="E619" s="62"/>
      <c r="F619" s="62"/>
      <c r="J619" s="62"/>
    </row>
    <row r="620">
      <c r="D620" s="62"/>
      <c r="E620" s="62"/>
      <c r="F620" s="62"/>
      <c r="J620" s="62"/>
    </row>
    <row r="621">
      <c r="D621" s="62"/>
      <c r="E621" s="62"/>
      <c r="F621" s="62"/>
      <c r="J621" s="62"/>
    </row>
    <row r="622">
      <c r="D622" s="62"/>
      <c r="E622" s="62"/>
      <c r="F622" s="62"/>
      <c r="J622" s="62"/>
    </row>
    <row r="623">
      <c r="D623" s="62"/>
      <c r="E623" s="62"/>
      <c r="F623" s="62"/>
      <c r="J623" s="62"/>
    </row>
    <row r="624">
      <c r="D624" s="62"/>
      <c r="E624" s="62"/>
      <c r="F624" s="62"/>
      <c r="J624" s="62"/>
    </row>
    <row r="625">
      <c r="D625" s="62"/>
      <c r="E625" s="62"/>
      <c r="F625" s="62"/>
      <c r="J625" s="62"/>
    </row>
    <row r="626">
      <c r="D626" s="62"/>
      <c r="E626" s="62"/>
      <c r="F626" s="62"/>
      <c r="J626" s="62"/>
    </row>
    <row r="627">
      <c r="D627" s="62"/>
      <c r="E627" s="62"/>
      <c r="F627" s="62"/>
      <c r="J627" s="62"/>
    </row>
    <row r="628">
      <c r="D628" s="62"/>
      <c r="E628" s="62"/>
      <c r="F628" s="62"/>
      <c r="J628" s="62"/>
    </row>
    <row r="629">
      <c r="D629" s="62"/>
      <c r="E629" s="62"/>
      <c r="F629" s="62"/>
      <c r="J629" s="62"/>
    </row>
    <row r="630">
      <c r="D630" s="62"/>
      <c r="E630" s="62"/>
      <c r="F630" s="62"/>
      <c r="J630" s="62"/>
    </row>
    <row r="631">
      <c r="D631" s="62"/>
      <c r="E631" s="62"/>
      <c r="F631" s="62"/>
      <c r="J631" s="62"/>
    </row>
    <row r="632">
      <c r="D632" s="62"/>
      <c r="E632" s="62"/>
      <c r="F632" s="62"/>
      <c r="J632" s="62"/>
    </row>
    <row r="633">
      <c r="D633" s="62"/>
      <c r="E633" s="62"/>
      <c r="F633" s="62"/>
      <c r="J633" s="62"/>
    </row>
    <row r="634">
      <c r="D634" s="62"/>
      <c r="E634" s="62"/>
      <c r="F634" s="62"/>
      <c r="J634" s="62"/>
    </row>
    <row r="635">
      <c r="D635" s="62"/>
      <c r="E635" s="62"/>
      <c r="F635" s="62"/>
      <c r="J635" s="62"/>
    </row>
    <row r="636">
      <c r="D636" s="62"/>
      <c r="E636" s="62"/>
      <c r="F636" s="62"/>
      <c r="J636" s="62"/>
    </row>
    <row r="637">
      <c r="D637" s="62"/>
      <c r="E637" s="62"/>
      <c r="F637" s="62"/>
      <c r="J637" s="62"/>
    </row>
    <row r="638">
      <c r="D638" s="62"/>
      <c r="E638" s="62"/>
      <c r="F638" s="62"/>
      <c r="J638" s="62"/>
    </row>
    <row r="639">
      <c r="D639" s="62"/>
      <c r="E639" s="62"/>
      <c r="F639" s="62"/>
      <c r="J639" s="62"/>
    </row>
    <row r="640">
      <c r="D640" s="62"/>
      <c r="E640" s="62"/>
      <c r="F640" s="62"/>
      <c r="J640" s="62"/>
    </row>
    <row r="641">
      <c r="D641" s="62"/>
      <c r="E641" s="62"/>
      <c r="F641" s="62"/>
      <c r="J641" s="62"/>
    </row>
    <row r="642">
      <c r="D642" s="62"/>
      <c r="E642" s="62"/>
      <c r="F642" s="62"/>
      <c r="J642" s="62"/>
    </row>
    <row r="643">
      <c r="D643" s="62"/>
      <c r="E643" s="62"/>
      <c r="F643" s="62"/>
      <c r="J643" s="62"/>
    </row>
    <row r="644">
      <c r="D644" s="62"/>
      <c r="E644" s="62"/>
      <c r="F644" s="62"/>
      <c r="J644" s="62"/>
    </row>
    <row r="645">
      <c r="D645" s="62"/>
      <c r="E645" s="62"/>
      <c r="F645" s="62"/>
      <c r="J645" s="62"/>
    </row>
    <row r="646">
      <c r="D646" s="62"/>
      <c r="E646" s="62"/>
      <c r="F646" s="62"/>
      <c r="J646" s="62"/>
    </row>
    <row r="647">
      <c r="D647" s="62"/>
      <c r="E647" s="62"/>
      <c r="F647" s="62"/>
      <c r="J647" s="62"/>
    </row>
    <row r="648">
      <c r="D648" s="62"/>
      <c r="E648" s="62"/>
      <c r="F648" s="62"/>
      <c r="J648" s="62"/>
    </row>
    <row r="649">
      <c r="D649" s="62"/>
      <c r="E649" s="62"/>
      <c r="F649" s="62"/>
      <c r="J649" s="62"/>
    </row>
    <row r="650">
      <c r="D650" s="62"/>
      <c r="E650" s="62"/>
      <c r="F650" s="62"/>
      <c r="J650" s="62"/>
    </row>
    <row r="651">
      <c r="D651" s="62"/>
      <c r="E651" s="62"/>
      <c r="F651" s="62"/>
      <c r="J651" s="62"/>
    </row>
    <row r="652">
      <c r="D652" s="62"/>
      <c r="E652" s="62"/>
      <c r="F652" s="62"/>
      <c r="J652" s="62"/>
    </row>
    <row r="653">
      <c r="D653" s="62"/>
      <c r="E653" s="62"/>
      <c r="F653" s="62"/>
      <c r="J653" s="62"/>
    </row>
    <row r="654">
      <c r="D654" s="62"/>
      <c r="E654" s="62"/>
      <c r="F654" s="62"/>
      <c r="J654" s="62"/>
    </row>
    <row r="655">
      <c r="D655" s="62"/>
      <c r="E655" s="62"/>
      <c r="F655" s="62"/>
      <c r="J655" s="62"/>
    </row>
    <row r="656">
      <c r="D656" s="62"/>
      <c r="E656" s="62"/>
      <c r="F656" s="62"/>
      <c r="J656" s="62"/>
    </row>
    <row r="657">
      <c r="D657" s="62"/>
      <c r="E657" s="62"/>
      <c r="F657" s="62"/>
      <c r="J657" s="62"/>
    </row>
    <row r="658">
      <c r="D658" s="62"/>
      <c r="E658" s="62"/>
      <c r="F658" s="62"/>
      <c r="J658" s="62"/>
    </row>
    <row r="659">
      <c r="D659" s="62"/>
      <c r="E659" s="62"/>
      <c r="F659" s="62"/>
      <c r="J659" s="62"/>
    </row>
    <row r="660">
      <c r="D660" s="62"/>
      <c r="E660" s="62"/>
      <c r="F660" s="62"/>
      <c r="J660" s="62"/>
    </row>
    <row r="661">
      <c r="D661" s="62"/>
      <c r="E661" s="62"/>
      <c r="F661" s="62"/>
      <c r="J661" s="62"/>
    </row>
    <row r="662">
      <c r="D662" s="62"/>
      <c r="E662" s="62"/>
      <c r="F662" s="62"/>
      <c r="J662" s="62"/>
    </row>
    <row r="663">
      <c r="D663" s="62"/>
      <c r="E663" s="62"/>
      <c r="F663" s="62"/>
      <c r="J663" s="62"/>
    </row>
    <row r="664">
      <c r="D664" s="62"/>
      <c r="E664" s="62"/>
      <c r="F664" s="62"/>
      <c r="J664" s="62"/>
    </row>
    <row r="665">
      <c r="D665" s="62"/>
      <c r="E665" s="62"/>
      <c r="F665" s="62"/>
      <c r="J665" s="62"/>
    </row>
    <row r="666">
      <c r="D666" s="62"/>
      <c r="E666" s="62"/>
      <c r="F666" s="62"/>
      <c r="J666" s="62"/>
    </row>
    <row r="667">
      <c r="D667" s="62"/>
      <c r="E667" s="62"/>
      <c r="F667" s="62"/>
      <c r="J667" s="62"/>
    </row>
    <row r="668">
      <c r="D668" s="62"/>
      <c r="E668" s="62"/>
      <c r="F668" s="62"/>
      <c r="J668" s="62"/>
    </row>
    <row r="669">
      <c r="D669" s="62"/>
      <c r="E669" s="62"/>
      <c r="F669" s="62"/>
      <c r="J669" s="62"/>
    </row>
    <row r="670">
      <c r="D670" s="62"/>
      <c r="E670" s="62"/>
      <c r="F670" s="62"/>
      <c r="J670" s="62"/>
    </row>
    <row r="671">
      <c r="D671" s="62"/>
      <c r="E671" s="62"/>
      <c r="F671" s="62"/>
      <c r="J671" s="62"/>
    </row>
    <row r="672">
      <c r="D672" s="62"/>
      <c r="E672" s="62"/>
      <c r="F672" s="62"/>
      <c r="J672" s="62"/>
    </row>
    <row r="673">
      <c r="D673" s="62"/>
      <c r="E673" s="62"/>
      <c r="F673" s="62"/>
      <c r="J673" s="62"/>
    </row>
    <row r="674">
      <c r="D674" s="62"/>
      <c r="E674" s="62"/>
      <c r="F674" s="62"/>
      <c r="J674" s="62"/>
    </row>
    <row r="675">
      <c r="D675" s="62"/>
      <c r="E675" s="62"/>
      <c r="F675" s="62"/>
      <c r="J675" s="62"/>
    </row>
    <row r="676">
      <c r="D676" s="62"/>
      <c r="E676" s="62"/>
      <c r="F676" s="62"/>
      <c r="J676" s="62"/>
    </row>
    <row r="677">
      <c r="D677" s="62"/>
      <c r="E677" s="62"/>
      <c r="F677" s="62"/>
      <c r="J677" s="62"/>
    </row>
    <row r="678">
      <c r="D678" s="62"/>
      <c r="E678" s="62"/>
      <c r="F678" s="62"/>
      <c r="J678" s="62"/>
    </row>
    <row r="679">
      <c r="D679" s="62"/>
      <c r="E679" s="62"/>
      <c r="F679" s="62"/>
      <c r="J679" s="62"/>
    </row>
    <row r="680">
      <c r="D680" s="62"/>
      <c r="E680" s="62"/>
      <c r="F680" s="62"/>
      <c r="J680" s="62"/>
    </row>
    <row r="681">
      <c r="D681" s="62"/>
      <c r="E681" s="62"/>
      <c r="F681" s="62"/>
      <c r="J681" s="62"/>
    </row>
    <row r="682">
      <c r="D682" s="62"/>
      <c r="E682" s="62"/>
      <c r="F682" s="62"/>
      <c r="J682" s="62"/>
    </row>
    <row r="683">
      <c r="D683" s="62"/>
      <c r="E683" s="62"/>
      <c r="F683" s="62"/>
      <c r="J683" s="62"/>
    </row>
    <row r="684">
      <c r="D684" s="62"/>
      <c r="E684" s="62"/>
      <c r="F684" s="62"/>
      <c r="J684" s="62"/>
    </row>
    <row r="685">
      <c r="D685" s="62"/>
      <c r="E685" s="62"/>
      <c r="F685" s="62"/>
      <c r="J685" s="62"/>
    </row>
    <row r="686">
      <c r="D686" s="62"/>
      <c r="E686" s="62"/>
      <c r="F686" s="62"/>
      <c r="J686" s="62"/>
    </row>
    <row r="687">
      <c r="D687" s="62"/>
      <c r="E687" s="62"/>
      <c r="F687" s="62"/>
      <c r="J687" s="62"/>
    </row>
    <row r="688">
      <c r="D688" s="62"/>
      <c r="E688" s="62"/>
      <c r="F688" s="62"/>
      <c r="J688" s="62"/>
    </row>
    <row r="689">
      <c r="D689" s="62"/>
      <c r="E689" s="62"/>
      <c r="F689" s="62"/>
      <c r="J689" s="62"/>
    </row>
    <row r="690">
      <c r="D690" s="62"/>
      <c r="E690" s="62"/>
      <c r="F690" s="62"/>
      <c r="J690" s="62"/>
    </row>
    <row r="691">
      <c r="D691" s="62"/>
      <c r="E691" s="62"/>
      <c r="F691" s="62"/>
      <c r="J691" s="62"/>
    </row>
    <row r="692">
      <c r="D692" s="62"/>
      <c r="E692" s="62"/>
      <c r="F692" s="62"/>
      <c r="J692" s="62"/>
    </row>
    <row r="693">
      <c r="D693" s="62"/>
      <c r="E693" s="62"/>
      <c r="F693" s="62"/>
      <c r="J693" s="62"/>
    </row>
    <row r="694">
      <c r="D694" s="62"/>
      <c r="E694" s="62"/>
      <c r="F694" s="62"/>
      <c r="J694" s="62"/>
    </row>
    <row r="695">
      <c r="D695" s="62"/>
      <c r="E695" s="62"/>
      <c r="F695" s="62"/>
      <c r="J695" s="62"/>
    </row>
    <row r="696">
      <c r="D696" s="62"/>
      <c r="E696" s="62"/>
      <c r="F696" s="62"/>
      <c r="J696" s="62"/>
    </row>
    <row r="697">
      <c r="D697" s="62"/>
      <c r="E697" s="62"/>
      <c r="F697" s="62"/>
      <c r="J697" s="62"/>
    </row>
    <row r="698">
      <c r="D698" s="62"/>
      <c r="E698" s="62"/>
      <c r="F698" s="62"/>
      <c r="J698" s="62"/>
    </row>
    <row r="699">
      <c r="D699" s="62"/>
      <c r="E699" s="62"/>
      <c r="F699" s="62"/>
      <c r="J699" s="62"/>
    </row>
    <row r="700">
      <c r="D700" s="62"/>
      <c r="E700" s="62"/>
      <c r="F700" s="62"/>
      <c r="J700" s="62"/>
    </row>
    <row r="701">
      <c r="D701" s="62"/>
      <c r="E701" s="62"/>
      <c r="F701" s="62"/>
      <c r="J701" s="62"/>
    </row>
    <row r="702">
      <c r="D702" s="62"/>
      <c r="E702" s="62"/>
      <c r="F702" s="62"/>
      <c r="J702" s="62"/>
    </row>
    <row r="703">
      <c r="D703" s="62"/>
      <c r="E703" s="62"/>
      <c r="F703" s="62"/>
      <c r="J703" s="62"/>
    </row>
    <row r="704">
      <c r="D704" s="62"/>
      <c r="E704" s="62"/>
      <c r="F704" s="62"/>
      <c r="J704" s="62"/>
    </row>
    <row r="705">
      <c r="D705" s="62"/>
      <c r="E705" s="62"/>
      <c r="F705" s="62"/>
      <c r="J705" s="62"/>
    </row>
    <row r="706">
      <c r="D706" s="62"/>
      <c r="E706" s="62"/>
      <c r="F706" s="62"/>
      <c r="J706" s="62"/>
    </row>
    <row r="707">
      <c r="D707" s="62"/>
      <c r="E707" s="62"/>
      <c r="F707" s="62"/>
      <c r="J707" s="62"/>
    </row>
    <row r="708">
      <c r="D708" s="62"/>
      <c r="E708" s="62"/>
      <c r="F708" s="62"/>
      <c r="J708" s="62"/>
    </row>
    <row r="709">
      <c r="D709" s="62"/>
      <c r="E709" s="62"/>
      <c r="F709" s="62"/>
      <c r="J709" s="62"/>
    </row>
    <row r="710">
      <c r="D710" s="62"/>
      <c r="E710" s="62"/>
      <c r="F710" s="62"/>
      <c r="J710" s="62"/>
    </row>
    <row r="711">
      <c r="D711" s="62"/>
      <c r="E711" s="62"/>
      <c r="F711" s="62"/>
      <c r="J711" s="62"/>
    </row>
    <row r="712">
      <c r="D712" s="62"/>
      <c r="E712" s="62"/>
      <c r="F712" s="62"/>
      <c r="J712" s="62"/>
    </row>
    <row r="713">
      <c r="D713" s="62"/>
      <c r="E713" s="62"/>
      <c r="F713" s="62"/>
      <c r="J713" s="62"/>
    </row>
    <row r="714">
      <c r="D714" s="62"/>
      <c r="E714" s="62"/>
      <c r="F714" s="62"/>
      <c r="J714" s="62"/>
    </row>
    <row r="715">
      <c r="D715" s="62"/>
      <c r="E715" s="62"/>
      <c r="F715" s="62"/>
      <c r="J715" s="62"/>
    </row>
    <row r="716">
      <c r="D716" s="62"/>
      <c r="E716" s="62"/>
      <c r="F716" s="62"/>
      <c r="J716" s="62"/>
    </row>
    <row r="717">
      <c r="D717" s="62"/>
      <c r="E717" s="62"/>
      <c r="F717" s="62"/>
      <c r="J717" s="62"/>
    </row>
    <row r="718">
      <c r="D718" s="62"/>
      <c r="E718" s="62"/>
      <c r="F718" s="62"/>
      <c r="J718" s="62"/>
    </row>
    <row r="719">
      <c r="D719" s="62"/>
      <c r="E719" s="62"/>
      <c r="F719" s="62"/>
      <c r="J719" s="62"/>
    </row>
    <row r="720">
      <c r="D720" s="62"/>
      <c r="E720" s="62"/>
      <c r="F720" s="62"/>
      <c r="J720" s="62"/>
    </row>
    <row r="721">
      <c r="D721" s="62"/>
      <c r="E721" s="62"/>
      <c r="F721" s="62"/>
      <c r="J721" s="62"/>
    </row>
    <row r="722">
      <c r="D722" s="62"/>
      <c r="E722" s="62"/>
      <c r="F722" s="62"/>
      <c r="J722" s="62"/>
    </row>
    <row r="723">
      <c r="D723" s="62"/>
      <c r="E723" s="62"/>
      <c r="F723" s="62"/>
      <c r="J723" s="62"/>
    </row>
    <row r="724">
      <c r="D724" s="62"/>
      <c r="E724" s="62"/>
      <c r="F724" s="62"/>
      <c r="J724" s="62"/>
    </row>
    <row r="725">
      <c r="D725" s="62"/>
      <c r="E725" s="62"/>
      <c r="F725" s="62"/>
      <c r="J725" s="62"/>
    </row>
    <row r="726">
      <c r="D726" s="62"/>
      <c r="E726" s="62"/>
      <c r="F726" s="62"/>
      <c r="J726" s="62"/>
    </row>
    <row r="727">
      <c r="D727" s="62"/>
      <c r="E727" s="62"/>
      <c r="F727" s="62"/>
      <c r="J727" s="62"/>
    </row>
    <row r="728">
      <c r="D728" s="62"/>
      <c r="E728" s="62"/>
      <c r="F728" s="62"/>
      <c r="J728" s="62"/>
    </row>
    <row r="729">
      <c r="D729" s="62"/>
      <c r="E729" s="62"/>
      <c r="F729" s="62"/>
      <c r="J729" s="62"/>
    </row>
    <row r="730">
      <c r="D730" s="62"/>
      <c r="E730" s="62"/>
      <c r="F730" s="62"/>
      <c r="J730" s="62"/>
    </row>
    <row r="731">
      <c r="D731" s="62"/>
      <c r="E731" s="62"/>
      <c r="F731" s="62"/>
      <c r="J731" s="62"/>
    </row>
    <row r="732">
      <c r="D732" s="62"/>
      <c r="E732" s="62"/>
      <c r="F732" s="62"/>
      <c r="J732" s="62"/>
    </row>
    <row r="733">
      <c r="D733" s="62"/>
      <c r="E733" s="62"/>
      <c r="F733" s="62"/>
      <c r="J733" s="62"/>
    </row>
    <row r="734">
      <c r="D734" s="62"/>
      <c r="E734" s="62"/>
      <c r="F734" s="62"/>
      <c r="J734" s="62"/>
    </row>
    <row r="735">
      <c r="D735" s="62"/>
      <c r="E735" s="62"/>
      <c r="F735" s="62"/>
      <c r="J735" s="62"/>
    </row>
    <row r="736">
      <c r="D736" s="62"/>
      <c r="E736" s="62"/>
      <c r="F736" s="62"/>
      <c r="J736" s="62"/>
    </row>
    <row r="737">
      <c r="D737" s="62"/>
      <c r="E737" s="62"/>
      <c r="F737" s="62"/>
      <c r="J737" s="62"/>
    </row>
    <row r="738">
      <c r="D738" s="62"/>
      <c r="E738" s="62"/>
      <c r="F738" s="62"/>
      <c r="J738" s="62"/>
    </row>
    <row r="739">
      <c r="D739" s="62"/>
      <c r="E739" s="62"/>
      <c r="F739" s="62"/>
      <c r="J739" s="62"/>
    </row>
    <row r="740">
      <c r="D740" s="62"/>
      <c r="E740" s="62"/>
      <c r="F740" s="62"/>
      <c r="J740" s="62"/>
    </row>
    <row r="741">
      <c r="D741" s="62"/>
      <c r="E741" s="62"/>
      <c r="F741" s="62"/>
      <c r="J741" s="62"/>
    </row>
    <row r="742">
      <c r="D742" s="62"/>
      <c r="E742" s="62"/>
      <c r="F742" s="62"/>
      <c r="J742" s="62"/>
    </row>
    <row r="743">
      <c r="D743" s="62"/>
      <c r="E743" s="62"/>
      <c r="F743" s="62"/>
      <c r="J743" s="62"/>
    </row>
    <row r="744">
      <c r="D744" s="62"/>
      <c r="E744" s="62"/>
      <c r="F744" s="62"/>
      <c r="J744" s="62"/>
    </row>
    <row r="745">
      <c r="D745" s="62"/>
      <c r="E745" s="62"/>
      <c r="F745" s="62"/>
      <c r="J745" s="62"/>
    </row>
    <row r="746">
      <c r="D746" s="62"/>
      <c r="E746" s="62"/>
      <c r="F746" s="62"/>
      <c r="J746" s="62"/>
    </row>
    <row r="747">
      <c r="D747" s="62"/>
      <c r="E747" s="62"/>
      <c r="F747" s="62"/>
      <c r="J747" s="62"/>
    </row>
    <row r="748">
      <c r="D748" s="62"/>
      <c r="E748" s="62"/>
      <c r="F748" s="62"/>
      <c r="J748" s="62"/>
    </row>
    <row r="749">
      <c r="D749" s="62"/>
      <c r="E749" s="62"/>
      <c r="F749" s="62"/>
      <c r="J749" s="62"/>
    </row>
    <row r="750">
      <c r="D750" s="62"/>
      <c r="E750" s="62"/>
      <c r="F750" s="62"/>
      <c r="J750" s="62"/>
    </row>
    <row r="751">
      <c r="D751" s="62"/>
      <c r="E751" s="62"/>
      <c r="F751" s="62"/>
      <c r="J751" s="62"/>
    </row>
    <row r="752">
      <c r="D752" s="62"/>
      <c r="E752" s="62"/>
      <c r="F752" s="62"/>
      <c r="J752" s="62"/>
    </row>
    <row r="753">
      <c r="D753" s="62"/>
      <c r="E753" s="62"/>
      <c r="F753" s="62"/>
      <c r="J753" s="62"/>
    </row>
    <row r="754">
      <c r="D754" s="62"/>
      <c r="E754" s="62"/>
      <c r="F754" s="62"/>
      <c r="J754" s="62"/>
    </row>
    <row r="755">
      <c r="D755" s="62"/>
      <c r="E755" s="62"/>
      <c r="F755" s="62"/>
      <c r="J755" s="62"/>
    </row>
    <row r="756">
      <c r="D756" s="62"/>
      <c r="E756" s="62"/>
      <c r="F756" s="62"/>
      <c r="J756" s="62"/>
    </row>
    <row r="757">
      <c r="D757" s="62"/>
      <c r="E757" s="62"/>
      <c r="F757" s="62"/>
      <c r="J757" s="62"/>
    </row>
    <row r="758">
      <c r="D758" s="62"/>
      <c r="E758" s="62"/>
      <c r="F758" s="62"/>
      <c r="J758" s="62"/>
    </row>
    <row r="759">
      <c r="D759" s="62"/>
      <c r="E759" s="62"/>
      <c r="F759" s="62"/>
      <c r="J759" s="62"/>
    </row>
    <row r="760">
      <c r="D760" s="62"/>
      <c r="E760" s="62"/>
      <c r="F760" s="62"/>
      <c r="J760" s="62"/>
    </row>
    <row r="761">
      <c r="D761" s="62"/>
      <c r="E761" s="62"/>
      <c r="F761" s="62"/>
      <c r="J761" s="62"/>
    </row>
    <row r="762">
      <c r="D762" s="62"/>
      <c r="E762" s="62"/>
      <c r="F762" s="62"/>
      <c r="J762" s="62"/>
    </row>
    <row r="763">
      <c r="D763" s="62"/>
      <c r="E763" s="62"/>
      <c r="F763" s="62"/>
      <c r="J763" s="62"/>
    </row>
    <row r="764">
      <c r="D764" s="62"/>
      <c r="E764" s="62"/>
      <c r="F764" s="62"/>
      <c r="J764" s="62"/>
    </row>
    <row r="765">
      <c r="D765" s="62"/>
      <c r="E765" s="62"/>
      <c r="F765" s="62"/>
      <c r="J765" s="62"/>
    </row>
    <row r="766">
      <c r="D766" s="62"/>
      <c r="E766" s="62"/>
      <c r="F766" s="62"/>
      <c r="J766" s="62"/>
    </row>
    <row r="767">
      <c r="D767" s="62"/>
      <c r="E767" s="62"/>
      <c r="F767" s="62"/>
      <c r="J767" s="62"/>
    </row>
    <row r="768">
      <c r="D768" s="62"/>
      <c r="E768" s="62"/>
      <c r="F768" s="62"/>
      <c r="J768" s="62"/>
    </row>
    <row r="769">
      <c r="D769" s="62"/>
      <c r="E769" s="62"/>
      <c r="F769" s="62"/>
      <c r="J769" s="62"/>
    </row>
    <row r="770">
      <c r="D770" s="62"/>
      <c r="E770" s="62"/>
      <c r="F770" s="62"/>
      <c r="J770" s="62"/>
    </row>
    <row r="771">
      <c r="D771" s="62"/>
      <c r="E771" s="62"/>
      <c r="F771" s="62"/>
      <c r="J771" s="62"/>
    </row>
    <row r="772">
      <c r="D772" s="62"/>
      <c r="E772" s="62"/>
      <c r="F772" s="62"/>
      <c r="J772" s="62"/>
    </row>
    <row r="773">
      <c r="D773" s="62"/>
      <c r="E773" s="62"/>
      <c r="F773" s="62"/>
      <c r="J773" s="62"/>
    </row>
    <row r="774">
      <c r="D774" s="62"/>
      <c r="E774" s="62"/>
      <c r="F774" s="62"/>
      <c r="J774" s="62"/>
    </row>
    <row r="775">
      <c r="D775" s="62"/>
      <c r="E775" s="62"/>
      <c r="F775" s="62"/>
      <c r="J775" s="62"/>
    </row>
    <row r="776">
      <c r="D776" s="62"/>
      <c r="E776" s="62"/>
      <c r="F776" s="62"/>
      <c r="J776" s="62"/>
    </row>
    <row r="777">
      <c r="D777" s="62"/>
      <c r="E777" s="62"/>
      <c r="F777" s="62"/>
      <c r="J777" s="62"/>
    </row>
    <row r="778">
      <c r="D778" s="62"/>
      <c r="E778" s="62"/>
      <c r="F778" s="62"/>
      <c r="J778" s="62"/>
    </row>
    <row r="779">
      <c r="D779" s="62"/>
      <c r="E779" s="62"/>
      <c r="F779" s="62"/>
      <c r="J779" s="62"/>
    </row>
    <row r="780">
      <c r="D780" s="62"/>
      <c r="E780" s="62"/>
      <c r="F780" s="62"/>
      <c r="J780" s="62"/>
    </row>
    <row r="781">
      <c r="D781" s="62"/>
      <c r="E781" s="62"/>
      <c r="F781" s="62"/>
      <c r="J781" s="62"/>
    </row>
    <row r="782">
      <c r="D782" s="62"/>
      <c r="E782" s="62"/>
      <c r="F782" s="62"/>
      <c r="J782" s="62"/>
    </row>
    <row r="783">
      <c r="D783" s="62"/>
      <c r="E783" s="62"/>
      <c r="F783" s="62"/>
      <c r="J783" s="62"/>
    </row>
    <row r="784">
      <c r="D784" s="62"/>
      <c r="E784" s="62"/>
      <c r="F784" s="62"/>
      <c r="J784" s="62"/>
    </row>
    <row r="785">
      <c r="D785" s="62"/>
      <c r="E785" s="62"/>
      <c r="F785" s="62"/>
      <c r="J785" s="62"/>
    </row>
    <row r="786">
      <c r="D786" s="62"/>
      <c r="E786" s="62"/>
      <c r="F786" s="62"/>
      <c r="J786" s="62"/>
    </row>
    <row r="787">
      <c r="D787" s="62"/>
      <c r="E787" s="62"/>
      <c r="F787" s="62"/>
      <c r="J787" s="62"/>
    </row>
    <row r="788">
      <c r="D788" s="62"/>
      <c r="E788" s="62"/>
      <c r="F788" s="62"/>
      <c r="J788" s="62"/>
    </row>
    <row r="789">
      <c r="D789" s="62"/>
      <c r="E789" s="62"/>
      <c r="F789" s="62"/>
      <c r="J789" s="62"/>
    </row>
    <row r="790">
      <c r="D790" s="62"/>
      <c r="E790" s="62"/>
      <c r="F790" s="62"/>
      <c r="J790" s="62"/>
    </row>
    <row r="791">
      <c r="D791" s="62"/>
      <c r="E791" s="62"/>
      <c r="F791" s="62"/>
      <c r="J791" s="62"/>
    </row>
    <row r="792">
      <c r="D792" s="62"/>
      <c r="E792" s="62"/>
      <c r="F792" s="62"/>
      <c r="J792" s="62"/>
    </row>
    <row r="793">
      <c r="D793" s="62"/>
      <c r="E793" s="62"/>
      <c r="F793" s="62"/>
      <c r="J793" s="62"/>
    </row>
    <row r="794">
      <c r="D794" s="62"/>
      <c r="E794" s="62"/>
      <c r="F794" s="62"/>
      <c r="J794" s="62"/>
    </row>
    <row r="795">
      <c r="D795" s="62"/>
      <c r="E795" s="62"/>
      <c r="F795" s="62"/>
      <c r="J795" s="62"/>
    </row>
    <row r="796">
      <c r="D796" s="62"/>
      <c r="E796" s="62"/>
      <c r="F796" s="62"/>
      <c r="J796" s="62"/>
    </row>
    <row r="797">
      <c r="D797" s="62"/>
      <c r="E797" s="62"/>
      <c r="F797" s="62"/>
      <c r="J797" s="62"/>
    </row>
    <row r="798">
      <c r="D798" s="62"/>
      <c r="E798" s="62"/>
      <c r="F798" s="62"/>
      <c r="J798" s="62"/>
    </row>
    <row r="799">
      <c r="D799" s="62"/>
      <c r="E799" s="62"/>
      <c r="F799" s="62"/>
      <c r="J799" s="62"/>
    </row>
    <row r="800">
      <c r="D800" s="62"/>
      <c r="E800" s="62"/>
      <c r="F800" s="62"/>
      <c r="J800" s="62"/>
    </row>
    <row r="801">
      <c r="D801" s="62"/>
      <c r="E801" s="62"/>
      <c r="F801" s="62"/>
      <c r="J801" s="62"/>
    </row>
    <row r="802">
      <c r="D802" s="62"/>
      <c r="E802" s="62"/>
      <c r="F802" s="62"/>
      <c r="J802" s="62"/>
    </row>
    <row r="803">
      <c r="D803" s="62"/>
      <c r="E803" s="62"/>
      <c r="F803" s="62"/>
      <c r="J803" s="62"/>
    </row>
    <row r="804">
      <c r="D804" s="62"/>
      <c r="E804" s="62"/>
      <c r="F804" s="62"/>
      <c r="J804" s="62"/>
    </row>
    <row r="805">
      <c r="D805" s="62"/>
      <c r="E805" s="62"/>
      <c r="F805" s="62"/>
      <c r="J805" s="62"/>
    </row>
    <row r="806">
      <c r="D806" s="62"/>
      <c r="E806" s="62"/>
      <c r="F806" s="62"/>
      <c r="J806" s="62"/>
    </row>
    <row r="807">
      <c r="D807" s="62"/>
      <c r="E807" s="62"/>
      <c r="F807" s="62"/>
      <c r="J807" s="62"/>
    </row>
    <row r="808">
      <c r="D808" s="62"/>
      <c r="E808" s="62"/>
      <c r="F808" s="62"/>
      <c r="J808" s="62"/>
    </row>
    <row r="809">
      <c r="D809" s="62"/>
      <c r="E809" s="62"/>
      <c r="F809" s="62"/>
      <c r="J809" s="62"/>
    </row>
    <row r="810">
      <c r="D810" s="62"/>
      <c r="E810" s="62"/>
      <c r="F810" s="62"/>
      <c r="J810" s="62"/>
    </row>
    <row r="811">
      <c r="D811" s="62"/>
      <c r="E811" s="62"/>
      <c r="F811" s="62"/>
      <c r="J811" s="62"/>
    </row>
    <row r="812">
      <c r="D812" s="62"/>
      <c r="E812" s="62"/>
      <c r="F812" s="62"/>
      <c r="J812" s="62"/>
    </row>
    <row r="813">
      <c r="D813" s="62"/>
      <c r="E813" s="62"/>
      <c r="F813" s="62"/>
      <c r="J813" s="62"/>
    </row>
    <row r="814">
      <c r="D814" s="62"/>
      <c r="E814" s="62"/>
      <c r="F814" s="62"/>
      <c r="J814" s="62"/>
    </row>
    <row r="815">
      <c r="D815" s="62"/>
      <c r="E815" s="62"/>
      <c r="F815" s="62"/>
      <c r="J815" s="62"/>
    </row>
    <row r="816">
      <c r="D816" s="62"/>
      <c r="E816" s="62"/>
      <c r="F816" s="62"/>
      <c r="J816" s="62"/>
    </row>
    <row r="817">
      <c r="D817" s="62"/>
      <c r="E817" s="62"/>
      <c r="F817" s="62"/>
      <c r="J817" s="62"/>
    </row>
    <row r="818">
      <c r="D818" s="62"/>
      <c r="E818" s="62"/>
      <c r="F818" s="62"/>
      <c r="J818" s="62"/>
    </row>
    <row r="819">
      <c r="D819" s="62"/>
      <c r="E819" s="62"/>
      <c r="F819" s="62"/>
      <c r="J819" s="62"/>
    </row>
    <row r="820">
      <c r="D820" s="62"/>
      <c r="E820" s="62"/>
      <c r="F820" s="62"/>
      <c r="J820" s="62"/>
    </row>
    <row r="821">
      <c r="D821" s="62"/>
      <c r="E821" s="62"/>
      <c r="F821" s="62"/>
      <c r="J821" s="62"/>
    </row>
    <row r="822">
      <c r="D822" s="62"/>
      <c r="E822" s="62"/>
      <c r="F822" s="62"/>
      <c r="J822" s="62"/>
    </row>
    <row r="823">
      <c r="D823" s="62"/>
      <c r="E823" s="62"/>
      <c r="F823" s="62"/>
      <c r="J823" s="62"/>
    </row>
    <row r="824">
      <c r="D824" s="62"/>
      <c r="E824" s="62"/>
      <c r="F824" s="62"/>
      <c r="J824" s="62"/>
    </row>
    <row r="825">
      <c r="D825" s="62"/>
      <c r="E825" s="62"/>
      <c r="F825" s="62"/>
      <c r="J825" s="62"/>
    </row>
    <row r="826">
      <c r="D826" s="62"/>
      <c r="E826" s="62"/>
      <c r="F826" s="62"/>
      <c r="J826" s="62"/>
    </row>
    <row r="827">
      <c r="D827" s="62"/>
      <c r="E827" s="62"/>
      <c r="F827" s="62"/>
      <c r="J827" s="62"/>
    </row>
    <row r="828">
      <c r="D828" s="62"/>
      <c r="E828" s="62"/>
      <c r="F828" s="62"/>
      <c r="J828" s="62"/>
    </row>
    <row r="829">
      <c r="D829" s="62"/>
      <c r="E829" s="62"/>
      <c r="F829" s="62"/>
      <c r="J829" s="62"/>
    </row>
    <row r="830">
      <c r="D830" s="62"/>
      <c r="E830" s="62"/>
      <c r="F830" s="62"/>
      <c r="J830" s="62"/>
    </row>
    <row r="831">
      <c r="D831" s="62"/>
      <c r="E831" s="62"/>
      <c r="F831" s="62"/>
      <c r="J831" s="62"/>
    </row>
    <row r="832">
      <c r="D832" s="62"/>
      <c r="E832" s="62"/>
      <c r="F832" s="62"/>
      <c r="J832" s="62"/>
    </row>
    <row r="833">
      <c r="D833" s="62"/>
      <c r="E833" s="62"/>
      <c r="F833" s="62"/>
      <c r="J833" s="62"/>
    </row>
    <row r="834">
      <c r="D834" s="62"/>
      <c r="E834" s="62"/>
      <c r="F834" s="62"/>
      <c r="J834" s="62"/>
    </row>
    <row r="835">
      <c r="D835" s="62"/>
      <c r="E835" s="62"/>
      <c r="F835" s="62"/>
      <c r="J835" s="62"/>
    </row>
    <row r="836">
      <c r="D836" s="62"/>
      <c r="E836" s="62"/>
      <c r="F836" s="62"/>
      <c r="J836" s="62"/>
    </row>
    <row r="837">
      <c r="D837" s="62"/>
      <c r="E837" s="62"/>
      <c r="F837" s="62"/>
      <c r="J837" s="62"/>
    </row>
    <row r="838">
      <c r="D838" s="62"/>
      <c r="E838" s="62"/>
      <c r="F838" s="62"/>
      <c r="J838" s="62"/>
    </row>
    <row r="839">
      <c r="D839" s="62"/>
      <c r="E839" s="62"/>
      <c r="F839" s="62"/>
      <c r="J839" s="62"/>
    </row>
    <row r="840">
      <c r="D840" s="62"/>
      <c r="E840" s="62"/>
      <c r="F840" s="62"/>
      <c r="J840" s="62"/>
    </row>
    <row r="841">
      <c r="D841" s="62"/>
      <c r="E841" s="62"/>
      <c r="F841" s="62"/>
      <c r="J841" s="62"/>
    </row>
    <row r="842">
      <c r="D842" s="62"/>
      <c r="E842" s="62"/>
      <c r="F842" s="62"/>
      <c r="J842" s="62"/>
    </row>
    <row r="843">
      <c r="D843" s="62"/>
      <c r="E843" s="62"/>
      <c r="F843" s="62"/>
      <c r="J843" s="62"/>
    </row>
    <row r="844">
      <c r="D844" s="62"/>
      <c r="E844" s="62"/>
      <c r="F844" s="62"/>
      <c r="J844" s="62"/>
    </row>
    <row r="845">
      <c r="D845" s="62"/>
      <c r="E845" s="62"/>
      <c r="F845" s="62"/>
      <c r="J845" s="62"/>
    </row>
    <row r="846">
      <c r="D846" s="62"/>
      <c r="E846" s="62"/>
      <c r="F846" s="62"/>
      <c r="J846" s="62"/>
    </row>
    <row r="847">
      <c r="D847" s="62"/>
      <c r="E847" s="62"/>
      <c r="F847" s="62"/>
      <c r="J847" s="62"/>
    </row>
    <row r="848">
      <c r="D848" s="62"/>
      <c r="E848" s="62"/>
      <c r="F848" s="62"/>
      <c r="J848" s="62"/>
    </row>
    <row r="849">
      <c r="D849" s="62"/>
      <c r="E849" s="62"/>
      <c r="F849" s="62"/>
      <c r="J849" s="62"/>
    </row>
    <row r="850">
      <c r="D850" s="62"/>
      <c r="E850" s="62"/>
      <c r="F850" s="62"/>
      <c r="J850" s="62"/>
    </row>
    <row r="851">
      <c r="D851" s="62"/>
      <c r="E851" s="62"/>
      <c r="F851" s="62"/>
      <c r="J851" s="62"/>
    </row>
    <row r="852">
      <c r="D852" s="62"/>
      <c r="E852" s="62"/>
      <c r="F852" s="62"/>
      <c r="J852" s="62"/>
    </row>
    <row r="853">
      <c r="D853" s="62"/>
      <c r="E853" s="62"/>
      <c r="F853" s="62"/>
      <c r="J853" s="62"/>
    </row>
    <row r="854">
      <c r="D854" s="62"/>
      <c r="E854" s="62"/>
      <c r="F854" s="62"/>
      <c r="J854" s="62"/>
    </row>
    <row r="855">
      <c r="D855" s="62"/>
      <c r="E855" s="62"/>
      <c r="F855" s="62"/>
      <c r="J855" s="62"/>
    </row>
    <row r="856">
      <c r="D856" s="62"/>
      <c r="E856" s="62"/>
      <c r="F856" s="62"/>
      <c r="J856" s="62"/>
    </row>
    <row r="857">
      <c r="D857" s="62"/>
      <c r="E857" s="62"/>
      <c r="F857" s="62"/>
      <c r="J857" s="62"/>
    </row>
    <row r="858">
      <c r="D858" s="62"/>
      <c r="E858" s="62"/>
      <c r="F858" s="62"/>
      <c r="J858" s="62"/>
    </row>
    <row r="859">
      <c r="D859" s="62"/>
      <c r="E859" s="62"/>
      <c r="F859" s="62"/>
      <c r="J859" s="62"/>
    </row>
    <row r="860">
      <c r="D860" s="62"/>
      <c r="E860" s="62"/>
      <c r="F860" s="62"/>
      <c r="J860" s="62"/>
    </row>
    <row r="861">
      <c r="D861" s="62"/>
      <c r="E861" s="62"/>
      <c r="F861" s="62"/>
      <c r="J861" s="62"/>
    </row>
    <row r="862">
      <c r="D862" s="62"/>
      <c r="E862" s="62"/>
      <c r="F862" s="62"/>
      <c r="J862" s="62"/>
    </row>
    <row r="863">
      <c r="D863" s="62"/>
      <c r="E863" s="62"/>
      <c r="F863" s="62"/>
      <c r="J863" s="62"/>
    </row>
    <row r="864">
      <c r="D864" s="62"/>
      <c r="E864" s="62"/>
      <c r="F864" s="62"/>
      <c r="J864" s="62"/>
    </row>
    <row r="865">
      <c r="D865" s="62"/>
      <c r="E865" s="62"/>
      <c r="F865" s="62"/>
      <c r="J865" s="62"/>
    </row>
    <row r="866">
      <c r="D866" s="62"/>
      <c r="E866" s="62"/>
      <c r="F866" s="62"/>
      <c r="J866" s="62"/>
    </row>
    <row r="867">
      <c r="D867" s="62"/>
      <c r="E867" s="62"/>
      <c r="F867" s="62"/>
      <c r="J867" s="62"/>
    </row>
    <row r="868">
      <c r="D868" s="62"/>
      <c r="E868" s="62"/>
      <c r="F868" s="62"/>
      <c r="J868" s="62"/>
    </row>
    <row r="869">
      <c r="D869" s="62"/>
      <c r="E869" s="62"/>
      <c r="F869" s="62"/>
      <c r="J869" s="62"/>
    </row>
    <row r="870">
      <c r="D870" s="62"/>
      <c r="E870" s="62"/>
      <c r="F870" s="62"/>
      <c r="J870" s="62"/>
    </row>
    <row r="871">
      <c r="D871" s="62"/>
      <c r="E871" s="62"/>
      <c r="F871" s="62"/>
      <c r="J871" s="62"/>
    </row>
    <row r="872">
      <c r="D872" s="62"/>
      <c r="E872" s="62"/>
      <c r="F872" s="62"/>
      <c r="J872" s="62"/>
    </row>
    <row r="873">
      <c r="D873" s="62"/>
      <c r="E873" s="62"/>
      <c r="F873" s="62"/>
      <c r="J873" s="62"/>
    </row>
    <row r="874">
      <c r="D874" s="62"/>
      <c r="E874" s="62"/>
      <c r="F874" s="62"/>
      <c r="J874" s="62"/>
    </row>
    <row r="875">
      <c r="D875" s="62"/>
      <c r="E875" s="62"/>
      <c r="F875" s="62"/>
      <c r="J875" s="62"/>
    </row>
    <row r="876">
      <c r="D876" s="62"/>
      <c r="E876" s="62"/>
      <c r="F876" s="62"/>
      <c r="J876" s="62"/>
    </row>
    <row r="877">
      <c r="D877" s="62"/>
      <c r="E877" s="62"/>
      <c r="F877" s="62"/>
      <c r="J877" s="62"/>
    </row>
    <row r="878">
      <c r="D878" s="62"/>
      <c r="E878" s="62"/>
      <c r="F878" s="62"/>
      <c r="J878" s="62"/>
    </row>
    <row r="879">
      <c r="D879" s="62"/>
      <c r="E879" s="62"/>
      <c r="F879" s="62"/>
      <c r="J879" s="62"/>
    </row>
    <row r="880">
      <c r="D880" s="62"/>
      <c r="E880" s="62"/>
      <c r="F880" s="62"/>
      <c r="J880" s="62"/>
    </row>
    <row r="881">
      <c r="D881" s="62"/>
      <c r="E881" s="62"/>
      <c r="F881" s="62"/>
      <c r="J881" s="62"/>
    </row>
    <row r="882">
      <c r="D882" s="62"/>
      <c r="E882" s="62"/>
      <c r="F882" s="62"/>
      <c r="J882" s="62"/>
    </row>
    <row r="883">
      <c r="D883" s="62"/>
      <c r="E883" s="62"/>
      <c r="F883" s="62"/>
      <c r="J883" s="62"/>
    </row>
    <row r="884">
      <c r="D884" s="62"/>
      <c r="E884" s="62"/>
      <c r="F884" s="62"/>
      <c r="J884" s="62"/>
    </row>
    <row r="885">
      <c r="D885" s="62"/>
      <c r="E885" s="62"/>
      <c r="F885" s="62"/>
      <c r="J885" s="62"/>
    </row>
    <row r="886">
      <c r="D886" s="62"/>
      <c r="E886" s="62"/>
      <c r="F886" s="62"/>
      <c r="J886" s="62"/>
    </row>
    <row r="887">
      <c r="D887" s="62"/>
      <c r="E887" s="62"/>
      <c r="F887" s="62"/>
      <c r="J887" s="62"/>
    </row>
    <row r="888">
      <c r="D888" s="62"/>
      <c r="E888" s="62"/>
      <c r="F888" s="62"/>
      <c r="J888" s="62"/>
    </row>
    <row r="889">
      <c r="D889" s="62"/>
      <c r="E889" s="62"/>
      <c r="F889" s="62"/>
      <c r="J889" s="62"/>
    </row>
    <row r="890">
      <c r="D890" s="62"/>
      <c r="E890" s="62"/>
      <c r="F890" s="62"/>
      <c r="J890" s="62"/>
    </row>
    <row r="891">
      <c r="D891" s="62"/>
      <c r="E891" s="62"/>
      <c r="F891" s="62"/>
      <c r="J891" s="62"/>
    </row>
    <row r="892">
      <c r="D892" s="62"/>
      <c r="E892" s="62"/>
      <c r="F892" s="62"/>
      <c r="J892" s="62"/>
    </row>
    <row r="893">
      <c r="D893" s="62"/>
      <c r="E893" s="62"/>
      <c r="F893" s="62"/>
      <c r="J893" s="62"/>
    </row>
    <row r="894">
      <c r="D894" s="62"/>
      <c r="E894" s="62"/>
      <c r="F894" s="62"/>
      <c r="J894" s="62"/>
    </row>
    <row r="895">
      <c r="D895" s="62"/>
      <c r="E895" s="62"/>
      <c r="F895" s="62"/>
      <c r="J895" s="62"/>
    </row>
    <row r="896">
      <c r="D896" s="62"/>
      <c r="E896" s="62"/>
      <c r="F896" s="62"/>
      <c r="J896" s="62"/>
    </row>
    <row r="897">
      <c r="D897" s="62"/>
      <c r="E897" s="62"/>
      <c r="F897" s="62"/>
      <c r="J897" s="62"/>
    </row>
    <row r="898">
      <c r="D898" s="62"/>
      <c r="E898" s="62"/>
      <c r="F898" s="62"/>
      <c r="J898" s="62"/>
    </row>
    <row r="899">
      <c r="D899" s="62"/>
      <c r="E899" s="62"/>
      <c r="F899" s="62"/>
      <c r="J899" s="62"/>
    </row>
    <row r="900">
      <c r="D900" s="62"/>
      <c r="E900" s="62"/>
      <c r="F900" s="62"/>
      <c r="J900" s="62"/>
    </row>
    <row r="901">
      <c r="D901" s="62"/>
      <c r="E901" s="62"/>
      <c r="F901" s="62"/>
      <c r="J901" s="62"/>
    </row>
    <row r="902">
      <c r="D902" s="62"/>
      <c r="E902" s="62"/>
      <c r="F902" s="62"/>
      <c r="J902" s="62"/>
    </row>
    <row r="903">
      <c r="D903" s="62"/>
      <c r="E903" s="62"/>
      <c r="F903" s="62"/>
      <c r="J903" s="62"/>
    </row>
    <row r="904">
      <c r="D904" s="62"/>
      <c r="E904" s="62"/>
      <c r="F904" s="62"/>
      <c r="J904" s="62"/>
    </row>
    <row r="905">
      <c r="D905" s="62"/>
      <c r="E905" s="62"/>
      <c r="F905" s="62"/>
      <c r="J905" s="62"/>
    </row>
    <row r="906">
      <c r="D906" s="62"/>
      <c r="E906" s="62"/>
      <c r="F906" s="62"/>
      <c r="J906" s="62"/>
    </row>
    <row r="907">
      <c r="D907" s="62"/>
      <c r="E907" s="62"/>
      <c r="F907" s="62"/>
      <c r="J907" s="62"/>
    </row>
    <row r="908">
      <c r="D908" s="62"/>
      <c r="E908" s="62"/>
      <c r="F908" s="62"/>
      <c r="J908" s="62"/>
    </row>
    <row r="909">
      <c r="D909" s="62"/>
      <c r="E909" s="62"/>
      <c r="F909" s="62"/>
      <c r="J909" s="62"/>
    </row>
    <row r="910">
      <c r="D910" s="62"/>
      <c r="E910" s="62"/>
      <c r="F910" s="62"/>
      <c r="J910" s="62"/>
    </row>
    <row r="911">
      <c r="D911" s="62"/>
      <c r="E911" s="62"/>
      <c r="F911" s="62"/>
      <c r="J911" s="62"/>
    </row>
    <row r="912">
      <c r="D912" s="62"/>
      <c r="E912" s="62"/>
      <c r="F912" s="62"/>
      <c r="J912" s="62"/>
    </row>
    <row r="913">
      <c r="D913" s="62"/>
      <c r="E913" s="62"/>
      <c r="F913" s="62"/>
      <c r="J913" s="62"/>
    </row>
    <row r="914">
      <c r="D914" s="62"/>
      <c r="E914" s="62"/>
      <c r="F914" s="62"/>
      <c r="J914" s="62"/>
    </row>
    <row r="915">
      <c r="D915" s="62"/>
      <c r="E915" s="62"/>
      <c r="F915" s="62"/>
      <c r="J915" s="62"/>
    </row>
    <row r="916">
      <c r="D916" s="62"/>
      <c r="E916" s="62"/>
      <c r="F916" s="62"/>
      <c r="J916" s="62"/>
    </row>
    <row r="917">
      <c r="D917" s="62"/>
      <c r="E917" s="62"/>
      <c r="F917" s="62"/>
      <c r="J917" s="62"/>
    </row>
    <row r="918">
      <c r="D918" s="62"/>
      <c r="E918" s="62"/>
      <c r="F918" s="62"/>
      <c r="J918" s="62"/>
    </row>
    <row r="919">
      <c r="D919" s="62"/>
      <c r="E919" s="62"/>
      <c r="F919" s="62"/>
      <c r="J919" s="62"/>
    </row>
    <row r="920">
      <c r="D920" s="62"/>
      <c r="E920" s="62"/>
      <c r="F920" s="62"/>
      <c r="J920" s="62"/>
    </row>
    <row r="921">
      <c r="D921" s="62"/>
      <c r="E921" s="62"/>
      <c r="F921" s="62"/>
      <c r="J921" s="62"/>
    </row>
    <row r="922">
      <c r="D922" s="62"/>
      <c r="E922" s="62"/>
      <c r="F922" s="62"/>
      <c r="J922" s="62"/>
    </row>
    <row r="923">
      <c r="D923" s="62"/>
      <c r="E923" s="62"/>
      <c r="F923" s="62"/>
      <c r="J923" s="62"/>
    </row>
    <row r="924">
      <c r="D924" s="62"/>
      <c r="E924" s="62"/>
      <c r="F924" s="62"/>
      <c r="J924" s="62"/>
    </row>
    <row r="925">
      <c r="D925" s="62"/>
      <c r="E925" s="62"/>
      <c r="F925" s="62"/>
      <c r="J925" s="62"/>
    </row>
    <row r="926">
      <c r="D926" s="62"/>
      <c r="E926" s="62"/>
      <c r="F926" s="62"/>
      <c r="J926" s="62"/>
    </row>
    <row r="927">
      <c r="D927" s="62"/>
      <c r="E927" s="62"/>
      <c r="F927" s="62"/>
      <c r="J927" s="62"/>
    </row>
    <row r="928">
      <c r="D928" s="62"/>
      <c r="E928" s="62"/>
      <c r="F928" s="62"/>
      <c r="J928" s="62"/>
    </row>
    <row r="929">
      <c r="D929" s="62"/>
      <c r="E929" s="62"/>
      <c r="F929" s="62"/>
      <c r="J929" s="62"/>
    </row>
    <row r="930">
      <c r="D930" s="62"/>
      <c r="E930" s="62"/>
      <c r="F930" s="62"/>
      <c r="J930" s="62"/>
    </row>
    <row r="931">
      <c r="D931" s="62"/>
      <c r="E931" s="62"/>
      <c r="F931" s="62"/>
      <c r="J931" s="62"/>
    </row>
    <row r="932">
      <c r="D932" s="62"/>
      <c r="E932" s="62"/>
      <c r="F932" s="62"/>
      <c r="J932" s="62"/>
    </row>
    <row r="933">
      <c r="D933" s="62"/>
      <c r="E933" s="62"/>
      <c r="F933" s="62"/>
      <c r="J933" s="62"/>
    </row>
    <row r="934">
      <c r="D934" s="62"/>
      <c r="E934" s="62"/>
      <c r="F934" s="62"/>
      <c r="J934" s="62"/>
    </row>
    <row r="935">
      <c r="D935" s="62"/>
      <c r="E935" s="62"/>
      <c r="F935" s="62"/>
      <c r="J935" s="62"/>
    </row>
    <row r="936">
      <c r="D936" s="62"/>
      <c r="E936" s="62"/>
      <c r="F936" s="62"/>
      <c r="J936" s="62"/>
    </row>
    <row r="937">
      <c r="D937" s="62"/>
      <c r="E937" s="62"/>
      <c r="F937" s="62"/>
      <c r="J937" s="62"/>
    </row>
    <row r="938">
      <c r="D938" s="62"/>
      <c r="E938" s="62"/>
      <c r="F938" s="62"/>
      <c r="J938" s="62"/>
    </row>
    <row r="939">
      <c r="D939" s="62"/>
      <c r="E939" s="62"/>
      <c r="F939" s="62"/>
      <c r="J939" s="62"/>
    </row>
    <row r="940">
      <c r="D940" s="62"/>
      <c r="E940" s="62"/>
      <c r="F940" s="62"/>
      <c r="J940" s="62"/>
    </row>
    <row r="941">
      <c r="D941" s="62"/>
      <c r="E941" s="62"/>
      <c r="F941" s="62"/>
      <c r="J941" s="62"/>
    </row>
    <row r="942">
      <c r="D942" s="62"/>
      <c r="E942" s="62"/>
      <c r="F942" s="62"/>
      <c r="J942" s="62"/>
    </row>
    <row r="943">
      <c r="D943" s="62"/>
      <c r="E943" s="62"/>
      <c r="F943" s="62"/>
      <c r="J943" s="62"/>
    </row>
    <row r="944">
      <c r="D944" s="62"/>
      <c r="E944" s="62"/>
      <c r="F944" s="62"/>
      <c r="J944" s="62"/>
    </row>
    <row r="945">
      <c r="D945" s="62"/>
      <c r="E945" s="62"/>
      <c r="F945" s="62"/>
      <c r="J945" s="62"/>
    </row>
    <row r="946">
      <c r="D946" s="62"/>
      <c r="E946" s="62"/>
      <c r="F946" s="62"/>
      <c r="J946" s="62"/>
    </row>
    <row r="947">
      <c r="D947" s="62"/>
      <c r="E947" s="62"/>
      <c r="F947" s="62"/>
      <c r="J947" s="62"/>
    </row>
    <row r="948">
      <c r="D948" s="62"/>
      <c r="E948" s="62"/>
      <c r="F948" s="62"/>
      <c r="J948" s="62"/>
    </row>
    <row r="949">
      <c r="D949" s="62"/>
      <c r="E949" s="62"/>
      <c r="F949" s="62"/>
      <c r="J949" s="62"/>
    </row>
    <row r="950">
      <c r="D950" s="62"/>
      <c r="E950" s="62"/>
      <c r="F950" s="62"/>
      <c r="J950" s="62"/>
    </row>
    <row r="951">
      <c r="D951" s="62"/>
      <c r="E951" s="62"/>
      <c r="F951" s="62"/>
      <c r="J951" s="62"/>
    </row>
    <row r="952">
      <c r="D952" s="62"/>
      <c r="E952" s="62"/>
      <c r="F952" s="62"/>
      <c r="J952" s="62"/>
    </row>
    <row r="953">
      <c r="D953" s="62"/>
      <c r="E953" s="62"/>
      <c r="F953" s="62"/>
      <c r="J953" s="62"/>
    </row>
    <row r="954">
      <c r="D954" s="62"/>
      <c r="E954" s="62"/>
      <c r="F954" s="62"/>
      <c r="J954" s="62"/>
    </row>
    <row r="955">
      <c r="D955" s="62"/>
      <c r="E955" s="62"/>
      <c r="F955" s="62"/>
      <c r="J955" s="62"/>
    </row>
    <row r="956">
      <c r="D956" s="62"/>
      <c r="E956" s="62"/>
      <c r="F956" s="62"/>
      <c r="J956" s="62"/>
    </row>
    <row r="957">
      <c r="D957" s="62"/>
      <c r="E957" s="62"/>
      <c r="F957" s="62"/>
      <c r="J957" s="62"/>
    </row>
    <row r="958">
      <c r="D958" s="62"/>
      <c r="E958" s="62"/>
      <c r="F958" s="62"/>
      <c r="J958" s="62"/>
    </row>
    <row r="959">
      <c r="D959" s="62"/>
      <c r="E959" s="62"/>
      <c r="F959" s="62"/>
      <c r="J959" s="62"/>
    </row>
    <row r="960">
      <c r="D960" s="62"/>
      <c r="E960" s="62"/>
      <c r="F960" s="62"/>
      <c r="J960" s="62"/>
    </row>
    <row r="961">
      <c r="D961" s="62"/>
      <c r="E961" s="62"/>
      <c r="F961" s="62"/>
      <c r="J961" s="62"/>
    </row>
    <row r="962">
      <c r="D962" s="62"/>
      <c r="E962" s="62"/>
      <c r="F962" s="62"/>
      <c r="J962" s="62"/>
    </row>
    <row r="963">
      <c r="D963" s="62"/>
      <c r="E963" s="62"/>
      <c r="F963" s="62"/>
      <c r="J963" s="62"/>
    </row>
    <row r="964">
      <c r="D964" s="62"/>
      <c r="E964" s="62"/>
      <c r="F964" s="62"/>
      <c r="J964" s="62"/>
    </row>
    <row r="965">
      <c r="D965" s="62"/>
      <c r="E965" s="62"/>
      <c r="F965" s="62"/>
      <c r="J965" s="62"/>
    </row>
    <row r="966">
      <c r="D966" s="62"/>
      <c r="E966" s="62"/>
      <c r="F966" s="62"/>
      <c r="J966" s="62"/>
    </row>
    <row r="967">
      <c r="D967" s="62"/>
      <c r="E967" s="62"/>
      <c r="F967" s="62"/>
      <c r="J967" s="62"/>
    </row>
    <row r="968">
      <c r="D968" s="62"/>
      <c r="E968" s="62"/>
      <c r="F968" s="62"/>
      <c r="J968" s="62"/>
    </row>
    <row r="969">
      <c r="D969" s="62"/>
      <c r="E969" s="62"/>
      <c r="F969" s="62"/>
      <c r="J969" s="62"/>
    </row>
    <row r="970">
      <c r="D970" s="62"/>
      <c r="E970" s="62"/>
      <c r="F970" s="62"/>
      <c r="J970" s="62"/>
    </row>
    <row r="971">
      <c r="D971" s="62"/>
      <c r="E971" s="62"/>
      <c r="F971" s="62"/>
      <c r="J971" s="62"/>
    </row>
    <row r="972">
      <c r="D972" s="62"/>
      <c r="E972" s="62"/>
      <c r="F972" s="62"/>
      <c r="J972" s="62"/>
    </row>
    <row r="973">
      <c r="D973" s="62"/>
      <c r="E973" s="62"/>
      <c r="F973" s="62"/>
      <c r="J973" s="62"/>
    </row>
    <row r="974">
      <c r="D974" s="62"/>
      <c r="E974" s="62"/>
      <c r="F974" s="62"/>
      <c r="J974" s="62"/>
    </row>
    <row r="975">
      <c r="D975" s="62"/>
      <c r="E975" s="62"/>
      <c r="F975" s="62"/>
      <c r="J975" s="62"/>
    </row>
    <row r="976">
      <c r="D976" s="62"/>
      <c r="E976" s="62"/>
      <c r="F976" s="62"/>
      <c r="J976" s="62"/>
    </row>
    <row r="977">
      <c r="D977" s="62"/>
      <c r="E977" s="62"/>
      <c r="F977" s="62"/>
      <c r="J977" s="62"/>
    </row>
    <row r="978">
      <c r="D978" s="62"/>
      <c r="E978" s="62"/>
      <c r="F978" s="62"/>
      <c r="J978" s="62"/>
    </row>
    <row r="979">
      <c r="D979" s="62"/>
      <c r="E979" s="62"/>
      <c r="F979" s="62"/>
      <c r="J979" s="62"/>
    </row>
    <row r="980">
      <c r="D980" s="62"/>
      <c r="E980" s="62"/>
      <c r="F980" s="62"/>
      <c r="J980" s="62"/>
    </row>
    <row r="981">
      <c r="D981" s="62"/>
      <c r="E981" s="62"/>
      <c r="F981" s="62"/>
      <c r="J981" s="62"/>
    </row>
    <row r="982">
      <c r="D982" s="62"/>
      <c r="E982" s="62"/>
      <c r="F982" s="62"/>
      <c r="J982" s="62"/>
    </row>
    <row r="983">
      <c r="D983" s="62"/>
      <c r="E983" s="62"/>
      <c r="F983" s="62"/>
      <c r="J983" s="62"/>
    </row>
    <row r="984">
      <c r="D984" s="62"/>
      <c r="E984" s="62"/>
      <c r="F984" s="62"/>
      <c r="J984" s="62"/>
    </row>
    <row r="985">
      <c r="D985" s="62"/>
      <c r="E985" s="62"/>
      <c r="F985" s="62"/>
      <c r="J985" s="62"/>
    </row>
    <row r="986">
      <c r="D986" s="62"/>
      <c r="E986" s="62"/>
      <c r="F986" s="62"/>
      <c r="J986" s="62"/>
    </row>
    <row r="987">
      <c r="D987" s="62"/>
      <c r="E987" s="62"/>
      <c r="F987" s="62"/>
      <c r="J987" s="62"/>
    </row>
    <row r="988">
      <c r="D988" s="62"/>
      <c r="E988" s="62"/>
      <c r="F988" s="62"/>
      <c r="J988" s="62"/>
    </row>
    <row r="989">
      <c r="D989" s="62"/>
      <c r="E989" s="62"/>
      <c r="F989" s="62"/>
      <c r="J989" s="62"/>
    </row>
    <row r="990">
      <c r="D990" s="62"/>
      <c r="E990" s="62"/>
      <c r="F990" s="62"/>
      <c r="J990" s="62"/>
    </row>
    <row r="991">
      <c r="D991" s="62"/>
      <c r="E991" s="62"/>
      <c r="F991" s="62"/>
      <c r="J991" s="62"/>
    </row>
    <row r="992">
      <c r="D992" s="62"/>
      <c r="E992" s="62"/>
      <c r="F992" s="62"/>
      <c r="J992" s="62"/>
    </row>
    <row r="993">
      <c r="D993" s="62"/>
      <c r="E993" s="62"/>
      <c r="F993" s="62"/>
      <c r="J993" s="62"/>
    </row>
    <row r="994">
      <c r="D994" s="62"/>
      <c r="E994" s="62"/>
      <c r="F994" s="62"/>
      <c r="J994" s="62"/>
    </row>
    <row r="995">
      <c r="D995" s="62"/>
      <c r="E995" s="62"/>
      <c r="F995" s="62"/>
      <c r="J995" s="62"/>
    </row>
    <row r="996">
      <c r="D996" s="62"/>
      <c r="E996" s="62"/>
      <c r="F996" s="62"/>
      <c r="J996" s="62"/>
    </row>
    <row r="997">
      <c r="D997" s="62"/>
      <c r="E997" s="62"/>
      <c r="F997" s="62"/>
      <c r="J997" s="62"/>
    </row>
    <row r="998">
      <c r="D998" s="62"/>
      <c r="E998" s="62"/>
      <c r="F998" s="62"/>
      <c r="J998" s="62"/>
    </row>
    <row r="999">
      <c r="D999" s="62"/>
      <c r="E999" s="62"/>
      <c r="F999" s="62"/>
      <c r="J999" s="62"/>
    </row>
    <row r="1000">
      <c r="D1000" s="62"/>
      <c r="E1000" s="62"/>
      <c r="F1000" s="62"/>
      <c r="J1000" s="62"/>
    </row>
  </sheetData>
  <mergeCells count="2">
    <mergeCell ref="A1:G1"/>
    <mergeCell ref="H1:K1"/>
  </mergeCells>
  <conditionalFormatting sqref="A1:A1000">
    <cfRule type="containsText" dxfId="0" priority="1" operator="containsText" text="Unassigned">
      <formula>NOT(ISERROR(SEARCH(("Unassigned"),(A1))))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25.29"/>
    <col customWidth="1" min="3" max="3" width="31.14"/>
    <col customWidth="1" min="4" max="4" width="15.14"/>
    <col customWidth="1" min="5" max="5" width="16.57"/>
    <col customWidth="1" min="6" max="6" width="21.71"/>
    <col customWidth="1" min="7" max="7" width="22.86"/>
    <col customWidth="1" min="8" max="8" width="21.14"/>
    <col customWidth="1" min="9" max="9" width="25.57"/>
    <col customWidth="1" min="10" max="10" width="23.43"/>
    <col customWidth="1" min="11" max="11" width="29.29"/>
    <col customWidth="1" min="12" max="12" width="23.29"/>
    <col customWidth="1" min="13" max="13" width="24.43"/>
    <col customWidth="1" min="14" max="14" width="32.14"/>
  </cols>
  <sheetData>
    <row r="1">
      <c r="A1" s="139" t="s">
        <v>65</v>
      </c>
      <c r="B1" s="139" t="s">
        <v>89</v>
      </c>
      <c r="C1" s="139" t="s">
        <v>363</v>
      </c>
      <c r="D1" s="140" t="s">
        <v>364</v>
      </c>
      <c r="E1" s="140" t="s">
        <v>365</v>
      </c>
      <c r="F1" s="141" t="s">
        <v>329</v>
      </c>
      <c r="G1" s="141" t="s">
        <v>84</v>
      </c>
      <c r="H1" s="142" t="s">
        <v>366</v>
      </c>
      <c r="I1" s="142" t="s">
        <v>367</v>
      </c>
      <c r="J1" s="142" t="s">
        <v>368</v>
      </c>
      <c r="K1" s="142" t="s">
        <v>369</v>
      </c>
      <c r="L1" s="142" t="s">
        <v>370</v>
      </c>
      <c r="M1" s="142" t="s">
        <v>105</v>
      </c>
      <c r="N1" s="143"/>
      <c r="O1" s="143"/>
      <c r="P1" s="143"/>
      <c r="Q1" s="143"/>
      <c r="R1" s="143"/>
      <c r="S1" s="143"/>
      <c r="T1" s="143"/>
      <c r="U1" s="143"/>
      <c r="V1" s="143"/>
      <c r="W1" s="143"/>
      <c r="X1" s="143"/>
      <c r="Y1" s="143"/>
      <c r="Z1" s="143"/>
      <c r="AA1" s="143"/>
      <c r="AB1" s="143"/>
      <c r="AC1" s="143"/>
      <c r="AD1" s="143"/>
    </row>
    <row r="2">
      <c r="A2" s="144">
        <f>IFERROR(__xludf.DUMMYFUNCTION("FILTER(Assignments!A3:A1311, Assignments!E3:E1311=""Yes"")"),43446.65079341435)</f>
        <v>43446.65079</v>
      </c>
      <c r="B2" s="145" t="str">
        <f>IFERROR(__xludf.DUMMYFUNCTION("FILTER(Assignments!L3:L1311, Assignments!E3:E1311=""Yes"")"),"Xiaodong Wang")</f>
        <v>Xiaodong Wang</v>
      </c>
      <c r="C2" s="145" t="str">
        <f>IFERROR(__xludf.DUMMYFUNCTION("FILTER(Assignments!M3:M1311, Assignments!E3:E1311=""Yes"")"),"xdwang@ciphergene.com")</f>
        <v>xdwang@ciphergene.com</v>
      </c>
      <c r="D2" s="145" t="str">
        <f>IFERROR(__xludf.DUMMYFUNCTION("FILTER(Assignments!B3:B1311,Assignments!E3:E1311=""Yes"")"),"Contacted")</f>
        <v>Contacted</v>
      </c>
      <c r="E2" s="146">
        <f>IFERROR(__xludf.DUMMYFUNCTION("filter(Assignments!D3:D1311,Assignments!E3:E1311=""Yes"")"),43570.0)</f>
        <v>43570</v>
      </c>
      <c r="F2" s="147" t="str">
        <f>IFERROR(__xludf.DUMMYFUNCTION("filter(Assignments!F3:F1311, Assignments!E3:E1311=""Yes"")"),"Yes")</f>
        <v>Yes</v>
      </c>
      <c r="G2" s="67" t="str">
        <f>IFERROR(__xludf.DUMMYFUNCTION("filter(Assignments!G3:G1311,Assignments!E3:E1311=""Yes"")"),"Gene Disease Validity")</f>
        <v>Gene Disease Validity</v>
      </c>
      <c r="H2" s="67" t="str">
        <f>IFERROR(__xludf.DUMMYFUNCTION("filter(Assignments!H3:H1311,Assignments!E3:E1311=""Yes"")"),"Epilepsy")</f>
        <v>Epilepsy</v>
      </c>
      <c r="I2" s="148">
        <f t="shared" ref="I2:I123" si="1">EDATE(E2,3)</f>
        <v>43661</v>
      </c>
      <c r="J2" s="149">
        <f>IFERROR(__xludf.DUMMYFUNCTION("filter(Assignments!J3:J1311,Assignments!E3:E1311=""Yes"")"),43712.0)</f>
        <v>43712</v>
      </c>
      <c r="K2" s="150">
        <f t="shared" ref="K2:K123" si="2">EDATE(E2,6)</f>
        <v>43753</v>
      </c>
      <c r="L2" s="81" t="str">
        <f>IFERROR(__xludf.DUMMYFUNCTION("filter(Assignments!K3:K1311,Assignments!E3:E1311=""Yes"")"),"")</f>
        <v/>
      </c>
      <c r="M2" s="62"/>
      <c r="N2" s="62"/>
      <c r="O2" s="62"/>
      <c r="P2" s="62"/>
      <c r="Q2" s="62"/>
      <c r="R2" s="62"/>
      <c r="S2" s="62"/>
      <c r="T2" s="62"/>
      <c r="U2" s="62"/>
      <c r="V2" s="62"/>
      <c r="W2" s="62"/>
      <c r="X2" s="62"/>
      <c r="Y2" s="62"/>
      <c r="Z2" s="62"/>
      <c r="AA2" s="62"/>
      <c r="AB2" s="62"/>
      <c r="AC2" s="62"/>
      <c r="AD2" s="62"/>
    </row>
    <row r="3">
      <c r="A3" s="151">
        <f>IFERROR(__xludf.DUMMYFUNCTION("""COMPUTED_VALUE"""),43447.421107152775)</f>
        <v>43447.42111</v>
      </c>
      <c r="B3" s="6" t="str">
        <f>IFERROR(__xludf.DUMMYFUNCTION("""COMPUTED_VALUE"""),"Jennifer Howe")</f>
        <v>Jennifer Howe</v>
      </c>
      <c r="C3" s="6" t="str">
        <f>IFERROR(__xludf.DUMMYFUNCTION("""COMPUTED_VALUE"""),"jhowe@sickkids.ca")</f>
        <v>jhowe@sickkids.ca</v>
      </c>
      <c r="D3" s="62" t="str">
        <f>IFERROR(__xludf.DUMMYFUNCTION("""COMPUTED_VALUE"""),"Declined")</f>
        <v>Declined</v>
      </c>
      <c r="E3" s="81">
        <f>IFERROR(__xludf.DUMMYFUNCTION("""COMPUTED_VALUE"""),43446.0)</f>
        <v>43446</v>
      </c>
      <c r="F3" s="62" t="str">
        <f>IFERROR(__xludf.DUMMYFUNCTION("""COMPUTED_VALUE"""),"Yes")</f>
        <v>Yes</v>
      </c>
      <c r="G3" s="62" t="str">
        <f>IFERROR(__xludf.DUMMYFUNCTION("""COMPUTED_VALUE"""),"Gene Disease Validity")</f>
        <v>Gene Disease Validity</v>
      </c>
      <c r="H3" s="62" t="str">
        <f>IFERROR(__xludf.DUMMYFUNCTION("""COMPUTED_VALUE"""),"ID Autism")</f>
        <v>ID Autism</v>
      </c>
      <c r="I3" s="152">
        <f t="shared" si="1"/>
        <v>43536</v>
      </c>
      <c r="J3" s="81">
        <f>IFERROR(__xludf.DUMMYFUNCTION("""COMPUTED_VALUE"""),43592.0)</f>
        <v>43592</v>
      </c>
      <c r="K3" s="150">
        <f t="shared" si="2"/>
        <v>43628</v>
      </c>
      <c r="L3" s="81">
        <f>IFERROR(__xludf.DUMMYFUNCTION("""COMPUTED_VALUE"""),43713.0)</f>
        <v>43713</v>
      </c>
      <c r="M3" s="62"/>
      <c r="N3" s="62"/>
      <c r="O3" s="62"/>
      <c r="P3" s="62"/>
      <c r="Q3" s="62"/>
      <c r="R3" s="62"/>
      <c r="S3" s="62"/>
      <c r="T3" s="62"/>
      <c r="U3" s="62"/>
      <c r="V3" s="62"/>
      <c r="W3" s="62"/>
      <c r="X3" s="62"/>
      <c r="Y3" s="62"/>
      <c r="Z3" s="62"/>
      <c r="AA3" s="62"/>
      <c r="AB3" s="62"/>
      <c r="AC3" s="62"/>
      <c r="AD3" s="62"/>
    </row>
    <row r="4">
      <c r="A4" s="151">
        <f>IFERROR(__xludf.DUMMYFUNCTION("""COMPUTED_VALUE"""),43378.48075231482)</f>
        <v>43378.48075</v>
      </c>
      <c r="B4" s="6" t="str">
        <f>IFERROR(__xludf.DUMMYFUNCTION("""COMPUTED_VALUE"""),"Kalpana Panneerselvam")</f>
        <v>Kalpana Panneerselvam</v>
      </c>
      <c r="C4" s="6" t="str">
        <f>IFERROR(__xludf.DUMMYFUNCTION("""COMPUTED_VALUE"""),"kalpanarpanneerselvam@gmail.com")</f>
        <v>kalpanarpanneerselvam@gmail.com</v>
      </c>
      <c r="D4" s="62" t="str">
        <f>IFERROR(__xludf.DUMMYFUNCTION("""COMPUTED_VALUE"""),"Declined")</f>
        <v>Declined</v>
      </c>
      <c r="E4" s="81">
        <f>IFERROR(__xludf.DUMMYFUNCTION("""COMPUTED_VALUE"""),43446.0)</f>
        <v>43446</v>
      </c>
      <c r="F4" s="105" t="str">
        <f>IFERROR(__xludf.DUMMYFUNCTION("""COMPUTED_VALUE"""),"Yes")</f>
        <v>Yes</v>
      </c>
      <c r="G4" s="62" t="str">
        <f>IFERROR(__xludf.DUMMYFUNCTION("""COMPUTED_VALUE"""),"Gene Disease Validity")</f>
        <v>Gene Disease Validity</v>
      </c>
      <c r="H4" s="62" t="str">
        <f>IFERROR(__xludf.DUMMYFUNCTION("""COMPUTED_VALUE"""),"Hereditary Cancer")</f>
        <v>Hereditary Cancer</v>
      </c>
      <c r="I4" s="152">
        <f t="shared" si="1"/>
        <v>43536</v>
      </c>
      <c r="J4" s="81">
        <f>IFERROR(__xludf.DUMMYFUNCTION("""COMPUTED_VALUE"""),43592.0)</f>
        <v>43592</v>
      </c>
      <c r="K4" s="150">
        <f t="shared" si="2"/>
        <v>43628</v>
      </c>
      <c r="L4" s="81">
        <f>IFERROR(__xludf.DUMMYFUNCTION("""COMPUTED_VALUE"""),43713.0)</f>
        <v>43713</v>
      </c>
      <c r="M4" s="62"/>
      <c r="N4" s="62"/>
      <c r="O4" s="62"/>
      <c r="P4" s="62"/>
      <c r="Q4" s="62"/>
      <c r="R4" s="62"/>
      <c r="S4" s="62"/>
      <c r="T4" s="62"/>
      <c r="U4" s="62"/>
      <c r="V4" s="62"/>
      <c r="W4" s="62"/>
      <c r="X4" s="62"/>
      <c r="Y4" s="62"/>
      <c r="Z4" s="62"/>
      <c r="AA4" s="62"/>
      <c r="AB4" s="62"/>
      <c r="AC4" s="62"/>
      <c r="AD4" s="62"/>
    </row>
    <row r="5">
      <c r="A5" s="151">
        <f>IFERROR(__xludf.DUMMYFUNCTION("""COMPUTED_VALUE"""),43447.71939452546)</f>
        <v>43447.71939</v>
      </c>
      <c r="B5" s="6" t="str">
        <f>IFERROR(__xludf.DUMMYFUNCTION("""COMPUTED_VALUE"""),"Justin Schleede Phd")</f>
        <v>Justin Schleede Phd</v>
      </c>
      <c r="C5" s="6" t="str">
        <f>IFERROR(__xludf.DUMMYFUNCTION("""COMPUTED_VALUE"""),"schleej@labcorp.com")</f>
        <v>schleej@labcorp.com</v>
      </c>
      <c r="D5" s="62" t="str">
        <f>IFERROR(__xludf.DUMMYFUNCTION("""COMPUTED_VALUE"""),"Assigned")</f>
        <v>Assigned</v>
      </c>
      <c r="E5" s="77">
        <f>IFERROR(__xludf.DUMMYFUNCTION("""COMPUTED_VALUE"""),43580.0)</f>
        <v>43580</v>
      </c>
      <c r="F5" s="77" t="str">
        <f>IFERROR(__xludf.DUMMYFUNCTION("""COMPUTED_VALUE"""),"Yes")</f>
        <v>Yes</v>
      </c>
      <c r="G5" s="62" t="str">
        <f>IFERROR(__xludf.DUMMYFUNCTION("""COMPUTED_VALUE"""),"Dosage Sensitivity")</f>
        <v>Dosage Sensitivity</v>
      </c>
      <c r="H5" s="62" t="str">
        <f>IFERROR(__xludf.DUMMYFUNCTION("""COMPUTED_VALUE"""),"Recurrent CNVs")</f>
        <v>Recurrent CNVs</v>
      </c>
      <c r="I5" s="152">
        <f t="shared" si="1"/>
        <v>43671</v>
      </c>
      <c r="J5" s="81">
        <f>IFERROR(__xludf.DUMMYFUNCTION("""COMPUTED_VALUE"""),43712.0)</f>
        <v>43712</v>
      </c>
      <c r="K5" s="150">
        <f t="shared" si="2"/>
        <v>43763</v>
      </c>
      <c r="L5" s="81" t="str">
        <f>IFERROR(__xludf.DUMMYFUNCTION("""COMPUTED_VALUE"""),"")</f>
        <v/>
      </c>
      <c r="M5" s="62"/>
      <c r="N5" s="62"/>
      <c r="O5" s="62"/>
      <c r="P5" s="62"/>
      <c r="Q5" s="62"/>
      <c r="R5" s="62"/>
      <c r="S5" s="62"/>
      <c r="T5" s="62"/>
      <c r="U5" s="62"/>
      <c r="V5" s="62"/>
      <c r="W5" s="62"/>
      <c r="X5" s="62"/>
      <c r="Y5" s="62"/>
      <c r="Z5" s="62"/>
      <c r="AA5" s="62"/>
      <c r="AB5" s="62"/>
      <c r="AC5" s="62"/>
      <c r="AD5" s="62"/>
    </row>
    <row r="6">
      <c r="A6" s="151">
        <f>IFERROR(__xludf.DUMMYFUNCTION("""COMPUTED_VALUE"""),43452.62491731482)</f>
        <v>43452.62492</v>
      </c>
      <c r="B6" s="6" t="str">
        <f>IFERROR(__xludf.DUMMYFUNCTION("""COMPUTED_VALUE"""),"Juan Carlos Diaz ")</f>
        <v>Juan Carlos Diaz </v>
      </c>
      <c r="C6" s="6" t="str">
        <f>IFERROR(__xludf.DUMMYFUNCTION("""COMPUTED_VALUE"""),"cuallijuan@hotmail.com ")</f>
        <v>cuallijuan@hotmail.com </v>
      </c>
      <c r="D6" s="62" t="str">
        <f>IFERROR(__xludf.DUMMYFUNCTION("""COMPUTED_VALUE"""),"Contacted")</f>
        <v>Contacted</v>
      </c>
      <c r="E6" s="77">
        <f>IFERROR(__xludf.DUMMYFUNCTION("""COMPUTED_VALUE"""),43678.0)</f>
        <v>43678</v>
      </c>
      <c r="F6" s="81" t="str">
        <f>IFERROR(__xludf.DUMMYFUNCTION("""COMPUTED_VALUE"""),"No")</f>
        <v>No</v>
      </c>
      <c r="G6" s="62" t="str">
        <f>IFERROR(__xludf.DUMMYFUNCTION("""COMPUTED_VALUE"""),"Actionability")</f>
        <v>Actionability</v>
      </c>
      <c r="H6" s="62" t="str">
        <f>IFERROR(__xludf.DUMMYFUNCTION("""COMPUTED_VALUE"""),"")</f>
        <v/>
      </c>
      <c r="I6" s="152">
        <f t="shared" si="1"/>
        <v>43770</v>
      </c>
      <c r="J6" s="62" t="str">
        <f>IFERROR(__xludf.DUMMYFUNCTION("""COMPUTED_VALUE"""),"")</f>
        <v/>
      </c>
      <c r="K6" s="150">
        <f t="shared" si="2"/>
        <v>43862</v>
      </c>
      <c r="L6" s="62" t="str">
        <f>IFERROR(__xludf.DUMMYFUNCTION("""COMPUTED_VALUE"""),"")</f>
        <v/>
      </c>
      <c r="M6" s="62"/>
      <c r="N6" s="62"/>
      <c r="O6" s="62"/>
      <c r="P6" s="62"/>
      <c r="Q6" s="62"/>
      <c r="R6" s="62"/>
      <c r="S6" s="62"/>
      <c r="T6" s="62"/>
      <c r="U6" s="62"/>
      <c r="V6" s="62"/>
      <c r="W6" s="62"/>
      <c r="X6" s="62"/>
      <c r="Y6" s="62"/>
      <c r="Z6" s="62"/>
      <c r="AA6" s="62"/>
      <c r="AB6" s="62"/>
      <c r="AC6" s="62"/>
      <c r="AD6" s="62"/>
    </row>
    <row r="7">
      <c r="A7" s="151">
        <f>IFERROR(__xludf.DUMMYFUNCTION("""COMPUTED_VALUE"""),43453.554362870374)</f>
        <v>43453.55436</v>
      </c>
      <c r="B7" s="6" t="str">
        <f>IFERROR(__xludf.DUMMYFUNCTION("""COMPUTED_VALUE"""),"Tomohiko Ai")</f>
        <v>Tomohiko Ai</v>
      </c>
      <c r="C7" s="6" t="str">
        <f>IFERROR(__xludf.DUMMYFUNCTION("""COMPUTED_VALUE"""),"Tomohiko.Ai@osumc.edu")</f>
        <v>Tomohiko.Ai@osumc.edu</v>
      </c>
      <c r="D7" s="62" t="str">
        <f>IFERROR(__xludf.DUMMYFUNCTION("""COMPUTED_VALUE"""),"Contacted")</f>
        <v>Contacted</v>
      </c>
      <c r="E7" s="77">
        <f>IFERROR(__xludf.DUMMYFUNCTION("""COMPUTED_VALUE"""),43570.0)</f>
        <v>43570</v>
      </c>
      <c r="F7" s="106" t="str">
        <f>IFERROR(__xludf.DUMMYFUNCTION("""COMPUTED_VALUE"""),"Yes")</f>
        <v>Yes</v>
      </c>
      <c r="G7" s="62" t="str">
        <f>IFERROR(__xludf.DUMMYFUNCTION("""COMPUTED_VALUE"""),"Gene Disease Validity")</f>
        <v>Gene Disease Validity</v>
      </c>
      <c r="H7" s="62" t="str">
        <f>IFERROR(__xludf.DUMMYFUNCTION("""COMPUTED_VALUE"""),"Dilated Cardiomyopathy")</f>
        <v>Dilated Cardiomyopathy</v>
      </c>
      <c r="I7" s="152">
        <f t="shared" si="1"/>
        <v>43661</v>
      </c>
      <c r="J7" s="81">
        <f>IFERROR(__xludf.DUMMYFUNCTION("""COMPUTED_VALUE"""),43712.0)</f>
        <v>43712</v>
      </c>
      <c r="K7" s="150">
        <f t="shared" si="2"/>
        <v>43753</v>
      </c>
      <c r="L7" s="81" t="str">
        <f>IFERROR(__xludf.DUMMYFUNCTION("""COMPUTED_VALUE"""),"")</f>
        <v/>
      </c>
      <c r="M7" s="62"/>
      <c r="N7" s="62"/>
      <c r="O7" s="62"/>
      <c r="P7" s="62"/>
      <c r="Q7" s="62"/>
      <c r="R7" s="62"/>
      <c r="S7" s="62"/>
      <c r="T7" s="62"/>
      <c r="U7" s="62"/>
      <c r="V7" s="62"/>
      <c r="W7" s="62"/>
      <c r="X7" s="62"/>
      <c r="Y7" s="62"/>
      <c r="Z7" s="62"/>
      <c r="AA7" s="62"/>
      <c r="AB7" s="62"/>
      <c r="AC7" s="62"/>
      <c r="AD7" s="62"/>
    </row>
    <row r="8">
      <c r="A8" s="151">
        <f>IFERROR(__xludf.DUMMYFUNCTION("""COMPUTED_VALUE"""),43404.87436342593)</f>
        <v>43404.87436</v>
      </c>
      <c r="B8" s="6" t="str">
        <f>IFERROR(__xludf.DUMMYFUNCTION("""COMPUTED_VALUE"""),"Rajavarman Kittu")</f>
        <v>Rajavarman Kittu</v>
      </c>
      <c r="C8" s="6" t="str">
        <f>IFERROR(__xludf.DUMMYFUNCTION("""COMPUTED_VALUE"""),"rajavarman21@gmail.com")</f>
        <v>rajavarman21@gmail.com</v>
      </c>
      <c r="D8" s="62" t="str">
        <f>IFERROR(__xludf.DUMMYFUNCTION("""COMPUTED_VALUE"""),"Unresponsive")</f>
        <v>Unresponsive</v>
      </c>
      <c r="E8" s="105">
        <f>IFERROR(__xludf.DUMMYFUNCTION("""COMPUTED_VALUE"""),43476.0)</f>
        <v>43476</v>
      </c>
      <c r="F8" s="77" t="str">
        <f>IFERROR(__xludf.DUMMYFUNCTION("""COMPUTED_VALUE"""),"No")</f>
        <v>No</v>
      </c>
      <c r="G8" s="62" t="str">
        <f>IFERROR(__xludf.DUMMYFUNCTION("""COMPUTED_VALUE"""),"Somatic Cancer")</f>
        <v>Somatic Cancer</v>
      </c>
      <c r="H8" s="62" t="str">
        <f>IFERROR(__xludf.DUMMYFUNCTION("""COMPUTED_VALUE"""),"Somatic WG")</f>
        <v>Somatic WG</v>
      </c>
      <c r="I8" s="152">
        <f t="shared" si="1"/>
        <v>43566</v>
      </c>
      <c r="J8" s="81">
        <f>IFERROR(__xludf.DUMMYFUNCTION("""COMPUTED_VALUE"""),43592.0)</f>
        <v>43592</v>
      </c>
      <c r="K8" s="150">
        <f t="shared" si="2"/>
        <v>43657</v>
      </c>
      <c r="L8" s="62" t="str">
        <f>IFERROR(__xludf.DUMMYFUNCTION("""COMPUTED_VALUE"""),"-")</f>
        <v>-</v>
      </c>
      <c r="M8" s="62"/>
      <c r="N8" s="62"/>
      <c r="O8" s="62"/>
      <c r="P8" s="62"/>
      <c r="Q8" s="62"/>
      <c r="R8" s="62"/>
      <c r="S8" s="62"/>
      <c r="T8" s="62"/>
      <c r="U8" s="62"/>
      <c r="V8" s="62"/>
      <c r="W8" s="62"/>
      <c r="X8" s="62"/>
      <c r="Y8" s="62"/>
      <c r="Z8" s="62"/>
      <c r="AA8" s="62"/>
      <c r="AB8" s="62"/>
      <c r="AC8" s="62"/>
      <c r="AD8" s="62"/>
    </row>
    <row r="9">
      <c r="A9" s="151">
        <f>IFERROR(__xludf.DUMMYFUNCTION("""COMPUTED_VALUE"""),43454.651333263886)</f>
        <v>43454.65133</v>
      </c>
      <c r="B9" s="6" t="str">
        <f>IFERROR(__xludf.DUMMYFUNCTION("""COMPUTED_VALUE"""),"Rhea Vallente")</f>
        <v>Rhea Vallente</v>
      </c>
      <c r="C9" s="6" t="str">
        <f>IFERROR(__xludf.DUMMYFUNCTION("""COMPUTED_VALUE"""),"rvallente@fulgentgenetics.com")</f>
        <v>rvallente@fulgentgenetics.com</v>
      </c>
      <c r="D9" s="62" t="str">
        <f>IFERROR(__xludf.DUMMYFUNCTION("""COMPUTED_VALUE"""),"Contacted")</f>
        <v>Contacted</v>
      </c>
      <c r="E9" s="77">
        <f>IFERROR(__xludf.DUMMYFUNCTION("""COMPUTED_VALUE"""),43678.0)</f>
        <v>43678</v>
      </c>
      <c r="F9" s="77" t="str">
        <f>IFERROR(__xludf.DUMMYFUNCTION("""COMPUTED_VALUE"""),"No")</f>
        <v>No</v>
      </c>
      <c r="G9" s="62" t="str">
        <f>IFERROR(__xludf.DUMMYFUNCTION("""COMPUTED_VALUE"""),"Actionability")</f>
        <v>Actionability</v>
      </c>
      <c r="H9" s="62" t="str">
        <f>IFERROR(__xludf.DUMMYFUNCTION("""COMPUTED_VALUE"""),"")</f>
        <v/>
      </c>
      <c r="I9" s="152">
        <f t="shared" si="1"/>
        <v>43770</v>
      </c>
      <c r="J9" s="62" t="str">
        <f>IFERROR(__xludf.DUMMYFUNCTION("""COMPUTED_VALUE"""),"")</f>
        <v/>
      </c>
      <c r="K9" s="150">
        <f t="shared" si="2"/>
        <v>43862</v>
      </c>
      <c r="L9" s="62" t="str">
        <f>IFERROR(__xludf.DUMMYFUNCTION("""COMPUTED_VALUE"""),"")</f>
        <v/>
      </c>
      <c r="M9" s="62"/>
      <c r="N9" s="62"/>
      <c r="O9" s="62"/>
      <c r="P9" s="62"/>
      <c r="Q9" s="62"/>
      <c r="R9" s="62"/>
      <c r="S9" s="62"/>
      <c r="T9" s="62"/>
      <c r="U9" s="62"/>
      <c r="V9" s="62"/>
      <c r="W9" s="62"/>
      <c r="X9" s="62"/>
      <c r="Y9" s="62"/>
      <c r="Z9" s="62"/>
      <c r="AA9" s="62"/>
      <c r="AB9" s="62"/>
      <c r="AC9" s="62"/>
      <c r="AD9" s="62"/>
    </row>
    <row r="10">
      <c r="A10" s="151">
        <f>IFERROR(__xludf.DUMMYFUNCTION("""COMPUTED_VALUE"""),43462.7220768287)</f>
        <v>43462.72208</v>
      </c>
      <c r="B10" s="6" t="str">
        <f>IFERROR(__xludf.DUMMYFUNCTION("""COMPUTED_VALUE"""),"Caitlin Hale")</f>
        <v>Caitlin Hale</v>
      </c>
      <c r="C10" s="6" t="str">
        <f>IFERROR(__xludf.DUMMYFUNCTION("""COMPUTED_VALUE"""),"CHale@stanfordchildrens.org")</f>
        <v>CHale@stanfordchildrens.org</v>
      </c>
      <c r="D10" s="62" t="str">
        <f>IFERROR(__xludf.DUMMYFUNCTION("""COMPUTED_VALUE"""),"Declined")</f>
        <v>Declined</v>
      </c>
      <c r="E10" s="81">
        <f>IFERROR(__xludf.DUMMYFUNCTION("""COMPUTED_VALUE"""),43585.0)</f>
        <v>43585</v>
      </c>
      <c r="F10" s="106" t="str">
        <f>IFERROR(__xludf.DUMMYFUNCTION("""COMPUTED_VALUE"""),"Yes")</f>
        <v>Yes</v>
      </c>
      <c r="G10" s="62" t="str">
        <f>IFERROR(__xludf.DUMMYFUNCTION("""COMPUTED_VALUE"""),"Gene Disease Validity")</f>
        <v>Gene Disease Validity</v>
      </c>
      <c r="H10" s="62" t="str">
        <f>IFERROR(__xludf.DUMMYFUNCTION("""COMPUTED_VALUE"""),"ID/Autism")</f>
        <v>ID/Autism</v>
      </c>
      <c r="I10" s="152">
        <f t="shared" si="1"/>
        <v>43676</v>
      </c>
      <c r="J10" s="81">
        <f>IFERROR(__xludf.DUMMYFUNCTION("""COMPUTED_VALUE"""),43712.0)</f>
        <v>43712</v>
      </c>
      <c r="K10" s="150">
        <f t="shared" si="2"/>
        <v>43768</v>
      </c>
      <c r="L10" s="81" t="str">
        <f>IFERROR(__xludf.DUMMYFUNCTION("""COMPUTED_VALUE"""),"")</f>
        <v/>
      </c>
      <c r="M10" s="62"/>
      <c r="N10" s="62"/>
      <c r="O10" s="62"/>
      <c r="P10" s="62"/>
      <c r="Q10" s="62"/>
      <c r="R10" s="62"/>
      <c r="S10" s="62"/>
      <c r="T10" s="62"/>
      <c r="U10" s="62"/>
      <c r="V10" s="62"/>
      <c r="W10" s="62"/>
      <c r="X10" s="62"/>
      <c r="Y10" s="62"/>
      <c r="Z10" s="62"/>
      <c r="AA10" s="62"/>
      <c r="AB10" s="62"/>
      <c r="AC10" s="62"/>
      <c r="AD10" s="62"/>
    </row>
    <row r="11">
      <c r="A11" s="151">
        <f>IFERROR(__xludf.DUMMYFUNCTION("""COMPUTED_VALUE"""),43465.469464884256)</f>
        <v>43465.46946</v>
      </c>
      <c r="B11" s="6" t="str">
        <f>IFERROR(__xludf.DUMMYFUNCTION("""COMPUTED_VALUE"""),"Melissa Murfin")</f>
        <v>Melissa Murfin</v>
      </c>
      <c r="C11" s="6" t="str">
        <f>IFERROR(__xludf.DUMMYFUNCTION("""COMPUTED_VALUE"""),"mmurfin@elon.edu")</f>
        <v>mmurfin@elon.edu</v>
      </c>
      <c r="D11" s="62" t="str">
        <f>IFERROR(__xludf.DUMMYFUNCTION("""COMPUTED_VALUE"""),"Contacted")</f>
        <v>Contacted</v>
      </c>
      <c r="E11" s="106">
        <f>IFERROR(__xludf.DUMMYFUNCTION("""COMPUTED_VALUE"""),43567.0)</f>
        <v>43567</v>
      </c>
      <c r="F11" s="77" t="str">
        <f>IFERROR(__xludf.DUMMYFUNCTION("""COMPUTED_VALUE"""),"Yes")</f>
        <v>Yes</v>
      </c>
      <c r="G11" s="62" t="str">
        <f>IFERROR(__xludf.DUMMYFUNCTION("""COMPUTED_VALUE"""),"Actionability")</f>
        <v>Actionability</v>
      </c>
      <c r="H11" s="62" t="str">
        <f>IFERROR(__xludf.DUMMYFUNCTION("""COMPUTED_VALUE"""),"Actionability")</f>
        <v>Actionability</v>
      </c>
      <c r="I11" s="152">
        <f t="shared" si="1"/>
        <v>43658</v>
      </c>
      <c r="J11" s="81">
        <f>IFERROR(__xludf.DUMMYFUNCTION("""COMPUTED_VALUE"""),43712.0)</f>
        <v>43712</v>
      </c>
      <c r="K11" s="150">
        <f t="shared" si="2"/>
        <v>43750</v>
      </c>
      <c r="L11" s="81" t="str">
        <f>IFERROR(__xludf.DUMMYFUNCTION("""COMPUTED_VALUE"""),"")</f>
        <v/>
      </c>
      <c r="M11" s="62"/>
      <c r="N11" s="62"/>
      <c r="O11" s="62"/>
      <c r="P11" s="62"/>
      <c r="Q11" s="62"/>
      <c r="R11" s="62"/>
      <c r="S11" s="62"/>
      <c r="T11" s="62"/>
      <c r="U11" s="62"/>
      <c r="V11" s="62"/>
      <c r="W11" s="62"/>
      <c r="X11" s="62"/>
      <c r="Y11" s="62"/>
      <c r="Z11" s="62"/>
      <c r="AA11" s="62"/>
      <c r="AB11" s="62"/>
      <c r="AC11" s="62"/>
      <c r="AD11" s="62"/>
    </row>
    <row r="12">
      <c r="A12" s="151">
        <f>IFERROR(__xludf.DUMMYFUNCTION("""COMPUTED_VALUE"""),43467.289876111114)</f>
        <v>43467.28988</v>
      </c>
      <c r="B12" s="6" t="str">
        <f>IFERROR(__xludf.DUMMYFUNCTION("""COMPUTED_VALUE"""),"Ana León")</f>
        <v>Ana León</v>
      </c>
      <c r="C12" s="6" t="str">
        <f>IFERROR(__xludf.DUMMYFUNCTION("""COMPUTED_VALUE"""),"aleon@pros.upv.es")</f>
        <v>aleon@pros.upv.es</v>
      </c>
      <c r="D12" s="62" t="str">
        <f>IFERROR(__xludf.DUMMYFUNCTION("""COMPUTED_VALUE"""),"Contacted")</f>
        <v>Contacted</v>
      </c>
      <c r="E12" s="77">
        <f>IFERROR(__xludf.DUMMYFUNCTION("""COMPUTED_VALUE"""),43585.0)</f>
        <v>43585</v>
      </c>
      <c r="F12" s="81" t="str">
        <f>IFERROR(__xludf.DUMMYFUNCTION("""COMPUTED_VALUE"""),"Yes")</f>
        <v>Yes</v>
      </c>
      <c r="G12" s="62" t="str">
        <f>IFERROR(__xludf.DUMMYFUNCTION("""COMPUTED_VALUE"""),"Gene Disease Validity")</f>
        <v>Gene Disease Validity</v>
      </c>
      <c r="H12" s="62" t="str">
        <f>IFERROR(__xludf.DUMMYFUNCTION("""COMPUTED_VALUE"""),"Hemo/Thrombo")</f>
        <v>Hemo/Thrombo</v>
      </c>
      <c r="I12" s="152">
        <f t="shared" si="1"/>
        <v>43676</v>
      </c>
      <c r="J12" s="81">
        <f>IFERROR(__xludf.DUMMYFUNCTION("""COMPUTED_VALUE"""),43712.0)</f>
        <v>43712</v>
      </c>
      <c r="K12" s="150">
        <f t="shared" si="2"/>
        <v>43768</v>
      </c>
      <c r="L12" s="81" t="str">
        <f>IFERROR(__xludf.DUMMYFUNCTION("""COMPUTED_VALUE"""),"")</f>
        <v/>
      </c>
      <c r="M12" s="62"/>
      <c r="N12" s="62"/>
      <c r="O12" s="62"/>
      <c r="P12" s="62"/>
      <c r="Q12" s="62"/>
      <c r="R12" s="62"/>
      <c r="S12" s="62"/>
      <c r="T12" s="62"/>
      <c r="U12" s="62"/>
      <c r="V12" s="62"/>
      <c r="W12" s="62"/>
      <c r="X12" s="62"/>
      <c r="Y12" s="62"/>
      <c r="Z12" s="62"/>
      <c r="AA12" s="62"/>
      <c r="AB12" s="62"/>
      <c r="AC12" s="62"/>
      <c r="AD12" s="62"/>
    </row>
    <row r="13">
      <c r="A13" s="151">
        <f>IFERROR(__xludf.DUMMYFUNCTION("""COMPUTED_VALUE"""),43469.322247662036)</f>
        <v>43469.32225</v>
      </c>
      <c r="B13" s="6" t="str">
        <f>IFERROR(__xludf.DUMMYFUNCTION("""COMPUTED_VALUE"""),"Catalina Betancur")</f>
        <v>Catalina Betancur</v>
      </c>
      <c r="C13" s="6" t="str">
        <f>IFERROR(__xludf.DUMMYFUNCTION("""COMPUTED_VALUE"""),"Catalina.Betancur@inserm.fr")</f>
        <v>Catalina.Betancur@inserm.fr</v>
      </c>
      <c r="D13" s="62" t="str">
        <f>IFERROR(__xludf.DUMMYFUNCTION("""COMPUTED_VALUE"""),"Assigned")</f>
        <v>Assigned</v>
      </c>
      <c r="E13" s="81">
        <f>IFERROR(__xludf.DUMMYFUNCTION("""COMPUTED_VALUE"""),43446.0)</f>
        <v>43446</v>
      </c>
      <c r="F13" s="77" t="str">
        <f>IFERROR(__xludf.DUMMYFUNCTION("""COMPUTED_VALUE"""),"Yes")</f>
        <v>Yes</v>
      </c>
      <c r="G13" s="62" t="str">
        <f>IFERROR(__xludf.DUMMYFUNCTION("""COMPUTED_VALUE"""),"Gene Disease Validity")</f>
        <v>Gene Disease Validity</v>
      </c>
      <c r="H13" s="62" t="str">
        <f>IFERROR(__xludf.DUMMYFUNCTION("""COMPUTED_VALUE"""),"ID Autism")</f>
        <v>ID Autism</v>
      </c>
      <c r="I13" s="152">
        <f t="shared" si="1"/>
        <v>43536</v>
      </c>
      <c r="J13" s="62" t="str">
        <f>IFERROR(__xludf.DUMMYFUNCTION("""COMPUTED_VALUE"""),"")</f>
        <v/>
      </c>
      <c r="K13" s="150">
        <f t="shared" si="2"/>
        <v>43628</v>
      </c>
      <c r="L13" s="62" t="str">
        <f>IFERROR(__xludf.DUMMYFUNCTION("""COMPUTED_VALUE"""),"")</f>
        <v/>
      </c>
      <c r="M13" s="62"/>
      <c r="N13" s="62"/>
      <c r="O13" s="62"/>
      <c r="P13" s="62"/>
      <c r="Q13" s="62"/>
      <c r="R13" s="62"/>
      <c r="S13" s="62"/>
      <c r="T13" s="62"/>
      <c r="U13" s="62"/>
      <c r="V13" s="62"/>
      <c r="W13" s="62"/>
      <c r="X13" s="62"/>
      <c r="Y13" s="62"/>
      <c r="Z13" s="62"/>
      <c r="AA13" s="62"/>
      <c r="AB13" s="62"/>
      <c r="AC13" s="62"/>
      <c r="AD13" s="62"/>
    </row>
    <row r="14">
      <c r="A14" s="151">
        <f>IFERROR(__xludf.DUMMYFUNCTION("""COMPUTED_VALUE"""),43472.425777592594)</f>
        <v>43472.42578</v>
      </c>
      <c r="B14" s="6" t="str">
        <f>IFERROR(__xludf.DUMMYFUNCTION("""COMPUTED_VALUE"""),"Shulin Zhang")</f>
        <v>Shulin Zhang</v>
      </c>
      <c r="C14" s="6" t="str">
        <f>IFERROR(__xludf.DUMMYFUNCTION("""COMPUTED_VALUE"""),"shulin.zhang@uky.edu")</f>
        <v>shulin.zhang@uky.edu</v>
      </c>
      <c r="D14" s="62" t="str">
        <f>IFERROR(__xludf.DUMMYFUNCTION("""COMPUTED_VALUE"""),"Contacted")</f>
        <v>Contacted</v>
      </c>
      <c r="E14" s="77">
        <f>IFERROR(__xludf.DUMMYFUNCTION("""COMPUTED_VALUE"""),43580.0)</f>
        <v>43580</v>
      </c>
      <c r="F14" s="77" t="str">
        <f>IFERROR(__xludf.DUMMYFUNCTION("""COMPUTED_VALUE"""),"Yes")</f>
        <v>Yes</v>
      </c>
      <c r="G14" s="62" t="str">
        <f>IFERROR(__xludf.DUMMYFUNCTION("""COMPUTED_VALUE"""),"Dosage Sensitivity")</f>
        <v>Dosage Sensitivity</v>
      </c>
      <c r="H14" s="62" t="str">
        <f>IFERROR(__xludf.DUMMYFUNCTION("""COMPUTED_VALUE"""),"")</f>
        <v/>
      </c>
      <c r="I14" s="152">
        <f t="shared" si="1"/>
        <v>43671</v>
      </c>
      <c r="J14" s="81">
        <f>IFERROR(__xludf.DUMMYFUNCTION("""COMPUTED_VALUE"""),43712.0)</f>
        <v>43712</v>
      </c>
      <c r="K14" s="150">
        <f t="shared" si="2"/>
        <v>43763</v>
      </c>
      <c r="L14" s="81" t="str">
        <f>IFERROR(__xludf.DUMMYFUNCTION("""COMPUTED_VALUE"""),"")</f>
        <v/>
      </c>
      <c r="M14" s="62"/>
      <c r="N14" s="62"/>
      <c r="O14" s="62"/>
      <c r="P14" s="62"/>
      <c r="Q14" s="62"/>
      <c r="R14" s="62"/>
      <c r="S14" s="62"/>
      <c r="T14" s="62"/>
      <c r="U14" s="62"/>
      <c r="V14" s="62"/>
      <c r="W14" s="62"/>
      <c r="X14" s="62"/>
      <c r="Y14" s="62"/>
      <c r="Z14" s="62"/>
      <c r="AA14" s="62"/>
      <c r="AB14" s="62"/>
      <c r="AC14" s="62"/>
      <c r="AD14" s="62"/>
    </row>
    <row r="15">
      <c r="A15" s="151">
        <f>IFERROR(__xludf.DUMMYFUNCTION("""COMPUTED_VALUE"""),43472.537255601856)</f>
        <v>43472.53726</v>
      </c>
      <c r="B15" s="6" t="str">
        <f>IFERROR(__xludf.DUMMYFUNCTION("""COMPUTED_VALUE"""),"Marwan Shinawi")</f>
        <v>Marwan Shinawi</v>
      </c>
      <c r="C15" s="6" t="str">
        <f>IFERROR(__xludf.DUMMYFUNCTION("""COMPUTED_VALUE"""),"mshinawi@wustl.edu")</f>
        <v>mshinawi@wustl.edu</v>
      </c>
      <c r="D15" s="62" t="str">
        <f>IFERROR(__xludf.DUMMYFUNCTION("""COMPUTED_VALUE"""),"Contacted")</f>
        <v>Contacted</v>
      </c>
      <c r="E15" s="106">
        <f>IFERROR(__xludf.DUMMYFUNCTION("""COMPUTED_VALUE"""),43567.0)</f>
        <v>43567</v>
      </c>
      <c r="F15" s="77" t="str">
        <f>IFERROR(__xludf.DUMMYFUNCTION("""COMPUTED_VALUE"""),"No")</f>
        <v>No</v>
      </c>
      <c r="G15" s="62" t="str">
        <f>IFERROR(__xludf.DUMMYFUNCTION("""COMPUTED_VALUE"""),"Actionability")</f>
        <v>Actionability</v>
      </c>
      <c r="H15" s="62" t="str">
        <f>IFERROR(__xludf.DUMMYFUNCTION("""COMPUTED_VALUE"""),"")</f>
        <v/>
      </c>
      <c r="I15" s="152">
        <f t="shared" si="1"/>
        <v>43658</v>
      </c>
      <c r="J15" s="62" t="str">
        <f>IFERROR(__xludf.DUMMYFUNCTION("""COMPUTED_VALUE"""),"")</f>
        <v/>
      </c>
      <c r="K15" s="150">
        <f t="shared" si="2"/>
        <v>43750</v>
      </c>
      <c r="L15" s="62" t="str">
        <f>IFERROR(__xludf.DUMMYFUNCTION("""COMPUTED_VALUE"""),"")</f>
        <v/>
      </c>
      <c r="M15" s="62"/>
      <c r="N15" s="62"/>
      <c r="O15" s="62"/>
      <c r="P15" s="62"/>
      <c r="Q15" s="62"/>
      <c r="R15" s="62"/>
      <c r="S15" s="62"/>
      <c r="T15" s="62"/>
      <c r="U15" s="62"/>
      <c r="V15" s="62"/>
      <c r="W15" s="62"/>
      <c r="X15" s="62"/>
      <c r="Y15" s="62"/>
      <c r="Z15" s="62"/>
      <c r="AA15" s="62"/>
      <c r="AB15" s="62"/>
      <c r="AC15" s="62"/>
      <c r="AD15" s="62"/>
    </row>
    <row r="16">
      <c r="A16" s="151">
        <f>IFERROR(__xludf.DUMMYFUNCTION("""COMPUTED_VALUE"""),43473.39076508102)</f>
        <v>43473.39077</v>
      </c>
      <c r="B16" s="6" t="str">
        <f>IFERROR(__xludf.DUMMYFUNCTION("""COMPUTED_VALUE"""),"Adam Coovadia")</f>
        <v>Adam Coovadia</v>
      </c>
      <c r="C16" s="6" t="str">
        <f>IFERROR(__xludf.DUMMYFUNCTION("""COMPUTED_VALUE"""),"coovadiaa@gmail.com")</f>
        <v>coovadiaa@gmail.com</v>
      </c>
      <c r="D16" s="62" t="str">
        <f>IFERROR(__xludf.DUMMYFUNCTION("""COMPUTED_VALUE"""),"Contacted")</f>
        <v>Contacted</v>
      </c>
      <c r="E16" s="77">
        <f>IFERROR(__xludf.DUMMYFUNCTION("""COMPUTED_VALUE"""),43605.0)</f>
        <v>43605</v>
      </c>
      <c r="F16" s="81" t="str">
        <f>IFERROR(__xludf.DUMMYFUNCTION("""COMPUTED_VALUE"""),"Yes")</f>
        <v>Yes</v>
      </c>
      <c r="G16" s="62" t="str">
        <f>IFERROR(__xludf.DUMMYFUNCTION("""COMPUTED_VALUE"""),"Variant Pathogenicity")</f>
        <v>Variant Pathogenicity</v>
      </c>
      <c r="H16" s="62" t="str">
        <f>IFERROR(__xludf.DUMMYFUNCTION("""COMPUTED_VALUE"""),"Hearing Loss")</f>
        <v>Hearing Loss</v>
      </c>
      <c r="I16" s="152">
        <f t="shared" si="1"/>
        <v>43697</v>
      </c>
      <c r="J16" s="81">
        <f>IFERROR(__xludf.DUMMYFUNCTION("""COMPUTED_VALUE"""),43712.0)</f>
        <v>43712</v>
      </c>
      <c r="K16" s="150">
        <f t="shared" si="2"/>
        <v>43789</v>
      </c>
      <c r="L16" s="81" t="str">
        <f>IFERROR(__xludf.DUMMYFUNCTION("""COMPUTED_VALUE"""),"")</f>
        <v/>
      </c>
      <c r="M16" s="62"/>
      <c r="N16" s="62"/>
      <c r="O16" s="62"/>
      <c r="P16" s="62"/>
      <c r="Q16" s="62"/>
      <c r="R16" s="62"/>
      <c r="S16" s="62"/>
      <c r="T16" s="62"/>
      <c r="U16" s="62"/>
      <c r="V16" s="62"/>
      <c r="W16" s="62"/>
      <c r="X16" s="62"/>
      <c r="Y16" s="62"/>
      <c r="Z16" s="62"/>
      <c r="AA16" s="62"/>
      <c r="AB16" s="62"/>
      <c r="AC16" s="62"/>
      <c r="AD16" s="62"/>
    </row>
    <row r="17">
      <c r="A17" s="151">
        <f>IFERROR(__xludf.DUMMYFUNCTION("""COMPUTED_VALUE"""),43332.58121527778)</f>
        <v>43332.58122</v>
      </c>
      <c r="B17" s="6" t="str">
        <f>IFERROR(__xludf.DUMMYFUNCTION("""COMPUTED_VALUE"""),"Volkan Okur")</f>
        <v>Volkan Okur</v>
      </c>
      <c r="C17" s="6" t="str">
        <f>IFERROR(__xludf.DUMMYFUNCTION("""COMPUTED_VALUE"""),"vokur@bcm.edu")</f>
        <v>vokur@bcm.edu</v>
      </c>
      <c r="D17" s="62" t="str">
        <f>IFERROR(__xludf.DUMMYFUNCTION("""COMPUTED_VALUE"""),"Assigned")</f>
        <v>Assigned</v>
      </c>
      <c r="E17" s="81">
        <f>IFERROR(__xludf.DUMMYFUNCTION("""COMPUTED_VALUE"""),43446.0)</f>
        <v>43446</v>
      </c>
      <c r="F17" s="77" t="str">
        <f>IFERROR(__xludf.DUMMYFUNCTION("""COMPUTED_VALUE"""),"Yes")</f>
        <v>Yes</v>
      </c>
      <c r="G17" s="62" t="str">
        <f>IFERROR(__xludf.DUMMYFUNCTION("""COMPUTED_VALUE"""),"Gene Disease Validity")</f>
        <v>Gene Disease Validity</v>
      </c>
      <c r="H17" s="62" t="str">
        <f>IFERROR(__xludf.DUMMYFUNCTION("""COMPUTED_VALUE"""),"Hereditary Cancer")</f>
        <v>Hereditary Cancer</v>
      </c>
      <c r="I17" s="152">
        <f t="shared" si="1"/>
        <v>43536</v>
      </c>
      <c r="J17" s="81">
        <f>IFERROR(__xludf.DUMMYFUNCTION("""COMPUTED_VALUE"""),43592.0)</f>
        <v>43592</v>
      </c>
      <c r="K17" s="150">
        <f t="shared" si="2"/>
        <v>43628</v>
      </c>
      <c r="L17" s="81">
        <f>IFERROR(__xludf.DUMMYFUNCTION("""COMPUTED_VALUE"""),43713.0)</f>
        <v>43713</v>
      </c>
      <c r="M17" s="62"/>
      <c r="N17" s="62"/>
      <c r="O17" s="62"/>
      <c r="P17" s="62"/>
      <c r="Q17" s="62"/>
      <c r="R17" s="62"/>
      <c r="S17" s="62"/>
      <c r="T17" s="62"/>
      <c r="U17" s="62"/>
      <c r="V17" s="62"/>
      <c r="W17" s="62"/>
      <c r="X17" s="62"/>
      <c r="Y17" s="62"/>
      <c r="Z17" s="62"/>
      <c r="AA17" s="62"/>
      <c r="AB17" s="62"/>
      <c r="AC17" s="62"/>
      <c r="AD17" s="62"/>
    </row>
    <row r="18">
      <c r="A18" s="151">
        <f>IFERROR(__xludf.DUMMYFUNCTION("""COMPUTED_VALUE"""),43332.58226851852)</f>
        <v>43332.58227</v>
      </c>
      <c r="B18" s="6" t="str">
        <f>IFERROR(__xludf.DUMMYFUNCTION("""COMPUTED_VALUE"""),"Mythily Ganapathi")</f>
        <v>Mythily Ganapathi</v>
      </c>
      <c r="C18" s="6" t="str">
        <f>IFERROR(__xludf.DUMMYFUNCTION("""COMPUTED_VALUE"""),"mg3560@cumc.columbia.edu")</f>
        <v>mg3560@cumc.columbia.edu</v>
      </c>
      <c r="D18" s="62" t="str">
        <f>IFERROR(__xludf.DUMMYFUNCTION("""COMPUTED_VALUE"""),"Assigned")</f>
        <v>Assigned</v>
      </c>
      <c r="E18" s="81">
        <f>IFERROR(__xludf.DUMMYFUNCTION("""COMPUTED_VALUE"""),43446.0)</f>
        <v>43446</v>
      </c>
      <c r="F18" s="77" t="str">
        <f>IFERROR(__xludf.DUMMYFUNCTION("""COMPUTED_VALUE"""),"Yes")</f>
        <v>Yes</v>
      </c>
      <c r="G18" s="62" t="str">
        <f>IFERROR(__xludf.DUMMYFUNCTION("""COMPUTED_VALUE"""),"Gene Disease Validity")</f>
        <v>Gene Disease Validity</v>
      </c>
      <c r="H18" s="62" t="str">
        <f>IFERROR(__xludf.DUMMYFUNCTION("""COMPUTED_VALUE"""),"ID/Autism")</f>
        <v>ID/Autism</v>
      </c>
      <c r="I18" s="152">
        <f t="shared" si="1"/>
        <v>43536</v>
      </c>
      <c r="J18" s="81">
        <f>IFERROR(__xludf.DUMMYFUNCTION("""COMPUTED_VALUE"""),43592.0)</f>
        <v>43592</v>
      </c>
      <c r="K18" s="150">
        <f t="shared" si="2"/>
        <v>43628</v>
      </c>
      <c r="L18" s="81">
        <f>IFERROR(__xludf.DUMMYFUNCTION("""COMPUTED_VALUE"""),43713.0)</f>
        <v>43713</v>
      </c>
      <c r="M18" s="62"/>
      <c r="N18" s="62"/>
      <c r="O18" s="62"/>
      <c r="P18" s="62"/>
      <c r="Q18" s="62"/>
      <c r="R18" s="62"/>
      <c r="S18" s="62"/>
      <c r="T18" s="62"/>
      <c r="U18" s="62"/>
      <c r="V18" s="62"/>
      <c r="W18" s="62"/>
      <c r="X18" s="62"/>
      <c r="Y18" s="62"/>
      <c r="Z18" s="62"/>
      <c r="AA18" s="62"/>
      <c r="AB18" s="62"/>
      <c r="AC18" s="62"/>
      <c r="AD18" s="62"/>
    </row>
    <row r="19">
      <c r="A19" s="153">
        <f>IFERROR(__xludf.DUMMYFUNCTION("""COMPUTED_VALUE"""),43332.58315972222)</f>
        <v>43332.58316</v>
      </c>
      <c r="B19" s="6" t="str">
        <f>IFERROR(__xludf.DUMMYFUNCTION("""COMPUTED_VALUE"""),"Leslie Oldfield")</f>
        <v>Leslie Oldfield</v>
      </c>
      <c r="C19" s="6" t="str">
        <f>IFERROR(__xludf.DUMMYFUNCTION("""COMPUTED_VALUE"""),"leslie.oldfield@gmail.com")</f>
        <v>leslie.oldfield@gmail.com</v>
      </c>
      <c r="D19" s="62" t="str">
        <f>IFERROR(__xludf.DUMMYFUNCTION("""COMPUTED_VALUE"""),"Unresponsive")</f>
        <v>Unresponsive</v>
      </c>
      <c r="E19" s="77">
        <f>IFERROR(__xludf.DUMMYFUNCTION("""COMPUTED_VALUE"""),43585.0)</f>
        <v>43585</v>
      </c>
      <c r="F19" s="77" t="str">
        <f>IFERROR(__xludf.DUMMYFUNCTION("""COMPUTED_VALUE"""),"No")</f>
        <v>No</v>
      </c>
      <c r="G19" s="62" t="str">
        <f>IFERROR(__xludf.DUMMYFUNCTION("""COMPUTED_VALUE"""),"Gene Disease Validity")</f>
        <v>Gene Disease Validity</v>
      </c>
      <c r="H19" s="62" t="str">
        <f>IFERROR(__xludf.DUMMYFUNCTION("""COMPUTED_VALUE"""),"")</f>
        <v/>
      </c>
      <c r="I19" s="152">
        <f t="shared" si="1"/>
        <v>43676</v>
      </c>
      <c r="J19" s="62" t="str">
        <f>IFERROR(__xludf.DUMMYFUNCTION("""COMPUTED_VALUE"""),"")</f>
        <v/>
      </c>
      <c r="K19" s="150">
        <f t="shared" si="2"/>
        <v>43768</v>
      </c>
      <c r="L19" s="62" t="str">
        <f>IFERROR(__xludf.DUMMYFUNCTION("""COMPUTED_VALUE"""),"")</f>
        <v/>
      </c>
      <c r="M19" s="62"/>
      <c r="N19" s="62"/>
      <c r="O19" s="62"/>
      <c r="P19" s="62"/>
      <c r="Q19" s="62"/>
      <c r="R19" s="62"/>
      <c r="S19" s="62"/>
      <c r="T19" s="62"/>
      <c r="U19" s="62"/>
      <c r="V19" s="62"/>
      <c r="W19" s="62"/>
      <c r="X19" s="62"/>
      <c r="Y19" s="62"/>
      <c r="Z19" s="62"/>
      <c r="AA19" s="62"/>
      <c r="AB19" s="62"/>
      <c r="AC19" s="62"/>
      <c r="AD19" s="62"/>
    </row>
    <row r="20">
      <c r="A20" s="151">
        <f>IFERROR(__xludf.DUMMYFUNCTION("""COMPUTED_VALUE"""),43333.58667824074)</f>
        <v>43333.58668</v>
      </c>
      <c r="B20" s="6" t="str">
        <f>IFERROR(__xludf.DUMMYFUNCTION("""COMPUTED_VALUE"""),"John Shoffner")</f>
        <v>John Shoffner</v>
      </c>
      <c r="C20" s="6" t="str">
        <f>IFERROR(__xludf.DUMMYFUNCTION("""COMPUTED_VALUE"""),"jmsiv9903@icloud.com")</f>
        <v>jmsiv9903@icloud.com</v>
      </c>
      <c r="D20" s="62" t="str">
        <f>IFERROR(__xludf.DUMMYFUNCTION("""COMPUTED_VALUE"""),"Assigned")</f>
        <v>Assigned</v>
      </c>
      <c r="E20" s="81">
        <f>IFERROR(__xludf.DUMMYFUNCTION("""COMPUTED_VALUE"""),43446.0)</f>
        <v>43446</v>
      </c>
      <c r="F20" s="77" t="str">
        <f>IFERROR(__xludf.DUMMYFUNCTION("""COMPUTED_VALUE"""),"Yes")</f>
        <v>Yes</v>
      </c>
      <c r="G20" s="62" t="str">
        <f>IFERROR(__xludf.DUMMYFUNCTION("""COMPUTED_VALUE"""),"Gene Disease Validity")</f>
        <v>Gene Disease Validity</v>
      </c>
      <c r="H20" s="62" t="str">
        <f>IFERROR(__xludf.DUMMYFUNCTION("""COMPUTED_VALUE"""),"Mitochondrial GCEP")</f>
        <v>Mitochondrial GCEP</v>
      </c>
      <c r="I20" s="152">
        <f t="shared" si="1"/>
        <v>43536</v>
      </c>
      <c r="J20" s="81">
        <f>IFERROR(__xludf.DUMMYFUNCTION("""COMPUTED_VALUE"""),43592.0)</f>
        <v>43592</v>
      </c>
      <c r="K20" s="150">
        <f t="shared" si="2"/>
        <v>43628</v>
      </c>
      <c r="L20" s="81">
        <f>IFERROR(__xludf.DUMMYFUNCTION("""COMPUTED_VALUE"""),43713.0)</f>
        <v>43713</v>
      </c>
      <c r="M20" s="62"/>
      <c r="N20" s="62"/>
      <c r="O20" s="62"/>
      <c r="P20" s="62"/>
      <c r="Q20" s="62"/>
      <c r="R20" s="62"/>
      <c r="S20" s="62"/>
      <c r="T20" s="62"/>
      <c r="U20" s="62"/>
      <c r="V20" s="62"/>
      <c r="W20" s="62"/>
      <c r="X20" s="62"/>
      <c r="Y20" s="62"/>
      <c r="Z20" s="62"/>
      <c r="AA20" s="62"/>
      <c r="AB20" s="62"/>
      <c r="AC20" s="62"/>
      <c r="AD20" s="62"/>
    </row>
    <row r="21">
      <c r="A21" s="151">
        <f>IFERROR(__xludf.DUMMYFUNCTION("""COMPUTED_VALUE"""),43335.587488425925)</f>
        <v>43335.58749</v>
      </c>
      <c r="B21" s="6" t="str">
        <f>IFERROR(__xludf.DUMMYFUNCTION("""COMPUTED_VALUE"""),"Isabelle Thiffault")</f>
        <v>Isabelle Thiffault</v>
      </c>
      <c r="C21" s="6" t="str">
        <f>IFERROR(__xludf.DUMMYFUNCTION("""COMPUTED_VALUE"""),"ithiffault@cmh.edu")</f>
        <v>ithiffault@cmh.edu</v>
      </c>
      <c r="D21" s="62" t="str">
        <f>IFERROR(__xludf.DUMMYFUNCTION("""COMPUTED_VALUE"""),"Assigned")</f>
        <v>Assigned</v>
      </c>
      <c r="E21" s="81">
        <f>IFERROR(__xludf.DUMMYFUNCTION("""COMPUTED_VALUE"""),43446.0)</f>
        <v>43446</v>
      </c>
      <c r="F21" s="77" t="str">
        <f>IFERROR(__xludf.DUMMYFUNCTION("""COMPUTED_VALUE"""),"Yes")</f>
        <v>Yes</v>
      </c>
      <c r="G21" s="62" t="str">
        <f>IFERROR(__xludf.DUMMYFUNCTION("""COMPUTED_VALUE"""),"Gene Disease Validity")</f>
        <v>Gene Disease Validity</v>
      </c>
      <c r="H21" s="62" t="str">
        <f>IFERROR(__xludf.DUMMYFUNCTION("""COMPUTED_VALUE"""),"Mitochondrial GCEP")</f>
        <v>Mitochondrial GCEP</v>
      </c>
      <c r="I21" s="152">
        <f t="shared" si="1"/>
        <v>43536</v>
      </c>
      <c r="J21" s="81">
        <f>IFERROR(__xludf.DUMMYFUNCTION("""COMPUTED_VALUE"""),43592.0)</f>
        <v>43592</v>
      </c>
      <c r="K21" s="150">
        <f t="shared" si="2"/>
        <v>43628</v>
      </c>
      <c r="L21" s="81">
        <f>IFERROR(__xludf.DUMMYFUNCTION("""COMPUTED_VALUE"""),43713.0)</f>
        <v>43713</v>
      </c>
      <c r="M21" s="62"/>
      <c r="N21" s="62"/>
      <c r="O21" s="62"/>
      <c r="P21" s="62"/>
      <c r="Q21" s="62"/>
      <c r="R21" s="62"/>
      <c r="S21" s="62"/>
      <c r="T21" s="62"/>
      <c r="U21" s="62"/>
      <c r="V21" s="62"/>
      <c r="W21" s="62"/>
      <c r="X21" s="62"/>
      <c r="Y21" s="62"/>
      <c r="Z21" s="62"/>
      <c r="AA21" s="62"/>
      <c r="AB21" s="62"/>
      <c r="AC21" s="62"/>
      <c r="AD21" s="62"/>
    </row>
    <row r="22">
      <c r="A22" s="151">
        <f>IFERROR(__xludf.DUMMYFUNCTION("""COMPUTED_VALUE"""),43350.59027777778)</f>
        <v>43350.59028</v>
      </c>
      <c r="B22" s="6" t="str">
        <f>IFERROR(__xludf.DUMMYFUNCTION("""COMPUTED_VALUE"""),"Colin Ellis")</f>
        <v>Colin Ellis</v>
      </c>
      <c r="C22" s="6" t="str">
        <f>IFERROR(__xludf.DUMMYFUNCTION("""COMPUTED_VALUE"""),"colin.ellis@uphs.upenn.edu")</f>
        <v>colin.ellis@uphs.upenn.edu</v>
      </c>
      <c r="D22" s="62" t="str">
        <f>IFERROR(__xludf.DUMMYFUNCTION("""COMPUTED_VALUE"""),"Assigned")</f>
        <v>Assigned</v>
      </c>
      <c r="E22" s="81">
        <f>IFERROR(__xludf.DUMMYFUNCTION("""COMPUTED_VALUE"""),43446.0)</f>
        <v>43446</v>
      </c>
      <c r="F22" s="77" t="str">
        <f>IFERROR(__xludf.DUMMYFUNCTION("""COMPUTED_VALUE"""),"Yes")</f>
        <v>Yes</v>
      </c>
      <c r="G22" s="62" t="str">
        <f>IFERROR(__xludf.DUMMYFUNCTION("""COMPUTED_VALUE"""),"Gene Disease Validity")</f>
        <v>Gene Disease Validity</v>
      </c>
      <c r="H22" s="62" t="str">
        <f>IFERROR(__xludf.DUMMYFUNCTION("""COMPUTED_VALUE"""),"Epilepsy GCEP")</f>
        <v>Epilepsy GCEP</v>
      </c>
      <c r="I22" s="152">
        <f t="shared" si="1"/>
        <v>43536</v>
      </c>
      <c r="J22" s="81">
        <f>IFERROR(__xludf.DUMMYFUNCTION("""COMPUTED_VALUE"""),43592.0)</f>
        <v>43592</v>
      </c>
      <c r="K22" s="150">
        <f t="shared" si="2"/>
        <v>43628</v>
      </c>
      <c r="L22" s="81">
        <f>IFERROR(__xludf.DUMMYFUNCTION("""COMPUTED_VALUE"""),43713.0)</f>
        <v>43713</v>
      </c>
      <c r="M22" s="62"/>
      <c r="N22" s="62"/>
      <c r="O22" s="62"/>
      <c r="P22" s="62"/>
      <c r="Q22" s="62"/>
      <c r="R22" s="62"/>
      <c r="S22" s="62"/>
      <c r="T22" s="62"/>
      <c r="U22" s="62"/>
      <c r="V22" s="62"/>
      <c r="W22" s="62"/>
      <c r="X22" s="62"/>
      <c r="Y22" s="62"/>
      <c r="Z22" s="62"/>
      <c r="AA22" s="62"/>
      <c r="AB22" s="62"/>
      <c r="AC22" s="62"/>
      <c r="AD22" s="62"/>
    </row>
    <row r="23">
      <c r="A23" s="151">
        <f>IFERROR(__xludf.DUMMYFUNCTION("""COMPUTED_VALUE"""),43354.59087962963)</f>
        <v>43354.59088</v>
      </c>
      <c r="B23" s="6" t="str">
        <f>IFERROR(__xludf.DUMMYFUNCTION("""COMPUTED_VALUE"""),"Mansour Zamanpoor")</f>
        <v>Mansour Zamanpoor</v>
      </c>
      <c r="C23" s="6" t="str">
        <f>IFERROR(__xludf.DUMMYFUNCTION("""COMPUTED_VALUE"""),"mansour.zamanpoor@ccdhb.org.nz")</f>
        <v>mansour.zamanpoor@ccdhb.org.nz</v>
      </c>
      <c r="D23" s="62" t="str">
        <f>IFERROR(__xludf.DUMMYFUNCTION("""COMPUTED_VALUE"""),"Declined")</f>
        <v>Declined</v>
      </c>
      <c r="E23" s="81">
        <f>IFERROR(__xludf.DUMMYFUNCTION("""COMPUTED_VALUE"""),43446.0)</f>
        <v>43446</v>
      </c>
      <c r="F23" s="105" t="str">
        <f>IFERROR(__xludf.DUMMYFUNCTION("""COMPUTED_VALUE"""),"Yes")</f>
        <v>Yes</v>
      </c>
      <c r="G23" s="62" t="str">
        <f>IFERROR(__xludf.DUMMYFUNCTION("""COMPUTED_VALUE"""),"Gene Disease Validity")</f>
        <v>Gene Disease Validity</v>
      </c>
      <c r="H23" s="62" t="str">
        <f>IFERROR(__xludf.DUMMYFUNCTION("""COMPUTED_VALUE"""),"Hereditary Cancer")</f>
        <v>Hereditary Cancer</v>
      </c>
      <c r="I23" s="152">
        <f t="shared" si="1"/>
        <v>43536</v>
      </c>
      <c r="J23" s="81">
        <f>IFERROR(__xludf.DUMMYFUNCTION("""COMPUTED_VALUE"""),43592.0)</f>
        <v>43592</v>
      </c>
      <c r="K23" s="150">
        <f t="shared" si="2"/>
        <v>43628</v>
      </c>
      <c r="L23" s="81">
        <f>IFERROR(__xludf.DUMMYFUNCTION("""COMPUTED_VALUE"""),43713.0)</f>
        <v>43713</v>
      </c>
      <c r="M23" s="62"/>
      <c r="N23" s="62"/>
      <c r="O23" s="62"/>
      <c r="P23" s="62"/>
      <c r="Q23" s="62"/>
      <c r="R23" s="62"/>
      <c r="S23" s="62"/>
      <c r="T23" s="62"/>
      <c r="U23" s="62"/>
      <c r="V23" s="62"/>
      <c r="W23" s="62"/>
      <c r="X23" s="62"/>
      <c r="Y23" s="62"/>
      <c r="Z23" s="62"/>
      <c r="AA23" s="62"/>
      <c r="AB23" s="62"/>
      <c r="AC23" s="62"/>
      <c r="AD23" s="62"/>
    </row>
    <row r="24">
      <c r="A24" s="151">
        <f>IFERROR(__xludf.DUMMYFUNCTION("""COMPUTED_VALUE"""),43356.59159722222)</f>
        <v>43356.5916</v>
      </c>
      <c r="B24" s="6" t="str">
        <f>IFERROR(__xludf.DUMMYFUNCTION("""COMPUTED_VALUE"""),"Benjamin Kang")</f>
        <v>Benjamin Kang</v>
      </c>
      <c r="C24" s="6" t="str">
        <f>IFERROR(__xludf.DUMMYFUNCTION("""COMPUTED_VALUE"""),"bekang@emory.edu")</f>
        <v>bekang@emory.edu</v>
      </c>
      <c r="D24" s="62" t="str">
        <f>IFERROR(__xludf.DUMMYFUNCTION("""COMPUTED_VALUE"""),"Assigned")</f>
        <v>Assigned</v>
      </c>
      <c r="E24" s="81">
        <f>IFERROR(__xludf.DUMMYFUNCTION("""COMPUTED_VALUE"""),43446.0)</f>
        <v>43446</v>
      </c>
      <c r="F24" s="106" t="str">
        <f>IFERROR(__xludf.DUMMYFUNCTION("""COMPUTED_VALUE"""),"Yes")</f>
        <v>Yes</v>
      </c>
      <c r="G24" s="62" t="str">
        <f>IFERROR(__xludf.DUMMYFUNCTION("""COMPUTED_VALUE"""),"Gene Disease Validity")</f>
        <v>Gene Disease Validity</v>
      </c>
      <c r="H24" s="62" t="str">
        <f>IFERROR(__xludf.DUMMYFUNCTION("""COMPUTED_VALUE"""),"Epilepsy ")</f>
        <v>Epilepsy </v>
      </c>
      <c r="I24" s="152">
        <f t="shared" si="1"/>
        <v>43536</v>
      </c>
      <c r="J24" s="81">
        <f>IFERROR(__xludf.DUMMYFUNCTION("""COMPUTED_VALUE"""),43592.0)</f>
        <v>43592</v>
      </c>
      <c r="K24" s="150">
        <f t="shared" si="2"/>
        <v>43628</v>
      </c>
      <c r="L24" s="81">
        <f>IFERROR(__xludf.DUMMYFUNCTION("""COMPUTED_VALUE"""),43713.0)</f>
        <v>43713</v>
      </c>
      <c r="M24" s="62"/>
      <c r="N24" s="62"/>
      <c r="O24" s="62"/>
      <c r="P24" s="62"/>
      <c r="Q24" s="62"/>
      <c r="R24" s="62"/>
      <c r="S24" s="62"/>
      <c r="T24" s="62"/>
      <c r="U24" s="62"/>
      <c r="V24" s="62"/>
      <c r="W24" s="62"/>
      <c r="X24" s="62"/>
      <c r="Y24" s="62"/>
      <c r="Z24" s="62"/>
      <c r="AA24" s="62"/>
      <c r="AB24" s="62"/>
      <c r="AC24" s="62"/>
      <c r="AD24" s="62"/>
    </row>
    <row r="25">
      <c r="A25" s="151">
        <f>IFERROR(__xludf.DUMMYFUNCTION("""COMPUTED_VALUE"""),43357.59306712963)</f>
        <v>43357.59307</v>
      </c>
      <c r="B25" s="6" t="str">
        <f>IFERROR(__xludf.DUMMYFUNCTION("""COMPUTED_VALUE"""),"Ljubica Caldovic")</f>
        <v>Ljubica Caldovic</v>
      </c>
      <c r="C25" s="6" t="str">
        <f>IFERROR(__xludf.DUMMYFUNCTION("""COMPUTED_VALUE"""),"lcaldovic@childrensnational.org")</f>
        <v>lcaldovic@childrensnational.org</v>
      </c>
      <c r="D25" s="62" t="str">
        <f>IFERROR(__xludf.DUMMYFUNCTION("""COMPUTED_VALUE"""),"Contacted")</f>
        <v>Contacted</v>
      </c>
      <c r="E25" s="81">
        <f>IFERROR(__xludf.DUMMYFUNCTION("""COMPUTED_VALUE"""),43585.0)</f>
        <v>43585</v>
      </c>
      <c r="F25" s="106" t="str">
        <f>IFERROR(__xludf.DUMMYFUNCTION("""COMPUTED_VALUE"""),"Yes")</f>
        <v>Yes</v>
      </c>
      <c r="G25" s="62" t="str">
        <f>IFERROR(__xludf.DUMMYFUNCTION("""COMPUTED_VALUE"""),"Gene Disease Validity")</f>
        <v>Gene Disease Validity</v>
      </c>
      <c r="H25" s="62" t="str">
        <f>IFERROR(__xludf.DUMMYFUNCTION("""COMPUTED_VALUE"""),"Aminoacidopathy")</f>
        <v>Aminoacidopathy</v>
      </c>
      <c r="I25" s="152">
        <f t="shared" si="1"/>
        <v>43676</v>
      </c>
      <c r="J25" s="62" t="str">
        <f>IFERROR(__xludf.DUMMYFUNCTION("""COMPUTED_VALUE"""),"")</f>
        <v/>
      </c>
      <c r="K25" s="150">
        <f t="shared" si="2"/>
        <v>43768</v>
      </c>
      <c r="L25" s="62" t="str">
        <f>IFERROR(__xludf.DUMMYFUNCTION("""COMPUTED_VALUE"""),"")</f>
        <v/>
      </c>
      <c r="M25" s="62"/>
      <c r="N25" s="62"/>
      <c r="O25" s="62"/>
      <c r="P25" s="62"/>
      <c r="Q25" s="62"/>
      <c r="R25" s="62"/>
      <c r="S25" s="62"/>
      <c r="T25" s="62"/>
      <c r="U25" s="62"/>
      <c r="V25" s="62"/>
      <c r="W25" s="62"/>
      <c r="X25" s="62"/>
      <c r="Y25" s="62"/>
      <c r="Z25" s="62"/>
      <c r="AA25" s="62"/>
      <c r="AB25" s="62"/>
      <c r="AC25" s="62"/>
      <c r="AD25" s="62"/>
    </row>
    <row r="26">
      <c r="A26" s="151">
        <f>IFERROR(__xludf.DUMMYFUNCTION("""COMPUTED_VALUE"""),43384.5971412037)</f>
        <v>43384.59714</v>
      </c>
      <c r="B26" s="6" t="str">
        <f>IFERROR(__xludf.DUMMYFUNCTION("""COMPUTED_VALUE"""),"Vaidehi Jobanputra")</f>
        <v>Vaidehi Jobanputra</v>
      </c>
      <c r="C26" s="6" t="str">
        <f>IFERROR(__xludf.DUMMYFUNCTION("""COMPUTED_VALUE"""),"vjobanputra@nygenome.org")</f>
        <v>vjobanputra@nygenome.org</v>
      </c>
      <c r="D26" s="62" t="str">
        <f>IFERROR(__xludf.DUMMYFUNCTION("""COMPUTED_VALUE"""),"Contacted")</f>
        <v>Contacted</v>
      </c>
      <c r="E26" s="81">
        <f>IFERROR(__xludf.DUMMYFUNCTION("""COMPUTED_VALUE"""),43446.0)</f>
        <v>43446</v>
      </c>
      <c r="F26" s="106" t="str">
        <f>IFERROR(__xludf.DUMMYFUNCTION("""COMPUTED_VALUE"""),"No")</f>
        <v>No</v>
      </c>
      <c r="G26" s="62" t="str">
        <f>IFERROR(__xludf.DUMMYFUNCTION("""COMPUTED_VALUE"""),"Gene Disease Validity")</f>
        <v>Gene Disease Validity</v>
      </c>
      <c r="H26" s="62" t="str">
        <f>IFERROR(__xludf.DUMMYFUNCTION("""COMPUTED_VALUE"""),"")</f>
        <v/>
      </c>
      <c r="I26" s="152">
        <f t="shared" si="1"/>
        <v>43536</v>
      </c>
      <c r="J26" s="62" t="str">
        <f>IFERROR(__xludf.DUMMYFUNCTION("""COMPUTED_VALUE"""),"")</f>
        <v/>
      </c>
      <c r="K26" s="150">
        <f t="shared" si="2"/>
        <v>43628</v>
      </c>
      <c r="L26" s="62" t="str">
        <f>IFERROR(__xludf.DUMMYFUNCTION("""COMPUTED_VALUE"""),"")</f>
        <v/>
      </c>
      <c r="M26" s="62"/>
      <c r="N26" s="62"/>
      <c r="O26" s="62"/>
      <c r="P26" s="62"/>
      <c r="Q26" s="62"/>
      <c r="R26" s="62"/>
      <c r="S26" s="62"/>
      <c r="T26" s="62"/>
      <c r="U26" s="62"/>
      <c r="V26" s="62"/>
      <c r="W26" s="62"/>
      <c r="X26" s="62"/>
      <c r="Y26" s="62"/>
      <c r="Z26" s="62"/>
      <c r="AA26" s="62"/>
      <c r="AB26" s="62"/>
      <c r="AC26" s="62"/>
      <c r="AD26" s="62"/>
    </row>
    <row r="27">
      <c r="A27" s="151">
        <f>IFERROR(__xludf.DUMMYFUNCTION("""COMPUTED_VALUE"""),43413.59946759259)</f>
        <v>43413.59947</v>
      </c>
      <c r="B27" s="6" t="str">
        <f>IFERROR(__xludf.DUMMYFUNCTION("""COMPUTED_VALUE"""),"Erik Thorland")</f>
        <v>Erik Thorland</v>
      </c>
      <c r="C27" s="6" t="str">
        <f>IFERROR(__xludf.DUMMYFUNCTION("""COMPUTED_VALUE"""),"thorland.erik@mayo.edu")</f>
        <v>thorland.erik@mayo.edu</v>
      </c>
      <c r="D27" s="62" t="str">
        <f>IFERROR(__xludf.DUMMYFUNCTION("""COMPUTED_VALUE"""),"Contacted")</f>
        <v>Contacted</v>
      </c>
      <c r="E27" s="77">
        <f>IFERROR(__xludf.DUMMYFUNCTION("""COMPUTED_VALUE"""),43585.0)</f>
        <v>43585</v>
      </c>
      <c r="F27" s="62" t="str">
        <f>IFERROR(__xludf.DUMMYFUNCTION("""COMPUTED_VALUE"""),"No")</f>
        <v>No</v>
      </c>
      <c r="G27" s="62" t="str">
        <f>IFERROR(__xludf.DUMMYFUNCTION("""COMPUTED_VALUE"""),"Gene Disease Validity")</f>
        <v>Gene Disease Validity</v>
      </c>
      <c r="H27" s="62" t="str">
        <f>IFERROR(__xludf.DUMMYFUNCTION("""COMPUTED_VALUE"""),"Epilepsy")</f>
        <v>Epilepsy</v>
      </c>
      <c r="I27" s="152">
        <f t="shared" si="1"/>
        <v>43676</v>
      </c>
      <c r="J27" s="81">
        <f>IFERROR(__xludf.DUMMYFUNCTION("""COMPUTED_VALUE"""),43712.0)</f>
        <v>43712</v>
      </c>
      <c r="K27" s="150">
        <f t="shared" si="2"/>
        <v>43768</v>
      </c>
      <c r="L27" s="81" t="str">
        <f>IFERROR(__xludf.DUMMYFUNCTION("""COMPUTED_VALUE"""),"")</f>
        <v/>
      </c>
      <c r="M27" s="62"/>
      <c r="N27" s="62"/>
      <c r="O27" s="62"/>
      <c r="P27" s="62"/>
      <c r="Q27" s="62"/>
      <c r="R27" s="62"/>
      <c r="S27" s="62"/>
      <c r="T27" s="62"/>
      <c r="U27" s="62"/>
      <c r="V27" s="62"/>
      <c r="W27" s="62"/>
      <c r="X27" s="62"/>
      <c r="Y27" s="62"/>
      <c r="Z27" s="62"/>
      <c r="AA27" s="62"/>
      <c r="AB27" s="62"/>
      <c r="AC27" s="62"/>
      <c r="AD27" s="62"/>
    </row>
    <row r="28">
      <c r="A28" s="151">
        <f>IFERROR(__xludf.DUMMYFUNCTION("""COMPUTED_VALUE"""),43434.60061342592)</f>
        <v>43434.60061</v>
      </c>
      <c r="B28" s="6" t="str">
        <f>IFERROR(__xludf.DUMMYFUNCTION("""COMPUTED_VALUE"""),"Olivia Rennie")</f>
        <v>Olivia Rennie</v>
      </c>
      <c r="C28" s="6" t="str">
        <f>IFERROR(__xludf.DUMMYFUNCTION("""COMPUTED_VALUE"""),"olivia.rennie@sickkids.ca")</f>
        <v>olivia.rennie@sickkids.ca</v>
      </c>
      <c r="D28" s="62" t="str">
        <f>IFERROR(__xludf.DUMMYFUNCTION("""COMPUTED_VALUE"""),"Assigned")</f>
        <v>Assigned</v>
      </c>
      <c r="E28" s="81">
        <f>IFERROR(__xludf.DUMMYFUNCTION("""COMPUTED_VALUE"""),43446.0)</f>
        <v>43446</v>
      </c>
      <c r="F28" s="77" t="str">
        <f>IFERROR(__xludf.DUMMYFUNCTION("""COMPUTED_VALUE"""),"Yes")</f>
        <v>Yes</v>
      </c>
      <c r="G28" s="62" t="str">
        <f>IFERROR(__xludf.DUMMYFUNCTION("""COMPUTED_VALUE"""),"Gene Disease Validity")</f>
        <v>Gene Disease Validity</v>
      </c>
      <c r="H28" s="62" t="str">
        <f>IFERROR(__xludf.DUMMYFUNCTION("""COMPUTED_VALUE"""),"ID Autism")</f>
        <v>ID Autism</v>
      </c>
      <c r="I28" s="152">
        <f t="shared" si="1"/>
        <v>43536</v>
      </c>
      <c r="J28" s="81">
        <f>IFERROR(__xludf.DUMMYFUNCTION("""COMPUTED_VALUE"""),43592.0)</f>
        <v>43592</v>
      </c>
      <c r="K28" s="150">
        <f t="shared" si="2"/>
        <v>43628</v>
      </c>
      <c r="L28" s="81">
        <f>IFERROR(__xludf.DUMMYFUNCTION("""COMPUTED_VALUE"""),43713.0)</f>
        <v>43713</v>
      </c>
      <c r="M28" s="62"/>
      <c r="N28" s="62"/>
      <c r="O28" s="62"/>
      <c r="P28" s="62"/>
      <c r="Q28" s="62"/>
      <c r="R28" s="62"/>
      <c r="S28" s="62"/>
      <c r="T28" s="62"/>
      <c r="U28" s="62"/>
      <c r="V28" s="62"/>
      <c r="W28" s="62"/>
      <c r="X28" s="62"/>
      <c r="Y28" s="62"/>
      <c r="Z28" s="62"/>
      <c r="AA28" s="62"/>
      <c r="AB28" s="62"/>
      <c r="AC28" s="62"/>
      <c r="AD28" s="62"/>
    </row>
    <row r="29">
      <c r="A29" s="151">
        <f>IFERROR(__xludf.DUMMYFUNCTION("""COMPUTED_VALUE"""),43473.60137534723)</f>
        <v>43473.60138</v>
      </c>
      <c r="B29" s="6" t="str">
        <f>IFERROR(__xludf.DUMMYFUNCTION("""COMPUTED_VALUE"""),"Kira Dies")</f>
        <v>Kira Dies</v>
      </c>
      <c r="C29" s="6" t="str">
        <f>IFERROR(__xludf.DUMMYFUNCTION("""COMPUTED_VALUE"""),"Kira.Dies@childrens.harvard.edu")</f>
        <v>Kira.Dies@childrens.harvard.edu</v>
      </c>
      <c r="D29" s="62" t="str">
        <f>IFERROR(__xludf.DUMMYFUNCTION("""COMPUTED_VALUE"""),"Declined")</f>
        <v>Declined</v>
      </c>
      <c r="E29" s="81">
        <f>IFERROR(__xludf.DUMMYFUNCTION("""COMPUTED_VALUE"""),43446.0)</f>
        <v>43446</v>
      </c>
      <c r="F29" s="77" t="str">
        <f>IFERROR(__xludf.DUMMYFUNCTION("""COMPUTED_VALUE"""),"Yes")</f>
        <v>Yes</v>
      </c>
      <c r="G29" s="62" t="str">
        <f>IFERROR(__xludf.DUMMYFUNCTION("""COMPUTED_VALUE"""),"Gene Disease Validity")</f>
        <v>Gene Disease Validity</v>
      </c>
      <c r="H29" s="62" t="str">
        <f>IFERROR(__xludf.DUMMYFUNCTION("""COMPUTED_VALUE"""),"ID Autism")</f>
        <v>ID Autism</v>
      </c>
      <c r="I29" s="152">
        <f t="shared" si="1"/>
        <v>43536</v>
      </c>
      <c r="J29" s="81">
        <f>IFERROR(__xludf.DUMMYFUNCTION("""COMPUTED_VALUE"""),43592.0)</f>
        <v>43592</v>
      </c>
      <c r="K29" s="150">
        <f t="shared" si="2"/>
        <v>43628</v>
      </c>
      <c r="L29" s="81">
        <f>IFERROR(__xludf.DUMMYFUNCTION("""COMPUTED_VALUE"""),43713.0)</f>
        <v>43713</v>
      </c>
      <c r="M29" s="62"/>
      <c r="N29" s="62"/>
      <c r="O29" s="62"/>
      <c r="P29" s="62"/>
      <c r="Q29" s="62"/>
      <c r="R29" s="62"/>
      <c r="S29" s="62"/>
      <c r="T29" s="62"/>
      <c r="U29" s="62"/>
      <c r="V29" s="62"/>
      <c r="W29" s="62"/>
      <c r="X29" s="62"/>
      <c r="Y29" s="62"/>
      <c r="Z29" s="62"/>
      <c r="AA29" s="62"/>
      <c r="AB29" s="62"/>
      <c r="AC29" s="62"/>
      <c r="AD29" s="62"/>
    </row>
    <row r="30">
      <c r="A30" s="151">
        <f>IFERROR(__xludf.DUMMYFUNCTION("""COMPUTED_VALUE"""),43335.60587962963)</f>
        <v>43335.60588</v>
      </c>
      <c r="B30" s="6" t="str">
        <f>IFERROR(__xludf.DUMMYFUNCTION("""COMPUTED_VALUE"""),"Sainan Wei")</f>
        <v>Sainan Wei</v>
      </c>
      <c r="C30" s="6" t="str">
        <f>IFERROR(__xludf.DUMMYFUNCTION("""COMPUTED_VALUE"""),"sainan.wei@uky.edu ")</f>
        <v>sainan.wei@uky.edu </v>
      </c>
      <c r="D30" s="62" t="str">
        <f>IFERROR(__xludf.DUMMYFUNCTION("""COMPUTED_VALUE"""),"Assigned")</f>
        <v>Assigned</v>
      </c>
      <c r="E30" s="106">
        <f>IFERROR(__xludf.DUMMYFUNCTION("""COMPUTED_VALUE"""),43341.0)</f>
        <v>43341</v>
      </c>
      <c r="F30" s="106" t="str">
        <f>IFERROR(__xludf.DUMMYFUNCTION("""COMPUTED_VALUE"""),"Yes")</f>
        <v>Yes</v>
      </c>
      <c r="G30" s="62" t="str">
        <f>IFERROR(__xludf.DUMMYFUNCTION("""COMPUTED_VALUE"""),"Gene Disease Validity")</f>
        <v>Gene Disease Validity</v>
      </c>
      <c r="H30" s="62" t="str">
        <f>IFERROR(__xludf.DUMMYFUNCTION("""COMPUTED_VALUE"""),"Hereditary Cancer")</f>
        <v>Hereditary Cancer</v>
      </c>
      <c r="I30" s="152">
        <f t="shared" si="1"/>
        <v>43433</v>
      </c>
      <c r="J30" s="81">
        <f>IFERROR(__xludf.DUMMYFUNCTION("""COMPUTED_VALUE"""),43592.0)</f>
        <v>43592</v>
      </c>
      <c r="K30" s="150">
        <f t="shared" si="2"/>
        <v>43524</v>
      </c>
      <c r="L30" s="81">
        <f>IFERROR(__xludf.DUMMYFUNCTION("""COMPUTED_VALUE"""),43713.0)</f>
        <v>43713</v>
      </c>
      <c r="M30" s="62"/>
      <c r="N30" s="62"/>
      <c r="O30" s="62"/>
      <c r="P30" s="62"/>
      <c r="Q30" s="62"/>
      <c r="R30" s="62"/>
      <c r="S30" s="62"/>
      <c r="T30" s="62"/>
      <c r="U30" s="62"/>
      <c r="V30" s="62"/>
      <c r="W30" s="62"/>
      <c r="X30" s="62"/>
      <c r="Y30" s="62"/>
      <c r="Z30" s="62"/>
      <c r="AA30" s="62"/>
      <c r="AB30" s="62"/>
      <c r="AC30" s="62"/>
      <c r="AD30" s="62"/>
    </row>
    <row r="31">
      <c r="A31" s="151">
        <f>IFERROR(__xludf.DUMMYFUNCTION("""COMPUTED_VALUE"""),43339.60663194444)</f>
        <v>43339.60663</v>
      </c>
      <c r="B31" s="6" t="str">
        <f>IFERROR(__xludf.DUMMYFUNCTION("""COMPUTED_VALUE"""),"Preti Jain")</f>
        <v>Preti Jain</v>
      </c>
      <c r="C31" s="6" t="str">
        <f>IFERROR(__xludf.DUMMYFUNCTION("""COMPUTED_VALUE"""),"preti.jain@yale.edu")</f>
        <v>preti.jain@yale.edu</v>
      </c>
      <c r="D31" s="62" t="str">
        <f>IFERROR(__xludf.DUMMYFUNCTION("""COMPUTED_VALUE"""),"Assigned")</f>
        <v>Assigned</v>
      </c>
      <c r="E31" s="81">
        <f>IFERROR(__xludf.DUMMYFUNCTION("""COMPUTED_VALUE"""),43453.0)</f>
        <v>43453</v>
      </c>
      <c r="F31" s="105" t="str">
        <f>IFERROR(__xludf.DUMMYFUNCTION("""COMPUTED_VALUE"""),"Yes")</f>
        <v>Yes</v>
      </c>
      <c r="G31" s="62" t="str">
        <f>IFERROR(__xludf.DUMMYFUNCTION("""COMPUTED_VALUE"""),"Dosage Sensitivity")</f>
        <v>Dosage Sensitivity</v>
      </c>
      <c r="H31" s="62" t="str">
        <f>IFERROR(__xludf.DUMMYFUNCTION("""COMPUTED_VALUE"""),"")</f>
        <v/>
      </c>
      <c r="I31" s="152">
        <f t="shared" si="1"/>
        <v>43543</v>
      </c>
      <c r="J31" s="81">
        <f>IFERROR(__xludf.DUMMYFUNCTION("""COMPUTED_VALUE"""),43592.0)</f>
        <v>43592</v>
      </c>
      <c r="K31" s="150">
        <f t="shared" si="2"/>
        <v>43635</v>
      </c>
      <c r="L31" s="81">
        <f>IFERROR(__xludf.DUMMYFUNCTION("""COMPUTED_VALUE"""),43713.0)</f>
        <v>43713</v>
      </c>
      <c r="M31" s="62"/>
      <c r="N31" s="62"/>
      <c r="O31" s="62"/>
      <c r="P31" s="62"/>
      <c r="Q31" s="62"/>
      <c r="R31" s="62"/>
      <c r="S31" s="62"/>
      <c r="T31" s="62"/>
      <c r="U31" s="62"/>
      <c r="V31" s="62"/>
      <c r="W31" s="62"/>
      <c r="X31" s="62"/>
      <c r="Y31" s="62"/>
      <c r="Z31" s="62"/>
      <c r="AA31" s="62"/>
      <c r="AB31" s="62"/>
      <c r="AC31" s="62"/>
      <c r="AD31" s="62"/>
    </row>
    <row r="32">
      <c r="A32" s="151">
        <f>IFERROR(__xludf.DUMMYFUNCTION("""COMPUTED_VALUE"""),43355.61038194444)</f>
        <v>43355.61038</v>
      </c>
      <c r="B32" s="6" t="str">
        <f>IFERROR(__xludf.DUMMYFUNCTION("""COMPUTED_VALUE"""),"Andrea Vaags")</f>
        <v>Andrea Vaags</v>
      </c>
      <c r="C32" s="6" t="str">
        <f>IFERROR(__xludf.DUMMYFUNCTION("""COMPUTED_VALUE"""),"andrea.vaags@thp.ca")</f>
        <v>andrea.vaags@thp.ca</v>
      </c>
      <c r="D32" s="62" t="str">
        <f>IFERROR(__xludf.DUMMYFUNCTION("""COMPUTED_VALUE"""),"Assigned")</f>
        <v>Assigned</v>
      </c>
      <c r="E32" s="106">
        <f>IFERROR(__xludf.DUMMYFUNCTION("""COMPUTED_VALUE"""),43341.0)</f>
        <v>43341</v>
      </c>
      <c r="F32" s="77" t="str">
        <f>IFERROR(__xludf.DUMMYFUNCTION("""COMPUTED_VALUE"""),"Yes")</f>
        <v>Yes</v>
      </c>
      <c r="G32" s="62" t="str">
        <f>IFERROR(__xludf.DUMMYFUNCTION("""COMPUTED_VALUE"""),"Dosage Sensitivity")</f>
        <v>Dosage Sensitivity</v>
      </c>
      <c r="H32" s="62" t="str">
        <f>IFERROR(__xludf.DUMMYFUNCTION("""COMPUTED_VALUE"""),"")</f>
        <v/>
      </c>
      <c r="I32" s="152">
        <f t="shared" si="1"/>
        <v>43433</v>
      </c>
      <c r="J32" s="81">
        <f>IFERROR(__xludf.DUMMYFUNCTION("""COMPUTED_VALUE"""),43592.0)</f>
        <v>43592</v>
      </c>
      <c r="K32" s="150">
        <f t="shared" si="2"/>
        <v>43524</v>
      </c>
      <c r="L32" s="81">
        <f>IFERROR(__xludf.DUMMYFUNCTION("""COMPUTED_VALUE"""),43713.0)</f>
        <v>43713</v>
      </c>
      <c r="M32" s="62"/>
      <c r="N32" s="62"/>
      <c r="O32" s="62"/>
      <c r="P32" s="62"/>
      <c r="Q32" s="62"/>
      <c r="R32" s="62"/>
      <c r="S32" s="62"/>
      <c r="T32" s="62"/>
      <c r="U32" s="62"/>
      <c r="V32" s="62"/>
      <c r="W32" s="62"/>
      <c r="X32" s="62"/>
      <c r="Y32" s="62"/>
      <c r="Z32" s="62"/>
      <c r="AA32" s="62"/>
      <c r="AB32" s="62"/>
      <c r="AC32" s="62"/>
      <c r="AD32" s="62"/>
    </row>
    <row r="33" ht="16.5" customHeight="1">
      <c r="A33" s="151">
        <f>IFERROR(__xludf.DUMMYFUNCTION("""COMPUTED_VALUE"""),43402.61143518519)</f>
        <v>43402.61144</v>
      </c>
      <c r="B33" s="6" t="str">
        <f>IFERROR(__xludf.DUMMYFUNCTION("""COMPUTED_VALUE"""),"George Burghel")</f>
        <v>George Burghel</v>
      </c>
      <c r="C33" s="6" t="str">
        <f>IFERROR(__xludf.DUMMYFUNCTION("""COMPUTED_VALUE"""),"george.burghel@mft.nhs.uk")</f>
        <v>george.burghel@mft.nhs.uk</v>
      </c>
      <c r="D33" s="62" t="str">
        <f>IFERROR(__xludf.DUMMYFUNCTION("""COMPUTED_VALUE"""),"Assigned")</f>
        <v>Assigned</v>
      </c>
      <c r="E33" s="81">
        <f>IFERROR(__xludf.DUMMYFUNCTION("""COMPUTED_VALUE"""),43453.0)</f>
        <v>43453</v>
      </c>
      <c r="F33" s="105" t="str">
        <f>IFERROR(__xludf.DUMMYFUNCTION("""COMPUTED_VALUE"""),"Yes")</f>
        <v>Yes</v>
      </c>
      <c r="G33" s="62" t="str">
        <f>IFERROR(__xludf.DUMMYFUNCTION("""COMPUTED_VALUE"""),"Dosage Sensitivity")</f>
        <v>Dosage Sensitivity</v>
      </c>
      <c r="H33" s="62" t="str">
        <f>IFERROR(__xludf.DUMMYFUNCTION("""COMPUTED_VALUE"""),"")</f>
        <v/>
      </c>
      <c r="I33" s="152">
        <f t="shared" si="1"/>
        <v>43543</v>
      </c>
      <c r="J33" s="81">
        <f>IFERROR(__xludf.DUMMYFUNCTION("""COMPUTED_VALUE"""),43592.0)</f>
        <v>43592</v>
      </c>
      <c r="K33" s="150">
        <f t="shared" si="2"/>
        <v>43635</v>
      </c>
      <c r="L33" s="81">
        <f>IFERROR(__xludf.DUMMYFUNCTION("""COMPUTED_VALUE"""),43713.0)</f>
        <v>43713</v>
      </c>
      <c r="M33" s="62"/>
      <c r="N33" s="62"/>
      <c r="O33" s="62"/>
      <c r="P33" s="62"/>
      <c r="Q33" s="62"/>
      <c r="R33" s="62"/>
      <c r="S33" s="62"/>
      <c r="T33" s="62"/>
      <c r="U33" s="62"/>
      <c r="V33" s="62"/>
      <c r="W33" s="62"/>
      <c r="X33" s="62"/>
      <c r="Y33" s="62"/>
      <c r="Z33" s="62"/>
      <c r="AA33" s="62"/>
      <c r="AB33" s="62"/>
      <c r="AC33" s="62"/>
      <c r="AD33" s="62"/>
    </row>
    <row r="34">
      <c r="A34" s="151">
        <f>IFERROR(__xludf.DUMMYFUNCTION("""COMPUTED_VALUE"""),43417.612164351856)</f>
        <v>43417.61216</v>
      </c>
      <c r="B34" s="6" t="str">
        <f>IFERROR(__xludf.DUMMYFUNCTION("""COMPUTED_VALUE"""),"Coumarane Mani")</f>
        <v>Coumarane Mani</v>
      </c>
      <c r="C34" s="6" t="str">
        <f>IFERROR(__xludf.DUMMYFUNCTION("""COMPUTED_VALUE"""),"coumarane.mani@aruplab.com")</f>
        <v>coumarane.mani@aruplab.com</v>
      </c>
      <c r="D34" s="62" t="str">
        <f>IFERROR(__xludf.DUMMYFUNCTION("""COMPUTED_VALUE"""),"Assigned")</f>
        <v>Assigned</v>
      </c>
      <c r="E34" s="81">
        <f>IFERROR(__xludf.DUMMYFUNCTION("""COMPUTED_VALUE"""),43453.0)</f>
        <v>43453</v>
      </c>
      <c r="F34" s="105" t="str">
        <f>IFERROR(__xludf.DUMMYFUNCTION("""COMPUTED_VALUE"""),"Yes")</f>
        <v>Yes</v>
      </c>
      <c r="G34" s="62" t="str">
        <f>IFERROR(__xludf.DUMMYFUNCTION("""COMPUTED_VALUE"""),"Dosage Sensitivity")</f>
        <v>Dosage Sensitivity</v>
      </c>
      <c r="H34" s="62" t="str">
        <f>IFERROR(__xludf.DUMMYFUNCTION("""COMPUTED_VALUE"""),"")</f>
        <v/>
      </c>
      <c r="I34" s="152">
        <f t="shared" si="1"/>
        <v>43543</v>
      </c>
      <c r="J34" s="81">
        <f>IFERROR(__xludf.DUMMYFUNCTION("""COMPUTED_VALUE"""),43592.0)</f>
        <v>43592</v>
      </c>
      <c r="K34" s="150">
        <f t="shared" si="2"/>
        <v>43635</v>
      </c>
      <c r="L34" s="81">
        <f>IFERROR(__xludf.DUMMYFUNCTION("""COMPUTED_VALUE"""),43713.0)</f>
        <v>43713</v>
      </c>
      <c r="M34" s="62"/>
      <c r="N34" s="62"/>
      <c r="O34" s="62"/>
      <c r="P34" s="62"/>
      <c r="Q34" s="62"/>
      <c r="R34" s="62"/>
      <c r="S34" s="62"/>
      <c r="T34" s="62"/>
      <c r="U34" s="62"/>
      <c r="V34" s="62"/>
      <c r="W34" s="62"/>
      <c r="X34" s="62"/>
      <c r="Y34" s="62"/>
      <c r="Z34" s="62"/>
      <c r="AA34" s="62"/>
      <c r="AB34" s="62"/>
      <c r="AC34" s="62"/>
      <c r="AD34" s="62"/>
    </row>
    <row r="35">
      <c r="A35" s="151">
        <f>IFERROR(__xludf.DUMMYFUNCTION("""COMPUTED_VALUE"""),43438.613125)</f>
        <v>43438.61313</v>
      </c>
      <c r="B35" s="6" t="str">
        <f>IFERROR(__xludf.DUMMYFUNCTION("""COMPUTED_VALUE"""),"Mahesh Iddawela")</f>
        <v>Mahesh Iddawela</v>
      </c>
      <c r="C35" s="6" t="str">
        <f>IFERROR(__xludf.DUMMYFUNCTION("""COMPUTED_VALUE"""),"mahesh.iddawela@monash.edu")</f>
        <v>mahesh.iddawela@monash.edu</v>
      </c>
      <c r="D35" s="62" t="str">
        <f>IFERROR(__xludf.DUMMYFUNCTION("""COMPUTED_VALUE"""),"Assigned")</f>
        <v>Assigned</v>
      </c>
      <c r="E35" s="81">
        <f>IFERROR(__xludf.DUMMYFUNCTION("""COMPUTED_VALUE"""),43453.0)</f>
        <v>43453</v>
      </c>
      <c r="F35" s="81" t="str">
        <f>IFERROR(__xludf.DUMMYFUNCTION("""COMPUTED_VALUE"""),"Yes")</f>
        <v>Yes</v>
      </c>
      <c r="G35" s="62" t="str">
        <f>IFERROR(__xludf.DUMMYFUNCTION("""COMPUTED_VALUE"""),"Dosage Sensitivity")</f>
        <v>Dosage Sensitivity</v>
      </c>
      <c r="H35" s="62" t="str">
        <f>IFERROR(__xludf.DUMMYFUNCTION("""COMPUTED_VALUE"""),"")</f>
        <v/>
      </c>
      <c r="I35" s="152">
        <f t="shared" si="1"/>
        <v>43543</v>
      </c>
      <c r="J35" s="81">
        <f>IFERROR(__xludf.DUMMYFUNCTION("""COMPUTED_VALUE"""),43592.0)</f>
        <v>43592</v>
      </c>
      <c r="K35" s="150">
        <f t="shared" si="2"/>
        <v>43635</v>
      </c>
      <c r="L35" s="81">
        <f>IFERROR(__xludf.DUMMYFUNCTION("""COMPUTED_VALUE"""),43713.0)</f>
        <v>43713</v>
      </c>
      <c r="M35" s="62"/>
      <c r="N35" s="62"/>
      <c r="O35" s="62"/>
      <c r="P35" s="62"/>
      <c r="Q35" s="62"/>
      <c r="R35" s="62"/>
      <c r="S35" s="62"/>
      <c r="T35" s="62"/>
      <c r="U35" s="62"/>
      <c r="V35" s="62"/>
      <c r="W35" s="62"/>
      <c r="X35" s="62"/>
      <c r="Y35" s="62"/>
      <c r="Z35" s="62"/>
      <c r="AA35" s="62"/>
      <c r="AB35" s="62"/>
      <c r="AC35" s="62"/>
      <c r="AD35" s="62"/>
    </row>
    <row r="36">
      <c r="A36" s="151">
        <f>IFERROR(__xludf.DUMMYFUNCTION("""COMPUTED_VALUE"""),43440.61386574074)</f>
        <v>43440.61387</v>
      </c>
      <c r="B36" s="6" t="str">
        <f>IFERROR(__xludf.DUMMYFUNCTION("""COMPUTED_VALUE"""),"Diogo Ventura Lovato")</f>
        <v>Diogo Ventura Lovato</v>
      </c>
      <c r="C36" s="6" t="str">
        <f>IFERROR(__xludf.DUMMYFUNCTION("""COMPUTED_VALUE"""),"diogo.v.lovato@gmail.com")</f>
        <v>diogo.v.lovato@gmail.com</v>
      </c>
      <c r="D36" s="62" t="str">
        <f>IFERROR(__xludf.DUMMYFUNCTION("""COMPUTED_VALUE"""),"Assigned")</f>
        <v>Assigned</v>
      </c>
      <c r="E36" s="81">
        <f>IFERROR(__xludf.DUMMYFUNCTION("""COMPUTED_VALUE"""),43453.0)</f>
        <v>43453</v>
      </c>
      <c r="F36" s="77" t="str">
        <f>IFERROR(__xludf.DUMMYFUNCTION("""COMPUTED_VALUE"""),"Yes")</f>
        <v>Yes</v>
      </c>
      <c r="G36" s="62" t="str">
        <f>IFERROR(__xludf.DUMMYFUNCTION("""COMPUTED_VALUE"""),"Dosage Sensitivity")</f>
        <v>Dosage Sensitivity</v>
      </c>
      <c r="H36" s="62" t="str">
        <f>IFERROR(__xludf.DUMMYFUNCTION("""COMPUTED_VALUE"""),"")</f>
        <v/>
      </c>
      <c r="I36" s="152">
        <f t="shared" si="1"/>
        <v>43543</v>
      </c>
      <c r="J36" s="81">
        <f>IFERROR(__xludf.DUMMYFUNCTION("""COMPUTED_VALUE"""),43592.0)</f>
        <v>43592</v>
      </c>
      <c r="K36" s="150">
        <f t="shared" si="2"/>
        <v>43635</v>
      </c>
      <c r="L36" s="81">
        <f>IFERROR(__xludf.DUMMYFUNCTION("""COMPUTED_VALUE"""),43713.0)</f>
        <v>43713</v>
      </c>
      <c r="M36" s="62"/>
      <c r="N36" s="62"/>
      <c r="O36" s="62"/>
      <c r="P36" s="62"/>
      <c r="Q36" s="62"/>
      <c r="R36" s="62"/>
      <c r="S36" s="62"/>
      <c r="T36" s="62"/>
      <c r="U36" s="62"/>
      <c r="V36" s="62"/>
      <c r="W36" s="62"/>
      <c r="X36" s="62"/>
      <c r="Y36" s="62"/>
      <c r="Z36" s="62"/>
      <c r="AA36" s="62"/>
      <c r="AB36" s="62"/>
      <c r="AC36" s="62"/>
      <c r="AD36" s="62"/>
    </row>
    <row r="37">
      <c r="A37" s="151">
        <f>IFERROR(__xludf.DUMMYFUNCTION("""COMPUTED_VALUE"""),43343.39832175926)</f>
        <v>43343.39832</v>
      </c>
      <c r="B37" s="6" t="str">
        <f>IFERROR(__xludf.DUMMYFUNCTION("""COMPUTED_VALUE"""),"Sameeha Shirwadkar")</f>
        <v>Sameeha Shirwadkar</v>
      </c>
      <c r="C37" s="6" t="str">
        <f>IFERROR(__xludf.DUMMYFUNCTION("""COMPUTED_VALUE"""),"sameeha9@gmail.com")</f>
        <v>sameeha9@gmail.com</v>
      </c>
      <c r="D37" s="62" t="str">
        <f>IFERROR(__xludf.DUMMYFUNCTION("""COMPUTED_VALUE"""),"Unresponsive")</f>
        <v>Unresponsive</v>
      </c>
      <c r="E37" s="105">
        <f>IFERROR(__xludf.DUMMYFUNCTION("""COMPUTED_VALUE"""),43476.0)</f>
        <v>43476</v>
      </c>
      <c r="F37" s="106" t="str">
        <f>IFERROR(__xludf.DUMMYFUNCTION("""COMPUTED_VALUE"""),"No")</f>
        <v>No</v>
      </c>
      <c r="G37" s="62" t="str">
        <f>IFERROR(__xludf.DUMMYFUNCTION("""COMPUTED_VALUE"""),"Somatic Cancer")</f>
        <v>Somatic Cancer</v>
      </c>
      <c r="H37" s="62" t="str">
        <f>IFERROR(__xludf.DUMMYFUNCTION("""COMPUTED_VALUE"""),"pancreatic cancer taskforce")</f>
        <v>pancreatic cancer taskforce</v>
      </c>
      <c r="I37" s="152">
        <f t="shared" si="1"/>
        <v>43566</v>
      </c>
      <c r="J37" s="81">
        <f>IFERROR(__xludf.DUMMYFUNCTION("""COMPUTED_VALUE"""),43592.0)</f>
        <v>43592</v>
      </c>
      <c r="K37" s="150">
        <f t="shared" si="2"/>
        <v>43657</v>
      </c>
      <c r="L37" s="62" t="str">
        <f>IFERROR(__xludf.DUMMYFUNCTION("""COMPUTED_VALUE"""),"-")</f>
        <v>-</v>
      </c>
      <c r="M37" s="62"/>
      <c r="N37" s="62"/>
      <c r="O37" s="62"/>
      <c r="P37" s="62"/>
      <c r="Q37" s="62"/>
      <c r="R37" s="62"/>
      <c r="S37" s="62"/>
      <c r="T37" s="62"/>
      <c r="U37" s="62"/>
      <c r="V37" s="62"/>
      <c r="W37" s="62"/>
      <c r="X37" s="62"/>
      <c r="Y37" s="62"/>
      <c r="Z37" s="62"/>
      <c r="AA37" s="62"/>
      <c r="AB37" s="62"/>
      <c r="AC37" s="62"/>
      <c r="AD37" s="62"/>
    </row>
    <row r="38">
      <c r="A38" s="151">
        <f>IFERROR(__xludf.DUMMYFUNCTION("""COMPUTED_VALUE"""),43368.40216435185)</f>
        <v>43368.40216</v>
      </c>
      <c r="B38" s="6" t="str">
        <f>IFERROR(__xludf.DUMMYFUNCTION("""COMPUTED_VALUE"""),"Laura Richards")</f>
        <v>Laura Richards</v>
      </c>
      <c r="C38" s="6" t="str">
        <f>IFERROR(__xludf.DUMMYFUNCTION("""COMPUTED_VALUE"""),"lauram.richards@mail.utoronto.ca")</f>
        <v>lauram.richards@mail.utoronto.ca</v>
      </c>
      <c r="D38" s="62" t="str">
        <f>IFERROR(__xludf.DUMMYFUNCTION("""COMPUTED_VALUE"""),"Unresponsive")</f>
        <v>Unresponsive</v>
      </c>
      <c r="E38" s="105">
        <f>IFERROR(__xludf.DUMMYFUNCTION("""COMPUTED_VALUE"""),43476.0)</f>
        <v>43476</v>
      </c>
      <c r="F38" s="105" t="str">
        <f>IFERROR(__xludf.DUMMYFUNCTION("""COMPUTED_VALUE"""),"No")</f>
        <v>No</v>
      </c>
      <c r="G38" s="62" t="str">
        <f>IFERROR(__xludf.DUMMYFUNCTION("""COMPUTED_VALUE"""),"Somatic Cancer")</f>
        <v>Somatic Cancer</v>
      </c>
      <c r="H38" s="62" t="str">
        <f>IFERROR(__xludf.DUMMYFUNCTION("""COMPUTED_VALUE"""),"pediatric cancer taskforce")</f>
        <v>pediatric cancer taskforce</v>
      </c>
      <c r="I38" s="152">
        <f t="shared" si="1"/>
        <v>43566</v>
      </c>
      <c r="J38" s="81">
        <f>IFERROR(__xludf.DUMMYFUNCTION("""COMPUTED_VALUE"""),43592.0)</f>
        <v>43592</v>
      </c>
      <c r="K38" s="150">
        <f t="shared" si="2"/>
        <v>43657</v>
      </c>
      <c r="L38" s="81">
        <f>IFERROR(__xludf.DUMMYFUNCTION("""COMPUTED_VALUE"""),43713.0)</f>
        <v>43713</v>
      </c>
      <c r="M38" s="62"/>
      <c r="N38" s="62"/>
      <c r="O38" s="62"/>
      <c r="P38" s="62"/>
      <c r="Q38" s="62"/>
      <c r="R38" s="62"/>
      <c r="S38" s="62"/>
      <c r="T38" s="62"/>
      <c r="U38" s="62"/>
      <c r="V38" s="62"/>
      <c r="W38" s="62"/>
      <c r="X38" s="62"/>
      <c r="Y38" s="62"/>
      <c r="Z38" s="62"/>
      <c r="AA38" s="62"/>
      <c r="AB38" s="62"/>
      <c r="AC38" s="62"/>
      <c r="AD38" s="62"/>
    </row>
    <row r="39">
      <c r="A39" s="151">
        <f>IFERROR(__xludf.DUMMYFUNCTION("""COMPUTED_VALUE"""),43382.413773148146)</f>
        <v>43382.41377</v>
      </c>
      <c r="B39" s="6" t="str">
        <f>IFERROR(__xludf.DUMMYFUNCTION("""COMPUTED_VALUE"""),"Kaylee Barber")</f>
        <v>Kaylee Barber</v>
      </c>
      <c r="C39" s="6" t="str">
        <f>IFERROR(__xludf.DUMMYFUNCTION("""COMPUTED_VALUE"""),"kbarber@bioreference.com")</f>
        <v>kbarber@bioreference.com</v>
      </c>
      <c r="D39" s="62" t="str">
        <f>IFERROR(__xludf.DUMMYFUNCTION("""COMPUTED_VALUE"""),"Declined")</f>
        <v>Declined</v>
      </c>
      <c r="E39" s="105">
        <f>IFERROR(__xludf.DUMMYFUNCTION("""COMPUTED_VALUE"""),43476.0)</f>
        <v>43476</v>
      </c>
      <c r="F39" s="77" t="str">
        <f>IFERROR(__xludf.DUMMYFUNCTION("""COMPUTED_VALUE"""),"No")</f>
        <v>No</v>
      </c>
      <c r="G39" s="62" t="str">
        <f>IFERROR(__xludf.DUMMYFUNCTION("""COMPUTED_VALUE"""),"Somatic Cancer")</f>
        <v>Somatic Cancer</v>
      </c>
      <c r="H39" s="62" t="str">
        <f>IFERROR(__xludf.DUMMYFUNCTION("""COMPUTED_VALUE"""),"pancreatic cancer taskforce")</f>
        <v>pancreatic cancer taskforce</v>
      </c>
      <c r="I39" s="152">
        <f t="shared" si="1"/>
        <v>43566</v>
      </c>
      <c r="J39" s="81">
        <f>IFERROR(__xludf.DUMMYFUNCTION("""COMPUTED_VALUE"""),43592.0)</f>
        <v>43592</v>
      </c>
      <c r="K39" s="150">
        <f t="shared" si="2"/>
        <v>43657</v>
      </c>
      <c r="L39" s="62" t="str">
        <f>IFERROR(__xludf.DUMMYFUNCTION("""COMPUTED_VALUE"""),"-")</f>
        <v>-</v>
      </c>
      <c r="M39" s="62"/>
      <c r="N39" s="62"/>
      <c r="O39" s="62"/>
      <c r="P39" s="62"/>
      <c r="Q39" s="62"/>
      <c r="R39" s="62"/>
      <c r="S39" s="62"/>
      <c r="T39" s="62"/>
      <c r="U39" s="62"/>
      <c r="V39" s="62"/>
      <c r="W39" s="62"/>
      <c r="X39" s="62"/>
      <c r="Y39" s="62"/>
      <c r="Z39" s="62"/>
      <c r="AA39" s="62"/>
      <c r="AB39" s="62"/>
      <c r="AC39" s="62"/>
      <c r="AD39" s="62"/>
    </row>
    <row r="40">
      <c r="A40" s="151">
        <f>IFERROR(__xludf.DUMMYFUNCTION("""COMPUTED_VALUE"""),43395.41673611111)</f>
        <v>43395.41674</v>
      </c>
      <c r="B40" s="6" t="str">
        <f>IFERROR(__xludf.DUMMYFUNCTION("""COMPUTED_VALUE"""),"Wan-Hsin Lin")</f>
        <v>Wan-Hsin Lin</v>
      </c>
      <c r="C40" s="6" t="str">
        <f>IFERROR(__xludf.DUMMYFUNCTION("""COMPUTED_VALUE"""),"lin.wanhsin@mayo.edu")</f>
        <v>lin.wanhsin@mayo.edu</v>
      </c>
      <c r="D40" s="62" t="str">
        <f>IFERROR(__xludf.DUMMYFUNCTION("""COMPUTED_VALUE"""),"Assigned")</f>
        <v>Assigned</v>
      </c>
      <c r="E40" s="105">
        <f>IFERROR(__xludf.DUMMYFUNCTION("""COMPUTED_VALUE"""),43476.0)</f>
        <v>43476</v>
      </c>
      <c r="F40" s="77" t="str">
        <f>IFERROR(__xludf.DUMMYFUNCTION("""COMPUTED_VALUE"""),"No")</f>
        <v>No</v>
      </c>
      <c r="G40" s="62" t="str">
        <f>IFERROR(__xludf.DUMMYFUNCTION("""COMPUTED_VALUE"""),"Somatic Cancer")</f>
        <v>Somatic Cancer</v>
      </c>
      <c r="H40" s="62" t="str">
        <f>IFERROR(__xludf.DUMMYFUNCTION("""COMPUTED_VALUE"""),"pediatric and pancreatic cancer taskforces")</f>
        <v>pediatric and pancreatic cancer taskforces</v>
      </c>
      <c r="I40" s="152">
        <f t="shared" si="1"/>
        <v>43566</v>
      </c>
      <c r="J40" s="81">
        <f>IFERROR(__xludf.DUMMYFUNCTION("""COMPUTED_VALUE"""),43592.0)</f>
        <v>43592</v>
      </c>
      <c r="K40" s="150">
        <f t="shared" si="2"/>
        <v>43657</v>
      </c>
      <c r="L40" s="81">
        <f>IFERROR(__xludf.DUMMYFUNCTION("""COMPUTED_VALUE"""),43713.0)</f>
        <v>43713</v>
      </c>
      <c r="M40" s="62"/>
      <c r="N40" s="62"/>
      <c r="O40" s="62"/>
      <c r="P40" s="62"/>
      <c r="Q40" s="62"/>
      <c r="R40" s="62"/>
      <c r="S40" s="62"/>
      <c r="T40" s="62"/>
      <c r="U40" s="62"/>
      <c r="V40" s="62"/>
      <c r="W40" s="62"/>
      <c r="X40" s="62"/>
      <c r="Y40" s="62"/>
      <c r="Z40" s="62"/>
      <c r="AA40" s="62"/>
      <c r="AB40" s="62"/>
      <c r="AC40" s="62"/>
      <c r="AD40" s="62"/>
    </row>
    <row r="41">
      <c r="A41" s="151">
        <f>IFERROR(__xludf.DUMMYFUNCTION("""COMPUTED_VALUE"""),43398.4188425926)</f>
        <v>43398.41884</v>
      </c>
      <c r="B41" s="6" t="str">
        <f>IFERROR(__xludf.DUMMYFUNCTION("""COMPUTED_VALUE"""),"Stefan Rentas")</f>
        <v>Stefan Rentas</v>
      </c>
      <c r="C41" s="6" t="str">
        <f>IFERROR(__xludf.DUMMYFUNCTION("""COMPUTED_VALUE"""),"rentass@email.chop.edu")</f>
        <v>rentass@email.chop.edu</v>
      </c>
      <c r="D41" s="62" t="str">
        <f>IFERROR(__xludf.DUMMYFUNCTION("""COMPUTED_VALUE"""),"Unresponsive")</f>
        <v>Unresponsive</v>
      </c>
      <c r="E41" s="105">
        <f>IFERROR(__xludf.DUMMYFUNCTION("""COMPUTED_VALUE"""),43476.0)</f>
        <v>43476</v>
      </c>
      <c r="F41" s="105" t="str">
        <f>IFERROR(__xludf.DUMMYFUNCTION("""COMPUTED_VALUE"""),"No")</f>
        <v>No</v>
      </c>
      <c r="G41" s="62" t="str">
        <f>IFERROR(__xludf.DUMMYFUNCTION("""COMPUTED_VALUE"""),"Somatic Cancer")</f>
        <v>Somatic Cancer</v>
      </c>
      <c r="H41" s="62" t="str">
        <f>IFERROR(__xludf.DUMMYFUNCTION("""COMPUTED_VALUE"""),"pediatric cancer taskforce")</f>
        <v>pediatric cancer taskforce</v>
      </c>
      <c r="I41" s="152">
        <f t="shared" si="1"/>
        <v>43566</v>
      </c>
      <c r="J41" s="81">
        <f>IFERROR(__xludf.DUMMYFUNCTION("""COMPUTED_VALUE"""),43592.0)</f>
        <v>43592</v>
      </c>
      <c r="K41" s="150">
        <f t="shared" si="2"/>
        <v>43657</v>
      </c>
      <c r="L41" s="81">
        <f>IFERROR(__xludf.DUMMYFUNCTION("""COMPUTED_VALUE"""),43713.0)</f>
        <v>43713</v>
      </c>
      <c r="M41" s="62"/>
      <c r="N41" s="62"/>
      <c r="O41" s="62"/>
      <c r="P41" s="62"/>
      <c r="Q41" s="62"/>
      <c r="R41" s="62"/>
      <c r="S41" s="62"/>
      <c r="T41" s="62"/>
      <c r="U41" s="62"/>
      <c r="V41" s="62"/>
      <c r="W41" s="62"/>
      <c r="X41" s="62"/>
      <c r="Y41" s="62"/>
      <c r="Z41" s="62"/>
      <c r="AA41" s="62"/>
      <c r="AB41" s="62"/>
      <c r="AC41" s="62"/>
      <c r="AD41" s="62"/>
    </row>
    <row r="42">
      <c r="A42" s="151">
        <f>IFERROR(__xludf.DUMMYFUNCTION("""COMPUTED_VALUE"""),43422.42162037037)</f>
        <v>43422.42162</v>
      </c>
      <c r="B42" s="6" t="str">
        <f>IFERROR(__xludf.DUMMYFUNCTION("""COMPUTED_VALUE"""),"Iman Haroun")</f>
        <v>Iman Haroun</v>
      </c>
      <c r="C42" s="6" t="str">
        <f>IFERROR(__xludf.DUMMYFUNCTION("""COMPUTED_VALUE"""),"iman.haroun@readinghealth.org")</f>
        <v>iman.haroun@readinghealth.org</v>
      </c>
      <c r="D42" s="62" t="str">
        <f>IFERROR(__xludf.DUMMYFUNCTION("""COMPUTED_VALUE"""),"Unresponsive")</f>
        <v>Unresponsive</v>
      </c>
      <c r="E42" s="105">
        <f>IFERROR(__xludf.DUMMYFUNCTION("""COMPUTED_VALUE"""),43476.0)</f>
        <v>43476</v>
      </c>
      <c r="F42" s="81" t="str">
        <f>IFERROR(__xludf.DUMMYFUNCTION("""COMPUTED_VALUE"""),"No")</f>
        <v>No</v>
      </c>
      <c r="G42" s="62" t="str">
        <f>IFERROR(__xludf.DUMMYFUNCTION("""COMPUTED_VALUE"""),"Somatic Cancer")</f>
        <v>Somatic Cancer</v>
      </c>
      <c r="H42" s="62" t="str">
        <f>IFERROR(__xludf.DUMMYFUNCTION("""COMPUTED_VALUE"""),"pancreatic cancer taskforce")</f>
        <v>pancreatic cancer taskforce</v>
      </c>
      <c r="I42" s="152">
        <f t="shared" si="1"/>
        <v>43566</v>
      </c>
      <c r="J42" s="81">
        <f>IFERROR(__xludf.DUMMYFUNCTION("""COMPUTED_VALUE"""),43592.0)</f>
        <v>43592</v>
      </c>
      <c r="K42" s="150">
        <f t="shared" si="2"/>
        <v>43657</v>
      </c>
      <c r="L42" s="62" t="str">
        <f>IFERROR(__xludf.DUMMYFUNCTION("""COMPUTED_VALUE"""),"-")</f>
        <v>-</v>
      </c>
      <c r="M42" s="62"/>
      <c r="N42" s="62"/>
      <c r="O42" s="62"/>
      <c r="P42" s="62"/>
      <c r="Q42" s="62"/>
      <c r="R42" s="62"/>
      <c r="S42" s="62"/>
      <c r="T42" s="62"/>
      <c r="U42" s="62"/>
      <c r="V42" s="62"/>
      <c r="W42" s="62"/>
      <c r="X42" s="62"/>
      <c r="Y42" s="62"/>
      <c r="Z42" s="62"/>
      <c r="AA42" s="62"/>
      <c r="AB42" s="62"/>
      <c r="AC42" s="62"/>
      <c r="AD42" s="62"/>
    </row>
    <row r="43">
      <c r="A43" s="151">
        <f>IFERROR(__xludf.DUMMYFUNCTION("""COMPUTED_VALUE"""),43334.433587962965)</f>
        <v>43334.43359</v>
      </c>
      <c r="B43" s="6" t="str">
        <f>IFERROR(__xludf.DUMMYFUNCTION("""COMPUTED_VALUE"""),"Luke Drury")</f>
        <v>Luke Drury</v>
      </c>
      <c r="C43" s="6" t="str">
        <f>IFERROR(__xludf.DUMMYFUNCTION("""COMPUTED_VALUE"""),"luke.drury@preventiongenetics.com")</f>
        <v>luke.drury@preventiongenetics.com</v>
      </c>
      <c r="D43" s="62" t="str">
        <f>IFERROR(__xludf.DUMMYFUNCTION("""COMPUTED_VALUE"""),"Unresponsive")</f>
        <v>Unresponsive</v>
      </c>
      <c r="E43" s="77">
        <f>IFERROR(__xludf.DUMMYFUNCTION("""COMPUTED_VALUE"""),43605.0)</f>
        <v>43605</v>
      </c>
      <c r="F43" s="77" t="str">
        <f>IFERROR(__xludf.DUMMYFUNCTION("""COMPUTED_VALUE"""),"Yes")</f>
        <v>Yes</v>
      </c>
      <c r="G43" s="62" t="str">
        <f>IFERROR(__xludf.DUMMYFUNCTION("""COMPUTED_VALUE"""),"Variant Pathogenicity")</f>
        <v>Variant Pathogenicity</v>
      </c>
      <c r="H43" s="62" t="str">
        <f>IFERROR(__xludf.DUMMYFUNCTION("""COMPUTED_VALUE"""),"")</f>
        <v/>
      </c>
      <c r="I43" s="152">
        <f t="shared" si="1"/>
        <v>43697</v>
      </c>
      <c r="J43" s="62" t="str">
        <f>IFERROR(__xludf.DUMMYFUNCTION("""COMPUTED_VALUE"""),"")</f>
        <v/>
      </c>
      <c r="K43" s="150">
        <f t="shared" si="2"/>
        <v>43789</v>
      </c>
      <c r="L43" s="62" t="str">
        <f>IFERROR(__xludf.DUMMYFUNCTION("""COMPUTED_VALUE"""),"")</f>
        <v/>
      </c>
      <c r="M43" s="62"/>
      <c r="N43" s="62"/>
      <c r="O43" s="62"/>
      <c r="P43" s="62"/>
      <c r="Q43" s="62"/>
      <c r="R43" s="62"/>
      <c r="S43" s="62"/>
      <c r="T43" s="62"/>
      <c r="U43" s="62"/>
      <c r="V43" s="62"/>
      <c r="W43" s="62"/>
      <c r="X43" s="62"/>
      <c r="Y43" s="62"/>
      <c r="Z43" s="62"/>
      <c r="AA43" s="62"/>
      <c r="AB43" s="62"/>
      <c r="AC43" s="62"/>
      <c r="AD43" s="62"/>
    </row>
    <row r="44">
      <c r="A44" s="151">
        <f>IFERROR(__xludf.DUMMYFUNCTION("""COMPUTED_VALUE"""),43336.43583333334)</f>
        <v>43336.43583</v>
      </c>
      <c r="B44" s="6" t="str">
        <f>IFERROR(__xludf.DUMMYFUNCTION("""COMPUTED_VALUE"""),"Lynne Rosenblum")</f>
        <v>Lynne Rosenblum</v>
      </c>
      <c r="C44" s="6" t="str">
        <f>IFERROR(__xludf.DUMMYFUNCTION("""COMPUTED_VALUE"""),"lynne.rosenblum@integratedgenetics.com")</f>
        <v>lynne.rosenblum@integratedgenetics.com</v>
      </c>
      <c r="D44" s="62" t="str">
        <f>IFERROR(__xludf.DUMMYFUNCTION("""COMPUTED_VALUE"""),"Assigned")</f>
        <v>Assigned</v>
      </c>
      <c r="E44" s="77">
        <f>IFERROR(__xludf.DUMMYFUNCTION("""COMPUTED_VALUE"""),43605.0)</f>
        <v>43605</v>
      </c>
      <c r="F44" s="77" t="str">
        <f>IFERROR(__xludf.DUMMYFUNCTION("""COMPUTED_VALUE"""),"Yes")</f>
        <v>Yes</v>
      </c>
      <c r="G44" s="62" t="str">
        <f>IFERROR(__xludf.DUMMYFUNCTION("""COMPUTED_VALUE"""),"Variant Pathogenicity")</f>
        <v>Variant Pathogenicity</v>
      </c>
      <c r="H44" s="62" t="str">
        <f>IFERROR(__xludf.DUMMYFUNCTION("""COMPUTED_VALUE"""),"Storage Disease")</f>
        <v>Storage Disease</v>
      </c>
      <c r="I44" s="152">
        <f t="shared" si="1"/>
        <v>43697</v>
      </c>
      <c r="J44" s="81">
        <f>IFERROR(__xludf.DUMMYFUNCTION("""COMPUTED_VALUE"""),43712.0)</f>
        <v>43712</v>
      </c>
      <c r="K44" s="150">
        <f t="shared" si="2"/>
        <v>43789</v>
      </c>
      <c r="L44" s="81" t="str">
        <f>IFERROR(__xludf.DUMMYFUNCTION("""COMPUTED_VALUE"""),"")</f>
        <v/>
      </c>
      <c r="M44" s="62"/>
      <c r="N44" s="62"/>
      <c r="O44" s="62"/>
      <c r="P44" s="62"/>
      <c r="Q44" s="62"/>
      <c r="R44" s="62"/>
      <c r="S44" s="62"/>
      <c r="T44" s="62"/>
      <c r="U44" s="62"/>
      <c r="V44" s="62"/>
      <c r="W44" s="62"/>
      <c r="X44" s="62"/>
      <c r="Y44" s="62"/>
      <c r="Z44" s="62"/>
      <c r="AA44" s="62"/>
      <c r="AB44" s="62"/>
      <c r="AC44" s="62"/>
      <c r="AD44" s="62"/>
    </row>
    <row r="45">
      <c r="A45" s="151">
        <f>IFERROR(__xludf.DUMMYFUNCTION("""COMPUTED_VALUE"""),43340.43892361112)</f>
        <v>43340.43892</v>
      </c>
      <c r="B45" s="6" t="str">
        <f>IFERROR(__xludf.DUMMYFUNCTION("""COMPUTED_VALUE"""),"Yang Wang")</f>
        <v>Yang Wang</v>
      </c>
      <c r="C45" s="6" t="str">
        <f>IFERROR(__xludf.DUMMYFUNCTION("""COMPUTED_VALUE"""),"yangwangcmg@gmail.com")</f>
        <v>yangwangcmg@gmail.com</v>
      </c>
      <c r="D45" s="62" t="str">
        <f>IFERROR(__xludf.DUMMYFUNCTION("""COMPUTED_VALUE"""),"Assigned")</f>
        <v>Assigned</v>
      </c>
      <c r="E45" s="77">
        <f>IFERROR(__xludf.DUMMYFUNCTION("""COMPUTED_VALUE"""),43605.0)</f>
        <v>43605</v>
      </c>
      <c r="F45" s="77" t="str">
        <f>IFERROR(__xludf.DUMMYFUNCTION("""COMPUTED_VALUE"""),"No")</f>
        <v>No</v>
      </c>
      <c r="G45" s="62" t="str">
        <f>IFERROR(__xludf.DUMMYFUNCTION("""COMPUTED_VALUE"""),"Variant Pathogenicity")</f>
        <v>Variant Pathogenicity</v>
      </c>
      <c r="H45" s="62" t="str">
        <f>IFERROR(__xludf.DUMMYFUNCTION("""COMPUTED_VALUE"""),"ACADVL")</f>
        <v>ACADVL</v>
      </c>
      <c r="I45" s="152">
        <f t="shared" si="1"/>
        <v>43697</v>
      </c>
      <c r="J45" s="81">
        <f>IFERROR(__xludf.DUMMYFUNCTION("""COMPUTED_VALUE"""),43712.0)</f>
        <v>43712</v>
      </c>
      <c r="K45" s="150">
        <f t="shared" si="2"/>
        <v>43789</v>
      </c>
      <c r="L45" s="81" t="str">
        <f>IFERROR(__xludf.DUMMYFUNCTION("""COMPUTED_VALUE"""),"")</f>
        <v/>
      </c>
      <c r="M45" s="62"/>
      <c r="N45" s="62"/>
      <c r="O45" s="62"/>
      <c r="P45" s="62"/>
      <c r="Q45" s="62"/>
      <c r="R45" s="62"/>
      <c r="S45" s="62"/>
      <c r="T45" s="62"/>
      <c r="U45" s="62"/>
      <c r="V45" s="62"/>
      <c r="W45" s="62"/>
      <c r="X45" s="62"/>
      <c r="Y45" s="62"/>
      <c r="Z45" s="62"/>
      <c r="AA45" s="62"/>
      <c r="AB45" s="62"/>
      <c r="AC45" s="62"/>
      <c r="AD45" s="62"/>
    </row>
    <row r="46">
      <c r="A46" s="151">
        <f>IFERROR(__xludf.DUMMYFUNCTION("""COMPUTED_VALUE"""),43340.441666666666)</f>
        <v>43340.44167</v>
      </c>
      <c r="B46" s="6" t="str">
        <f>IFERROR(__xludf.DUMMYFUNCTION("""COMPUTED_VALUE"""),"Elaine Spector ")</f>
        <v>Elaine Spector </v>
      </c>
      <c r="C46" s="6" t="str">
        <f>IFERROR(__xludf.DUMMYFUNCTION("""COMPUTED_VALUE"""),"elaine.spector@childrenscolorado.org")</f>
        <v>elaine.spector@childrenscolorado.org</v>
      </c>
      <c r="D46" s="62" t="str">
        <f>IFERROR(__xludf.DUMMYFUNCTION("""COMPUTED_VALUE"""),"Contacted")</f>
        <v>Contacted</v>
      </c>
      <c r="E46" s="81">
        <f>IFERROR(__xludf.DUMMYFUNCTION("""COMPUTED_VALUE"""),43446.0)</f>
        <v>43446</v>
      </c>
      <c r="F46" s="77" t="str">
        <f>IFERROR(__xludf.DUMMYFUNCTION("""COMPUTED_VALUE"""),"No")</f>
        <v>No</v>
      </c>
      <c r="G46" s="62" t="str">
        <f>IFERROR(__xludf.DUMMYFUNCTION("""COMPUTED_VALUE"""),"Gene Disease Validity")</f>
        <v>Gene Disease Validity</v>
      </c>
      <c r="H46" s="62" t="str">
        <f>IFERROR(__xludf.DUMMYFUNCTION("""COMPUTED_VALUE"""),"")</f>
        <v/>
      </c>
      <c r="I46" s="152">
        <f t="shared" si="1"/>
        <v>43536</v>
      </c>
      <c r="J46" s="62" t="str">
        <f>IFERROR(__xludf.DUMMYFUNCTION("""COMPUTED_VALUE"""),"")</f>
        <v/>
      </c>
      <c r="K46" s="150">
        <f t="shared" si="2"/>
        <v>43628</v>
      </c>
      <c r="L46" s="62" t="str">
        <f>IFERROR(__xludf.DUMMYFUNCTION("""COMPUTED_VALUE"""),"")</f>
        <v/>
      </c>
      <c r="M46" s="62"/>
      <c r="N46" s="62"/>
      <c r="O46" s="62"/>
      <c r="P46" s="62"/>
      <c r="Q46" s="62"/>
      <c r="R46" s="62"/>
      <c r="S46" s="62"/>
      <c r="T46" s="62"/>
      <c r="U46" s="62"/>
      <c r="V46" s="62"/>
      <c r="W46" s="62"/>
      <c r="X46" s="62"/>
      <c r="Y46" s="62"/>
      <c r="Z46" s="62"/>
      <c r="AA46" s="62"/>
      <c r="AB46" s="62"/>
      <c r="AC46" s="62"/>
      <c r="AD46" s="62"/>
    </row>
    <row r="47">
      <c r="A47" s="151">
        <f>IFERROR(__xludf.DUMMYFUNCTION("""COMPUTED_VALUE"""),43369.4483449074)</f>
        <v>43369.44834</v>
      </c>
      <c r="B47" s="6" t="str">
        <f>IFERROR(__xludf.DUMMYFUNCTION("""COMPUTED_VALUE"""),"Rhonda Lassiter ")</f>
        <v>Rhonda Lassiter </v>
      </c>
      <c r="C47" s="6" t="str">
        <f>IFERROR(__xludf.DUMMYFUNCTION("""COMPUTED_VALUE"""),"rlassiter@ambrygen.com")</f>
        <v>rlassiter@ambrygen.com</v>
      </c>
      <c r="D47" s="62" t="str">
        <f>IFERROR(__xludf.DUMMYFUNCTION("""COMPUTED_VALUE"""),"Assigned")</f>
        <v>Assigned</v>
      </c>
      <c r="E47" s="77">
        <f>IFERROR(__xludf.DUMMYFUNCTION("""COMPUTED_VALUE"""),43608.0)</f>
        <v>43608</v>
      </c>
      <c r="F47" s="77" t="str">
        <f>IFERROR(__xludf.DUMMYFUNCTION("""COMPUTED_VALUE"""),"Yes")</f>
        <v>Yes</v>
      </c>
      <c r="G47" s="62" t="str">
        <f>IFERROR(__xludf.DUMMYFUNCTION("""COMPUTED_VALUE"""),"Variant Pathogenicity")</f>
        <v>Variant Pathogenicity</v>
      </c>
      <c r="H47" s="62" t="str">
        <f>IFERROR(__xludf.DUMMYFUNCTION("""COMPUTED_VALUE"""),"Brain Malformations")</f>
        <v>Brain Malformations</v>
      </c>
      <c r="I47" s="152">
        <f t="shared" si="1"/>
        <v>43700</v>
      </c>
      <c r="J47" s="81">
        <f>IFERROR(__xludf.DUMMYFUNCTION("""COMPUTED_VALUE"""),43712.0)</f>
        <v>43712</v>
      </c>
      <c r="K47" s="150">
        <f t="shared" si="2"/>
        <v>43792</v>
      </c>
      <c r="L47" s="81" t="str">
        <f>IFERROR(__xludf.DUMMYFUNCTION("""COMPUTED_VALUE"""),"")</f>
        <v/>
      </c>
      <c r="M47" s="62"/>
      <c r="N47" s="62"/>
      <c r="O47" s="62"/>
      <c r="P47" s="62"/>
      <c r="Q47" s="62"/>
      <c r="R47" s="62"/>
      <c r="S47" s="62"/>
      <c r="T47" s="62"/>
      <c r="U47" s="62"/>
      <c r="V47" s="62"/>
      <c r="W47" s="62"/>
      <c r="X47" s="62"/>
      <c r="Y47" s="62"/>
      <c r="Z47" s="62"/>
      <c r="AA47" s="62"/>
      <c r="AB47" s="62"/>
      <c r="AC47" s="62"/>
      <c r="AD47" s="62"/>
    </row>
    <row r="48">
      <c r="A48" s="151">
        <f>IFERROR(__xludf.DUMMYFUNCTION("""COMPUTED_VALUE"""),43389.45233796297)</f>
        <v>43389.45234</v>
      </c>
      <c r="B48" s="6" t="str">
        <f>IFERROR(__xludf.DUMMYFUNCTION("""COMPUTED_VALUE"""),"Emma Reble ")</f>
        <v>Emma Reble </v>
      </c>
      <c r="C48" s="6" t="str">
        <f>IFERROR(__xludf.DUMMYFUNCTION("""COMPUTED_VALUE"""),"reblee@smh.ca")</f>
        <v>reblee@smh.ca</v>
      </c>
      <c r="D48" s="62" t="str">
        <f>IFERROR(__xludf.DUMMYFUNCTION("""COMPUTED_VALUE"""),"Contacted")</f>
        <v>Contacted</v>
      </c>
      <c r="E48" s="77">
        <f>IFERROR(__xludf.DUMMYFUNCTION("""COMPUTED_VALUE"""),43608.0)</f>
        <v>43608</v>
      </c>
      <c r="F48" s="77" t="str">
        <f>IFERROR(__xludf.DUMMYFUNCTION("""COMPUTED_VALUE"""),"Yes")</f>
        <v>Yes</v>
      </c>
      <c r="G48" s="62" t="str">
        <f>IFERROR(__xludf.DUMMYFUNCTION("""COMPUTED_VALUE"""),"Variant Pathogenicity")</f>
        <v>Variant Pathogenicity</v>
      </c>
      <c r="H48" s="62" t="str">
        <f>IFERROR(__xludf.DUMMYFUNCTION("""COMPUTED_VALUE"""),"Mito")</f>
        <v>Mito</v>
      </c>
      <c r="I48" s="152">
        <f t="shared" si="1"/>
        <v>43700</v>
      </c>
      <c r="J48" s="81">
        <f>IFERROR(__xludf.DUMMYFUNCTION("""COMPUTED_VALUE"""),43712.0)</f>
        <v>43712</v>
      </c>
      <c r="K48" s="150">
        <f t="shared" si="2"/>
        <v>43792</v>
      </c>
      <c r="L48" s="81" t="str">
        <f>IFERROR(__xludf.DUMMYFUNCTION("""COMPUTED_VALUE"""),"")</f>
        <v/>
      </c>
      <c r="M48" s="62"/>
      <c r="N48" s="62"/>
      <c r="O48" s="62"/>
      <c r="P48" s="62"/>
      <c r="Q48" s="62"/>
      <c r="R48" s="62"/>
      <c r="S48" s="62"/>
      <c r="T48" s="62"/>
      <c r="U48" s="62"/>
      <c r="V48" s="62"/>
      <c r="W48" s="62"/>
      <c r="X48" s="62"/>
      <c r="Y48" s="62"/>
      <c r="Z48" s="62"/>
      <c r="AA48" s="62"/>
      <c r="AB48" s="62"/>
      <c r="AC48" s="62"/>
      <c r="AD48" s="62"/>
    </row>
    <row r="49">
      <c r="A49" s="151">
        <f>IFERROR(__xludf.DUMMYFUNCTION("""COMPUTED_VALUE"""),43395.455196759256)</f>
        <v>43395.4552</v>
      </c>
      <c r="B49" s="6" t="str">
        <f>IFERROR(__xludf.DUMMYFUNCTION("""COMPUTED_VALUE"""),"Qiliang Ding")</f>
        <v>Qiliang Ding</v>
      </c>
      <c r="C49" s="6" t="str">
        <f>IFERROR(__xludf.DUMMYFUNCTION("""COMPUTED_VALUE"""),"qd29@cornell.edu")</f>
        <v>qd29@cornell.edu</v>
      </c>
      <c r="D49" s="62" t="str">
        <f>IFERROR(__xludf.DUMMYFUNCTION("""COMPUTED_VALUE"""),"Assigned")</f>
        <v>Assigned</v>
      </c>
      <c r="E49" s="77">
        <f>IFERROR(__xludf.DUMMYFUNCTION("""COMPUTED_VALUE"""),43608.0)</f>
        <v>43608</v>
      </c>
      <c r="F49" s="77" t="str">
        <f>IFERROR(__xludf.DUMMYFUNCTION("""COMPUTED_VALUE"""),"Yes")</f>
        <v>Yes</v>
      </c>
      <c r="G49" s="62" t="str">
        <f>IFERROR(__xludf.DUMMYFUNCTION("""COMPUTED_VALUE"""),"Variant Pathogenicity")</f>
        <v>Variant Pathogenicity</v>
      </c>
      <c r="H49" s="62" t="str">
        <f>IFERROR(__xludf.DUMMYFUNCTION("""COMPUTED_VALUE"""),"Coagulation Factor Deficiency")</f>
        <v>Coagulation Factor Deficiency</v>
      </c>
      <c r="I49" s="152">
        <f t="shared" si="1"/>
        <v>43700</v>
      </c>
      <c r="J49" s="81">
        <f>IFERROR(__xludf.DUMMYFUNCTION("""COMPUTED_VALUE"""),43712.0)</f>
        <v>43712</v>
      </c>
      <c r="K49" s="150">
        <f t="shared" si="2"/>
        <v>43792</v>
      </c>
      <c r="L49" s="81" t="str">
        <f>IFERROR(__xludf.DUMMYFUNCTION("""COMPUTED_VALUE"""),"")</f>
        <v/>
      </c>
      <c r="M49" s="62"/>
      <c r="N49" s="62"/>
      <c r="O49" s="62"/>
      <c r="P49" s="62"/>
      <c r="Q49" s="62"/>
      <c r="R49" s="62"/>
      <c r="S49" s="62"/>
      <c r="T49" s="62"/>
      <c r="U49" s="62"/>
      <c r="V49" s="62"/>
      <c r="W49" s="62"/>
      <c r="X49" s="62"/>
      <c r="Y49" s="62"/>
      <c r="Z49" s="62"/>
      <c r="AA49" s="62"/>
      <c r="AB49" s="62"/>
      <c r="AC49" s="62"/>
      <c r="AD49" s="62"/>
    </row>
    <row r="50">
      <c r="A50" s="151">
        <f>IFERROR(__xludf.DUMMYFUNCTION("""COMPUTED_VALUE"""),43398.45934027778)</f>
        <v>43398.45934</v>
      </c>
      <c r="B50" s="6" t="str">
        <f>IFERROR(__xludf.DUMMYFUNCTION("""COMPUTED_VALUE"""),"Amy Donahue")</f>
        <v>Amy Donahue</v>
      </c>
      <c r="C50" s="6" t="str">
        <f>IFERROR(__xludf.DUMMYFUNCTION("""COMPUTED_VALUE"""),"adonahue@mcw.edu")</f>
        <v>adonahue@mcw.edu</v>
      </c>
      <c r="D50" s="62" t="str">
        <f>IFERROR(__xludf.DUMMYFUNCTION("""COMPUTED_VALUE"""),"Contacted")</f>
        <v>Contacted</v>
      </c>
      <c r="E50" s="77">
        <f>IFERROR(__xludf.DUMMYFUNCTION("""COMPUTED_VALUE"""),43608.0)</f>
        <v>43608</v>
      </c>
      <c r="F50" s="105" t="str">
        <f>IFERROR(__xludf.DUMMYFUNCTION("""COMPUTED_VALUE"""),"No")</f>
        <v>No</v>
      </c>
      <c r="G50" s="62" t="str">
        <f>IFERROR(__xludf.DUMMYFUNCTION("""COMPUTED_VALUE"""),"Variant Pathogenicity")</f>
        <v>Variant Pathogenicity</v>
      </c>
      <c r="H50" s="62" t="str">
        <f>IFERROR(__xludf.DUMMYFUNCTION("""COMPUTED_VALUE"""),"")</f>
        <v/>
      </c>
      <c r="I50" s="152">
        <f t="shared" si="1"/>
        <v>43700</v>
      </c>
      <c r="J50" s="62" t="str">
        <f>IFERROR(__xludf.DUMMYFUNCTION("""COMPUTED_VALUE"""),"")</f>
        <v/>
      </c>
      <c r="K50" s="150">
        <f t="shared" si="2"/>
        <v>43792</v>
      </c>
      <c r="L50" s="62" t="str">
        <f>IFERROR(__xludf.DUMMYFUNCTION("""COMPUTED_VALUE"""),"")</f>
        <v/>
      </c>
      <c r="M50" s="62"/>
      <c r="N50" s="62"/>
      <c r="O50" s="62"/>
      <c r="P50" s="62"/>
      <c r="Q50" s="62"/>
      <c r="R50" s="62"/>
      <c r="S50" s="62"/>
      <c r="T50" s="62"/>
      <c r="U50" s="62"/>
      <c r="V50" s="62"/>
      <c r="W50" s="62"/>
      <c r="X50" s="62"/>
      <c r="Y50" s="62"/>
      <c r="Z50" s="62"/>
      <c r="AA50" s="62"/>
      <c r="AB50" s="62"/>
      <c r="AC50" s="62"/>
      <c r="AD50" s="62"/>
    </row>
    <row r="51">
      <c r="A51" s="151">
        <f>IFERROR(__xludf.DUMMYFUNCTION("""COMPUTED_VALUE"""),43409.46091435185)</f>
        <v>43409.46091</v>
      </c>
      <c r="B51" s="6" t="str">
        <f>IFERROR(__xludf.DUMMYFUNCTION("""COMPUTED_VALUE"""),"Dave Ferguson")</f>
        <v>Dave Ferguson</v>
      </c>
      <c r="C51" s="6" t="str">
        <f>IFERROR(__xludf.DUMMYFUNCTION("""COMPUTED_VALUE"""),"dferguso@uci.edu")</f>
        <v>dferguso@uci.edu</v>
      </c>
      <c r="D51" s="62" t="str">
        <f>IFERROR(__xludf.DUMMYFUNCTION("""COMPUTED_VALUE"""),"Assigned")</f>
        <v>Assigned</v>
      </c>
      <c r="E51" s="77">
        <f>IFERROR(__xludf.DUMMYFUNCTION("""COMPUTED_VALUE"""),43605.0)</f>
        <v>43605</v>
      </c>
      <c r="F51" s="77" t="str">
        <f>IFERROR(__xludf.DUMMYFUNCTION("""COMPUTED_VALUE"""),"Yes")</f>
        <v>Yes</v>
      </c>
      <c r="G51" s="62" t="str">
        <f>IFERROR(__xludf.DUMMYFUNCTION("""COMPUTED_VALUE"""),"Variant Pathogenicity")</f>
        <v>Variant Pathogenicity</v>
      </c>
      <c r="H51" s="62" t="str">
        <f>IFERROR(__xludf.DUMMYFUNCTION("""COMPUTED_VALUE"""),"Mito")</f>
        <v>Mito</v>
      </c>
      <c r="I51" s="152">
        <f t="shared" si="1"/>
        <v>43697</v>
      </c>
      <c r="J51" s="81">
        <f>IFERROR(__xludf.DUMMYFUNCTION("""COMPUTED_VALUE"""),43712.0)</f>
        <v>43712</v>
      </c>
      <c r="K51" s="150">
        <f t="shared" si="2"/>
        <v>43789</v>
      </c>
      <c r="L51" s="81" t="str">
        <f>IFERROR(__xludf.DUMMYFUNCTION("""COMPUTED_VALUE"""),"")</f>
        <v/>
      </c>
      <c r="M51" s="62"/>
      <c r="N51" s="62"/>
      <c r="O51" s="62"/>
      <c r="P51" s="62"/>
      <c r="Q51" s="62"/>
      <c r="R51" s="62"/>
      <c r="S51" s="62"/>
      <c r="T51" s="62"/>
      <c r="U51" s="62"/>
      <c r="V51" s="62"/>
      <c r="W51" s="62"/>
      <c r="X51" s="62"/>
      <c r="Y51" s="62"/>
      <c r="Z51" s="62"/>
      <c r="AA51" s="62"/>
      <c r="AB51" s="62"/>
      <c r="AC51" s="62"/>
      <c r="AD51" s="62"/>
    </row>
    <row r="52">
      <c r="A52" s="151">
        <f>IFERROR(__xludf.DUMMYFUNCTION("""COMPUTED_VALUE"""),43418.46555555555)</f>
        <v>43418.46556</v>
      </c>
      <c r="B52" s="6" t="str">
        <f>IFERROR(__xludf.DUMMYFUNCTION("""COMPUTED_VALUE"""),"Alisdair Philp")</f>
        <v>Alisdair Philp</v>
      </c>
      <c r="C52" s="6" t="str">
        <f>IFERROR(__xludf.DUMMYFUNCTION("""COMPUTED_VALUE"""),"arphilp@gmail.com")</f>
        <v>arphilp@gmail.com</v>
      </c>
      <c r="D52" s="62" t="str">
        <f>IFERROR(__xludf.DUMMYFUNCTION("""COMPUTED_VALUE"""),"Assigned")</f>
        <v>Assigned</v>
      </c>
      <c r="E52" s="77">
        <f>IFERROR(__xludf.DUMMYFUNCTION("""COMPUTED_VALUE"""),43608.0)</f>
        <v>43608</v>
      </c>
      <c r="F52" s="77" t="str">
        <f>IFERROR(__xludf.DUMMYFUNCTION("""COMPUTED_VALUE"""),"Yes")</f>
        <v>Yes</v>
      </c>
      <c r="G52" s="62" t="str">
        <f>IFERROR(__xludf.DUMMYFUNCTION("""COMPUTED_VALUE"""),"Variant Pathogenicity")</f>
        <v>Variant Pathogenicity</v>
      </c>
      <c r="H52" s="62" t="str">
        <f>IFERROR(__xludf.DUMMYFUNCTION("""COMPUTED_VALUE"""),"TP53")</f>
        <v>TP53</v>
      </c>
      <c r="I52" s="152">
        <f t="shared" si="1"/>
        <v>43700</v>
      </c>
      <c r="J52" s="81">
        <f>IFERROR(__xludf.DUMMYFUNCTION("""COMPUTED_VALUE"""),43712.0)</f>
        <v>43712</v>
      </c>
      <c r="K52" s="150">
        <f t="shared" si="2"/>
        <v>43792</v>
      </c>
      <c r="L52" s="81" t="str">
        <f>IFERROR(__xludf.DUMMYFUNCTION("""COMPUTED_VALUE"""),"")</f>
        <v/>
      </c>
      <c r="M52" s="62"/>
      <c r="N52" s="62"/>
      <c r="O52" s="62"/>
      <c r="P52" s="62"/>
      <c r="Q52" s="62"/>
      <c r="R52" s="62"/>
      <c r="S52" s="62"/>
      <c r="T52" s="62"/>
      <c r="U52" s="62"/>
      <c r="V52" s="62"/>
      <c r="W52" s="62"/>
      <c r="X52" s="62"/>
      <c r="Y52" s="62"/>
      <c r="Z52" s="62"/>
      <c r="AA52" s="62"/>
      <c r="AB52" s="62"/>
      <c r="AC52" s="62"/>
      <c r="AD52" s="62"/>
    </row>
    <row r="53">
      <c r="A53" s="151">
        <f>IFERROR(__xludf.DUMMYFUNCTION("""COMPUTED_VALUE"""),43483.53342149306)</f>
        <v>43483.53342</v>
      </c>
      <c r="B53" s="6" t="str">
        <f>IFERROR(__xludf.DUMMYFUNCTION("""COMPUTED_VALUE"""),"Nan Jiang")</f>
        <v>Nan Jiang</v>
      </c>
      <c r="C53" s="6" t="str">
        <f>IFERROR(__xludf.DUMMYFUNCTION("""COMPUTED_VALUE"""),"naj018@ucsd.edu")</f>
        <v>naj018@ucsd.edu</v>
      </c>
      <c r="D53" s="62" t="str">
        <f>IFERROR(__xludf.DUMMYFUNCTION("""COMPUTED_VALUE"""),"Contacted")</f>
        <v>Contacted</v>
      </c>
      <c r="E53" s="77">
        <f>IFERROR(__xludf.DUMMYFUNCTION("""COMPUTED_VALUE"""),43580.0)</f>
        <v>43580</v>
      </c>
      <c r="F53" s="77" t="str">
        <f>IFERROR(__xludf.DUMMYFUNCTION("""COMPUTED_VALUE"""),"Yes")</f>
        <v>Yes</v>
      </c>
      <c r="G53" s="62" t="str">
        <f>IFERROR(__xludf.DUMMYFUNCTION("""COMPUTED_VALUE"""),"Dosage Sensitivity")</f>
        <v>Dosage Sensitivity</v>
      </c>
      <c r="H53" s="62" t="str">
        <f>IFERROR(__xludf.DUMMYFUNCTION("""COMPUTED_VALUE"""),"")</f>
        <v/>
      </c>
      <c r="I53" s="152">
        <f t="shared" si="1"/>
        <v>43671</v>
      </c>
      <c r="J53" s="81">
        <f>IFERROR(__xludf.DUMMYFUNCTION("""COMPUTED_VALUE"""),43712.0)</f>
        <v>43712</v>
      </c>
      <c r="K53" s="150">
        <f t="shared" si="2"/>
        <v>43763</v>
      </c>
      <c r="L53" s="81" t="str">
        <f>IFERROR(__xludf.DUMMYFUNCTION("""COMPUTED_VALUE"""),"")</f>
        <v/>
      </c>
      <c r="M53" s="62"/>
      <c r="N53" s="62"/>
      <c r="O53" s="62"/>
      <c r="P53" s="62"/>
      <c r="Q53" s="62"/>
      <c r="R53" s="62"/>
      <c r="S53" s="62"/>
      <c r="T53" s="62"/>
      <c r="U53" s="62"/>
      <c r="V53" s="62"/>
      <c r="W53" s="62"/>
      <c r="X53" s="62"/>
      <c r="Y53" s="62"/>
      <c r="Z53" s="62"/>
      <c r="AA53" s="62"/>
      <c r="AB53" s="62"/>
      <c r="AC53" s="62"/>
      <c r="AD53" s="62"/>
    </row>
    <row r="54">
      <c r="A54" s="151">
        <f>IFERROR(__xludf.DUMMYFUNCTION("""COMPUTED_VALUE"""),43483.55459590278)</f>
        <v>43483.5546</v>
      </c>
      <c r="B54" s="6" t="str">
        <f>IFERROR(__xludf.DUMMYFUNCTION("""COMPUTED_VALUE"""),"Ny Hoang")</f>
        <v>Ny Hoang</v>
      </c>
      <c r="C54" s="6" t="str">
        <f>IFERROR(__xludf.DUMMYFUNCTION("""COMPUTED_VALUE"""),"ny.hoang@sickkids.ca")</f>
        <v>ny.hoang@sickkids.ca</v>
      </c>
      <c r="D54" s="62" t="str">
        <f>IFERROR(__xludf.DUMMYFUNCTION("""COMPUTED_VALUE"""),"Declined")</f>
        <v>Declined</v>
      </c>
      <c r="E54" s="81">
        <f>IFERROR(__xludf.DUMMYFUNCTION("""COMPUTED_VALUE"""),43446.0)</f>
        <v>43446</v>
      </c>
      <c r="F54" s="77" t="str">
        <f>IFERROR(__xludf.DUMMYFUNCTION("""COMPUTED_VALUE"""),"Yes")</f>
        <v>Yes</v>
      </c>
      <c r="G54" s="62" t="str">
        <f>IFERROR(__xludf.DUMMYFUNCTION("""COMPUTED_VALUE"""),"Gene Disease Validity")</f>
        <v>Gene Disease Validity</v>
      </c>
      <c r="H54" s="62" t="str">
        <f>IFERROR(__xludf.DUMMYFUNCTION("""COMPUTED_VALUE"""),"ID Autism")</f>
        <v>ID Autism</v>
      </c>
      <c r="I54" s="152">
        <f t="shared" si="1"/>
        <v>43536</v>
      </c>
      <c r="J54" s="81">
        <f>IFERROR(__xludf.DUMMYFUNCTION("""COMPUTED_VALUE"""),43592.0)</f>
        <v>43592</v>
      </c>
      <c r="K54" s="150">
        <f t="shared" si="2"/>
        <v>43628</v>
      </c>
      <c r="L54" s="81">
        <f>IFERROR(__xludf.DUMMYFUNCTION("""COMPUTED_VALUE"""),43713.0)</f>
        <v>43713</v>
      </c>
      <c r="M54" s="62"/>
      <c r="N54" s="62"/>
      <c r="O54" s="62"/>
      <c r="P54" s="62"/>
      <c r="Q54" s="62"/>
      <c r="R54" s="62"/>
      <c r="S54" s="62"/>
      <c r="T54" s="62"/>
      <c r="U54" s="62"/>
      <c r="V54" s="62"/>
      <c r="W54" s="62"/>
      <c r="X54" s="62"/>
      <c r="Y54" s="62"/>
      <c r="Z54" s="62"/>
      <c r="AA54" s="62"/>
      <c r="AB54" s="62"/>
      <c r="AC54" s="62"/>
      <c r="AD54" s="62"/>
    </row>
    <row r="55">
      <c r="A55" s="151">
        <f>IFERROR(__xludf.DUMMYFUNCTION("""COMPUTED_VALUE"""),43485.69615496528)</f>
        <v>43485.69615</v>
      </c>
      <c r="B55" s="6" t="str">
        <f>IFERROR(__xludf.DUMMYFUNCTION("""COMPUTED_VALUE"""),"Qiuxiang Ou")</f>
        <v>Qiuxiang Ou</v>
      </c>
      <c r="C55" s="6" t="str">
        <f>IFERROR(__xludf.DUMMYFUNCTION("""COMPUTED_VALUE"""),"dorothy.ou@gmail.com")</f>
        <v>dorothy.ou@gmail.com</v>
      </c>
      <c r="D55" s="62" t="str">
        <f>IFERROR(__xludf.DUMMYFUNCTION("""COMPUTED_VALUE"""),"Contacted")</f>
        <v>Contacted</v>
      </c>
      <c r="E55" s="105">
        <f>IFERROR(__xludf.DUMMYFUNCTION("""COMPUTED_VALUE"""),43598.0)</f>
        <v>43598</v>
      </c>
      <c r="F55" s="77" t="str">
        <f>IFERROR(__xludf.DUMMYFUNCTION("""COMPUTED_VALUE"""),"No")</f>
        <v>No</v>
      </c>
      <c r="G55" s="62" t="str">
        <f>IFERROR(__xludf.DUMMYFUNCTION("""COMPUTED_VALUE"""),"Somatic Cancer")</f>
        <v>Somatic Cancer</v>
      </c>
      <c r="H55" s="62" t="str">
        <f>IFERROR(__xludf.DUMMYFUNCTION("""COMPUTED_VALUE"""),"")</f>
        <v/>
      </c>
      <c r="I55" s="152">
        <f t="shared" si="1"/>
        <v>43690</v>
      </c>
      <c r="J55" s="81">
        <f>IFERROR(__xludf.DUMMYFUNCTION("""COMPUTED_VALUE"""),43712.0)</f>
        <v>43712</v>
      </c>
      <c r="K55" s="150">
        <f t="shared" si="2"/>
        <v>43782</v>
      </c>
      <c r="L55" s="81" t="str">
        <f>IFERROR(__xludf.DUMMYFUNCTION("""COMPUTED_VALUE"""),"")</f>
        <v/>
      </c>
      <c r="M55" s="62"/>
      <c r="N55" s="62"/>
      <c r="O55" s="62"/>
      <c r="P55" s="62"/>
      <c r="Q55" s="62"/>
      <c r="R55" s="62"/>
      <c r="S55" s="62"/>
      <c r="T55" s="62"/>
      <c r="U55" s="62"/>
      <c r="V55" s="62"/>
      <c r="W55" s="62"/>
      <c r="X55" s="62"/>
      <c r="Y55" s="62"/>
      <c r="Z55" s="62"/>
      <c r="AA55" s="62"/>
      <c r="AB55" s="62"/>
      <c r="AC55" s="62"/>
      <c r="AD55" s="62"/>
    </row>
    <row r="56">
      <c r="A56" s="151">
        <f>IFERROR(__xludf.DUMMYFUNCTION("""COMPUTED_VALUE"""),43416.37436342593)</f>
        <v>43416.37436</v>
      </c>
      <c r="B56" s="6" t="str">
        <f>IFERROR(__xludf.DUMMYFUNCTION("""COMPUTED_VALUE"""),"Kylin Boehler")</f>
        <v>Kylin Boehler</v>
      </c>
      <c r="C56" s="6" t="str">
        <f>IFERROR(__xludf.DUMMYFUNCTION("""COMPUTED_VALUE"""),"kylin.y.boehler@questdiagnostics.com")</f>
        <v>kylin.y.boehler@questdiagnostics.com</v>
      </c>
      <c r="D56" s="62" t="str">
        <f>IFERROR(__xludf.DUMMYFUNCTION("""COMPUTED_VALUE"""),"Assigned")</f>
        <v>Assigned</v>
      </c>
      <c r="E56" s="106">
        <f>IFERROR(__xludf.DUMMYFUNCTION("""COMPUTED_VALUE"""),43522.0)</f>
        <v>43522</v>
      </c>
      <c r="F56" s="81" t="str">
        <f>IFERROR(__xludf.DUMMYFUNCTION("""COMPUTED_VALUE"""),"Yes")</f>
        <v>Yes</v>
      </c>
      <c r="G56" s="62" t="str">
        <f>IFERROR(__xludf.DUMMYFUNCTION("""COMPUTED_VALUE"""),"Actionability")</f>
        <v>Actionability</v>
      </c>
      <c r="H56" s="62" t="str">
        <f>IFERROR(__xludf.DUMMYFUNCTION("""COMPUTED_VALUE"""),"Actionability")</f>
        <v>Actionability</v>
      </c>
      <c r="I56" s="152">
        <f t="shared" si="1"/>
        <v>43611</v>
      </c>
      <c r="J56" s="62" t="str">
        <f>IFERROR(__xludf.DUMMYFUNCTION("""COMPUTED_VALUE"""),"")</f>
        <v/>
      </c>
      <c r="K56" s="150">
        <f t="shared" si="2"/>
        <v>43703</v>
      </c>
      <c r="L56" s="62" t="str">
        <f>IFERROR(__xludf.DUMMYFUNCTION("""COMPUTED_VALUE"""),"")</f>
        <v/>
      </c>
      <c r="M56" s="62"/>
      <c r="N56" s="62"/>
      <c r="O56" s="62"/>
      <c r="P56" s="62"/>
      <c r="Q56" s="62"/>
      <c r="R56" s="62"/>
      <c r="S56" s="62"/>
      <c r="T56" s="62"/>
      <c r="U56" s="62"/>
      <c r="V56" s="62"/>
      <c r="W56" s="62"/>
      <c r="X56" s="62"/>
      <c r="Y56" s="62"/>
      <c r="Z56" s="62"/>
      <c r="AA56" s="62"/>
      <c r="AB56" s="62"/>
      <c r="AC56" s="62"/>
      <c r="AD56" s="62"/>
    </row>
    <row r="57">
      <c r="A57" s="151">
        <f>IFERROR(__xludf.DUMMYFUNCTION("""COMPUTED_VALUE"""),43378.381261574075)</f>
        <v>43378.38126</v>
      </c>
      <c r="B57" s="6" t="str">
        <f>IFERROR(__xludf.DUMMYFUNCTION("""COMPUTED_VALUE"""),"Nharimann Azima")</f>
        <v>Nharimann Azima</v>
      </c>
      <c r="C57" s="6" t="str">
        <f>IFERROR(__xludf.DUMMYFUNCTION("""COMPUTED_VALUE"""),"naa3f@gwu.edu")</f>
        <v>naa3f@gwu.edu</v>
      </c>
      <c r="D57" s="62" t="str">
        <f>IFERROR(__xludf.DUMMYFUNCTION("""COMPUTED_VALUE"""),"Unresponsive")</f>
        <v>Unresponsive</v>
      </c>
      <c r="E57" s="106">
        <f>IFERROR(__xludf.DUMMYFUNCTION("""COMPUTED_VALUE"""),43567.0)</f>
        <v>43567</v>
      </c>
      <c r="F57" s="77" t="str">
        <f>IFERROR(__xludf.DUMMYFUNCTION("""COMPUTED_VALUE"""),"No")</f>
        <v>No</v>
      </c>
      <c r="G57" s="62" t="str">
        <f>IFERROR(__xludf.DUMMYFUNCTION("""COMPUTED_VALUE"""),"Actionability")</f>
        <v>Actionability</v>
      </c>
      <c r="H57" s="62" t="str">
        <f>IFERROR(__xludf.DUMMYFUNCTION("""COMPUTED_VALUE"""),"")</f>
        <v/>
      </c>
      <c r="I57" s="152">
        <f t="shared" si="1"/>
        <v>43658</v>
      </c>
      <c r="J57" s="62" t="str">
        <f>IFERROR(__xludf.DUMMYFUNCTION("""COMPUTED_VALUE"""),"")</f>
        <v/>
      </c>
      <c r="K57" s="150">
        <f t="shared" si="2"/>
        <v>43750</v>
      </c>
      <c r="L57" s="62" t="str">
        <f>IFERROR(__xludf.DUMMYFUNCTION("""COMPUTED_VALUE"""),"")</f>
        <v/>
      </c>
      <c r="M57" s="62"/>
      <c r="N57" s="62"/>
      <c r="O57" s="62"/>
      <c r="P57" s="62"/>
      <c r="Q57" s="62"/>
      <c r="R57" s="62"/>
      <c r="S57" s="62"/>
      <c r="T57" s="62"/>
      <c r="U57" s="62"/>
      <c r="V57" s="62"/>
      <c r="W57" s="62"/>
      <c r="X57" s="62"/>
      <c r="Y57" s="62"/>
      <c r="Z57" s="62"/>
      <c r="AA57" s="62"/>
      <c r="AB57" s="62"/>
      <c r="AC57" s="62"/>
      <c r="AD57" s="62"/>
    </row>
    <row r="58">
      <c r="A58" s="151">
        <f>IFERROR(__xludf.DUMMYFUNCTION("""COMPUTED_VALUE"""),43415.38344907407)</f>
        <v>43415.38345</v>
      </c>
      <c r="B58" s="6" t="str">
        <f>IFERROR(__xludf.DUMMYFUNCTION("""COMPUTED_VALUE"""),"Krzysztof Szczaluba")</f>
        <v>Krzysztof Szczaluba</v>
      </c>
      <c r="C58" s="6" t="str">
        <f>IFERROR(__xludf.DUMMYFUNCTION("""COMPUTED_VALUE"""),"krzysztof.szczaluba@gmail.com")</f>
        <v>krzysztof.szczaluba@gmail.com</v>
      </c>
      <c r="D58" s="62" t="str">
        <f>IFERROR(__xludf.DUMMYFUNCTION("""COMPUTED_VALUE"""),"Assigned")</f>
        <v>Assigned</v>
      </c>
      <c r="E58" s="77">
        <f>IFERROR(__xludf.DUMMYFUNCTION("""COMPUTED_VALUE"""),43678.0)</f>
        <v>43678</v>
      </c>
      <c r="F58" s="77" t="str">
        <f>IFERROR(__xludf.DUMMYFUNCTION("""COMPUTED_VALUE"""),"Yes")</f>
        <v>Yes</v>
      </c>
      <c r="G58" s="62" t="str">
        <f>IFERROR(__xludf.DUMMYFUNCTION("""COMPUTED_VALUE"""),"Actionability")</f>
        <v>Actionability</v>
      </c>
      <c r="H58" s="62" t="str">
        <f>IFERROR(__xludf.DUMMYFUNCTION("""COMPUTED_VALUE"""),"Actionability")</f>
        <v>Actionability</v>
      </c>
      <c r="I58" s="152">
        <f t="shared" si="1"/>
        <v>43770</v>
      </c>
      <c r="J58" s="62" t="str">
        <f>IFERROR(__xludf.DUMMYFUNCTION("""COMPUTED_VALUE"""),"")</f>
        <v/>
      </c>
      <c r="K58" s="150">
        <f t="shared" si="2"/>
        <v>43862</v>
      </c>
      <c r="L58" s="62" t="str">
        <f>IFERROR(__xludf.DUMMYFUNCTION("""COMPUTED_VALUE"""),"")</f>
        <v/>
      </c>
      <c r="M58" s="62"/>
      <c r="N58" s="62"/>
      <c r="O58" s="62"/>
      <c r="P58" s="62"/>
      <c r="Q58" s="62"/>
      <c r="R58" s="62"/>
      <c r="S58" s="62"/>
      <c r="T58" s="62"/>
      <c r="U58" s="62"/>
      <c r="V58" s="62"/>
      <c r="W58" s="62"/>
      <c r="X58" s="62"/>
      <c r="Y58" s="62"/>
      <c r="Z58" s="62"/>
      <c r="AA58" s="62"/>
      <c r="AB58" s="62"/>
      <c r="AC58" s="62"/>
      <c r="AD58" s="62"/>
    </row>
    <row r="59">
      <c r="A59" s="151">
        <f>IFERROR(__xludf.DUMMYFUNCTION("""COMPUTED_VALUE"""),43418.386828703704)</f>
        <v>43418.38683</v>
      </c>
      <c r="B59" s="6" t="str">
        <f>IFERROR(__xludf.DUMMYFUNCTION("""COMPUTED_VALUE"""),"Fiona Curtis")</f>
        <v>Fiona Curtis</v>
      </c>
      <c r="C59" s="6" t="str">
        <f>IFERROR(__xludf.DUMMYFUNCTION("""COMPUTED_VALUE"""),"fionakatherinecurtis@yahoo.ca")</f>
        <v>fionakatherinecurtis@yahoo.ca</v>
      </c>
      <c r="D59" s="62" t="str">
        <f>IFERROR(__xludf.DUMMYFUNCTION("""COMPUTED_VALUE"""),"Unresponsive")</f>
        <v>Unresponsive</v>
      </c>
      <c r="E59" s="106">
        <f>IFERROR(__xludf.DUMMYFUNCTION("""COMPUTED_VALUE"""),43522.0)</f>
        <v>43522</v>
      </c>
      <c r="F59" s="105" t="str">
        <f>IFERROR(__xludf.DUMMYFUNCTION("""COMPUTED_VALUE"""),"No")</f>
        <v>No</v>
      </c>
      <c r="G59" s="62" t="str">
        <f>IFERROR(__xludf.DUMMYFUNCTION("""COMPUTED_VALUE"""),"Actionability")</f>
        <v>Actionability</v>
      </c>
      <c r="H59" s="62" t="str">
        <f>IFERROR(__xludf.DUMMYFUNCTION("""COMPUTED_VALUE"""),"Actionability")</f>
        <v>Actionability</v>
      </c>
      <c r="I59" s="152">
        <f t="shared" si="1"/>
        <v>43611</v>
      </c>
      <c r="J59" s="62" t="str">
        <f>IFERROR(__xludf.DUMMYFUNCTION("""COMPUTED_VALUE"""),"")</f>
        <v/>
      </c>
      <c r="K59" s="150">
        <f t="shared" si="2"/>
        <v>43703</v>
      </c>
      <c r="L59" s="62" t="str">
        <f>IFERROR(__xludf.DUMMYFUNCTION("""COMPUTED_VALUE"""),"")</f>
        <v/>
      </c>
      <c r="M59" s="62"/>
      <c r="N59" s="62"/>
      <c r="O59" s="62"/>
      <c r="P59" s="62"/>
      <c r="Q59" s="62"/>
      <c r="R59" s="62"/>
      <c r="S59" s="62"/>
      <c r="T59" s="62"/>
      <c r="U59" s="62"/>
      <c r="V59" s="62"/>
      <c r="W59" s="62"/>
      <c r="X59" s="62"/>
      <c r="Y59" s="62"/>
      <c r="Z59" s="62"/>
      <c r="AA59" s="62"/>
      <c r="AB59" s="62"/>
      <c r="AC59" s="62"/>
      <c r="AD59" s="62"/>
    </row>
    <row r="60" ht="18.0" customHeight="1">
      <c r="A60" s="151">
        <f>IFERROR(__xludf.DUMMYFUNCTION("""COMPUTED_VALUE"""),43430.4000462963)</f>
        <v>43430.40005</v>
      </c>
      <c r="B60" s="6" t="str">
        <f>IFERROR(__xludf.DUMMYFUNCTION("""COMPUTED_VALUE"""),"Laura Fuqua")</f>
        <v>Laura Fuqua</v>
      </c>
      <c r="C60" s="6" t="str">
        <f>IFERROR(__xludf.DUMMYFUNCTION("""COMPUTED_VALUE"""),"laura.fuqua@gmail.com")</f>
        <v>laura.fuqua@gmail.com</v>
      </c>
      <c r="D60" s="62" t="str">
        <f>IFERROR(__xludf.DUMMYFUNCTION("""COMPUTED_VALUE"""),"Assigned")</f>
        <v>Assigned</v>
      </c>
      <c r="E60" s="81">
        <f>IFERROR(__xludf.DUMMYFUNCTION("""COMPUTED_VALUE"""),43476.0)</f>
        <v>43476</v>
      </c>
      <c r="F60" s="81" t="str">
        <f>IFERROR(__xludf.DUMMYFUNCTION("""COMPUTED_VALUE"""),"No")</f>
        <v>No</v>
      </c>
      <c r="G60" s="62" t="str">
        <f>IFERROR(__xludf.DUMMYFUNCTION("""COMPUTED_VALUE"""),"Actionability")</f>
        <v>Actionability</v>
      </c>
      <c r="H60" s="62" t="str">
        <f>IFERROR(__xludf.DUMMYFUNCTION("""COMPUTED_VALUE"""),"Actionability")</f>
        <v>Actionability</v>
      </c>
      <c r="I60" s="152">
        <f t="shared" si="1"/>
        <v>43566</v>
      </c>
      <c r="J60" s="81">
        <f>IFERROR(__xludf.DUMMYFUNCTION("""COMPUTED_VALUE"""),43593.0)</f>
        <v>43593</v>
      </c>
      <c r="K60" s="150">
        <f t="shared" si="2"/>
        <v>43657</v>
      </c>
      <c r="L60" s="81">
        <f>IFERROR(__xludf.DUMMYFUNCTION("""COMPUTED_VALUE"""),43713.0)</f>
        <v>43713</v>
      </c>
      <c r="M60" s="62"/>
      <c r="N60" s="62"/>
      <c r="O60" s="62"/>
      <c r="P60" s="62"/>
      <c r="Q60" s="62"/>
      <c r="R60" s="62"/>
      <c r="S60" s="62"/>
      <c r="T60" s="62"/>
      <c r="U60" s="62"/>
      <c r="V60" s="62"/>
      <c r="W60" s="62"/>
      <c r="X60" s="62"/>
      <c r="Y60" s="62"/>
      <c r="Z60" s="62"/>
      <c r="AA60" s="62"/>
      <c r="AB60" s="62"/>
      <c r="AC60" s="62"/>
      <c r="AD60" s="62"/>
    </row>
    <row r="61" ht="17.25" customHeight="1">
      <c r="A61" s="151">
        <f>IFERROR(__xludf.DUMMYFUNCTION("""COMPUTED_VALUE"""),43437.40190972222)</f>
        <v>43437.40191</v>
      </c>
      <c r="B61" s="6" t="str">
        <f>IFERROR(__xludf.DUMMYFUNCTION("""COMPUTED_VALUE"""),"Morgan Similuk")</f>
        <v>Morgan Similuk</v>
      </c>
      <c r="C61" s="6" t="str">
        <f>IFERROR(__xludf.DUMMYFUNCTION("""COMPUTED_VALUE"""),"Morgan.similuk@nih.gov")</f>
        <v>Morgan.similuk@nih.gov</v>
      </c>
      <c r="D61" s="62" t="str">
        <f>IFERROR(__xludf.DUMMYFUNCTION("""COMPUTED_VALUE"""),"Follow up email")</f>
        <v>Follow up email</v>
      </c>
      <c r="E61" s="77">
        <f>IFERROR(__xludf.DUMMYFUNCTION("""COMPUTED_VALUE"""),43769.0)</f>
        <v>43769</v>
      </c>
      <c r="F61" s="81" t="str">
        <f>IFERROR(__xludf.DUMMYFUNCTION("""COMPUTED_VALUE"""),"Yes")</f>
        <v>Yes</v>
      </c>
      <c r="G61" s="62" t="str">
        <f>IFERROR(__xludf.DUMMYFUNCTION("""COMPUTED_VALUE"""),"Actionability")</f>
        <v>Actionability</v>
      </c>
      <c r="H61" s="62" t="str">
        <f>IFERROR(__xludf.DUMMYFUNCTION("""COMPUTED_VALUE"""),"Actionability")</f>
        <v>Actionability</v>
      </c>
      <c r="I61" s="152">
        <f t="shared" si="1"/>
        <v>43861</v>
      </c>
      <c r="J61" s="62" t="str">
        <f>IFERROR(__xludf.DUMMYFUNCTION("""COMPUTED_VALUE"""),"")</f>
        <v/>
      </c>
      <c r="K61" s="150">
        <f t="shared" si="2"/>
        <v>43951</v>
      </c>
      <c r="L61" s="62" t="str">
        <f>IFERROR(__xludf.DUMMYFUNCTION("""COMPUTED_VALUE"""),"")</f>
        <v/>
      </c>
      <c r="M61" s="62"/>
      <c r="N61" s="62"/>
      <c r="O61" s="62"/>
      <c r="P61" s="62"/>
      <c r="Q61" s="62"/>
      <c r="R61" s="62"/>
      <c r="S61" s="62"/>
      <c r="T61" s="62"/>
      <c r="U61" s="62"/>
      <c r="V61" s="62"/>
      <c r="W61" s="62"/>
      <c r="X61" s="62"/>
      <c r="Y61" s="62"/>
      <c r="Z61" s="62"/>
      <c r="AA61" s="62"/>
      <c r="AB61" s="62"/>
      <c r="AC61" s="62"/>
      <c r="AD61" s="62"/>
    </row>
    <row r="62">
      <c r="A62" s="151">
        <f>IFERROR(__xludf.DUMMYFUNCTION("""COMPUTED_VALUE"""),43439.40657407408)</f>
        <v>43439.40657</v>
      </c>
      <c r="B62" s="6" t="str">
        <f>IFERROR(__xludf.DUMMYFUNCTION("""COMPUTED_VALUE"""),"Sandra P Smieszek")</f>
        <v>Sandra P Smieszek</v>
      </c>
      <c r="C62" s="6" t="str">
        <f>IFERROR(__xludf.DUMMYFUNCTION("""COMPUTED_VALUE"""),"sps92@case.edu")</f>
        <v>sps92@case.edu</v>
      </c>
      <c r="D62" s="62" t="str">
        <f>IFERROR(__xludf.DUMMYFUNCTION("""COMPUTED_VALUE"""),"Unresponsive")</f>
        <v>Unresponsive</v>
      </c>
      <c r="E62" s="77">
        <f>IFERROR(__xludf.DUMMYFUNCTION("""COMPUTED_VALUE"""),43678.0)</f>
        <v>43678</v>
      </c>
      <c r="F62" s="77" t="str">
        <f>IFERROR(__xludf.DUMMYFUNCTION("""COMPUTED_VALUE"""),"No")</f>
        <v>No</v>
      </c>
      <c r="G62" s="62" t="str">
        <f>IFERROR(__xludf.DUMMYFUNCTION("""COMPUTED_VALUE"""),"Actionability")</f>
        <v>Actionability</v>
      </c>
      <c r="H62" s="62" t="str">
        <f>IFERROR(__xludf.DUMMYFUNCTION("""COMPUTED_VALUE"""),"")</f>
        <v/>
      </c>
      <c r="I62" s="152">
        <f t="shared" si="1"/>
        <v>43770</v>
      </c>
      <c r="J62" s="62" t="str">
        <f>IFERROR(__xludf.DUMMYFUNCTION("""COMPUTED_VALUE"""),"")</f>
        <v/>
      </c>
      <c r="K62" s="150">
        <f t="shared" si="2"/>
        <v>43862</v>
      </c>
      <c r="L62" s="62" t="str">
        <f>IFERROR(__xludf.DUMMYFUNCTION("""COMPUTED_VALUE"""),"")</f>
        <v/>
      </c>
      <c r="M62" s="62"/>
      <c r="N62" s="62"/>
      <c r="O62" s="62"/>
      <c r="P62" s="62"/>
      <c r="Q62" s="62"/>
      <c r="R62" s="62"/>
      <c r="S62" s="62"/>
      <c r="T62" s="62"/>
      <c r="U62" s="62"/>
      <c r="V62" s="62"/>
      <c r="W62" s="62"/>
      <c r="X62" s="62"/>
      <c r="Y62" s="62"/>
      <c r="Z62" s="62"/>
      <c r="AA62" s="62"/>
      <c r="AB62" s="62"/>
      <c r="AC62" s="62"/>
      <c r="AD62" s="62"/>
    </row>
    <row r="63">
      <c r="A63" s="151">
        <f>IFERROR(__xludf.DUMMYFUNCTION("""COMPUTED_VALUE"""),43354.42292824074)</f>
        <v>43354.42293</v>
      </c>
      <c r="B63" s="6" t="str">
        <f>IFERROR(__xludf.DUMMYFUNCTION("""COMPUTED_VALUE"""),"Parisa Lotfi")</f>
        <v>Parisa Lotfi</v>
      </c>
      <c r="C63" s="6" t="str">
        <f>IFERROR(__xludf.DUMMYFUNCTION("""COMPUTED_VALUE"""),"Parisa_Lotfi@yahoo.com")</f>
        <v>Parisa_Lotfi@yahoo.com</v>
      </c>
      <c r="D63" s="62" t="str">
        <f>IFERROR(__xludf.DUMMYFUNCTION("""COMPUTED_VALUE"""),"Assigned")</f>
        <v>Assigned</v>
      </c>
      <c r="E63" s="105">
        <f>IFERROR(__xludf.DUMMYFUNCTION("""COMPUTED_VALUE"""),43581.0)</f>
        <v>43581</v>
      </c>
      <c r="F63" s="81" t="str">
        <f>IFERROR(__xludf.DUMMYFUNCTION("""COMPUTED_VALUE"""),"No")</f>
        <v>No</v>
      </c>
      <c r="G63" s="62" t="str">
        <f>IFERROR(__xludf.DUMMYFUNCTION("""COMPUTED_VALUE"""),"Somatic Cancer")</f>
        <v>Somatic Cancer</v>
      </c>
      <c r="H63" s="62" t="str">
        <f>IFERROR(__xludf.DUMMYFUNCTION("""COMPUTED_VALUE"""),"Pancreatic cancer taskforce")</f>
        <v>Pancreatic cancer taskforce</v>
      </c>
      <c r="I63" s="152">
        <f t="shared" si="1"/>
        <v>43672</v>
      </c>
      <c r="J63" s="81">
        <f>IFERROR(__xludf.DUMMYFUNCTION("""COMPUTED_VALUE"""),43712.0)</f>
        <v>43712</v>
      </c>
      <c r="K63" s="150">
        <f t="shared" si="2"/>
        <v>43764</v>
      </c>
      <c r="L63" s="81" t="str">
        <f>IFERROR(__xludf.DUMMYFUNCTION("""COMPUTED_VALUE"""),"")</f>
        <v/>
      </c>
      <c r="M63" s="62"/>
      <c r="N63" s="62"/>
      <c r="O63" s="62"/>
      <c r="P63" s="62"/>
      <c r="Q63" s="62"/>
      <c r="R63" s="62"/>
      <c r="S63" s="62"/>
      <c r="T63" s="62"/>
      <c r="U63" s="62"/>
      <c r="V63" s="62"/>
      <c r="W63" s="62"/>
      <c r="X63" s="62"/>
      <c r="Y63" s="62"/>
      <c r="Z63" s="62"/>
      <c r="AA63" s="62"/>
      <c r="AB63" s="62"/>
      <c r="AC63" s="62"/>
      <c r="AD63" s="62"/>
    </row>
    <row r="64">
      <c r="A64" s="151">
        <f>IFERROR(__xludf.DUMMYFUNCTION("""COMPUTED_VALUE"""),43496.573591817134)</f>
        <v>43496.57359</v>
      </c>
      <c r="B64" s="6" t="str">
        <f>IFERROR(__xludf.DUMMYFUNCTION("""COMPUTED_VALUE"""),"Szabolcs Szelinger")</f>
        <v>Szabolcs Szelinger</v>
      </c>
      <c r="C64" s="6" t="str">
        <f>IFERROR(__xludf.DUMMYFUNCTION("""COMPUTED_VALUE"""),"sszelinger@tgen.org")</f>
        <v>sszelinger@tgen.org</v>
      </c>
      <c r="D64" s="62" t="str">
        <f>IFERROR(__xludf.DUMMYFUNCTION("""COMPUTED_VALUE"""),"Contacted")</f>
        <v>Contacted</v>
      </c>
      <c r="E64" s="77">
        <f>IFERROR(__xludf.DUMMYFUNCTION("""COMPUTED_VALUE"""),43692.0)</f>
        <v>43692</v>
      </c>
      <c r="F64" s="81" t="str">
        <f>IFERROR(__xludf.DUMMYFUNCTION("""COMPUTED_VALUE"""),"No")</f>
        <v>No</v>
      </c>
      <c r="G64" s="62" t="str">
        <f>IFERROR(__xludf.DUMMYFUNCTION("""COMPUTED_VALUE"""),"Gene Disease Validity")</f>
        <v>Gene Disease Validity</v>
      </c>
      <c r="H64" s="62" t="str">
        <f>IFERROR(__xludf.DUMMYFUNCTION("""COMPUTED_VALUE"""),"")</f>
        <v/>
      </c>
      <c r="I64" s="152">
        <f t="shared" si="1"/>
        <v>43784</v>
      </c>
      <c r="J64" s="62" t="str">
        <f>IFERROR(__xludf.DUMMYFUNCTION("""COMPUTED_VALUE"""),"")</f>
        <v/>
      </c>
      <c r="K64" s="150">
        <f t="shared" si="2"/>
        <v>43876</v>
      </c>
      <c r="L64" s="62" t="str">
        <f>IFERROR(__xludf.DUMMYFUNCTION("""COMPUTED_VALUE"""),"")</f>
        <v/>
      </c>
      <c r="M64" s="62"/>
      <c r="N64" s="62"/>
      <c r="O64" s="62"/>
      <c r="P64" s="62"/>
      <c r="Q64" s="62"/>
      <c r="R64" s="62"/>
      <c r="S64" s="62"/>
      <c r="T64" s="62"/>
      <c r="U64" s="62"/>
      <c r="V64" s="62"/>
      <c r="W64" s="62"/>
      <c r="X64" s="62"/>
      <c r="Y64" s="62"/>
      <c r="Z64" s="62"/>
      <c r="AA64" s="62"/>
      <c r="AB64" s="62"/>
      <c r="AC64" s="62"/>
      <c r="AD64" s="62"/>
    </row>
    <row r="65" ht="17.25" customHeight="1">
      <c r="A65" s="151">
        <f>IFERROR(__xludf.DUMMYFUNCTION("""COMPUTED_VALUE"""),43498.50725701389)</f>
        <v>43498.50726</v>
      </c>
      <c r="B65" s="6" t="str">
        <f>IFERROR(__xludf.DUMMYFUNCTION("""COMPUTED_VALUE"""),"Ramesh Vaidyanathan")</f>
        <v>Ramesh Vaidyanathan</v>
      </c>
      <c r="C65" s="6" t="str">
        <f>IFERROR(__xludf.DUMMYFUNCTION("""COMPUTED_VALUE"""),"vaid@rocketmail.com")</f>
        <v>vaid@rocketmail.com</v>
      </c>
      <c r="D65" s="62" t="str">
        <f>IFERROR(__xludf.DUMMYFUNCTION("""COMPUTED_VALUE"""),"Unresponsive")</f>
        <v>Unresponsive</v>
      </c>
      <c r="E65" s="106">
        <f>IFERROR(__xludf.DUMMYFUNCTION("""COMPUTED_VALUE"""),43567.0)</f>
        <v>43567</v>
      </c>
      <c r="F65" s="81" t="str">
        <f>IFERROR(__xludf.DUMMYFUNCTION("""COMPUTED_VALUE"""),"Yes")</f>
        <v>Yes</v>
      </c>
      <c r="G65" s="62" t="str">
        <f>IFERROR(__xludf.DUMMYFUNCTION("""COMPUTED_VALUE"""),"Actionability")</f>
        <v>Actionability</v>
      </c>
      <c r="H65" s="62" t="str">
        <f>IFERROR(__xludf.DUMMYFUNCTION("""COMPUTED_VALUE"""),"Actionability")</f>
        <v>Actionability</v>
      </c>
      <c r="I65" s="152">
        <f t="shared" si="1"/>
        <v>43658</v>
      </c>
      <c r="J65" s="81">
        <f>IFERROR(__xludf.DUMMYFUNCTION("""COMPUTED_VALUE"""),43712.0)</f>
        <v>43712</v>
      </c>
      <c r="K65" s="150">
        <f t="shared" si="2"/>
        <v>43750</v>
      </c>
      <c r="L65" s="81" t="str">
        <f>IFERROR(__xludf.DUMMYFUNCTION("""COMPUTED_VALUE"""),"")</f>
        <v/>
      </c>
      <c r="M65" s="62"/>
      <c r="N65" s="62"/>
      <c r="O65" s="62"/>
      <c r="P65" s="62"/>
      <c r="Q65" s="62"/>
      <c r="R65" s="62"/>
      <c r="S65" s="62"/>
      <c r="T65" s="62"/>
      <c r="U65" s="62"/>
      <c r="V65" s="62"/>
      <c r="W65" s="62"/>
      <c r="X65" s="62"/>
      <c r="Y65" s="62"/>
      <c r="Z65" s="62"/>
      <c r="AA65" s="62"/>
      <c r="AB65" s="62"/>
      <c r="AC65" s="62"/>
      <c r="AD65" s="62"/>
    </row>
    <row r="66">
      <c r="A66" s="151">
        <f>IFERROR(__xludf.DUMMYFUNCTION("""COMPUTED_VALUE"""),43504.64437269676)</f>
        <v>43504.64437</v>
      </c>
      <c r="B66" s="6" t="str">
        <f>IFERROR(__xludf.DUMMYFUNCTION("""COMPUTED_VALUE"""),"Ranjit Shetty")</f>
        <v>Ranjit Shetty</v>
      </c>
      <c r="C66" s="6" t="str">
        <f>IFERROR(__xludf.DUMMYFUNCTION("""COMPUTED_VALUE"""),"ranjit.shetty@novartis.com")</f>
        <v>ranjit.shetty@novartis.com</v>
      </c>
      <c r="D66" s="62" t="str">
        <f>IFERROR(__xludf.DUMMYFUNCTION("""COMPUTED_VALUE"""),"Contacted")</f>
        <v>Contacted</v>
      </c>
      <c r="E66" s="105">
        <f>IFERROR(__xludf.DUMMYFUNCTION("""COMPUTED_VALUE"""),43598.0)</f>
        <v>43598</v>
      </c>
      <c r="F66" s="81" t="str">
        <f>IFERROR(__xludf.DUMMYFUNCTION("""COMPUTED_VALUE"""),"No")</f>
        <v>No</v>
      </c>
      <c r="G66" s="62" t="str">
        <f>IFERROR(__xludf.DUMMYFUNCTION("""COMPUTED_VALUE"""),"Somatic Cancer")</f>
        <v>Somatic Cancer</v>
      </c>
      <c r="H66" s="62" t="str">
        <f>IFERROR(__xludf.DUMMYFUNCTION("""COMPUTED_VALUE"""),"")</f>
        <v/>
      </c>
      <c r="I66" s="152">
        <f t="shared" si="1"/>
        <v>43690</v>
      </c>
      <c r="J66" s="62" t="str">
        <f>IFERROR(__xludf.DUMMYFUNCTION("""COMPUTED_VALUE"""),"")</f>
        <v/>
      </c>
      <c r="K66" s="150">
        <f t="shared" si="2"/>
        <v>43782</v>
      </c>
      <c r="L66" s="62" t="str">
        <f>IFERROR(__xludf.DUMMYFUNCTION("""COMPUTED_VALUE"""),"")</f>
        <v/>
      </c>
      <c r="M66" s="62"/>
      <c r="N66" s="62"/>
      <c r="O66" s="62"/>
      <c r="P66" s="62"/>
      <c r="Q66" s="62"/>
      <c r="R66" s="62"/>
      <c r="S66" s="62"/>
      <c r="T66" s="62"/>
      <c r="U66" s="62"/>
      <c r="V66" s="62"/>
      <c r="W66" s="62"/>
      <c r="X66" s="62"/>
      <c r="Y66" s="62"/>
      <c r="Z66" s="62"/>
      <c r="AA66" s="62"/>
      <c r="AB66" s="62"/>
      <c r="AC66" s="62"/>
      <c r="AD66" s="62"/>
    </row>
    <row r="67">
      <c r="A67" s="151">
        <f>IFERROR(__xludf.DUMMYFUNCTION("""COMPUTED_VALUE"""),43510.15695694444)</f>
        <v>43510.15696</v>
      </c>
      <c r="B67" s="6" t="str">
        <f>IFERROR(__xludf.DUMMYFUNCTION("""COMPUTED_VALUE"""),"Brooke H. Miller")</f>
        <v>Brooke H. Miller</v>
      </c>
      <c r="C67" s="6" t="str">
        <f>IFERROR(__xludf.DUMMYFUNCTION("""COMPUTED_VALUE"""),"brooke.h.miller@gmail.com")</f>
        <v>brooke.h.miller@gmail.com</v>
      </c>
      <c r="D67" s="62" t="str">
        <f>IFERROR(__xludf.DUMMYFUNCTION("""COMPUTED_VALUE"""),"Contacted")</f>
        <v>Contacted</v>
      </c>
      <c r="E67" s="77">
        <f>IFERROR(__xludf.DUMMYFUNCTION("""COMPUTED_VALUE"""),43696.0)</f>
        <v>43696</v>
      </c>
      <c r="F67" s="81" t="str">
        <f>IFERROR(__xludf.DUMMYFUNCTION("""COMPUTED_VALUE"""),"No")</f>
        <v>No</v>
      </c>
      <c r="G67" s="62" t="str">
        <f>IFERROR(__xludf.DUMMYFUNCTION("""COMPUTED_VALUE"""),"Gene Disease Validity")</f>
        <v>Gene Disease Validity</v>
      </c>
      <c r="H67" s="62" t="str">
        <f>IFERROR(__xludf.DUMMYFUNCTION("""COMPUTED_VALUE"""),"")</f>
        <v/>
      </c>
      <c r="I67" s="152">
        <f t="shared" si="1"/>
        <v>43788</v>
      </c>
      <c r="J67" s="62" t="str">
        <f>IFERROR(__xludf.DUMMYFUNCTION("""COMPUTED_VALUE"""),"")</f>
        <v/>
      </c>
      <c r="K67" s="150">
        <f t="shared" si="2"/>
        <v>43880</v>
      </c>
      <c r="L67" s="62" t="str">
        <f>IFERROR(__xludf.DUMMYFUNCTION("""COMPUTED_VALUE"""),"")</f>
        <v/>
      </c>
      <c r="M67" s="62"/>
      <c r="N67" s="62"/>
      <c r="O67" s="62"/>
      <c r="P67" s="62"/>
      <c r="Q67" s="62"/>
      <c r="R67" s="62"/>
      <c r="S67" s="62"/>
      <c r="T67" s="62"/>
      <c r="U67" s="62"/>
      <c r="V67" s="62"/>
      <c r="W67" s="62"/>
      <c r="X67" s="62"/>
      <c r="Y67" s="62"/>
      <c r="Z67" s="62"/>
      <c r="AA67" s="62"/>
      <c r="AB67" s="62"/>
      <c r="AC67" s="62"/>
      <c r="AD67" s="62"/>
    </row>
    <row r="68">
      <c r="A68" s="151">
        <f>IFERROR(__xludf.DUMMYFUNCTION("""COMPUTED_VALUE"""),43515.32583059028)</f>
        <v>43515.32583</v>
      </c>
      <c r="B68" s="6" t="str">
        <f>IFERROR(__xludf.DUMMYFUNCTION("""COMPUTED_VALUE"""),"HUILING XU")</f>
        <v>HUILING XU</v>
      </c>
      <c r="C68" s="6" t="str">
        <f>IFERROR(__xludf.DUMMYFUNCTION("""COMPUTED_VALUE"""),"huiling.xu@petermac.org")</f>
        <v>huiling.xu@petermac.org</v>
      </c>
      <c r="D68" s="62" t="str">
        <f>IFERROR(__xludf.DUMMYFUNCTION("""COMPUTED_VALUE"""),"Contacted")</f>
        <v>Contacted</v>
      </c>
      <c r="E68" s="105">
        <f>IFERROR(__xludf.DUMMYFUNCTION("""COMPUTED_VALUE"""),43581.0)</f>
        <v>43581</v>
      </c>
      <c r="F68" s="81" t="str">
        <f>IFERROR(__xludf.DUMMYFUNCTION("""COMPUTED_VALUE"""),"No")</f>
        <v>No</v>
      </c>
      <c r="G68" s="62" t="str">
        <f>IFERROR(__xludf.DUMMYFUNCTION("""COMPUTED_VALUE"""),"Somatic Cancer")</f>
        <v>Somatic Cancer</v>
      </c>
      <c r="H68" s="62" t="str">
        <f>IFERROR(__xludf.DUMMYFUNCTION("""COMPUTED_VALUE"""),"Pediatric cancer taskforce")</f>
        <v>Pediatric cancer taskforce</v>
      </c>
      <c r="I68" s="152">
        <f t="shared" si="1"/>
        <v>43672</v>
      </c>
      <c r="J68" s="81">
        <f>IFERROR(__xludf.DUMMYFUNCTION("""COMPUTED_VALUE"""),43712.0)</f>
        <v>43712</v>
      </c>
      <c r="K68" s="150">
        <f t="shared" si="2"/>
        <v>43764</v>
      </c>
      <c r="L68" s="81" t="str">
        <f>IFERROR(__xludf.DUMMYFUNCTION("""COMPUTED_VALUE"""),"")</f>
        <v/>
      </c>
      <c r="M68" s="62"/>
      <c r="N68" s="62"/>
      <c r="O68" s="62"/>
      <c r="P68" s="62"/>
      <c r="Q68" s="62"/>
      <c r="R68" s="62"/>
      <c r="S68" s="62"/>
      <c r="T68" s="62"/>
      <c r="U68" s="62"/>
      <c r="V68" s="62"/>
      <c r="W68" s="62"/>
      <c r="X68" s="62"/>
      <c r="Y68" s="62"/>
      <c r="Z68" s="62"/>
      <c r="AA68" s="62"/>
      <c r="AB68" s="62"/>
      <c r="AC68" s="62"/>
      <c r="AD68" s="62"/>
    </row>
    <row r="69">
      <c r="A69" s="151">
        <f>IFERROR(__xludf.DUMMYFUNCTION("""COMPUTED_VALUE"""),43524.49831216435)</f>
        <v>43524.49831</v>
      </c>
      <c r="B69" s="6" t="str">
        <f>IFERROR(__xludf.DUMMYFUNCTION("""COMPUTED_VALUE"""),"Nilufar Inamdar")</f>
        <v>Nilufar Inamdar</v>
      </c>
      <c r="C69" s="6" t="str">
        <f>IFERROR(__xludf.DUMMYFUNCTION("""COMPUTED_VALUE"""),"inamdar555@yahoo.com")</f>
        <v>inamdar555@yahoo.com</v>
      </c>
      <c r="D69" s="62" t="str">
        <f>IFERROR(__xludf.DUMMYFUNCTION("""COMPUTED_VALUE"""),"Contacted")</f>
        <v>Contacted</v>
      </c>
      <c r="E69" s="105">
        <f>IFERROR(__xludf.DUMMYFUNCTION("""COMPUTED_VALUE"""),43570.0)</f>
        <v>43570</v>
      </c>
      <c r="F69" s="81" t="str">
        <f>IFERROR(__xludf.DUMMYFUNCTION("""COMPUTED_VALUE"""),"Yes")</f>
        <v>Yes</v>
      </c>
      <c r="G69" s="62" t="str">
        <f>IFERROR(__xludf.DUMMYFUNCTION("""COMPUTED_VALUE"""),"Gene Disease Validity")</f>
        <v>Gene Disease Validity</v>
      </c>
      <c r="H69" s="62" t="str">
        <f>IFERROR(__xludf.DUMMYFUNCTION("""COMPUTED_VALUE"""),"Aminoacidopathy")</f>
        <v>Aminoacidopathy</v>
      </c>
      <c r="I69" s="152">
        <f t="shared" si="1"/>
        <v>43661</v>
      </c>
      <c r="J69" s="81">
        <f>IFERROR(__xludf.DUMMYFUNCTION("""COMPUTED_VALUE"""),43712.0)</f>
        <v>43712</v>
      </c>
      <c r="K69" s="150">
        <f t="shared" si="2"/>
        <v>43753</v>
      </c>
      <c r="L69" s="81" t="str">
        <f>IFERROR(__xludf.DUMMYFUNCTION("""COMPUTED_VALUE"""),"")</f>
        <v/>
      </c>
      <c r="M69" s="62"/>
      <c r="N69" s="62"/>
      <c r="O69" s="62"/>
      <c r="P69" s="62"/>
      <c r="Q69" s="62"/>
      <c r="R69" s="62"/>
      <c r="S69" s="62"/>
      <c r="T69" s="62"/>
      <c r="U69" s="62"/>
      <c r="V69" s="62"/>
      <c r="W69" s="62"/>
      <c r="X69" s="62"/>
      <c r="Y69" s="62"/>
      <c r="Z69" s="62"/>
      <c r="AA69" s="62"/>
      <c r="AB69" s="62"/>
      <c r="AC69" s="62"/>
      <c r="AD69" s="62"/>
    </row>
    <row r="70">
      <c r="A70" s="151">
        <f>IFERROR(__xludf.DUMMYFUNCTION("""COMPUTED_VALUE"""),43525.50388739583)</f>
        <v>43525.50389</v>
      </c>
      <c r="B70" s="6" t="str">
        <f>IFERROR(__xludf.DUMMYFUNCTION("""COMPUTED_VALUE"""),"Michael McLachlan")</f>
        <v>Michael McLachlan</v>
      </c>
      <c r="C70" s="6" t="str">
        <f>IFERROR(__xludf.DUMMYFUNCTION("""COMPUTED_VALUE"""),"mikejmclachlan@gmail.com")</f>
        <v>mikejmclachlan@gmail.com</v>
      </c>
      <c r="D70" s="62" t="str">
        <f>IFERROR(__xludf.DUMMYFUNCTION("""COMPUTED_VALUE"""),"Contacted")</f>
        <v>Contacted</v>
      </c>
      <c r="E70" s="81">
        <f>IFERROR(__xludf.DUMMYFUNCTION("""COMPUTED_VALUE"""),43608.0)</f>
        <v>43608</v>
      </c>
      <c r="F70" s="81" t="str">
        <f>IFERROR(__xludf.DUMMYFUNCTION("""COMPUTED_VALUE"""),"Yes")</f>
        <v>Yes</v>
      </c>
      <c r="G70" s="62" t="str">
        <f>IFERROR(__xludf.DUMMYFUNCTION("""COMPUTED_VALUE"""),"Variant Pathogenicity")</f>
        <v>Variant Pathogenicity</v>
      </c>
      <c r="H70" s="62" t="str">
        <f>IFERROR(__xludf.DUMMYFUNCTION("""COMPUTED_VALUE"""),"ACADVL")</f>
        <v>ACADVL</v>
      </c>
      <c r="I70" s="152">
        <f t="shared" si="1"/>
        <v>43700</v>
      </c>
      <c r="J70" s="81">
        <f>IFERROR(__xludf.DUMMYFUNCTION("""COMPUTED_VALUE"""),43712.0)</f>
        <v>43712</v>
      </c>
      <c r="K70" s="150">
        <f t="shared" si="2"/>
        <v>43792</v>
      </c>
      <c r="L70" s="81" t="str">
        <f>IFERROR(__xludf.DUMMYFUNCTION("""COMPUTED_VALUE"""),"")</f>
        <v/>
      </c>
      <c r="M70" s="62"/>
      <c r="N70" s="62"/>
      <c r="O70" s="62"/>
      <c r="P70" s="62"/>
      <c r="Q70" s="62"/>
      <c r="R70" s="62"/>
      <c r="S70" s="62"/>
      <c r="T70" s="62"/>
      <c r="U70" s="62"/>
      <c r="V70" s="62"/>
      <c r="W70" s="62"/>
      <c r="X70" s="62"/>
      <c r="Y70" s="62"/>
      <c r="Z70" s="62"/>
      <c r="AA70" s="62"/>
      <c r="AB70" s="62"/>
      <c r="AC70" s="62"/>
      <c r="AD70" s="62"/>
    </row>
    <row r="71">
      <c r="A71" s="151">
        <f>IFERROR(__xludf.DUMMYFUNCTION("""COMPUTED_VALUE"""),43531.608363842584)</f>
        <v>43531.60836</v>
      </c>
      <c r="B71" s="6" t="str">
        <f>IFERROR(__xludf.DUMMYFUNCTION("""COMPUTED_VALUE"""),"Urjit Patel")</f>
        <v>Urjit Patel</v>
      </c>
      <c r="C71" s="6" t="str">
        <f>IFERROR(__xludf.DUMMYFUNCTION("""COMPUTED_VALUE"""),"urjit.x.patel@questdiagnostics.com")</f>
        <v>urjit.x.patel@questdiagnostics.com</v>
      </c>
      <c r="D71" s="62" t="str">
        <f>IFERROR(__xludf.DUMMYFUNCTION("""COMPUTED_VALUE"""),"Contacted")</f>
        <v>Contacted</v>
      </c>
      <c r="E71" s="77">
        <f>IFERROR(__xludf.DUMMYFUNCTION("""COMPUTED_VALUE"""),43585.0)</f>
        <v>43585</v>
      </c>
      <c r="F71" s="81" t="str">
        <f>IFERROR(__xludf.DUMMYFUNCTION("""COMPUTED_VALUE"""),"Yes")</f>
        <v>Yes</v>
      </c>
      <c r="G71" s="62" t="str">
        <f>IFERROR(__xludf.DUMMYFUNCTION("""COMPUTED_VALUE"""),"Gene Disease Validity")</f>
        <v>Gene Disease Validity</v>
      </c>
      <c r="H71" s="62" t="str">
        <f>IFERROR(__xludf.DUMMYFUNCTION("""COMPUTED_VALUE"""),"")</f>
        <v/>
      </c>
      <c r="I71" s="152">
        <f t="shared" si="1"/>
        <v>43676</v>
      </c>
      <c r="J71" s="81">
        <f>IFERROR(__xludf.DUMMYFUNCTION("""COMPUTED_VALUE"""),43712.0)</f>
        <v>43712</v>
      </c>
      <c r="K71" s="150">
        <f t="shared" si="2"/>
        <v>43768</v>
      </c>
      <c r="L71" s="81" t="str">
        <f>IFERROR(__xludf.DUMMYFUNCTION("""COMPUTED_VALUE"""),"")</f>
        <v/>
      </c>
      <c r="M71" s="62"/>
      <c r="N71" s="62"/>
      <c r="O71" s="62"/>
      <c r="P71" s="62"/>
      <c r="Q71" s="62"/>
      <c r="R71" s="62"/>
      <c r="S71" s="62"/>
      <c r="T71" s="62"/>
      <c r="U71" s="62"/>
      <c r="V71" s="62"/>
      <c r="W71" s="62"/>
      <c r="X71" s="62"/>
      <c r="Y71" s="62"/>
      <c r="Z71" s="62"/>
      <c r="AA71" s="62"/>
      <c r="AB71" s="62"/>
      <c r="AC71" s="62"/>
      <c r="AD71" s="62"/>
    </row>
    <row r="72">
      <c r="A72" s="151">
        <f>IFERROR(__xludf.DUMMYFUNCTION("""COMPUTED_VALUE"""),43531.6175765162)</f>
        <v>43531.61758</v>
      </c>
      <c r="B72" s="6" t="str">
        <f>IFERROR(__xludf.DUMMYFUNCTION("""COMPUTED_VALUE"""),"Lesley Northrop")</f>
        <v>Lesley Northrop</v>
      </c>
      <c r="C72" s="6" t="str">
        <f>IFERROR(__xludf.DUMMYFUNCTION("""COMPUTED_VALUE"""),"lesleyenorthrop@gmail.com")</f>
        <v>lesleyenorthrop@gmail.com</v>
      </c>
      <c r="D72" s="62" t="str">
        <f>IFERROR(__xludf.DUMMYFUNCTION("""COMPUTED_VALUE"""),"Unresponsive")</f>
        <v>Unresponsive</v>
      </c>
      <c r="E72" s="106">
        <f>IFERROR(__xludf.DUMMYFUNCTION("""COMPUTED_VALUE"""),43567.0)</f>
        <v>43567</v>
      </c>
      <c r="F72" s="81" t="str">
        <f>IFERROR(__xludf.DUMMYFUNCTION("""COMPUTED_VALUE"""),"Yes")</f>
        <v>Yes</v>
      </c>
      <c r="G72" s="62" t="str">
        <f>IFERROR(__xludf.DUMMYFUNCTION("""COMPUTED_VALUE"""),"Actionability")</f>
        <v>Actionability</v>
      </c>
      <c r="H72" s="62" t="str">
        <f>IFERROR(__xludf.DUMMYFUNCTION("""COMPUTED_VALUE"""),"Actionability")</f>
        <v>Actionability</v>
      </c>
      <c r="I72" s="152">
        <f t="shared" si="1"/>
        <v>43658</v>
      </c>
      <c r="J72" s="81">
        <f>IFERROR(__xludf.DUMMYFUNCTION("""COMPUTED_VALUE"""),43712.0)</f>
        <v>43712</v>
      </c>
      <c r="K72" s="150">
        <f t="shared" si="2"/>
        <v>43750</v>
      </c>
      <c r="L72" s="81" t="str">
        <f>IFERROR(__xludf.DUMMYFUNCTION("""COMPUTED_VALUE"""),"")</f>
        <v/>
      </c>
      <c r="M72" s="62"/>
      <c r="N72" s="62"/>
      <c r="O72" s="62"/>
      <c r="P72" s="62"/>
      <c r="Q72" s="62"/>
      <c r="R72" s="62"/>
      <c r="S72" s="62"/>
      <c r="T72" s="62"/>
      <c r="U72" s="62"/>
      <c r="V72" s="62"/>
      <c r="W72" s="62"/>
      <c r="X72" s="62"/>
      <c r="Y72" s="62"/>
      <c r="Z72" s="62"/>
      <c r="AA72" s="62"/>
      <c r="AB72" s="62"/>
      <c r="AC72" s="62"/>
      <c r="AD72" s="62"/>
    </row>
    <row r="73">
      <c r="A73" s="151">
        <f>IFERROR(__xludf.DUMMYFUNCTION("""COMPUTED_VALUE"""),43542.63785333333)</f>
        <v>43542.63785</v>
      </c>
      <c r="B73" s="6" t="str">
        <f>IFERROR(__xludf.DUMMYFUNCTION("""COMPUTED_VALUE"""),"Angela Pickart")</f>
        <v>Angela Pickart</v>
      </c>
      <c r="C73" s="6" t="str">
        <f>IFERROR(__xludf.DUMMYFUNCTION("""COMPUTED_VALUE"""),"pickart.angela@mayo.edu")</f>
        <v>pickart.angela@mayo.edu</v>
      </c>
      <c r="D73" s="62" t="str">
        <f>IFERROR(__xludf.DUMMYFUNCTION("""COMPUTED_VALUE"""),"Contacted")</f>
        <v>Contacted</v>
      </c>
      <c r="E73" s="105">
        <f>IFERROR(__xludf.DUMMYFUNCTION("""COMPUTED_VALUE"""),43570.0)</f>
        <v>43570</v>
      </c>
      <c r="F73" s="81" t="str">
        <f>IFERROR(__xludf.DUMMYFUNCTION("""COMPUTED_VALUE"""),"Yes")</f>
        <v>Yes</v>
      </c>
      <c r="G73" s="62" t="str">
        <f>IFERROR(__xludf.DUMMYFUNCTION("""COMPUTED_VALUE"""),"Gene Disease Validity")</f>
        <v>Gene Disease Validity</v>
      </c>
      <c r="H73" s="62" t="str">
        <f>IFERROR(__xludf.DUMMYFUNCTION("""COMPUTED_VALUE"""),"Epilepsy")</f>
        <v>Epilepsy</v>
      </c>
      <c r="I73" s="152">
        <f t="shared" si="1"/>
        <v>43661</v>
      </c>
      <c r="J73" s="81">
        <f>IFERROR(__xludf.DUMMYFUNCTION("""COMPUTED_VALUE"""),43712.0)</f>
        <v>43712</v>
      </c>
      <c r="K73" s="150">
        <f t="shared" si="2"/>
        <v>43753</v>
      </c>
      <c r="L73" s="81" t="str">
        <f>IFERROR(__xludf.DUMMYFUNCTION("""COMPUTED_VALUE"""),"")</f>
        <v/>
      </c>
      <c r="M73" s="62"/>
      <c r="N73" s="62"/>
      <c r="O73" s="62"/>
      <c r="P73" s="62"/>
      <c r="Q73" s="62"/>
      <c r="R73" s="62"/>
      <c r="S73" s="62"/>
      <c r="T73" s="62"/>
      <c r="U73" s="62"/>
      <c r="V73" s="62"/>
      <c r="W73" s="62"/>
      <c r="X73" s="62"/>
      <c r="Y73" s="62"/>
      <c r="Z73" s="62"/>
      <c r="AA73" s="62"/>
      <c r="AB73" s="62"/>
      <c r="AC73" s="62"/>
      <c r="AD73" s="62"/>
    </row>
    <row r="74">
      <c r="A74" s="151">
        <f>IFERROR(__xludf.DUMMYFUNCTION("""COMPUTED_VALUE"""),43543.44051402778)</f>
        <v>43543.44051</v>
      </c>
      <c r="B74" s="6" t="str">
        <f>IFERROR(__xludf.DUMMYFUNCTION("""COMPUTED_VALUE"""),"Jing Xie")</f>
        <v>Jing Xie</v>
      </c>
      <c r="C74" s="6" t="str">
        <f>IFERROR(__xludf.DUMMYFUNCTION("""COMPUTED_VALUE"""),"jingxiegene@gmail.com")</f>
        <v>jingxiegene@gmail.com</v>
      </c>
      <c r="D74" s="62" t="str">
        <f>IFERROR(__xludf.DUMMYFUNCTION("""COMPUTED_VALUE"""),"Assigned")</f>
        <v>Assigned</v>
      </c>
      <c r="E74" s="77">
        <f>IFERROR(__xludf.DUMMYFUNCTION("""COMPUTED_VALUE"""),43605.0)</f>
        <v>43605</v>
      </c>
      <c r="F74" s="81" t="str">
        <f>IFERROR(__xludf.DUMMYFUNCTION("""COMPUTED_VALUE"""),"Yes")</f>
        <v>Yes</v>
      </c>
      <c r="G74" s="62" t="str">
        <f>IFERROR(__xludf.DUMMYFUNCTION("""COMPUTED_VALUE"""),"Variant Pathogenicity")</f>
        <v>Variant Pathogenicity</v>
      </c>
      <c r="H74" s="62" t="str">
        <f>IFERROR(__xludf.DUMMYFUNCTION("""COMPUTED_VALUE"""),"Storage Disease")</f>
        <v>Storage Disease</v>
      </c>
      <c r="I74" s="152">
        <f t="shared" si="1"/>
        <v>43697</v>
      </c>
      <c r="J74" s="81">
        <f>IFERROR(__xludf.DUMMYFUNCTION("""COMPUTED_VALUE"""),43712.0)</f>
        <v>43712</v>
      </c>
      <c r="K74" s="150">
        <f t="shared" si="2"/>
        <v>43789</v>
      </c>
      <c r="L74" s="81" t="str">
        <f>IFERROR(__xludf.DUMMYFUNCTION("""COMPUTED_VALUE"""),"")</f>
        <v/>
      </c>
      <c r="M74" s="62"/>
      <c r="N74" s="62"/>
      <c r="O74" s="62"/>
      <c r="P74" s="62"/>
      <c r="Q74" s="62"/>
      <c r="R74" s="62"/>
      <c r="S74" s="62"/>
      <c r="T74" s="62"/>
      <c r="U74" s="62"/>
      <c r="V74" s="62"/>
      <c r="W74" s="62"/>
      <c r="X74" s="62"/>
      <c r="Y74" s="62"/>
      <c r="Z74" s="62"/>
      <c r="AA74" s="62"/>
      <c r="AB74" s="62"/>
      <c r="AC74" s="62"/>
      <c r="AD74" s="62"/>
    </row>
    <row r="75">
      <c r="A75" s="151">
        <f>IFERROR(__xludf.DUMMYFUNCTION("""COMPUTED_VALUE"""),43549.53046127314)</f>
        <v>43549.53046</v>
      </c>
      <c r="B75" s="6" t="str">
        <f>IFERROR(__xludf.DUMMYFUNCTION("""COMPUTED_VALUE"""),"Kathryn Kronquist")</f>
        <v>Kathryn Kronquist</v>
      </c>
      <c r="C75" s="6" t="str">
        <f>IFERROR(__xludf.DUMMYFUNCTION("""COMPUTED_VALUE"""),"Kathryn.Kronquist@childrenscolorado.org")</f>
        <v>Kathryn.Kronquist@childrenscolorado.org</v>
      </c>
      <c r="D75" s="62" t="str">
        <f>IFERROR(__xludf.DUMMYFUNCTION("""COMPUTED_VALUE"""),"Contacted")</f>
        <v>Contacted</v>
      </c>
      <c r="E75" s="77">
        <f>IFERROR(__xludf.DUMMYFUNCTION("""COMPUTED_VALUE"""),43605.0)</f>
        <v>43605</v>
      </c>
      <c r="F75" s="81" t="str">
        <f>IFERROR(__xludf.DUMMYFUNCTION("""COMPUTED_VALUE"""),"Yes")</f>
        <v>Yes</v>
      </c>
      <c r="G75" s="62" t="str">
        <f>IFERROR(__xludf.DUMMYFUNCTION("""COMPUTED_VALUE"""),"Variant Pathogenicity")</f>
        <v>Variant Pathogenicity</v>
      </c>
      <c r="H75" s="62" t="str">
        <f>IFERROR(__xludf.DUMMYFUNCTION("""COMPUTED_VALUE"""),"RASopathy")</f>
        <v>RASopathy</v>
      </c>
      <c r="I75" s="152">
        <f t="shared" si="1"/>
        <v>43697</v>
      </c>
      <c r="J75" s="81">
        <f>IFERROR(__xludf.DUMMYFUNCTION("""COMPUTED_VALUE"""),43712.0)</f>
        <v>43712</v>
      </c>
      <c r="K75" s="150">
        <f t="shared" si="2"/>
        <v>43789</v>
      </c>
      <c r="L75" s="81" t="str">
        <f>IFERROR(__xludf.DUMMYFUNCTION("""COMPUTED_VALUE"""),"")</f>
        <v/>
      </c>
      <c r="M75" s="62"/>
      <c r="N75" s="62"/>
      <c r="O75" s="62"/>
      <c r="P75" s="62"/>
      <c r="Q75" s="62"/>
      <c r="R75" s="62"/>
      <c r="S75" s="62"/>
      <c r="T75" s="62"/>
      <c r="U75" s="62"/>
      <c r="V75" s="62"/>
      <c r="W75" s="62"/>
      <c r="X75" s="62"/>
      <c r="Y75" s="62"/>
      <c r="Z75" s="62"/>
      <c r="AA75" s="62"/>
      <c r="AB75" s="62"/>
      <c r="AC75" s="62"/>
      <c r="AD75" s="62"/>
    </row>
    <row r="76">
      <c r="A76" s="151">
        <f>IFERROR(__xludf.DUMMYFUNCTION("""COMPUTED_VALUE"""),43550.17733546296)</f>
        <v>43550.17734</v>
      </c>
      <c r="B76" s="6" t="str">
        <f>IFERROR(__xludf.DUMMYFUNCTION("""COMPUTED_VALUE"""),"Venkataswamy Eswarachari")</f>
        <v>Venkataswamy Eswarachari</v>
      </c>
      <c r="C76" s="6" t="str">
        <f>IFERROR(__xludf.DUMMYFUNCTION("""COMPUTED_VALUE"""),"venkataswamy@medgenome.com")</f>
        <v>venkataswamy@medgenome.com</v>
      </c>
      <c r="D76" s="62" t="str">
        <f>IFERROR(__xludf.DUMMYFUNCTION("""COMPUTED_VALUE"""),"Contacted")</f>
        <v>Contacted</v>
      </c>
      <c r="E76" s="105">
        <f>IFERROR(__xludf.DUMMYFUNCTION("""COMPUTED_VALUE"""),43581.0)</f>
        <v>43581</v>
      </c>
      <c r="F76" s="62" t="str">
        <f>IFERROR(__xludf.DUMMYFUNCTION("""COMPUTED_VALUE"""),"No")</f>
        <v>No</v>
      </c>
      <c r="G76" s="62" t="str">
        <f>IFERROR(__xludf.DUMMYFUNCTION("""COMPUTED_VALUE"""),"Somatic Cancer")</f>
        <v>Somatic Cancer</v>
      </c>
      <c r="H76" s="62" t="str">
        <f>IFERROR(__xludf.DUMMYFUNCTION("""COMPUTED_VALUE"""),"")</f>
        <v/>
      </c>
      <c r="I76" s="152">
        <f t="shared" si="1"/>
        <v>43672</v>
      </c>
      <c r="J76" s="81">
        <f>IFERROR(__xludf.DUMMYFUNCTION("""COMPUTED_VALUE"""),43712.0)</f>
        <v>43712</v>
      </c>
      <c r="K76" s="150">
        <f t="shared" si="2"/>
        <v>43764</v>
      </c>
      <c r="L76" s="81" t="str">
        <f>IFERROR(__xludf.DUMMYFUNCTION("""COMPUTED_VALUE"""),"")</f>
        <v/>
      </c>
      <c r="M76" s="62"/>
      <c r="N76" s="62"/>
      <c r="O76" s="62"/>
      <c r="P76" s="62"/>
      <c r="Q76" s="62"/>
      <c r="R76" s="62"/>
      <c r="S76" s="62"/>
      <c r="T76" s="62"/>
      <c r="U76" s="62"/>
      <c r="V76" s="62"/>
      <c r="W76" s="62"/>
      <c r="X76" s="62"/>
      <c r="Y76" s="62"/>
      <c r="Z76" s="62"/>
      <c r="AA76" s="62"/>
      <c r="AB76" s="62"/>
      <c r="AC76" s="62"/>
      <c r="AD76" s="62"/>
    </row>
    <row r="77">
      <c r="A77" s="151">
        <f>IFERROR(__xludf.DUMMYFUNCTION("""COMPUTED_VALUE"""),43558.13699107639)</f>
        <v>43558.13699</v>
      </c>
      <c r="B77" s="6" t="str">
        <f>IFERROR(__xludf.DUMMYFUNCTION("""COMPUTED_VALUE"""),"Barbara Vona")</f>
        <v>Barbara Vona</v>
      </c>
      <c r="C77" s="6" t="str">
        <f>IFERROR(__xludf.DUMMYFUNCTION("""COMPUTED_VALUE"""),"barbara.vona@uni-tuebingen.de")</f>
        <v>barbara.vona@uni-tuebingen.de</v>
      </c>
      <c r="D77" s="62" t="str">
        <f>IFERROR(__xludf.DUMMYFUNCTION("""COMPUTED_VALUE"""),"Assigned")</f>
        <v>Assigned</v>
      </c>
      <c r="E77" s="81">
        <f>IFERROR(__xludf.DUMMYFUNCTION("""COMPUTED_VALUE"""),43626.0)</f>
        <v>43626</v>
      </c>
      <c r="F77" s="62" t="str">
        <f>IFERROR(__xludf.DUMMYFUNCTION("""COMPUTED_VALUE"""),"Yes")</f>
        <v>Yes</v>
      </c>
      <c r="G77" s="62" t="str">
        <f>IFERROR(__xludf.DUMMYFUNCTION("""COMPUTED_VALUE"""),"Variant Pathogenicity")</f>
        <v>Variant Pathogenicity</v>
      </c>
      <c r="H77" s="62" t="str">
        <f>IFERROR(__xludf.DUMMYFUNCTION("""COMPUTED_VALUE"""),"Hearing Loss")</f>
        <v>Hearing Loss</v>
      </c>
      <c r="I77" s="152">
        <f t="shared" si="1"/>
        <v>43718</v>
      </c>
      <c r="J77" s="81">
        <f>IFERROR(__xludf.DUMMYFUNCTION("""COMPUTED_VALUE"""),43712.0)</f>
        <v>43712</v>
      </c>
      <c r="K77" s="150">
        <f t="shared" si="2"/>
        <v>43809</v>
      </c>
      <c r="L77" s="81" t="str">
        <f>IFERROR(__xludf.DUMMYFUNCTION("""COMPUTED_VALUE"""),"")</f>
        <v/>
      </c>
      <c r="M77" s="62"/>
      <c r="N77" s="62"/>
      <c r="O77" s="62"/>
      <c r="P77" s="62"/>
      <c r="Q77" s="62"/>
      <c r="R77" s="62"/>
      <c r="S77" s="62"/>
      <c r="T77" s="62"/>
      <c r="U77" s="62"/>
      <c r="V77" s="62"/>
      <c r="W77" s="62"/>
      <c r="X77" s="62"/>
      <c r="Y77" s="62"/>
      <c r="Z77" s="62"/>
      <c r="AA77" s="62"/>
      <c r="AB77" s="62"/>
      <c r="AC77" s="62"/>
      <c r="AD77" s="62"/>
    </row>
    <row r="78">
      <c r="A78" s="151">
        <f>IFERROR(__xludf.DUMMYFUNCTION("""COMPUTED_VALUE"""),43558.605901724535)</f>
        <v>43558.6059</v>
      </c>
      <c r="B78" s="6" t="str">
        <f>IFERROR(__xludf.DUMMYFUNCTION("""COMPUTED_VALUE"""),"Viridiana Murillo")</f>
        <v>Viridiana Murillo</v>
      </c>
      <c r="C78" s="6" t="str">
        <f>IFERROR(__xludf.DUMMYFUNCTION("""COMPUTED_VALUE"""),"vmurillo18@students.kgi.edu")</f>
        <v>vmurillo18@students.kgi.edu</v>
      </c>
      <c r="D78" s="62" t="str">
        <f>IFERROR(__xludf.DUMMYFUNCTION("""COMPUTED_VALUE"""),"Assigned")</f>
        <v>Assigned</v>
      </c>
      <c r="E78" s="77">
        <f>IFERROR(__xludf.DUMMYFUNCTION("""COMPUTED_VALUE"""),43605.0)</f>
        <v>43605</v>
      </c>
      <c r="F78" s="62" t="str">
        <f>IFERROR(__xludf.DUMMYFUNCTION("""COMPUTED_VALUE"""),"Yes")</f>
        <v>Yes</v>
      </c>
      <c r="G78" s="62" t="str">
        <f>IFERROR(__xludf.DUMMYFUNCTION("""COMPUTED_VALUE"""),"Variant Pathogenicity")</f>
        <v>Variant Pathogenicity</v>
      </c>
      <c r="H78" s="62" t="str">
        <f>IFERROR(__xludf.DUMMYFUNCTION("""COMPUTED_VALUE"""),"PAH")</f>
        <v>PAH</v>
      </c>
      <c r="I78" s="152">
        <f t="shared" si="1"/>
        <v>43697</v>
      </c>
      <c r="J78" s="81">
        <f>IFERROR(__xludf.DUMMYFUNCTION("""COMPUTED_VALUE"""),43712.0)</f>
        <v>43712</v>
      </c>
      <c r="K78" s="150">
        <f t="shared" si="2"/>
        <v>43789</v>
      </c>
      <c r="L78" s="81" t="str">
        <f>IFERROR(__xludf.DUMMYFUNCTION("""COMPUTED_VALUE"""),"")</f>
        <v/>
      </c>
      <c r="M78" s="62"/>
      <c r="N78" s="62"/>
      <c r="O78" s="62"/>
      <c r="P78" s="62"/>
      <c r="Q78" s="62"/>
      <c r="R78" s="62"/>
      <c r="S78" s="62"/>
      <c r="T78" s="62"/>
      <c r="U78" s="62"/>
      <c r="V78" s="62"/>
      <c r="W78" s="62"/>
      <c r="X78" s="62"/>
      <c r="Y78" s="62"/>
      <c r="Z78" s="62"/>
      <c r="AA78" s="62"/>
      <c r="AB78" s="62"/>
      <c r="AC78" s="62"/>
      <c r="AD78" s="62"/>
    </row>
    <row r="79">
      <c r="A79" s="151">
        <f>IFERROR(__xludf.DUMMYFUNCTION("""COMPUTED_VALUE"""),43558.62698700232)</f>
        <v>43558.62699</v>
      </c>
      <c r="B79" s="6" t="str">
        <f>IFERROR(__xludf.DUMMYFUNCTION("""COMPUTED_VALUE"""),"Sharon Suchy")</f>
        <v>Sharon Suchy</v>
      </c>
      <c r="C79" s="6" t="str">
        <f>IFERROR(__xludf.DUMMYFUNCTION("""COMPUTED_VALUE"""),"ssuchy@genedx.com")</f>
        <v>ssuchy@genedx.com</v>
      </c>
      <c r="D79" s="62" t="str">
        <f>IFERROR(__xludf.DUMMYFUNCTION("""COMPUTED_VALUE"""),"Unresponsive")</f>
        <v>Unresponsive</v>
      </c>
      <c r="E79" s="77">
        <f>IFERROR(__xludf.DUMMYFUNCTION("""COMPUTED_VALUE"""),43605.0)</f>
        <v>43605</v>
      </c>
      <c r="F79" s="62" t="str">
        <f>IFERROR(__xludf.DUMMYFUNCTION("""COMPUTED_VALUE"""),"No")</f>
        <v>No</v>
      </c>
      <c r="G79" s="62" t="str">
        <f>IFERROR(__xludf.DUMMYFUNCTION("""COMPUTED_VALUE"""),"Variant Pathogenicity")</f>
        <v>Variant Pathogenicity</v>
      </c>
      <c r="H79" s="62" t="str">
        <f>IFERROR(__xludf.DUMMYFUNCTION("""COMPUTED_VALUE"""),"")</f>
        <v/>
      </c>
      <c r="I79" s="152">
        <f t="shared" si="1"/>
        <v>43697</v>
      </c>
      <c r="J79" s="62" t="str">
        <f>IFERROR(__xludf.DUMMYFUNCTION("""COMPUTED_VALUE"""),"")</f>
        <v/>
      </c>
      <c r="K79" s="150">
        <f t="shared" si="2"/>
        <v>43789</v>
      </c>
      <c r="L79" s="62" t="str">
        <f>IFERROR(__xludf.DUMMYFUNCTION("""COMPUTED_VALUE"""),"")</f>
        <v/>
      </c>
      <c r="M79" s="62"/>
      <c r="N79" s="62"/>
      <c r="O79" s="62"/>
      <c r="P79" s="62"/>
      <c r="Q79" s="62"/>
      <c r="R79" s="62"/>
      <c r="S79" s="62"/>
      <c r="T79" s="62"/>
      <c r="U79" s="62"/>
      <c r="V79" s="62"/>
      <c r="W79" s="62"/>
      <c r="X79" s="62"/>
      <c r="Y79" s="62"/>
      <c r="Z79" s="62"/>
      <c r="AA79" s="62"/>
      <c r="AB79" s="62"/>
      <c r="AC79" s="62"/>
      <c r="AD79" s="62"/>
    </row>
    <row r="80">
      <c r="A80" s="151">
        <f>IFERROR(__xludf.DUMMYFUNCTION("""COMPUTED_VALUE"""),43559.45062822916)</f>
        <v>43559.45063</v>
      </c>
      <c r="B80" s="6" t="str">
        <f>IFERROR(__xludf.DUMMYFUNCTION("""COMPUTED_VALUE"""),"Theodore E. Wilson")</f>
        <v>Theodore E. Wilson</v>
      </c>
      <c r="C80" s="6" t="str">
        <f>IFERROR(__xludf.DUMMYFUNCTION("""COMPUTED_VALUE"""),"theowils@iu.edu")</f>
        <v>theowils@iu.edu</v>
      </c>
      <c r="D80" s="62" t="str">
        <f>IFERROR(__xludf.DUMMYFUNCTION("""COMPUTED_VALUE"""),"Assigned")</f>
        <v>Assigned</v>
      </c>
      <c r="E80" s="77">
        <f>IFERROR(__xludf.DUMMYFUNCTION("""COMPUTED_VALUE"""),43608.0)</f>
        <v>43608</v>
      </c>
      <c r="F80" s="62" t="str">
        <f>IFERROR(__xludf.DUMMYFUNCTION("""COMPUTED_VALUE"""),"Yes")</f>
        <v>Yes</v>
      </c>
      <c r="G80" s="62" t="str">
        <f>IFERROR(__xludf.DUMMYFUNCTION("""COMPUTED_VALUE"""),"Variant Pathogenicity")</f>
        <v>Variant Pathogenicity</v>
      </c>
      <c r="H80" s="62" t="str">
        <f>IFERROR(__xludf.DUMMYFUNCTION("""COMPUTED_VALUE"""),"Cardiomyopathy")</f>
        <v>Cardiomyopathy</v>
      </c>
      <c r="I80" s="152">
        <f t="shared" si="1"/>
        <v>43700</v>
      </c>
      <c r="J80" s="81">
        <f>IFERROR(__xludf.DUMMYFUNCTION("""COMPUTED_VALUE"""),43712.0)</f>
        <v>43712</v>
      </c>
      <c r="K80" s="150">
        <f t="shared" si="2"/>
        <v>43792</v>
      </c>
      <c r="L80" s="81" t="str">
        <f>IFERROR(__xludf.DUMMYFUNCTION("""COMPUTED_VALUE"""),"")</f>
        <v/>
      </c>
      <c r="M80" s="62"/>
      <c r="N80" s="62"/>
      <c r="O80" s="62"/>
      <c r="P80" s="62"/>
      <c r="Q80" s="62"/>
      <c r="R80" s="62"/>
      <c r="S80" s="62"/>
      <c r="T80" s="62"/>
      <c r="U80" s="62"/>
      <c r="V80" s="62"/>
      <c r="W80" s="62"/>
      <c r="X80" s="62"/>
      <c r="Y80" s="62"/>
      <c r="Z80" s="62"/>
      <c r="AA80" s="62"/>
      <c r="AB80" s="62"/>
      <c r="AC80" s="62"/>
      <c r="AD80" s="62"/>
    </row>
    <row r="81">
      <c r="A81" s="151">
        <f>IFERROR(__xludf.DUMMYFUNCTION("""COMPUTED_VALUE"""),43559.49000396991)</f>
        <v>43559.49</v>
      </c>
      <c r="B81" s="6" t="str">
        <f>IFERROR(__xludf.DUMMYFUNCTION("""COMPUTED_VALUE"""),"Christina Y Hung")</f>
        <v>Christina Y Hung</v>
      </c>
      <c r="C81" s="6" t="str">
        <f>IFERROR(__xludf.DUMMYFUNCTION("""COMPUTED_VALUE"""),"christina.hung@childrens.harvard.edu")</f>
        <v>christina.hung@childrens.harvard.edu</v>
      </c>
      <c r="D81" s="62" t="str">
        <f>IFERROR(__xludf.DUMMYFUNCTION("""COMPUTED_VALUE"""),"Assigned")</f>
        <v>Assigned</v>
      </c>
      <c r="E81" s="77">
        <f>IFERROR(__xludf.DUMMYFUNCTION("""COMPUTED_VALUE"""),43605.0)</f>
        <v>43605</v>
      </c>
      <c r="F81" s="62" t="str">
        <f>IFERROR(__xludf.DUMMYFUNCTION("""COMPUTED_VALUE"""),"Yes")</f>
        <v>Yes</v>
      </c>
      <c r="G81" s="62" t="str">
        <f>IFERROR(__xludf.DUMMYFUNCTION("""COMPUTED_VALUE"""),"Variant Pathogenicity")</f>
        <v>Variant Pathogenicity</v>
      </c>
      <c r="H81" s="62" t="str">
        <f>IFERROR(__xludf.DUMMYFUNCTION("""COMPUTED_VALUE"""),"Storage Disease")</f>
        <v>Storage Disease</v>
      </c>
      <c r="I81" s="152">
        <f t="shared" si="1"/>
        <v>43697</v>
      </c>
      <c r="J81" s="81">
        <f>IFERROR(__xludf.DUMMYFUNCTION("""COMPUTED_VALUE"""),43712.0)</f>
        <v>43712</v>
      </c>
      <c r="K81" s="150">
        <f t="shared" si="2"/>
        <v>43789</v>
      </c>
      <c r="L81" s="81" t="str">
        <f>IFERROR(__xludf.DUMMYFUNCTION("""COMPUTED_VALUE"""),"")</f>
        <v/>
      </c>
      <c r="M81" s="62"/>
      <c r="N81" s="62"/>
      <c r="O81" s="62"/>
      <c r="P81" s="62"/>
      <c r="Q81" s="62"/>
      <c r="R81" s="62"/>
      <c r="S81" s="62"/>
      <c r="T81" s="62"/>
      <c r="U81" s="62"/>
      <c r="V81" s="62"/>
      <c r="W81" s="62"/>
      <c r="X81" s="62"/>
      <c r="Y81" s="62"/>
      <c r="Z81" s="62"/>
      <c r="AA81" s="62"/>
      <c r="AB81" s="62"/>
      <c r="AC81" s="62"/>
      <c r="AD81" s="62"/>
    </row>
    <row r="82">
      <c r="A82" s="151">
        <f>IFERROR(__xludf.DUMMYFUNCTION("""COMPUTED_VALUE"""),43560.45181064815)</f>
        <v>43560.45181</v>
      </c>
      <c r="B82" s="6" t="str">
        <f>IFERROR(__xludf.DUMMYFUNCTION("""COMPUTED_VALUE"""),"Junyu Zhang")</f>
        <v>Junyu Zhang</v>
      </c>
      <c r="C82" s="6" t="str">
        <f>IFERROR(__xludf.DUMMYFUNCTION("""COMPUTED_VALUE"""),"junyuzhang@hotmail.com")</f>
        <v>junyuzhang@hotmail.com</v>
      </c>
      <c r="D82" s="62" t="str">
        <f>IFERROR(__xludf.DUMMYFUNCTION("""COMPUTED_VALUE"""),"Assigned")</f>
        <v>Assigned</v>
      </c>
      <c r="E82" s="77">
        <f>IFERROR(__xludf.DUMMYFUNCTION("""COMPUTED_VALUE"""),43605.0)</f>
        <v>43605</v>
      </c>
      <c r="F82" s="62" t="str">
        <f>IFERROR(__xludf.DUMMYFUNCTION("""COMPUTED_VALUE"""),"Yes")</f>
        <v>Yes</v>
      </c>
      <c r="G82" s="62" t="str">
        <f>IFERROR(__xludf.DUMMYFUNCTION("""COMPUTED_VALUE"""),"Variant Pathogenicity")</f>
        <v>Variant Pathogenicity</v>
      </c>
      <c r="H82" s="62" t="str">
        <f>IFERROR(__xludf.DUMMYFUNCTION("""COMPUTED_VALUE"""),"Brain Malformations")</f>
        <v>Brain Malformations</v>
      </c>
      <c r="I82" s="152">
        <f t="shared" si="1"/>
        <v>43697</v>
      </c>
      <c r="J82" s="81">
        <f>IFERROR(__xludf.DUMMYFUNCTION("""COMPUTED_VALUE"""),43712.0)</f>
        <v>43712</v>
      </c>
      <c r="K82" s="150">
        <f t="shared" si="2"/>
        <v>43789</v>
      </c>
      <c r="L82" s="81" t="str">
        <f>IFERROR(__xludf.DUMMYFUNCTION("""COMPUTED_VALUE"""),"")</f>
        <v/>
      </c>
      <c r="M82" s="62"/>
      <c r="N82" s="62"/>
      <c r="O82" s="62"/>
      <c r="P82" s="62"/>
      <c r="Q82" s="62"/>
      <c r="R82" s="62"/>
      <c r="S82" s="62"/>
      <c r="T82" s="62"/>
      <c r="U82" s="62"/>
      <c r="V82" s="62"/>
      <c r="W82" s="62"/>
      <c r="X82" s="62"/>
      <c r="Y82" s="62"/>
      <c r="Z82" s="62"/>
      <c r="AA82" s="62"/>
      <c r="AB82" s="62"/>
      <c r="AC82" s="62"/>
      <c r="AD82" s="62"/>
    </row>
    <row r="83">
      <c r="A83" s="151">
        <f>IFERROR(__xludf.DUMMYFUNCTION("""COMPUTED_VALUE"""),43560.45312697917)</f>
        <v>43560.45313</v>
      </c>
      <c r="B83" s="6" t="str">
        <f>IFERROR(__xludf.DUMMYFUNCTION("""COMPUTED_VALUE"""),"Jing Zhang")</f>
        <v>Jing Zhang</v>
      </c>
      <c r="C83" s="6" t="str">
        <f>IFERROR(__xludf.DUMMYFUNCTION("""COMPUTED_VALUE"""),"jzhang@wuxinextcode.com")</f>
        <v>jzhang@wuxinextcode.com</v>
      </c>
      <c r="D83" s="62" t="str">
        <f>IFERROR(__xludf.DUMMYFUNCTION("""COMPUTED_VALUE"""),"Contacted")</f>
        <v>Contacted</v>
      </c>
      <c r="E83" s="77">
        <f>IFERROR(__xludf.DUMMYFUNCTION("""COMPUTED_VALUE"""),43585.0)</f>
        <v>43585</v>
      </c>
      <c r="F83" s="62" t="str">
        <f>IFERROR(__xludf.DUMMYFUNCTION("""COMPUTED_VALUE"""),"Yes")</f>
        <v>Yes</v>
      </c>
      <c r="G83" s="62" t="str">
        <f>IFERROR(__xludf.DUMMYFUNCTION("""COMPUTED_VALUE"""),"Gene Disease Validity")</f>
        <v>Gene Disease Validity</v>
      </c>
      <c r="H83" s="62" t="str">
        <f>IFERROR(__xludf.DUMMYFUNCTION("""COMPUTED_VALUE"""),"Hemo/Thrombo")</f>
        <v>Hemo/Thrombo</v>
      </c>
      <c r="I83" s="152">
        <f t="shared" si="1"/>
        <v>43676</v>
      </c>
      <c r="J83" s="81">
        <f>IFERROR(__xludf.DUMMYFUNCTION("""COMPUTED_VALUE"""),43712.0)</f>
        <v>43712</v>
      </c>
      <c r="K83" s="150">
        <f t="shared" si="2"/>
        <v>43768</v>
      </c>
      <c r="L83" s="81" t="str">
        <f>IFERROR(__xludf.DUMMYFUNCTION("""COMPUTED_VALUE"""),"")</f>
        <v/>
      </c>
      <c r="M83" s="62"/>
      <c r="N83" s="62"/>
      <c r="O83" s="62"/>
      <c r="P83" s="62"/>
      <c r="Q83" s="62"/>
      <c r="R83" s="62"/>
      <c r="S83" s="62"/>
      <c r="T83" s="62"/>
      <c r="U83" s="62"/>
      <c r="V83" s="62"/>
      <c r="W83" s="62"/>
      <c r="X83" s="62"/>
      <c r="Y83" s="62"/>
      <c r="Z83" s="62"/>
      <c r="AA83" s="62"/>
      <c r="AB83" s="62"/>
      <c r="AC83" s="62"/>
      <c r="AD83" s="62"/>
    </row>
    <row r="84">
      <c r="A84" s="151">
        <f>IFERROR(__xludf.DUMMYFUNCTION("""COMPUTED_VALUE"""),43560.5073359838)</f>
        <v>43560.50734</v>
      </c>
      <c r="B84" s="6" t="str">
        <f>IFERROR(__xludf.DUMMYFUNCTION("""COMPUTED_VALUE"""),"Emily Higgs")</f>
        <v>Emily Higgs</v>
      </c>
      <c r="C84" s="6" t="str">
        <f>IFERROR(__xludf.DUMMYFUNCTION("""COMPUTED_VALUE"""),"ehiggs@stanford.edu")</f>
        <v>ehiggs@stanford.edu</v>
      </c>
      <c r="D84" s="62" t="str">
        <f>IFERROR(__xludf.DUMMYFUNCTION("""COMPUTED_VALUE"""),"Assigned")</f>
        <v>Assigned</v>
      </c>
      <c r="E84" s="77">
        <f>IFERROR(__xludf.DUMMYFUNCTION("""COMPUTED_VALUE"""),43605.0)</f>
        <v>43605</v>
      </c>
      <c r="F84" s="62" t="str">
        <f>IFERROR(__xludf.DUMMYFUNCTION("""COMPUTED_VALUE"""),"Yes")</f>
        <v>Yes</v>
      </c>
      <c r="G84" s="62" t="str">
        <f>IFERROR(__xludf.DUMMYFUNCTION("""COMPUTED_VALUE"""),"Variant Pathogenicity")</f>
        <v>Variant Pathogenicity</v>
      </c>
      <c r="H84" s="62" t="str">
        <f>IFERROR(__xludf.DUMMYFUNCTION("""COMPUTED_VALUE"""),"TP53")</f>
        <v>TP53</v>
      </c>
      <c r="I84" s="152">
        <f t="shared" si="1"/>
        <v>43697</v>
      </c>
      <c r="J84" s="81">
        <f>IFERROR(__xludf.DUMMYFUNCTION("""COMPUTED_VALUE"""),43712.0)</f>
        <v>43712</v>
      </c>
      <c r="K84" s="150">
        <f t="shared" si="2"/>
        <v>43789</v>
      </c>
      <c r="L84" s="81" t="str">
        <f>IFERROR(__xludf.DUMMYFUNCTION("""COMPUTED_VALUE"""),"")</f>
        <v/>
      </c>
      <c r="M84" s="62"/>
      <c r="N84" s="62"/>
      <c r="O84" s="62"/>
      <c r="P84" s="62"/>
      <c r="Q84" s="62"/>
      <c r="R84" s="62"/>
      <c r="S84" s="62"/>
      <c r="T84" s="62"/>
      <c r="U84" s="62"/>
      <c r="V84" s="62"/>
      <c r="W84" s="62"/>
      <c r="X84" s="62"/>
      <c r="Y84" s="62"/>
      <c r="Z84" s="62"/>
      <c r="AA84" s="62"/>
      <c r="AB84" s="62"/>
      <c r="AC84" s="62"/>
      <c r="AD84" s="62"/>
    </row>
    <row r="85">
      <c r="A85" s="151">
        <f>IFERROR(__xludf.DUMMYFUNCTION("""COMPUTED_VALUE"""),43560.80082045139)</f>
        <v>43560.80082</v>
      </c>
      <c r="B85" s="6" t="str">
        <f>IFERROR(__xludf.DUMMYFUNCTION("""COMPUTED_VALUE"""),"Samantha Chill")</f>
        <v>Samantha Chill</v>
      </c>
      <c r="C85" s="6" t="str">
        <f>IFERROR(__xludf.DUMMYFUNCTION("""COMPUTED_VALUE"""),"slsevilla@gmail.com")</f>
        <v>slsevilla@gmail.com</v>
      </c>
      <c r="D85" s="62" t="str">
        <f>IFERROR(__xludf.DUMMYFUNCTION("""COMPUTED_VALUE"""),"Declined")</f>
        <v>Declined</v>
      </c>
      <c r="E85" s="105">
        <f>IFERROR(__xludf.DUMMYFUNCTION("""COMPUTED_VALUE"""),43570.0)</f>
        <v>43570</v>
      </c>
      <c r="F85" s="62" t="str">
        <f>IFERROR(__xludf.DUMMYFUNCTION("""COMPUTED_VALUE"""),"Yes")</f>
        <v>Yes</v>
      </c>
      <c r="G85" s="62" t="str">
        <f>IFERROR(__xludf.DUMMYFUNCTION("""COMPUTED_VALUE"""),"Gene Disease Validity")</f>
        <v>Gene Disease Validity</v>
      </c>
      <c r="H85" s="62" t="str">
        <f>IFERROR(__xludf.DUMMYFUNCTION("""COMPUTED_VALUE"""),"Hemo/Thrombo")</f>
        <v>Hemo/Thrombo</v>
      </c>
      <c r="I85" s="152">
        <f t="shared" si="1"/>
        <v>43661</v>
      </c>
      <c r="J85" s="81">
        <f>IFERROR(__xludf.DUMMYFUNCTION("""COMPUTED_VALUE"""),43712.0)</f>
        <v>43712</v>
      </c>
      <c r="K85" s="150">
        <f t="shared" si="2"/>
        <v>43753</v>
      </c>
      <c r="L85" s="81" t="str">
        <f>IFERROR(__xludf.DUMMYFUNCTION("""COMPUTED_VALUE"""),"")</f>
        <v/>
      </c>
      <c r="M85" s="62"/>
      <c r="N85" s="62"/>
      <c r="O85" s="62"/>
      <c r="P85" s="62"/>
      <c r="Q85" s="62"/>
      <c r="R85" s="62"/>
      <c r="S85" s="62"/>
      <c r="T85" s="62"/>
      <c r="U85" s="62"/>
      <c r="V85" s="62"/>
      <c r="W85" s="62"/>
      <c r="X85" s="62"/>
      <c r="Y85" s="62"/>
      <c r="Z85" s="62"/>
      <c r="AA85" s="62"/>
      <c r="AB85" s="62"/>
      <c r="AC85" s="62"/>
      <c r="AD85" s="62"/>
    </row>
    <row r="86">
      <c r="A86" s="151">
        <f>IFERROR(__xludf.DUMMYFUNCTION("""COMPUTED_VALUE"""),43560.988255763885)</f>
        <v>43560.98826</v>
      </c>
      <c r="B86" s="6" t="str">
        <f>IFERROR(__xludf.DUMMYFUNCTION("""COMPUTED_VALUE"""),"HECTOR RODRIGO MENDEZ")</f>
        <v>HECTOR RODRIGO MENDEZ</v>
      </c>
      <c r="C86" s="6" t="str">
        <f>IFERROR(__xludf.DUMMYFUNCTION("""COMPUTED_VALUE"""),"rodrigomendezh@gmail.com")</f>
        <v>rodrigomendezh@gmail.com</v>
      </c>
      <c r="D86" s="62" t="str">
        <f>IFERROR(__xludf.DUMMYFUNCTION("""COMPUTED_VALUE"""),"Contacted")</f>
        <v>Contacted</v>
      </c>
      <c r="E86" s="77">
        <f>IFERROR(__xludf.DUMMYFUNCTION("""COMPUTED_VALUE"""),43585.0)</f>
        <v>43585</v>
      </c>
      <c r="F86" s="62" t="str">
        <f>IFERROR(__xludf.DUMMYFUNCTION("""COMPUTED_VALUE"""),"Yes")</f>
        <v>Yes</v>
      </c>
      <c r="G86" s="62" t="str">
        <f>IFERROR(__xludf.DUMMYFUNCTION("""COMPUTED_VALUE"""),"Gene Disease Validity")</f>
        <v>Gene Disease Validity</v>
      </c>
      <c r="H86" s="62" t="str">
        <f>IFERROR(__xludf.DUMMYFUNCTION("""COMPUTED_VALUE"""),"ID/Autism")</f>
        <v>ID/Autism</v>
      </c>
      <c r="I86" s="152">
        <f t="shared" si="1"/>
        <v>43676</v>
      </c>
      <c r="J86" s="81">
        <f>IFERROR(__xludf.DUMMYFUNCTION("""COMPUTED_VALUE"""),43712.0)</f>
        <v>43712</v>
      </c>
      <c r="K86" s="150">
        <f t="shared" si="2"/>
        <v>43768</v>
      </c>
      <c r="L86" s="81" t="str">
        <f>IFERROR(__xludf.DUMMYFUNCTION("""COMPUTED_VALUE"""),"")</f>
        <v/>
      </c>
      <c r="M86" s="62"/>
      <c r="N86" s="62"/>
      <c r="O86" s="62"/>
      <c r="P86" s="62"/>
      <c r="Q86" s="62"/>
      <c r="R86" s="62"/>
      <c r="S86" s="62"/>
      <c r="T86" s="62"/>
      <c r="U86" s="62"/>
      <c r="V86" s="62"/>
      <c r="W86" s="62"/>
      <c r="X86" s="62"/>
      <c r="Y86" s="62"/>
      <c r="Z86" s="62"/>
      <c r="AA86" s="62"/>
      <c r="AB86" s="62"/>
      <c r="AC86" s="62"/>
      <c r="AD86" s="62"/>
    </row>
    <row r="87">
      <c r="A87" s="151">
        <f>IFERROR(__xludf.DUMMYFUNCTION("""COMPUTED_VALUE"""),43563.39827228009)</f>
        <v>43563.39827</v>
      </c>
      <c r="B87" s="6" t="str">
        <f>IFERROR(__xludf.DUMMYFUNCTION("""COMPUTED_VALUE"""),"Karen Hanson")</f>
        <v>Karen Hanson</v>
      </c>
      <c r="C87" s="6" t="str">
        <f>IFERROR(__xludf.DUMMYFUNCTION("""COMPUTED_VALUE"""),"krhms3@gmail.com")</f>
        <v>krhms3@gmail.com</v>
      </c>
      <c r="D87" s="62" t="str">
        <f>IFERROR(__xludf.DUMMYFUNCTION("""COMPUTED_VALUE"""),"Contacted")</f>
        <v>Contacted</v>
      </c>
      <c r="E87" s="77">
        <f>IFERROR(__xludf.DUMMYFUNCTION("""COMPUTED_VALUE"""),43594.0)</f>
        <v>43594</v>
      </c>
      <c r="F87" s="62" t="str">
        <f>IFERROR(__xludf.DUMMYFUNCTION("""COMPUTED_VALUE"""),"Yes")</f>
        <v>Yes</v>
      </c>
      <c r="G87" s="62" t="str">
        <f>IFERROR(__xludf.DUMMYFUNCTION("""COMPUTED_VALUE"""),"Actionability")</f>
        <v>Actionability</v>
      </c>
      <c r="H87" s="62" t="str">
        <f>IFERROR(__xludf.DUMMYFUNCTION("""COMPUTED_VALUE"""),"Actionability")</f>
        <v>Actionability</v>
      </c>
      <c r="I87" s="152">
        <f t="shared" si="1"/>
        <v>43686</v>
      </c>
      <c r="J87" s="81">
        <f>IFERROR(__xludf.DUMMYFUNCTION("""COMPUTED_VALUE"""),43712.0)</f>
        <v>43712</v>
      </c>
      <c r="K87" s="150">
        <f t="shared" si="2"/>
        <v>43778</v>
      </c>
      <c r="L87" s="81" t="str">
        <f>IFERROR(__xludf.DUMMYFUNCTION("""COMPUTED_VALUE"""),"")</f>
        <v/>
      </c>
      <c r="M87" s="62"/>
      <c r="N87" s="62"/>
      <c r="O87" s="62"/>
      <c r="P87" s="62"/>
      <c r="Q87" s="62"/>
      <c r="R87" s="62"/>
      <c r="S87" s="62"/>
      <c r="T87" s="62"/>
      <c r="U87" s="62"/>
      <c r="V87" s="62"/>
      <c r="W87" s="62"/>
      <c r="X87" s="62"/>
      <c r="Y87" s="62"/>
      <c r="Z87" s="62"/>
      <c r="AA87" s="62"/>
      <c r="AB87" s="62"/>
      <c r="AC87" s="62"/>
      <c r="AD87" s="62"/>
    </row>
    <row r="88">
      <c r="A88" s="151">
        <f>IFERROR(__xludf.DUMMYFUNCTION("""COMPUTED_VALUE"""),43563.56040282408)</f>
        <v>43563.5604</v>
      </c>
      <c r="B88" s="6" t="str">
        <f>IFERROR(__xludf.DUMMYFUNCTION("""COMPUTED_VALUE"""),"Daniel Reich")</f>
        <v>Daniel Reich</v>
      </c>
      <c r="C88" s="6" t="str">
        <f>IFERROR(__xludf.DUMMYFUNCTION("""COMPUTED_VALUE"""),"daniel.reich@aruplab.com")</f>
        <v>daniel.reich@aruplab.com</v>
      </c>
      <c r="D88" s="62" t="str">
        <f>IFERROR(__xludf.DUMMYFUNCTION("""COMPUTED_VALUE"""),"Contacted")</f>
        <v>Contacted</v>
      </c>
      <c r="E88" s="106">
        <f>IFERROR(__xludf.DUMMYFUNCTION("""COMPUTED_VALUE"""),43859.0)</f>
        <v>43859</v>
      </c>
      <c r="F88" s="62" t="str">
        <f>IFERROR(__xludf.DUMMYFUNCTION("""COMPUTED_VALUE"""),"Yes")</f>
        <v>Yes</v>
      </c>
      <c r="G88" s="62" t="str">
        <f>IFERROR(__xludf.DUMMYFUNCTION("""COMPUTED_VALUE"""),"Variant Pathogenicity")</f>
        <v>Variant Pathogenicity</v>
      </c>
      <c r="H88" s="62" t="str">
        <f>IFERROR(__xludf.DUMMYFUNCTION("""COMPUTED_VALUE"""),"")</f>
        <v/>
      </c>
      <c r="I88" s="152">
        <f t="shared" si="1"/>
        <v>43950</v>
      </c>
      <c r="J88" s="62" t="str">
        <f>IFERROR(__xludf.DUMMYFUNCTION("""COMPUTED_VALUE"""),"")</f>
        <v/>
      </c>
      <c r="K88" s="150">
        <f t="shared" si="2"/>
        <v>44041</v>
      </c>
      <c r="L88" s="62" t="str">
        <f>IFERROR(__xludf.DUMMYFUNCTION("""COMPUTED_VALUE"""),"")</f>
        <v/>
      </c>
      <c r="M88" s="62"/>
      <c r="N88" s="62"/>
      <c r="O88" s="62"/>
      <c r="P88" s="62"/>
      <c r="Q88" s="62"/>
      <c r="R88" s="62"/>
      <c r="S88" s="62"/>
      <c r="T88" s="62"/>
      <c r="U88" s="62"/>
      <c r="V88" s="62"/>
      <c r="W88" s="62"/>
      <c r="X88" s="62"/>
      <c r="Y88" s="62"/>
      <c r="Z88" s="62"/>
      <c r="AA88" s="62"/>
      <c r="AB88" s="62"/>
      <c r="AC88" s="62"/>
      <c r="AD88" s="62"/>
    </row>
    <row r="89">
      <c r="A89" s="151">
        <f>IFERROR(__xludf.DUMMYFUNCTION("""COMPUTED_VALUE"""),43563.61847023148)</f>
        <v>43563.61847</v>
      </c>
      <c r="B89" s="6" t="str">
        <f>IFERROR(__xludf.DUMMYFUNCTION("""COMPUTED_VALUE"""),"Christine Preston")</f>
        <v>Christine Preston</v>
      </c>
      <c r="C89" s="6" t="str">
        <f>IFERROR(__xludf.DUMMYFUNCTION("""COMPUTED_VALUE"""),"christip@stanford.edu")</f>
        <v>christip@stanford.edu</v>
      </c>
      <c r="D89" s="62" t="str">
        <f>IFERROR(__xludf.DUMMYFUNCTION("""COMPUTED_VALUE"""),"Contacted")</f>
        <v>Contacted</v>
      </c>
      <c r="E89" s="77">
        <f>IFERROR(__xludf.DUMMYFUNCTION("""COMPUTED_VALUE"""),43580.0)</f>
        <v>43580</v>
      </c>
      <c r="F89" s="62" t="str">
        <f>IFERROR(__xludf.DUMMYFUNCTION("""COMPUTED_VALUE"""),"Yes")</f>
        <v>Yes</v>
      </c>
      <c r="G89" s="62" t="str">
        <f>IFERROR(__xludf.DUMMYFUNCTION("""COMPUTED_VALUE"""),"Dosage Sensitivity")</f>
        <v>Dosage Sensitivity</v>
      </c>
      <c r="H89" s="62" t="str">
        <f>IFERROR(__xludf.DUMMYFUNCTION("""COMPUTED_VALUE"""),"")</f>
        <v/>
      </c>
      <c r="I89" s="152">
        <f t="shared" si="1"/>
        <v>43671</v>
      </c>
      <c r="J89" s="81">
        <f>IFERROR(__xludf.DUMMYFUNCTION("""COMPUTED_VALUE"""),43712.0)</f>
        <v>43712</v>
      </c>
      <c r="K89" s="150">
        <f t="shared" si="2"/>
        <v>43763</v>
      </c>
      <c r="L89" s="81" t="str">
        <f>IFERROR(__xludf.DUMMYFUNCTION("""COMPUTED_VALUE"""),"")</f>
        <v/>
      </c>
      <c r="M89" s="62"/>
      <c r="N89" s="62"/>
      <c r="O89" s="62"/>
      <c r="P89" s="62"/>
      <c r="Q89" s="62"/>
      <c r="R89" s="62"/>
      <c r="S89" s="62"/>
      <c r="T89" s="62"/>
      <c r="U89" s="62"/>
      <c r="V89" s="62"/>
      <c r="W89" s="62"/>
      <c r="X89" s="62"/>
      <c r="Y89" s="62"/>
      <c r="Z89" s="62"/>
      <c r="AA89" s="62"/>
      <c r="AB89" s="62"/>
      <c r="AC89" s="62"/>
      <c r="AD89" s="62"/>
    </row>
    <row r="90">
      <c r="A90" s="151">
        <f>IFERROR(__xludf.DUMMYFUNCTION("""COMPUTED_VALUE"""),43564.493346400464)</f>
        <v>43564.49335</v>
      </c>
      <c r="B90" s="6" t="str">
        <f>IFERROR(__xludf.DUMMYFUNCTION("""COMPUTED_VALUE"""),"Alexander Ing")</f>
        <v>Alexander Ing</v>
      </c>
      <c r="C90" s="6" t="str">
        <f>IFERROR(__xludf.DUMMYFUNCTION("""COMPUTED_VALUE"""),"aing@luriechildrens.org")</f>
        <v>aing@luriechildrens.org</v>
      </c>
      <c r="D90" s="62" t="str">
        <f>IFERROR(__xludf.DUMMYFUNCTION("""COMPUTED_VALUE"""),"Contacted")</f>
        <v>Contacted</v>
      </c>
      <c r="E90" s="77">
        <f>IFERROR(__xludf.DUMMYFUNCTION("""COMPUTED_VALUE"""),43585.0)</f>
        <v>43585</v>
      </c>
      <c r="F90" s="62" t="str">
        <f>IFERROR(__xludf.DUMMYFUNCTION("""COMPUTED_VALUE"""),"Yes")</f>
        <v>Yes</v>
      </c>
      <c r="G90" s="62" t="str">
        <f>IFERROR(__xludf.DUMMYFUNCTION("""COMPUTED_VALUE"""),"Gene Disease Validity")</f>
        <v>Gene Disease Validity</v>
      </c>
      <c r="H90" s="62" t="str">
        <f>IFERROR(__xludf.DUMMYFUNCTION("""COMPUTED_VALUE"""),"Epilepsy")</f>
        <v>Epilepsy</v>
      </c>
      <c r="I90" s="152">
        <f t="shared" si="1"/>
        <v>43676</v>
      </c>
      <c r="J90" s="81">
        <f>IFERROR(__xludf.DUMMYFUNCTION("""COMPUTED_VALUE"""),43712.0)</f>
        <v>43712</v>
      </c>
      <c r="K90" s="150">
        <f t="shared" si="2"/>
        <v>43768</v>
      </c>
      <c r="L90" s="81" t="str">
        <f>IFERROR(__xludf.DUMMYFUNCTION("""COMPUTED_VALUE"""),"")</f>
        <v/>
      </c>
      <c r="M90" s="62"/>
      <c r="N90" s="62"/>
      <c r="O90" s="62"/>
      <c r="P90" s="62"/>
      <c r="Q90" s="62"/>
      <c r="R90" s="62"/>
      <c r="S90" s="62"/>
      <c r="T90" s="62"/>
      <c r="U90" s="62"/>
      <c r="V90" s="62"/>
      <c r="W90" s="62"/>
      <c r="X90" s="62"/>
      <c r="Y90" s="62"/>
      <c r="Z90" s="62"/>
      <c r="AA90" s="62"/>
      <c r="AB90" s="62"/>
      <c r="AC90" s="62"/>
      <c r="AD90" s="62"/>
    </row>
    <row r="91">
      <c r="A91" s="151">
        <f>IFERROR(__xludf.DUMMYFUNCTION("""COMPUTED_VALUE"""),43564.694213055554)</f>
        <v>43564.69421</v>
      </c>
      <c r="B91" s="6" t="str">
        <f>IFERROR(__xludf.DUMMYFUNCTION("""COMPUTED_VALUE"""),"Jun Liao")</f>
        <v>Jun Liao</v>
      </c>
      <c r="C91" s="6" t="str">
        <f>IFERROR(__xludf.DUMMYFUNCTION("""COMPUTED_VALUE"""),"jl5098@cumc.columbia.edu")</f>
        <v>jl5098@cumc.columbia.edu</v>
      </c>
      <c r="D91" s="62" t="str">
        <f>IFERROR(__xludf.DUMMYFUNCTION("""COMPUTED_VALUE"""),"Contacted")</f>
        <v>Contacted</v>
      </c>
      <c r="E91" s="77">
        <f>IFERROR(__xludf.DUMMYFUNCTION("""COMPUTED_VALUE"""),43692.0)</f>
        <v>43692</v>
      </c>
      <c r="F91" s="62" t="str">
        <f>IFERROR(__xludf.DUMMYFUNCTION("""COMPUTED_VALUE"""),"No")</f>
        <v>No</v>
      </c>
      <c r="G91" s="62" t="str">
        <f>IFERROR(__xludf.DUMMYFUNCTION("""COMPUTED_VALUE"""),"Gene Disease Validity")</f>
        <v>Gene Disease Validity</v>
      </c>
      <c r="H91" s="62" t="str">
        <f>IFERROR(__xludf.DUMMYFUNCTION("""COMPUTED_VALUE"""),"")</f>
        <v/>
      </c>
      <c r="I91" s="152">
        <f t="shared" si="1"/>
        <v>43784</v>
      </c>
      <c r="J91" s="62" t="str">
        <f>IFERROR(__xludf.DUMMYFUNCTION("""COMPUTED_VALUE"""),"")</f>
        <v/>
      </c>
      <c r="K91" s="150">
        <f t="shared" si="2"/>
        <v>43876</v>
      </c>
      <c r="L91" s="62" t="str">
        <f>IFERROR(__xludf.DUMMYFUNCTION("""COMPUTED_VALUE"""),"")</f>
        <v/>
      </c>
      <c r="M91" s="62"/>
      <c r="N91" s="62"/>
      <c r="O91" s="62"/>
      <c r="P91" s="62"/>
      <c r="Q91" s="62"/>
      <c r="R91" s="62"/>
      <c r="S91" s="62"/>
      <c r="T91" s="62"/>
      <c r="U91" s="62"/>
      <c r="V91" s="62"/>
      <c r="W91" s="62"/>
      <c r="X91" s="62"/>
      <c r="Y91" s="62"/>
      <c r="Z91" s="62"/>
      <c r="AA91" s="62"/>
      <c r="AB91" s="62"/>
      <c r="AC91" s="62"/>
      <c r="AD91" s="62"/>
    </row>
    <row r="92">
      <c r="A92" s="151">
        <f>IFERROR(__xludf.DUMMYFUNCTION("""COMPUTED_VALUE"""),43564.71066725694)</f>
        <v>43564.71067</v>
      </c>
      <c r="B92" s="6" t="str">
        <f>IFERROR(__xludf.DUMMYFUNCTION("""COMPUTED_VALUE"""),"Maki Kaneko")</f>
        <v>Maki Kaneko</v>
      </c>
      <c r="C92" s="6" t="str">
        <f>IFERROR(__xludf.DUMMYFUNCTION("""COMPUTED_VALUE"""),"mkaneko@chla.usc.edu")</f>
        <v>mkaneko@chla.usc.edu</v>
      </c>
      <c r="D92" s="62" t="str">
        <f>IFERROR(__xludf.DUMMYFUNCTION("""COMPUTED_VALUE"""),"Contacted")</f>
        <v>Contacted</v>
      </c>
      <c r="E92" s="77">
        <f>IFERROR(__xludf.DUMMYFUNCTION("""COMPUTED_VALUE"""),43585.0)</f>
        <v>43585</v>
      </c>
      <c r="F92" s="62" t="str">
        <f>IFERROR(__xludf.DUMMYFUNCTION("""COMPUTED_VALUE"""),"Yes")</f>
        <v>Yes</v>
      </c>
      <c r="G92" s="62" t="str">
        <f>IFERROR(__xludf.DUMMYFUNCTION("""COMPUTED_VALUE"""),"Gene Disease Validity")</f>
        <v>Gene Disease Validity</v>
      </c>
      <c r="H92" s="62" t="str">
        <f>IFERROR(__xludf.DUMMYFUNCTION("""COMPUTED_VALUE"""),"Epilepsy")</f>
        <v>Epilepsy</v>
      </c>
      <c r="I92" s="152">
        <f t="shared" si="1"/>
        <v>43676</v>
      </c>
      <c r="J92" s="81">
        <f>IFERROR(__xludf.DUMMYFUNCTION("""COMPUTED_VALUE"""),43712.0)</f>
        <v>43712</v>
      </c>
      <c r="K92" s="150">
        <f t="shared" si="2"/>
        <v>43768</v>
      </c>
      <c r="L92" s="81" t="str">
        <f>IFERROR(__xludf.DUMMYFUNCTION("""COMPUTED_VALUE"""),"")</f>
        <v/>
      </c>
      <c r="M92" s="62"/>
      <c r="N92" s="62"/>
      <c r="O92" s="62"/>
      <c r="P92" s="62"/>
      <c r="Q92" s="62"/>
      <c r="R92" s="62"/>
      <c r="S92" s="62"/>
      <c r="T92" s="62"/>
      <c r="U92" s="62"/>
      <c r="V92" s="62"/>
      <c r="W92" s="62"/>
      <c r="X92" s="62"/>
      <c r="Y92" s="62"/>
      <c r="Z92" s="62"/>
      <c r="AA92" s="62"/>
      <c r="AB92" s="62"/>
      <c r="AC92" s="62"/>
      <c r="AD92" s="62"/>
    </row>
    <row r="93">
      <c r="A93" s="151">
        <f>IFERROR(__xludf.DUMMYFUNCTION("""COMPUTED_VALUE"""),43566.03965038195)</f>
        <v>43566.03965</v>
      </c>
      <c r="B93" s="6" t="str">
        <f>IFERROR(__xludf.DUMMYFUNCTION("""COMPUTED_VALUE"""),"Suvina To")</f>
        <v>Suvina To</v>
      </c>
      <c r="C93" s="6" t="str">
        <f>IFERROR(__xludf.DUMMYFUNCTION("""COMPUTED_VALUE"""),"suvina@gmail.com")</f>
        <v>suvina@gmail.com</v>
      </c>
      <c r="D93" s="62" t="str">
        <f>IFERROR(__xludf.DUMMYFUNCTION("""COMPUTED_VALUE"""),"Assigned")</f>
        <v>Assigned</v>
      </c>
      <c r="E93" s="81">
        <f>IFERROR(__xludf.DUMMYFUNCTION("""COMPUTED_VALUE"""),43627.0)</f>
        <v>43627</v>
      </c>
      <c r="F93" s="62" t="str">
        <f>IFERROR(__xludf.DUMMYFUNCTION("""COMPUTED_VALUE"""),"Yes")</f>
        <v>Yes</v>
      </c>
      <c r="G93" s="62" t="str">
        <f>IFERROR(__xludf.DUMMYFUNCTION("""COMPUTED_VALUE"""),"Variant Pathogenicity")</f>
        <v>Variant Pathogenicity</v>
      </c>
      <c r="H93" s="62" t="str">
        <f>IFERROR(__xludf.DUMMYFUNCTION("""COMPUTED_VALUE"""),"Monogenic Diabetes")</f>
        <v>Monogenic Diabetes</v>
      </c>
      <c r="I93" s="152">
        <f t="shared" si="1"/>
        <v>43719</v>
      </c>
      <c r="J93" s="81">
        <f>IFERROR(__xludf.DUMMYFUNCTION("""COMPUTED_VALUE"""),43712.0)</f>
        <v>43712</v>
      </c>
      <c r="K93" s="150">
        <f t="shared" si="2"/>
        <v>43810</v>
      </c>
      <c r="L93" s="81" t="str">
        <f>IFERROR(__xludf.DUMMYFUNCTION("""COMPUTED_VALUE"""),"")</f>
        <v/>
      </c>
      <c r="M93" s="62"/>
      <c r="N93" s="62"/>
      <c r="O93" s="62"/>
      <c r="P93" s="62"/>
      <c r="Q93" s="62"/>
      <c r="R93" s="62"/>
      <c r="S93" s="62"/>
      <c r="T93" s="62"/>
      <c r="U93" s="62"/>
      <c r="V93" s="62"/>
      <c r="W93" s="62"/>
      <c r="X93" s="62"/>
      <c r="Y93" s="62"/>
      <c r="Z93" s="62"/>
      <c r="AA93" s="62"/>
      <c r="AB93" s="62"/>
      <c r="AC93" s="62"/>
      <c r="AD93" s="62"/>
    </row>
    <row r="94">
      <c r="A94" s="151">
        <f>IFERROR(__xludf.DUMMYFUNCTION("""COMPUTED_VALUE"""),43566.525071446755)</f>
        <v>43566.52507</v>
      </c>
      <c r="B94" s="6" t="str">
        <f>IFERROR(__xludf.DUMMYFUNCTION("""COMPUTED_VALUE"""),"Lemuel Racacho")</f>
        <v>Lemuel Racacho</v>
      </c>
      <c r="C94" s="6" t="str">
        <f>IFERROR(__xludf.DUMMYFUNCTION("""COMPUTED_VALUE"""),"lracacho@cheo.on.ca")</f>
        <v>lracacho@cheo.on.ca</v>
      </c>
      <c r="D94" s="62" t="str">
        <f>IFERROR(__xludf.DUMMYFUNCTION("""COMPUTED_VALUE"""),"Assigned")</f>
        <v>Assigned</v>
      </c>
      <c r="E94" s="77">
        <f>IFERROR(__xludf.DUMMYFUNCTION("""COMPUTED_VALUE"""),43608.0)</f>
        <v>43608</v>
      </c>
      <c r="F94" s="62" t="str">
        <f>IFERROR(__xludf.DUMMYFUNCTION("""COMPUTED_VALUE"""),"Yes")</f>
        <v>Yes</v>
      </c>
      <c r="G94" s="62" t="str">
        <f>IFERROR(__xludf.DUMMYFUNCTION("""COMPUTED_VALUE"""),"Variant Pathogenicity")</f>
        <v>Variant Pathogenicity</v>
      </c>
      <c r="H94" s="62" t="str">
        <f>IFERROR(__xludf.DUMMYFUNCTION("""COMPUTED_VALUE"""),"ACADVL")</f>
        <v>ACADVL</v>
      </c>
      <c r="I94" s="152">
        <f t="shared" si="1"/>
        <v>43700</v>
      </c>
      <c r="J94" s="81">
        <f>IFERROR(__xludf.DUMMYFUNCTION("""COMPUTED_VALUE"""),43712.0)</f>
        <v>43712</v>
      </c>
      <c r="K94" s="150">
        <f t="shared" si="2"/>
        <v>43792</v>
      </c>
      <c r="L94" s="81" t="str">
        <f>IFERROR(__xludf.DUMMYFUNCTION("""COMPUTED_VALUE"""),"")</f>
        <v/>
      </c>
      <c r="M94" s="62"/>
      <c r="N94" s="62"/>
      <c r="O94" s="62"/>
      <c r="P94" s="62"/>
      <c r="Q94" s="62"/>
      <c r="R94" s="62"/>
      <c r="S94" s="62"/>
      <c r="T94" s="62"/>
      <c r="U94" s="62"/>
      <c r="V94" s="62"/>
      <c r="W94" s="62"/>
      <c r="X94" s="62"/>
      <c r="Y94" s="62"/>
      <c r="Z94" s="62"/>
      <c r="AA94" s="62"/>
      <c r="AB94" s="62"/>
      <c r="AC94" s="62"/>
      <c r="AD94" s="62"/>
    </row>
    <row r="95">
      <c r="A95" s="151">
        <f>IFERROR(__xludf.DUMMYFUNCTION("""COMPUTED_VALUE"""),43567.92645009259)</f>
        <v>43567.92645</v>
      </c>
      <c r="B95" s="6" t="str">
        <f>IFERROR(__xludf.DUMMYFUNCTION("""COMPUTED_VALUE"""),"Samya Chakravorty")</f>
        <v>Samya Chakravorty</v>
      </c>
      <c r="C95" s="6" t="str">
        <f>IFERROR(__xludf.DUMMYFUNCTION("""COMPUTED_VALUE"""),"samya.chakravorty@emory.edu")</f>
        <v>samya.chakravorty@emory.edu</v>
      </c>
      <c r="D95" s="62" t="str">
        <f>IFERROR(__xludf.DUMMYFUNCTION("""COMPUTED_VALUE"""),"Assigned")</f>
        <v>Assigned</v>
      </c>
      <c r="E95" s="77">
        <f>IFERROR(__xludf.DUMMYFUNCTION("""COMPUTED_VALUE"""),43608.0)</f>
        <v>43608</v>
      </c>
      <c r="F95" s="62" t="str">
        <f>IFERROR(__xludf.DUMMYFUNCTION("""COMPUTED_VALUE"""),"Yes")</f>
        <v>Yes</v>
      </c>
      <c r="G95" s="62" t="str">
        <f>IFERROR(__xludf.DUMMYFUNCTION("""COMPUTED_VALUE"""),"Variant Pathogenicity")</f>
        <v>Variant Pathogenicity</v>
      </c>
      <c r="H95" s="62" t="str">
        <f>IFERROR(__xludf.DUMMYFUNCTION("""COMPUTED_VALUE"""),"Platelet Disorders")</f>
        <v>Platelet Disorders</v>
      </c>
      <c r="I95" s="152">
        <f t="shared" si="1"/>
        <v>43700</v>
      </c>
      <c r="J95" s="81">
        <f>IFERROR(__xludf.DUMMYFUNCTION("""COMPUTED_VALUE"""),43712.0)</f>
        <v>43712</v>
      </c>
      <c r="K95" s="150">
        <f t="shared" si="2"/>
        <v>43792</v>
      </c>
      <c r="L95" s="81" t="str">
        <f>IFERROR(__xludf.DUMMYFUNCTION("""COMPUTED_VALUE"""),"")</f>
        <v/>
      </c>
      <c r="M95" s="62"/>
      <c r="N95" s="62"/>
      <c r="O95" s="62"/>
      <c r="P95" s="62"/>
      <c r="Q95" s="62"/>
      <c r="R95" s="62"/>
      <c r="S95" s="62"/>
      <c r="T95" s="62"/>
      <c r="U95" s="62"/>
      <c r="V95" s="62"/>
      <c r="W95" s="62"/>
      <c r="X95" s="62"/>
      <c r="Y95" s="62"/>
      <c r="Z95" s="62"/>
      <c r="AA95" s="62"/>
      <c r="AB95" s="62"/>
      <c r="AC95" s="62"/>
      <c r="AD95" s="62"/>
    </row>
    <row r="96">
      <c r="A96" s="151">
        <f>IFERROR(__xludf.DUMMYFUNCTION("""COMPUTED_VALUE"""),43571.977917592594)</f>
        <v>43571.97792</v>
      </c>
      <c r="B96" s="6" t="str">
        <f>IFERROR(__xludf.DUMMYFUNCTION("""COMPUTED_VALUE"""),"Alison Bright")</f>
        <v>Alison Bright</v>
      </c>
      <c r="C96" s="6" t="str">
        <f>IFERROR(__xludf.DUMMYFUNCTION("""COMPUTED_VALUE"""),"alison.r.bright@questdiagnostics.com")</f>
        <v>alison.r.bright@questdiagnostics.com</v>
      </c>
      <c r="D96" s="62" t="str">
        <f>IFERROR(__xludf.DUMMYFUNCTION("""COMPUTED_VALUE"""),"Contacted")</f>
        <v>Contacted</v>
      </c>
      <c r="E96" s="77">
        <f>IFERROR(__xludf.DUMMYFUNCTION("""COMPUTED_VALUE"""),43692.0)</f>
        <v>43692</v>
      </c>
      <c r="F96" s="62" t="str">
        <f>IFERROR(__xludf.DUMMYFUNCTION("""COMPUTED_VALUE"""),"No")</f>
        <v>No</v>
      </c>
      <c r="G96" s="62" t="str">
        <f>IFERROR(__xludf.DUMMYFUNCTION("""COMPUTED_VALUE"""),"Gene Disease Validity")</f>
        <v>Gene Disease Validity</v>
      </c>
      <c r="H96" s="62" t="str">
        <f>IFERROR(__xludf.DUMMYFUNCTION("""COMPUTED_VALUE"""),"")</f>
        <v/>
      </c>
      <c r="I96" s="152">
        <f t="shared" si="1"/>
        <v>43784</v>
      </c>
      <c r="J96" s="62" t="str">
        <f>IFERROR(__xludf.DUMMYFUNCTION("""COMPUTED_VALUE"""),"")</f>
        <v/>
      </c>
      <c r="K96" s="150">
        <f t="shared" si="2"/>
        <v>43876</v>
      </c>
      <c r="L96" s="62" t="str">
        <f>IFERROR(__xludf.DUMMYFUNCTION("""COMPUTED_VALUE"""),"")</f>
        <v/>
      </c>
      <c r="M96" s="62"/>
      <c r="N96" s="62"/>
      <c r="O96" s="62"/>
      <c r="P96" s="62"/>
      <c r="Q96" s="62"/>
      <c r="R96" s="62"/>
      <c r="S96" s="62"/>
      <c r="T96" s="62"/>
      <c r="U96" s="62"/>
      <c r="V96" s="62"/>
      <c r="W96" s="62"/>
      <c r="X96" s="62"/>
      <c r="Y96" s="62"/>
      <c r="Z96" s="62"/>
      <c r="AA96" s="62"/>
      <c r="AB96" s="62"/>
      <c r="AC96" s="62"/>
      <c r="AD96" s="62"/>
    </row>
    <row r="97">
      <c r="A97" s="151">
        <f>IFERROR(__xludf.DUMMYFUNCTION("""COMPUTED_VALUE"""),43577.60680598379)</f>
        <v>43577.60681</v>
      </c>
      <c r="B97" s="6" t="str">
        <f>IFERROR(__xludf.DUMMYFUNCTION("""COMPUTED_VALUE"""),"Chloe Whitten")</f>
        <v>Chloe Whitten</v>
      </c>
      <c r="C97" s="6" t="str">
        <f>IFERROR(__xludf.DUMMYFUNCTION("""COMPUTED_VALUE"""),"cwhitten@ambrygen.com")</f>
        <v>cwhitten@ambrygen.com</v>
      </c>
      <c r="D97" s="62" t="str">
        <f>IFERROR(__xludf.DUMMYFUNCTION("""COMPUTED_VALUE"""),"Contacted")</f>
        <v>Contacted</v>
      </c>
      <c r="E97" s="106">
        <f>IFERROR(__xludf.DUMMYFUNCTION("""COMPUTED_VALUE"""),43859.0)</f>
        <v>43859</v>
      </c>
      <c r="F97" s="62" t="str">
        <f>IFERROR(__xludf.DUMMYFUNCTION("""COMPUTED_VALUE"""),"Yes")</f>
        <v>Yes</v>
      </c>
      <c r="G97" s="62" t="str">
        <f>IFERROR(__xludf.DUMMYFUNCTION("""COMPUTED_VALUE"""),"Variant Pathogenicity")</f>
        <v>Variant Pathogenicity</v>
      </c>
      <c r="H97" s="62" t="str">
        <f>IFERROR(__xludf.DUMMYFUNCTION("""COMPUTED_VALUE"""),"")</f>
        <v/>
      </c>
      <c r="I97" s="152">
        <f t="shared" si="1"/>
        <v>43950</v>
      </c>
      <c r="J97" s="62" t="str">
        <f>IFERROR(__xludf.DUMMYFUNCTION("""COMPUTED_VALUE"""),"")</f>
        <v/>
      </c>
      <c r="K97" s="150">
        <f t="shared" si="2"/>
        <v>44041</v>
      </c>
      <c r="L97" s="62" t="str">
        <f>IFERROR(__xludf.DUMMYFUNCTION("""COMPUTED_VALUE"""),"")</f>
        <v/>
      </c>
      <c r="M97" s="62"/>
      <c r="N97" s="62"/>
      <c r="O97" s="62"/>
      <c r="P97" s="62"/>
      <c r="Q97" s="62"/>
      <c r="R97" s="62"/>
      <c r="S97" s="62"/>
      <c r="T97" s="62"/>
      <c r="U97" s="62"/>
      <c r="V97" s="62"/>
      <c r="W97" s="62"/>
      <c r="X97" s="62"/>
      <c r="Y97" s="62"/>
      <c r="Z97" s="62"/>
      <c r="AA97" s="62"/>
      <c r="AB97" s="62"/>
      <c r="AC97" s="62"/>
      <c r="AD97" s="62"/>
    </row>
    <row r="98">
      <c r="A98" s="151">
        <f>IFERROR(__xludf.DUMMYFUNCTION("""COMPUTED_VALUE"""),43578.689141759256)</f>
        <v>43578.68914</v>
      </c>
      <c r="B98" s="6" t="str">
        <f>IFERROR(__xludf.DUMMYFUNCTION("""COMPUTED_VALUE"""),"Ying Zou")</f>
        <v>Ying Zou</v>
      </c>
      <c r="C98" s="6" t="str">
        <f>IFERROR(__xludf.DUMMYFUNCTION("""COMPUTED_VALUE""")," yzou19@jhmi.edu")</f>
        <v> yzou19@jhmi.edu</v>
      </c>
      <c r="D98" s="62" t="str">
        <f>IFERROR(__xludf.DUMMYFUNCTION("""COMPUTED_VALUE"""),"Contacted")</f>
        <v>Contacted</v>
      </c>
      <c r="E98" s="105">
        <f>IFERROR(__xludf.DUMMYFUNCTION("""COMPUTED_VALUE"""),43581.0)</f>
        <v>43581</v>
      </c>
      <c r="F98" s="62" t="str">
        <f>IFERROR(__xludf.DUMMYFUNCTION("""COMPUTED_VALUE"""),"No")</f>
        <v>No</v>
      </c>
      <c r="G98" s="62" t="str">
        <f>IFERROR(__xludf.DUMMYFUNCTION("""COMPUTED_VALUE"""),"Somatic Cancer")</f>
        <v>Somatic Cancer</v>
      </c>
      <c r="H98" s="62" t="str">
        <f>IFERROR(__xludf.DUMMYFUNCTION("""COMPUTED_VALUE"""),"")</f>
        <v/>
      </c>
      <c r="I98" s="152">
        <f t="shared" si="1"/>
        <v>43672</v>
      </c>
      <c r="J98" s="81">
        <f>IFERROR(__xludf.DUMMYFUNCTION("""COMPUTED_VALUE"""),43712.0)</f>
        <v>43712</v>
      </c>
      <c r="K98" s="150">
        <f t="shared" si="2"/>
        <v>43764</v>
      </c>
      <c r="L98" s="81" t="str">
        <f>IFERROR(__xludf.DUMMYFUNCTION("""COMPUTED_VALUE"""),"")</f>
        <v/>
      </c>
      <c r="M98" s="62"/>
      <c r="N98" s="62"/>
      <c r="O98" s="62"/>
      <c r="P98" s="62"/>
      <c r="Q98" s="62"/>
      <c r="R98" s="62"/>
      <c r="S98" s="62"/>
      <c r="T98" s="62"/>
      <c r="U98" s="62"/>
      <c r="V98" s="62"/>
      <c r="W98" s="62"/>
      <c r="X98" s="62"/>
      <c r="Y98" s="62"/>
      <c r="Z98" s="62"/>
      <c r="AA98" s="62"/>
      <c r="AB98" s="62"/>
      <c r="AC98" s="62"/>
      <c r="AD98" s="62"/>
    </row>
    <row r="99">
      <c r="A99" s="151">
        <f>IFERROR(__xludf.DUMMYFUNCTION("""COMPUTED_VALUE"""),43581.01534331018)</f>
        <v>43581.01534</v>
      </c>
      <c r="B99" s="6" t="str">
        <f>IFERROR(__xludf.DUMMYFUNCTION("""COMPUTED_VALUE"""),"JIXIA LIU")</f>
        <v>JIXIA LIU</v>
      </c>
      <c r="C99" s="6" t="str">
        <f>IFERROR(__xludf.DUMMYFUNCTION("""COMPUTED_VALUE"""),"jixialiu@gmail.com")</f>
        <v>jixialiu@gmail.com</v>
      </c>
      <c r="D99" s="62" t="str">
        <f>IFERROR(__xludf.DUMMYFUNCTION("""COMPUTED_VALUE"""),"Unresponsive")</f>
        <v>Unresponsive</v>
      </c>
      <c r="E99" s="77">
        <f>IFERROR(__xludf.DUMMYFUNCTION("""COMPUTED_VALUE"""),43570.0)</f>
        <v>43570</v>
      </c>
      <c r="F99" s="62" t="str">
        <f>IFERROR(__xludf.DUMMYFUNCTION("""COMPUTED_VALUE"""),"Yes")</f>
        <v>Yes</v>
      </c>
      <c r="G99" s="62" t="str">
        <f>IFERROR(__xludf.DUMMYFUNCTION("""COMPUTED_VALUE"""),"NA")</f>
        <v>NA</v>
      </c>
      <c r="H99" s="62" t="str">
        <f>IFERROR(__xludf.DUMMYFUNCTION("""COMPUTED_VALUE"""),"")</f>
        <v/>
      </c>
      <c r="I99" s="152">
        <f t="shared" si="1"/>
        <v>43661</v>
      </c>
      <c r="J99" s="62" t="str">
        <f>IFERROR(__xludf.DUMMYFUNCTION("""COMPUTED_VALUE"""),"")</f>
        <v/>
      </c>
      <c r="K99" s="150">
        <f t="shared" si="2"/>
        <v>43753</v>
      </c>
      <c r="L99" s="62" t="str">
        <f>IFERROR(__xludf.DUMMYFUNCTION("""COMPUTED_VALUE"""),"")</f>
        <v/>
      </c>
      <c r="M99" s="62"/>
      <c r="N99" s="62"/>
      <c r="O99" s="62"/>
      <c r="P99" s="62"/>
      <c r="Q99" s="62"/>
      <c r="R99" s="62"/>
      <c r="S99" s="62"/>
      <c r="T99" s="62"/>
      <c r="U99" s="62"/>
      <c r="V99" s="62"/>
      <c r="W99" s="62"/>
      <c r="X99" s="62"/>
      <c r="Y99" s="62"/>
      <c r="Z99" s="62"/>
      <c r="AA99" s="62"/>
      <c r="AB99" s="62"/>
      <c r="AC99" s="62"/>
      <c r="AD99" s="62"/>
    </row>
    <row r="100">
      <c r="A100" s="151">
        <f>IFERROR(__xludf.DUMMYFUNCTION("""COMPUTED_VALUE"""),43581.592380995375)</f>
        <v>43581.59238</v>
      </c>
      <c r="B100" s="6" t="str">
        <f>IFERROR(__xludf.DUMMYFUNCTION("""COMPUTED_VALUE"""),"Catherine Driscoll")</f>
        <v>Catherine Driscoll</v>
      </c>
      <c r="C100" s="6" t="str">
        <f>IFERROR(__xludf.DUMMYFUNCTION("""COMPUTED_VALUE"""),"kate.driscoll@nih.gov")</f>
        <v>kate.driscoll@nih.gov</v>
      </c>
      <c r="D100" s="62" t="str">
        <f>IFERROR(__xludf.DUMMYFUNCTION("""COMPUTED_VALUE"""),"Assigned")</f>
        <v>Assigned</v>
      </c>
      <c r="E100" s="81">
        <f>IFERROR(__xludf.DUMMYFUNCTION("""COMPUTED_VALUE"""),43605.0)</f>
        <v>43605</v>
      </c>
      <c r="F100" s="62" t="str">
        <f>IFERROR(__xludf.DUMMYFUNCTION("""COMPUTED_VALUE"""),"Yes")</f>
        <v>Yes</v>
      </c>
      <c r="G100" s="62" t="str">
        <f>IFERROR(__xludf.DUMMYFUNCTION("""COMPUTED_VALUE"""),"Variant Pathogenicity")</f>
        <v>Variant Pathogenicity</v>
      </c>
      <c r="H100" s="62" t="str">
        <f>IFERROR(__xludf.DUMMYFUNCTION("""COMPUTED_VALUE"""),"RYR1")</f>
        <v>RYR1</v>
      </c>
      <c r="I100" s="152">
        <f t="shared" si="1"/>
        <v>43697</v>
      </c>
      <c r="J100" s="81">
        <f>IFERROR(__xludf.DUMMYFUNCTION("""COMPUTED_VALUE"""),43712.0)</f>
        <v>43712</v>
      </c>
      <c r="K100" s="150">
        <f t="shared" si="2"/>
        <v>43789</v>
      </c>
      <c r="L100" s="81" t="str">
        <f>IFERROR(__xludf.DUMMYFUNCTION("""COMPUTED_VALUE"""),"")</f>
        <v/>
      </c>
      <c r="M100" s="62"/>
      <c r="N100" s="62"/>
      <c r="O100" s="62"/>
      <c r="P100" s="62"/>
      <c r="Q100" s="62"/>
      <c r="R100" s="62"/>
      <c r="S100" s="62"/>
      <c r="T100" s="62"/>
      <c r="U100" s="62"/>
      <c r="V100" s="62"/>
      <c r="W100" s="62"/>
      <c r="X100" s="62"/>
      <c r="Y100" s="62"/>
      <c r="Z100" s="62"/>
      <c r="AA100" s="62"/>
      <c r="AB100" s="62"/>
      <c r="AC100" s="62"/>
      <c r="AD100" s="62"/>
    </row>
    <row r="101">
      <c r="A101" s="151">
        <f>IFERROR(__xludf.DUMMYFUNCTION("""COMPUTED_VALUE"""),43585.63376069444)</f>
        <v>43585.63376</v>
      </c>
      <c r="B101" s="6" t="str">
        <f>IFERROR(__xludf.DUMMYFUNCTION("""COMPUTED_VALUE"""),"Gifty Bhat")</f>
        <v>Gifty Bhat</v>
      </c>
      <c r="C101" s="6" t="str">
        <f>IFERROR(__xludf.DUMMYFUNCTION("""COMPUTED_VALUE"""),"drgiftybhat@gmail.com")</f>
        <v>drgiftybhat@gmail.com</v>
      </c>
      <c r="D101" s="62" t="str">
        <f>IFERROR(__xludf.DUMMYFUNCTION("""COMPUTED_VALUE"""),"Contacted")</f>
        <v>Contacted</v>
      </c>
      <c r="E101" s="81">
        <f>IFERROR(__xludf.DUMMYFUNCTION("""COMPUTED_VALUE"""),43768.0)</f>
        <v>43768</v>
      </c>
      <c r="F101" s="62" t="str">
        <f>IFERROR(__xludf.DUMMYFUNCTION("""COMPUTED_VALUE"""),"Yes")</f>
        <v>Yes</v>
      </c>
      <c r="G101" s="62" t="str">
        <f>IFERROR(__xludf.DUMMYFUNCTION("""COMPUTED_VALUE"""),"Actionability")</f>
        <v>Actionability</v>
      </c>
      <c r="H101" s="62" t="str">
        <f>IFERROR(__xludf.DUMMYFUNCTION("""COMPUTED_VALUE"""),"Actionability")</f>
        <v>Actionability</v>
      </c>
      <c r="I101" s="152">
        <f t="shared" si="1"/>
        <v>43860</v>
      </c>
      <c r="J101" s="62" t="str">
        <f>IFERROR(__xludf.DUMMYFUNCTION("""COMPUTED_VALUE"""),"")</f>
        <v/>
      </c>
      <c r="K101" s="150">
        <f t="shared" si="2"/>
        <v>43951</v>
      </c>
      <c r="L101" s="62" t="str">
        <f>IFERROR(__xludf.DUMMYFUNCTION("""COMPUTED_VALUE"""),"")</f>
        <v/>
      </c>
      <c r="M101" s="62"/>
      <c r="N101" s="62"/>
      <c r="O101" s="62"/>
      <c r="P101" s="62"/>
      <c r="Q101" s="62"/>
      <c r="R101" s="62"/>
      <c r="S101" s="62"/>
      <c r="T101" s="62"/>
      <c r="U101" s="62"/>
      <c r="V101" s="62"/>
      <c r="W101" s="62"/>
      <c r="X101" s="62"/>
      <c r="Y101" s="62"/>
      <c r="Z101" s="62"/>
      <c r="AA101" s="62"/>
      <c r="AB101" s="62"/>
      <c r="AC101" s="62"/>
      <c r="AD101" s="62"/>
    </row>
    <row r="102">
      <c r="A102" s="151">
        <f>IFERROR(__xludf.DUMMYFUNCTION("""COMPUTED_VALUE"""),43586.59645730324)</f>
        <v>43586.59646</v>
      </c>
      <c r="B102" s="6" t="str">
        <f>IFERROR(__xludf.DUMMYFUNCTION("""COMPUTED_VALUE"""),"Ashley Marsh")</f>
        <v>Ashley Marsh</v>
      </c>
      <c r="C102" s="6" t="str">
        <f>IFERROR(__xludf.DUMMYFUNCTION("""COMPUTED_VALUE"""),"amarsh@ucsd.edu")</f>
        <v>amarsh@ucsd.edu</v>
      </c>
      <c r="D102" s="62" t="str">
        <f>IFERROR(__xludf.DUMMYFUNCTION("""COMPUTED_VALUE"""),"Assigned")</f>
        <v>Assigned</v>
      </c>
      <c r="E102" s="81">
        <f>IFERROR(__xludf.DUMMYFUNCTION("""COMPUTED_VALUE"""),43608.0)</f>
        <v>43608</v>
      </c>
      <c r="F102" s="62" t="str">
        <f>IFERROR(__xludf.DUMMYFUNCTION("""COMPUTED_VALUE"""),"Yes")</f>
        <v>Yes</v>
      </c>
      <c r="G102" s="62" t="str">
        <f>IFERROR(__xludf.DUMMYFUNCTION("""COMPUTED_VALUE"""),"Variant Pathogenicity")</f>
        <v>Variant Pathogenicity</v>
      </c>
      <c r="H102" s="62" t="str">
        <f>IFERROR(__xludf.DUMMYFUNCTION("""COMPUTED_VALUE"""),"Brain Malformations")</f>
        <v>Brain Malformations</v>
      </c>
      <c r="I102" s="152">
        <f t="shared" si="1"/>
        <v>43700</v>
      </c>
      <c r="J102" s="81">
        <f>IFERROR(__xludf.DUMMYFUNCTION("""COMPUTED_VALUE"""),43712.0)</f>
        <v>43712</v>
      </c>
      <c r="K102" s="150">
        <f t="shared" si="2"/>
        <v>43792</v>
      </c>
      <c r="L102" s="81" t="str">
        <f>IFERROR(__xludf.DUMMYFUNCTION("""COMPUTED_VALUE"""),"")</f>
        <v/>
      </c>
      <c r="M102" s="62"/>
      <c r="N102" s="62"/>
      <c r="O102" s="62"/>
      <c r="P102" s="62"/>
      <c r="Q102" s="62"/>
      <c r="R102" s="62"/>
      <c r="S102" s="62"/>
      <c r="T102" s="62"/>
      <c r="U102" s="62"/>
      <c r="V102" s="62"/>
      <c r="W102" s="62"/>
      <c r="X102" s="62"/>
      <c r="Y102" s="62"/>
      <c r="Z102" s="62"/>
      <c r="AA102" s="62"/>
      <c r="AB102" s="62"/>
      <c r="AC102" s="62"/>
      <c r="AD102" s="62"/>
    </row>
    <row r="103">
      <c r="A103" s="151">
        <f>IFERROR(__xludf.DUMMYFUNCTION("""COMPUTED_VALUE"""),43587.167243738426)</f>
        <v>43587.16724</v>
      </c>
      <c r="B103" s="6" t="str">
        <f>IFERROR(__xludf.DUMMYFUNCTION("""COMPUTED_VALUE"""),"Kevin Colclough")</f>
        <v>Kevin Colclough</v>
      </c>
      <c r="C103" s="6" t="str">
        <f>IFERROR(__xludf.DUMMYFUNCTION("""COMPUTED_VALUE"""),"kevin.colclough@nhs.net")</f>
        <v>kevin.colclough@nhs.net</v>
      </c>
      <c r="D103" s="62" t="str">
        <f>IFERROR(__xludf.DUMMYFUNCTION("""COMPUTED_VALUE"""),"Contacted")</f>
        <v>Contacted</v>
      </c>
      <c r="E103" s="77">
        <f>IFERROR(__xludf.DUMMYFUNCTION("""COMPUTED_VALUE"""),43585.0)</f>
        <v>43585</v>
      </c>
      <c r="F103" s="62" t="str">
        <f>IFERROR(__xludf.DUMMYFUNCTION("""COMPUTED_VALUE"""),"Yes")</f>
        <v>Yes</v>
      </c>
      <c r="G103" s="62" t="str">
        <f>IFERROR(__xludf.DUMMYFUNCTION("""COMPUTED_VALUE"""),"Gene Disease Validity")</f>
        <v>Gene Disease Validity</v>
      </c>
      <c r="H103" s="62" t="str">
        <f>IFERROR(__xludf.DUMMYFUNCTION("""COMPUTED_VALUE"""),"Monogenic Diabetes")</f>
        <v>Monogenic Diabetes</v>
      </c>
      <c r="I103" s="152">
        <f t="shared" si="1"/>
        <v>43676</v>
      </c>
      <c r="J103" s="62" t="str">
        <f>IFERROR(__xludf.DUMMYFUNCTION("""COMPUTED_VALUE"""),"")</f>
        <v/>
      </c>
      <c r="K103" s="150">
        <f t="shared" si="2"/>
        <v>43768</v>
      </c>
      <c r="L103" s="62" t="str">
        <f>IFERROR(__xludf.DUMMYFUNCTION("""COMPUTED_VALUE"""),"")</f>
        <v/>
      </c>
      <c r="M103" s="62"/>
      <c r="N103" s="62"/>
      <c r="O103" s="62"/>
      <c r="P103" s="62"/>
      <c r="Q103" s="62"/>
      <c r="R103" s="62"/>
      <c r="S103" s="62"/>
      <c r="T103" s="62"/>
      <c r="U103" s="62"/>
      <c r="V103" s="62"/>
      <c r="W103" s="62"/>
      <c r="X103" s="62"/>
      <c r="Y103" s="62"/>
      <c r="Z103" s="62"/>
      <c r="AA103" s="62"/>
      <c r="AB103" s="62"/>
      <c r="AC103" s="62"/>
      <c r="AD103" s="62"/>
    </row>
    <row r="104">
      <c r="A104" s="151">
        <f>IFERROR(__xludf.DUMMYFUNCTION("""COMPUTED_VALUE"""),43592.73996135417)</f>
        <v>43592.73996</v>
      </c>
      <c r="B104" s="6" t="str">
        <f>IFERROR(__xludf.DUMMYFUNCTION("""COMPUTED_VALUE"""),"FEN GUO")</f>
        <v>FEN GUO</v>
      </c>
      <c r="C104" s="6" t="str">
        <f>IFERROR(__xludf.DUMMYFUNCTION("""COMPUTED_VALUE"""),"fguo34@wisc.edu")</f>
        <v>fguo34@wisc.edu</v>
      </c>
      <c r="D104" s="62" t="str">
        <f>IFERROR(__xludf.DUMMYFUNCTION("""COMPUTED_VALUE"""),"Contacted")</f>
        <v>Contacted</v>
      </c>
      <c r="E104" s="77">
        <f>IFERROR(__xludf.DUMMYFUNCTION("""COMPUTED_VALUE"""),43692.0)</f>
        <v>43692</v>
      </c>
      <c r="F104" s="62" t="str">
        <f>IFERROR(__xludf.DUMMYFUNCTION("""COMPUTED_VALUE"""),"Yes")</f>
        <v>Yes</v>
      </c>
      <c r="G104" s="62" t="str">
        <f>IFERROR(__xludf.DUMMYFUNCTION("""COMPUTED_VALUE"""),"Gene Disease Validity")</f>
        <v>Gene Disease Validity</v>
      </c>
      <c r="H104" s="62" t="str">
        <f>IFERROR(__xludf.DUMMYFUNCTION("""COMPUTED_VALUE"""),"")</f>
        <v/>
      </c>
      <c r="I104" s="152">
        <f t="shared" si="1"/>
        <v>43784</v>
      </c>
      <c r="J104" s="62" t="str">
        <f>IFERROR(__xludf.DUMMYFUNCTION("""COMPUTED_VALUE"""),"")</f>
        <v/>
      </c>
      <c r="K104" s="150">
        <f t="shared" si="2"/>
        <v>43876</v>
      </c>
      <c r="L104" s="62" t="str">
        <f>IFERROR(__xludf.DUMMYFUNCTION("""COMPUTED_VALUE"""),"")</f>
        <v/>
      </c>
      <c r="M104" s="62"/>
      <c r="N104" s="62"/>
      <c r="O104" s="62"/>
      <c r="P104" s="62"/>
      <c r="Q104" s="62"/>
      <c r="R104" s="62"/>
      <c r="S104" s="62"/>
      <c r="T104" s="62"/>
      <c r="U104" s="62"/>
      <c r="V104" s="62"/>
      <c r="W104" s="62"/>
      <c r="X104" s="62"/>
      <c r="Y104" s="62"/>
      <c r="Z104" s="62"/>
      <c r="AA104" s="62"/>
      <c r="AB104" s="62"/>
      <c r="AC104" s="62"/>
      <c r="AD104" s="62"/>
    </row>
    <row r="105">
      <c r="A105" s="151">
        <f>IFERROR(__xludf.DUMMYFUNCTION("""COMPUTED_VALUE"""),43593.56649472222)</f>
        <v>43593.56649</v>
      </c>
      <c r="B105" s="6" t="str">
        <f>IFERROR(__xludf.DUMMYFUNCTION("""COMPUTED_VALUE"""),"Lisa Dyer")</f>
        <v>Lisa Dyer</v>
      </c>
      <c r="C105" s="6" t="str">
        <f>IFERROR(__xludf.DUMMYFUNCTION("""COMPUTED_VALUE"""),"Lisa.Dyer@cchmc.org")</f>
        <v>Lisa.Dyer@cchmc.org</v>
      </c>
      <c r="D105" s="62" t="str">
        <f>IFERROR(__xludf.DUMMYFUNCTION("""COMPUTED_VALUE"""),"Unresponsive")</f>
        <v>Unresponsive</v>
      </c>
      <c r="E105" s="81">
        <f>IFERROR(__xludf.DUMMYFUNCTION("""COMPUTED_VALUE"""),43476.0)</f>
        <v>43476</v>
      </c>
      <c r="F105" s="62" t="str">
        <f>IFERROR(__xludf.DUMMYFUNCTION("""COMPUTED_VALUE"""),"No")</f>
        <v>No</v>
      </c>
      <c r="G105" s="62" t="str">
        <f>IFERROR(__xludf.DUMMYFUNCTION("""COMPUTED_VALUE"""),"Somatic Cancer")</f>
        <v>Somatic Cancer</v>
      </c>
      <c r="H105" s="62" t="str">
        <f>IFERROR(__xludf.DUMMYFUNCTION("""COMPUTED_VALUE"""),"")</f>
        <v/>
      </c>
      <c r="I105" s="152">
        <f t="shared" si="1"/>
        <v>43566</v>
      </c>
      <c r="J105" s="81">
        <f>IFERROR(__xludf.DUMMYFUNCTION("""COMPUTED_VALUE"""),43593.0)</f>
        <v>43593</v>
      </c>
      <c r="K105" s="150">
        <f t="shared" si="2"/>
        <v>43657</v>
      </c>
      <c r="L105" s="81">
        <f>IFERROR(__xludf.DUMMYFUNCTION("""COMPUTED_VALUE"""),43713.0)</f>
        <v>43713</v>
      </c>
      <c r="M105" s="62"/>
      <c r="N105" s="62"/>
      <c r="O105" s="62"/>
      <c r="P105" s="62"/>
      <c r="Q105" s="62"/>
      <c r="R105" s="62"/>
      <c r="S105" s="62"/>
      <c r="T105" s="62"/>
      <c r="U105" s="62"/>
      <c r="V105" s="62"/>
      <c r="W105" s="62"/>
      <c r="X105" s="62"/>
      <c r="Y105" s="62"/>
      <c r="Z105" s="62"/>
      <c r="AA105" s="62"/>
      <c r="AB105" s="62"/>
      <c r="AC105" s="62"/>
      <c r="AD105" s="62"/>
    </row>
    <row r="106">
      <c r="A106" s="151">
        <f>IFERROR(__xludf.DUMMYFUNCTION("""COMPUTED_VALUE"""),43601.53615817129)</f>
        <v>43601.53616</v>
      </c>
      <c r="B106" s="6" t="str">
        <f>IFERROR(__xludf.DUMMYFUNCTION("""COMPUTED_VALUE"""),"Olivia Rennie")</f>
        <v>Olivia Rennie</v>
      </c>
      <c r="C106" s="6" t="str">
        <f>IFERROR(__xludf.DUMMYFUNCTION("""COMPUTED_VALUE"""),"olivia.rennie@sickkids.ca")</f>
        <v>olivia.rennie@sickkids.ca</v>
      </c>
      <c r="D106" s="62" t="str">
        <f>IFERROR(__xludf.DUMMYFUNCTION("""COMPUTED_VALUE"""),"Assigned")</f>
        <v>Assigned</v>
      </c>
      <c r="E106" s="81">
        <f>IFERROR(__xludf.DUMMYFUNCTION("""COMPUTED_VALUE"""),43605.0)</f>
        <v>43605</v>
      </c>
      <c r="F106" s="62" t="str">
        <f>IFERROR(__xludf.DUMMYFUNCTION("""COMPUTED_VALUE"""),"Yes")</f>
        <v>Yes</v>
      </c>
      <c r="G106" s="62" t="str">
        <f>IFERROR(__xludf.DUMMYFUNCTION("""COMPUTED_VALUE"""),"Variant Pathogenicity")</f>
        <v>Variant Pathogenicity</v>
      </c>
      <c r="H106" s="62" t="str">
        <f>IFERROR(__xludf.DUMMYFUNCTION("""COMPUTED_VALUE"""),"TP53")</f>
        <v>TP53</v>
      </c>
      <c r="I106" s="152">
        <f t="shared" si="1"/>
        <v>43697</v>
      </c>
      <c r="J106" s="81">
        <f>IFERROR(__xludf.DUMMYFUNCTION("""COMPUTED_VALUE"""),43712.0)</f>
        <v>43712</v>
      </c>
      <c r="K106" s="150">
        <f t="shared" si="2"/>
        <v>43789</v>
      </c>
      <c r="L106" s="81" t="str">
        <f>IFERROR(__xludf.DUMMYFUNCTION("""COMPUTED_VALUE"""),"")</f>
        <v/>
      </c>
      <c r="M106" s="62"/>
      <c r="N106" s="62"/>
      <c r="O106" s="62"/>
      <c r="P106" s="62"/>
      <c r="Q106" s="62"/>
      <c r="R106" s="62"/>
      <c r="S106" s="62"/>
      <c r="T106" s="62"/>
      <c r="U106" s="62"/>
      <c r="V106" s="62"/>
      <c r="W106" s="62"/>
      <c r="X106" s="62"/>
      <c r="Y106" s="62"/>
      <c r="Z106" s="62"/>
      <c r="AA106" s="62"/>
      <c r="AB106" s="62"/>
      <c r="AC106" s="62"/>
      <c r="AD106" s="62"/>
    </row>
    <row r="107">
      <c r="A107" s="151">
        <f>IFERROR(__xludf.DUMMYFUNCTION("""COMPUTED_VALUE"""),43602.702408564815)</f>
        <v>43602.70241</v>
      </c>
      <c r="B107" s="6" t="str">
        <f>IFERROR(__xludf.DUMMYFUNCTION("""COMPUTED_VALUE"""),"Aleš Maver")</f>
        <v>Aleš Maver</v>
      </c>
      <c r="C107" s="6" t="str">
        <f>IFERROR(__xludf.DUMMYFUNCTION("""COMPUTED_VALUE"""),"ales.maver@kclj.si")</f>
        <v>ales.maver@kclj.si</v>
      </c>
      <c r="D107" s="62" t="str">
        <f>IFERROR(__xludf.DUMMYFUNCTION("""COMPUTED_VALUE"""),"Contacted")</f>
        <v>Contacted</v>
      </c>
      <c r="E107" s="81">
        <f>IFERROR(__xludf.DUMMYFUNCTION("""COMPUTED_VALUE"""),43627.0)</f>
        <v>43627</v>
      </c>
      <c r="F107" s="62" t="str">
        <f>IFERROR(__xludf.DUMMYFUNCTION("""COMPUTED_VALUE"""),"Yes")</f>
        <v>Yes</v>
      </c>
      <c r="G107" s="62" t="str">
        <f>IFERROR(__xludf.DUMMYFUNCTION("""COMPUTED_VALUE"""),"NA")</f>
        <v>NA</v>
      </c>
      <c r="H107" s="62" t="str">
        <f>IFERROR(__xludf.DUMMYFUNCTION("""COMPUTED_VALUE"""),"")</f>
        <v/>
      </c>
      <c r="I107" s="152">
        <f t="shared" si="1"/>
        <v>43719</v>
      </c>
      <c r="J107" s="62" t="str">
        <f>IFERROR(__xludf.DUMMYFUNCTION("""COMPUTED_VALUE"""),"")</f>
        <v/>
      </c>
      <c r="K107" s="150">
        <f t="shared" si="2"/>
        <v>43810</v>
      </c>
      <c r="L107" s="62" t="str">
        <f>IFERROR(__xludf.DUMMYFUNCTION("""COMPUTED_VALUE"""),"")</f>
        <v/>
      </c>
      <c r="M107" s="62"/>
      <c r="N107" s="62"/>
      <c r="O107" s="62"/>
      <c r="P107" s="62"/>
      <c r="Q107" s="62"/>
      <c r="R107" s="62"/>
      <c r="S107" s="62"/>
      <c r="T107" s="62"/>
      <c r="U107" s="62"/>
      <c r="V107" s="62"/>
      <c r="W107" s="62"/>
      <c r="X107" s="62"/>
      <c r="Y107" s="62"/>
      <c r="Z107" s="62"/>
      <c r="AA107" s="62"/>
      <c r="AB107" s="62"/>
      <c r="AC107" s="62"/>
      <c r="AD107" s="62"/>
    </row>
    <row r="108">
      <c r="A108" s="151">
        <f>IFERROR(__xludf.DUMMYFUNCTION("""COMPUTED_VALUE"""),43607.54873863426)</f>
        <v>43607.54874</v>
      </c>
      <c r="B108" s="6" t="str">
        <f>IFERROR(__xludf.DUMMYFUNCTION("""COMPUTED_VALUE"""),"Robert Butler")</f>
        <v>Robert Butler</v>
      </c>
      <c r="C108" s="6" t="str">
        <f>IFERROR(__xludf.DUMMYFUNCTION("""COMPUTED_VALUE"""),"rbutler@northshore.org")</f>
        <v>rbutler@northshore.org</v>
      </c>
      <c r="D108" s="62" t="str">
        <f>IFERROR(__xludf.DUMMYFUNCTION("""COMPUTED_VALUE"""),"Contacted")</f>
        <v>Contacted</v>
      </c>
      <c r="E108" s="81">
        <f>IFERROR(__xludf.DUMMYFUNCTION("""COMPUTED_VALUE"""),43627.0)</f>
        <v>43627</v>
      </c>
      <c r="F108" s="62" t="str">
        <f>IFERROR(__xludf.DUMMYFUNCTION("""COMPUTED_VALUE"""),"Yes")</f>
        <v>Yes</v>
      </c>
      <c r="G108" s="62" t="str">
        <f>IFERROR(__xludf.DUMMYFUNCTION("""COMPUTED_VALUE"""),"NA")</f>
        <v>NA</v>
      </c>
      <c r="H108" s="62" t="str">
        <f>IFERROR(__xludf.DUMMYFUNCTION("""COMPUTED_VALUE"""),"")</f>
        <v/>
      </c>
      <c r="I108" s="152">
        <f t="shared" si="1"/>
        <v>43719</v>
      </c>
      <c r="J108" s="62" t="str">
        <f>IFERROR(__xludf.DUMMYFUNCTION("""COMPUTED_VALUE"""),"")</f>
        <v/>
      </c>
      <c r="K108" s="150">
        <f t="shared" si="2"/>
        <v>43810</v>
      </c>
      <c r="L108" s="62" t="str">
        <f>IFERROR(__xludf.DUMMYFUNCTION("""COMPUTED_VALUE"""),"")</f>
        <v/>
      </c>
      <c r="M108" s="62"/>
      <c r="N108" s="62"/>
      <c r="O108" s="62"/>
      <c r="P108" s="62"/>
      <c r="Q108" s="62"/>
      <c r="R108" s="62"/>
      <c r="S108" s="62"/>
      <c r="T108" s="62"/>
      <c r="U108" s="62"/>
      <c r="V108" s="62"/>
      <c r="W108" s="62"/>
      <c r="X108" s="62"/>
      <c r="Y108" s="62"/>
      <c r="Z108" s="62"/>
      <c r="AA108" s="62"/>
      <c r="AB108" s="62"/>
      <c r="AC108" s="62"/>
      <c r="AD108" s="62"/>
    </row>
    <row r="109">
      <c r="A109" s="151">
        <f>IFERROR(__xludf.DUMMYFUNCTION("""COMPUTED_VALUE"""),43609.955753240734)</f>
        <v>43609.95575</v>
      </c>
      <c r="B109" s="6" t="str">
        <f>IFERROR(__xludf.DUMMYFUNCTION("""COMPUTED_VALUE"""),"Ljubica Caldovic")</f>
        <v>Ljubica Caldovic</v>
      </c>
      <c r="C109" s="6" t="str">
        <f>IFERROR(__xludf.DUMMYFUNCTION("""COMPUTED_VALUE"""),"lcaldovic@childrensnational.org")</f>
        <v>lcaldovic@childrensnational.org</v>
      </c>
      <c r="D109" s="62" t="str">
        <f>IFERROR(__xludf.DUMMYFUNCTION("""COMPUTED_VALUE"""),"Contacted")</f>
        <v>Contacted</v>
      </c>
      <c r="E109" s="81">
        <f>IFERROR(__xludf.DUMMYFUNCTION("""COMPUTED_VALUE"""),43626.0)</f>
        <v>43626</v>
      </c>
      <c r="F109" s="62" t="str">
        <f>IFERROR(__xludf.DUMMYFUNCTION("""COMPUTED_VALUE"""),"Yes")</f>
        <v>Yes</v>
      </c>
      <c r="G109" s="62" t="str">
        <f>IFERROR(__xludf.DUMMYFUNCTION("""COMPUTED_VALUE"""),"Variant Pathogenicity")</f>
        <v>Variant Pathogenicity</v>
      </c>
      <c r="H109" s="62" t="str">
        <f>IFERROR(__xludf.DUMMYFUNCTION("""COMPUTED_VALUE"""),"")</f>
        <v/>
      </c>
      <c r="I109" s="152">
        <f t="shared" si="1"/>
        <v>43718</v>
      </c>
      <c r="J109" s="62" t="str">
        <f>IFERROR(__xludf.DUMMYFUNCTION("""COMPUTED_VALUE"""),"")</f>
        <v/>
      </c>
      <c r="K109" s="150">
        <f t="shared" si="2"/>
        <v>43809</v>
      </c>
      <c r="L109" s="62" t="str">
        <f>IFERROR(__xludf.DUMMYFUNCTION("""COMPUTED_VALUE"""),"")</f>
        <v/>
      </c>
      <c r="M109" s="62"/>
      <c r="N109" s="62"/>
      <c r="O109" s="62"/>
      <c r="P109" s="62"/>
      <c r="Q109" s="62"/>
      <c r="R109" s="62"/>
      <c r="S109" s="62"/>
      <c r="T109" s="62"/>
      <c r="U109" s="62"/>
      <c r="V109" s="62"/>
      <c r="W109" s="62"/>
      <c r="X109" s="62"/>
      <c r="Y109" s="62"/>
      <c r="Z109" s="62"/>
      <c r="AA109" s="62"/>
      <c r="AB109" s="62"/>
      <c r="AC109" s="62"/>
      <c r="AD109" s="62"/>
    </row>
    <row r="110">
      <c r="A110" s="151">
        <f>IFERROR(__xludf.DUMMYFUNCTION("""COMPUTED_VALUE"""),43610.740048368054)</f>
        <v>43610.74005</v>
      </c>
      <c r="B110" s="6" t="str">
        <f>IFERROR(__xludf.DUMMYFUNCTION("""COMPUTED_VALUE"""),"Joy Goffena")</f>
        <v>Joy Goffena</v>
      </c>
      <c r="C110" s="6" t="str">
        <f>IFERROR(__xludf.DUMMYFUNCTION("""COMPUTED_VALUE"""),"joy.goffena@gmail.com")</f>
        <v>joy.goffena@gmail.com</v>
      </c>
      <c r="D110" s="62" t="str">
        <f>IFERROR(__xludf.DUMMYFUNCTION("""COMPUTED_VALUE"""),"Assigned")</f>
        <v>Assigned</v>
      </c>
      <c r="E110" s="81">
        <f>IFERROR(__xludf.DUMMYFUNCTION("""COMPUTED_VALUE"""),43627.0)</f>
        <v>43627</v>
      </c>
      <c r="F110" s="62" t="str">
        <f>IFERROR(__xludf.DUMMYFUNCTION("""COMPUTED_VALUE"""),"Yes")</f>
        <v>Yes</v>
      </c>
      <c r="G110" s="62" t="str">
        <f>IFERROR(__xludf.DUMMYFUNCTION("""COMPUTED_VALUE"""),"Variant Pathogenicity")</f>
        <v>Variant Pathogenicity</v>
      </c>
      <c r="H110" s="62" t="str">
        <f>IFERROR(__xludf.DUMMYFUNCTION("""COMPUTED_VALUE"""),"Mito")</f>
        <v>Mito</v>
      </c>
      <c r="I110" s="152">
        <f t="shared" si="1"/>
        <v>43719</v>
      </c>
      <c r="J110" s="81">
        <f>IFERROR(__xludf.DUMMYFUNCTION("""COMPUTED_VALUE"""),43712.0)</f>
        <v>43712</v>
      </c>
      <c r="K110" s="150">
        <f t="shared" si="2"/>
        <v>43810</v>
      </c>
      <c r="L110" s="81" t="str">
        <f>IFERROR(__xludf.DUMMYFUNCTION("""COMPUTED_VALUE"""),"")</f>
        <v/>
      </c>
      <c r="M110" s="62"/>
      <c r="N110" s="62"/>
      <c r="O110" s="62"/>
      <c r="P110" s="62"/>
      <c r="Q110" s="62"/>
      <c r="R110" s="62"/>
      <c r="S110" s="62"/>
      <c r="T110" s="62"/>
      <c r="U110" s="62"/>
      <c r="V110" s="62"/>
      <c r="W110" s="62"/>
      <c r="X110" s="62"/>
      <c r="Y110" s="62"/>
      <c r="Z110" s="62"/>
      <c r="AA110" s="62"/>
      <c r="AB110" s="62"/>
      <c r="AC110" s="62"/>
      <c r="AD110" s="62"/>
    </row>
    <row r="111">
      <c r="A111" s="151">
        <f>IFERROR(__xludf.DUMMYFUNCTION("""COMPUTED_VALUE"""),43612.744829560186)</f>
        <v>43612.74483</v>
      </c>
      <c r="B111" s="6" t="str">
        <f>IFERROR(__xludf.DUMMYFUNCTION("""COMPUTED_VALUE"""),"Amruta Phatak")</f>
        <v>Amruta Phatak</v>
      </c>
      <c r="C111" s="6" t="str">
        <f>IFERROR(__xludf.DUMMYFUNCTION("""COMPUTED_VALUE"""),"arphatak@iu.edu")</f>
        <v>arphatak@iu.edu</v>
      </c>
      <c r="D111" s="62" t="str">
        <f>IFERROR(__xludf.DUMMYFUNCTION("""COMPUTED_VALUE"""),"Contacted")</f>
        <v>Contacted</v>
      </c>
      <c r="E111" s="77">
        <f>IFERROR(__xludf.DUMMYFUNCTION("""COMPUTED_VALUE"""),43692.0)</f>
        <v>43692</v>
      </c>
      <c r="F111" s="62" t="str">
        <f>IFERROR(__xludf.DUMMYFUNCTION("""COMPUTED_VALUE"""),"Yes")</f>
        <v>Yes</v>
      </c>
      <c r="G111" s="62" t="str">
        <f>IFERROR(__xludf.DUMMYFUNCTION("""COMPUTED_VALUE"""),"Gene Disease Validity")</f>
        <v>Gene Disease Validity</v>
      </c>
      <c r="H111" s="62" t="str">
        <f>IFERROR(__xludf.DUMMYFUNCTION("""COMPUTED_VALUE"""),"")</f>
        <v/>
      </c>
      <c r="I111" s="152">
        <f t="shared" si="1"/>
        <v>43784</v>
      </c>
      <c r="J111" s="62" t="str">
        <f>IFERROR(__xludf.DUMMYFUNCTION("""COMPUTED_VALUE"""),"")</f>
        <v/>
      </c>
      <c r="K111" s="150">
        <f t="shared" si="2"/>
        <v>43876</v>
      </c>
      <c r="L111" s="62" t="str">
        <f>IFERROR(__xludf.DUMMYFUNCTION("""COMPUTED_VALUE"""),"")</f>
        <v/>
      </c>
      <c r="M111" s="62"/>
      <c r="N111" s="62"/>
      <c r="O111" s="62"/>
      <c r="P111" s="62"/>
      <c r="Q111" s="62"/>
      <c r="R111" s="62"/>
      <c r="S111" s="62"/>
      <c r="T111" s="62"/>
      <c r="U111" s="62"/>
      <c r="V111" s="62"/>
      <c r="W111" s="62"/>
      <c r="X111" s="62"/>
      <c r="Y111" s="62"/>
      <c r="Z111" s="62"/>
      <c r="AA111" s="62"/>
      <c r="AB111" s="62"/>
      <c r="AC111" s="62"/>
      <c r="AD111" s="62"/>
    </row>
    <row r="112">
      <c r="A112" s="151">
        <f>IFERROR(__xludf.DUMMYFUNCTION("""COMPUTED_VALUE"""),43615.399297673604)</f>
        <v>43615.3993</v>
      </c>
      <c r="B112" s="6" t="str">
        <f>IFERROR(__xludf.DUMMYFUNCTION("""COMPUTED_VALUE"""),"Abdelazeem Elhabyan ")</f>
        <v>Abdelazeem Elhabyan </v>
      </c>
      <c r="C112" s="6" t="str">
        <f>IFERROR(__xludf.DUMMYFUNCTION("""COMPUTED_VALUE"""),"Abdelazeem_abdelhameed2015505@yahoo.com")</f>
        <v>Abdelazeem_abdelhameed2015505@yahoo.com</v>
      </c>
      <c r="D112" s="62" t="str">
        <f>IFERROR(__xludf.DUMMYFUNCTION("""COMPUTED_VALUE"""),"Contacted")</f>
        <v>Contacted</v>
      </c>
      <c r="E112" s="81">
        <f>IFERROR(__xludf.DUMMYFUNCTION("""COMPUTED_VALUE"""),43627.0)</f>
        <v>43627</v>
      </c>
      <c r="F112" s="62" t="str">
        <f>IFERROR(__xludf.DUMMYFUNCTION("""COMPUTED_VALUE"""),"No")</f>
        <v>No</v>
      </c>
      <c r="G112" s="62" t="str">
        <f>IFERROR(__xludf.DUMMYFUNCTION("""COMPUTED_VALUE"""),"Variant Pathogenicity")</f>
        <v>Variant Pathogenicity</v>
      </c>
      <c r="H112" s="62" t="str">
        <f>IFERROR(__xludf.DUMMYFUNCTION("""COMPUTED_VALUE"""),"")</f>
        <v/>
      </c>
      <c r="I112" s="152">
        <f t="shared" si="1"/>
        <v>43719</v>
      </c>
      <c r="J112" s="62" t="str">
        <f>IFERROR(__xludf.DUMMYFUNCTION("""COMPUTED_VALUE"""),"")</f>
        <v/>
      </c>
      <c r="K112" s="150">
        <f t="shared" si="2"/>
        <v>43810</v>
      </c>
      <c r="L112" s="62" t="str">
        <f>IFERROR(__xludf.DUMMYFUNCTION("""COMPUTED_VALUE"""),"")</f>
        <v/>
      </c>
      <c r="M112" s="62"/>
      <c r="N112" s="62"/>
      <c r="O112" s="62"/>
      <c r="P112" s="62"/>
      <c r="Q112" s="62"/>
      <c r="R112" s="62"/>
      <c r="S112" s="62"/>
      <c r="T112" s="62"/>
      <c r="U112" s="62"/>
      <c r="V112" s="62"/>
      <c r="W112" s="62"/>
      <c r="X112" s="62"/>
      <c r="Y112" s="62"/>
      <c r="Z112" s="62"/>
      <c r="AA112" s="62"/>
      <c r="AB112" s="62"/>
      <c r="AC112" s="62"/>
      <c r="AD112" s="62"/>
    </row>
    <row r="113">
      <c r="A113" s="151">
        <f>IFERROR(__xludf.DUMMYFUNCTION("""COMPUTED_VALUE"""),43620.78905363426)</f>
        <v>43620.78905</v>
      </c>
      <c r="B113" s="6" t="str">
        <f>IFERROR(__xludf.DUMMYFUNCTION("""COMPUTED_VALUE"""),"Janel Case")</f>
        <v>Janel Case</v>
      </c>
      <c r="C113" s="6" t="str">
        <f>IFERROR(__xludf.DUMMYFUNCTION("""COMPUTED_VALUE"""),"janelcase@live.com")</f>
        <v>janelcase@live.com</v>
      </c>
      <c r="D113" s="62" t="str">
        <f>IFERROR(__xludf.DUMMYFUNCTION("""COMPUTED_VALUE"""),"Contacted")</f>
        <v>Contacted</v>
      </c>
      <c r="E113" s="106">
        <f>IFERROR(__xludf.DUMMYFUNCTION("""COMPUTED_VALUE"""),43859.0)</f>
        <v>43859</v>
      </c>
      <c r="F113" s="62" t="str">
        <f>IFERROR(__xludf.DUMMYFUNCTION("""COMPUTED_VALUE"""),"Yes")</f>
        <v>Yes</v>
      </c>
      <c r="G113" s="62" t="str">
        <f>IFERROR(__xludf.DUMMYFUNCTION("""COMPUTED_VALUE"""),"Variant Pathogenicity")</f>
        <v>Variant Pathogenicity</v>
      </c>
      <c r="H113" s="62" t="str">
        <f>IFERROR(__xludf.DUMMYFUNCTION("""COMPUTED_VALUE"""),"")</f>
        <v/>
      </c>
      <c r="I113" s="152">
        <f t="shared" si="1"/>
        <v>43950</v>
      </c>
      <c r="J113" s="62" t="str">
        <f>IFERROR(__xludf.DUMMYFUNCTION("""COMPUTED_VALUE"""),"")</f>
        <v/>
      </c>
      <c r="K113" s="150">
        <f t="shared" si="2"/>
        <v>44041</v>
      </c>
      <c r="L113" s="62" t="str">
        <f>IFERROR(__xludf.DUMMYFUNCTION("""COMPUTED_VALUE"""),"")</f>
        <v/>
      </c>
      <c r="M113" s="62"/>
      <c r="N113" s="62"/>
      <c r="O113" s="62"/>
      <c r="P113" s="62"/>
      <c r="Q113" s="62"/>
      <c r="R113" s="62"/>
      <c r="S113" s="62"/>
      <c r="T113" s="62"/>
      <c r="U113" s="62"/>
      <c r="V113" s="62"/>
      <c r="W113" s="62"/>
      <c r="X113" s="62"/>
      <c r="Y113" s="62"/>
      <c r="Z113" s="62"/>
      <c r="AA113" s="62"/>
      <c r="AB113" s="62"/>
      <c r="AC113" s="62"/>
      <c r="AD113" s="62"/>
    </row>
    <row r="114">
      <c r="A114" s="151">
        <f>IFERROR(__xludf.DUMMYFUNCTION("""COMPUTED_VALUE"""),43621.34168687501)</f>
        <v>43621.34169</v>
      </c>
      <c r="B114" s="6" t="str">
        <f>IFERROR(__xludf.DUMMYFUNCTION("""COMPUTED_VALUE"""),"Carolina Bustamante")</f>
        <v>Carolina Bustamante</v>
      </c>
      <c r="C114" s="6" t="str">
        <f>IFERROR(__xludf.DUMMYFUNCTION("""COMPUTED_VALUE"""),"carolina.bustamante@gmail.com")</f>
        <v>carolina.bustamante@gmail.com</v>
      </c>
      <c r="D114" s="62" t="str">
        <f>IFERROR(__xludf.DUMMYFUNCTION("""COMPUTED_VALUE"""),"Contacted")</f>
        <v>Contacted</v>
      </c>
      <c r="E114" s="81">
        <f>IFERROR(__xludf.DUMMYFUNCTION("""COMPUTED_VALUE"""),43627.0)</f>
        <v>43627</v>
      </c>
      <c r="F114" s="62" t="str">
        <f>IFERROR(__xludf.DUMMYFUNCTION("""COMPUTED_VALUE"""),"Yes")</f>
        <v>Yes</v>
      </c>
      <c r="G114" s="62" t="str">
        <f>IFERROR(__xludf.DUMMYFUNCTION("""COMPUTED_VALUE"""),"Variant Pathogenicity")</f>
        <v>Variant Pathogenicity</v>
      </c>
      <c r="H114" s="62" t="str">
        <f>IFERROR(__xludf.DUMMYFUNCTION("""COMPUTED_VALUE"""),"")</f>
        <v/>
      </c>
      <c r="I114" s="152">
        <f t="shared" si="1"/>
        <v>43719</v>
      </c>
      <c r="J114" s="62" t="str">
        <f>IFERROR(__xludf.DUMMYFUNCTION("""COMPUTED_VALUE"""),"")</f>
        <v/>
      </c>
      <c r="K114" s="150">
        <f t="shared" si="2"/>
        <v>43810</v>
      </c>
      <c r="L114" s="62" t="str">
        <f>IFERROR(__xludf.DUMMYFUNCTION("""COMPUTED_VALUE"""),"")</f>
        <v/>
      </c>
      <c r="M114" s="62"/>
      <c r="N114" s="62"/>
      <c r="O114" s="62"/>
      <c r="P114" s="62"/>
      <c r="Q114" s="62"/>
      <c r="R114" s="62"/>
      <c r="S114" s="62"/>
      <c r="T114" s="62"/>
      <c r="U114" s="62"/>
      <c r="V114" s="62"/>
      <c r="W114" s="62"/>
      <c r="X114" s="62"/>
      <c r="Y114" s="62"/>
      <c r="Z114" s="62"/>
      <c r="AA114" s="62"/>
      <c r="AB114" s="62"/>
      <c r="AC114" s="62"/>
      <c r="AD114" s="62"/>
    </row>
    <row r="115">
      <c r="A115" s="151">
        <f>IFERROR(__xludf.DUMMYFUNCTION("""COMPUTED_VALUE"""),43622.554816875)</f>
        <v>43622.55482</v>
      </c>
      <c r="B115" s="6" t="str">
        <f>IFERROR(__xludf.DUMMYFUNCTION("""COMPUTED_VALUE"""),"Jean Davidson")</f>
        <v>Jean Davidson</v>
      </c>
      <c r="C115" s="6" t="str">
        <f>IFERROR(__xludf.DUMMYFUNCTION("""COMPUTED_VALUE"""),"jdavid06@calpoly.edu")</f>
        <v>jdavid06@calpoly.edu</v>
      </c>
      <c r="D115" s="62" t="str">
        <f>IFERROR(__xludf.DUMMYFUNCTION("""COMPUTED_VALUE"""),"Contacted")</f>
        <v>Contacted</v>
      </c>
      <c r="E115" s="77">
        <f>IFERROR(__xludf.DUMMYFUNCTION("""COMPUTED_VALUE"""),43692.0)</f>
        <v>43692</v>
      </c>
      <c r="F115" s="62" t="str">
        <f>IFERROR(__xludf.DUMMYFUNCTION("""COMPUTED_VALUE"""),"Yes")</f>
        <v>Yes</v>
      </c>
      <c r="G115" s="62" t="str">
        <f>IFERROR(__xludf.DUMMYFUNCTION("""COMPUTED_VALUE"""),"Gene Disease Validity")</f>
        <v>Gene Disease Validity</v>
      </c>
      <c r="H115" s="62" t="str">
        <f>IFERROR(__xludf.DUMMYFUNCTION("""COMPUTED_VALUE"""),"")</f>
        <v/>
      </c>
      <c r="I115" s="152">
        <f t="shared" si="1"/>
        <v>43784</v>
      </c>
      <c r="J115" s="62" t="str">
        <f>IFERROR(__xludf.DUMMYFUNCTION("""COMPUTED_VALUE"""),"")</f>
        <v/>
      </c>
      <c r="K115" s="150">
        <f t="shared" si="2"/>
        <v>43876</v>
      </c>
      <c r="L115" s="62" t="str">
        <f>IFERROR(__xludf.DUMMYFUNCTION("""COMPUTED_VALUE"""),"")</f>
        <v/>
      </c>
      <c r="M115" s="62"/>
      <c r="N115" s="62"/>
      <c r="O115" s="62"/>
      <c r="P115" s="62"/>
      <c r="Q115" s="62"/>
      <c r="R115" s="62"/>
      <c r="S115" s="62"/>
      <c r="T115" s="62"/>
      <c r="U115" s="62"/>
      <c r="V115" s="62"/>
      <c r="W115" s="62"/>
      <c r="X115" s="62"/>
      <c r="Y115" s="62"/>
      <c r="Z115" s="62"/>
      <c r="AA115" s="62"/>
      <c r="AB115" s="62"/>
      <c r="AC115" s="62"/>
      <c r="AD115" s="62"/>
    </row>
    <row r="116">
      <c r="A116" s="151">
        <f>IFERROR(__xludf.DUMMYFUNCTION("""COMPUTED_VALUE"""),43625.72974097222)</f>
        <v>43625.72974</v>
      </c>
      <c r="B116" s="6" t="str">
        <f>IFERROR(__xludf.DUMMYFUNCTION("""COMPUTED_VALUE"""),"Greg Lennon")</f>
        <v>Greg Lennon</v>
      </c>
      <c r="C116" s="6" t="str">
        <f>IFERROR(__xludf.DUMMYFUNCTION("""COMPUTED_VALUE"""),"greg.lennon@gmail.com")</f>
        <v>greg.lennon@gmail.com</v>
      </c>
      <c r="D116" s="62" t="str">
        <f>IFERROR(__xludf.DUMMYFUNCTION("""COMPUTED_VALUE"""),"Contacted")</f>
        <v>Contacted</v>
      </c>
      <c r="E116" s="77">
        <f>IFERROR(__xludf.DUMMYFUNCTION("""COMPUTED_VALUE"""),43768.0)</f>
        <v>43768</v>
      </c>
      <c r="F116" s="62" t="str">
        <f>IFERROR(__xludf.DUMMYFUNCTION("""COMPUTED_VALUE"""),"Yes")</f>
        <v>Yes</v>
      </c>
      <c r="G116" s="62" t="str">
        <f>IFERROR(__xludf.DUMMYFUNCTION("""COMPUTED_VALUE"""),"Actionability")</f>
        <v>Actionability</v>
      </c>
      <c r="H116" s="62" t="str">
        <f>IFERROR(__xludf.DUMMYFUNCTION("""COMPUTED_VALUE"""),"Actionability")</f>
        <v>Actionability</v>
      </c>
      <c r="I116" s="152">
        <f t="shared" si="1"/>
        <v>43860</v>
      </c>
      <c r="J116" s="62" t="str">
        <f>IFERROR(__xludf.DUMMYFUNCTION("""COMPUTED_VALUE"""),"")</f>
        <v/>
      </c>
      <c r="K116" s="150">
        <f t="shared" si="2"/>
        <v>43951</v>
      </c>
      <c r="L116" s="62" t="str">
        <f>IFERROR(__xludf.DUMMYFUNCTION("""COMPUTED_VALUE"""),"")</f>
        <v/>
      </c>
      <c r="M116" s="62"/>
      <c r="N116" s="62"/>
      <c r="O116" s="62"/>
      <c r="P116" s="62"/>
      <c r="Q116" s="62"/>
      <c r="R116" s="62"/>
      <c r="S116" s="62"/>
      <c r="T116" s="62"/>
      <c r="U116" s="62"/>
      <c r="V116" s="62"/>
      <c r="W116" s="62"/>
      <c r="X116" s="62"/>
      <c r="Y116" s="62"/>
      <c r="Z116" s="62"/>
      <c r="AA116" s="62"/>
      <c r="AB116" s="62"/>
      <c r="AC116" s="62"/>
      <c r="AD116" s="62"/>
    </row>
    <row r="117">
      <c r="A117" s="151">
        <f>IFERROR(__xludf.DUMMYFUNCTION("""COMPUTED_VALUE"""),43626.46727800926)</f>
        <v>43626.46728</v>
      </c>
      <c r="B117" s="6" t="str">
        <f>IFERROR(__xludf.DUMMYFUNCTION("""COMPUTED_VALUE"""),"Pamela")</f>
        <v>Pamela</v>
      </c>
      <c r="C117" s="6" t="str">
        <f>IFERROR(__xludf.DUMMYFUNCTION("""COMPUTED_VALUE"""),"pchristopherson@versiti.org")</f>
        <v>pchristopherson@versiti.org</v>
      </c>
      <c r="D117" s="62" t="str">
        <f>IFERROR(__xludf.DUMMYFUNCTION("""COMPUTED_VALUE"""),"Contacted")</f>
        <v>Contacted</v>
      </c>
      <c r="E117" s="81">
        <f>IFERROR(__xludf.DUMMYFUNCTION("""COMPUTED_VALUE"""),43626.0)</f>
        <v>43626</v>
      </c>
      <c r="F117" s="62" t="str">
        <f>IFERROR(__xludf.DUMMYFUNCTION("""COMPUTED_VALUE"""),"Yes")</f>
        <v>Yes</v>
      </c>
      <c r="G117" s="62" t="str">
        <f>IFERROR(__xludf.DUMMYFUNCTION("""COMPUTED_VALUE"""),"NA")</f>
        <v>NA</v>
      </c>
      <c r="H117" s="62" t="str">
        <f>IFERROR(__xludf.DUMMYFUNCTION("""COMPUTED_VALUE"""),"")</f>
        <v/>
      </c>
      <c r="I117" s="152">
        <f t="shared" si="1"/>
        <v>43718</v>
      </c>
      <c r="J117" s="62" t="str">
        <f>IFERROR(__xludf.DUMMYFUNCTION("""COMPUTED_VALUE"""),"")</f>
        <v/>
      </c>
      <c r="K117" s="150">
        <f t="shared" si="2"/>
        <v>43809</v>
      </c>
      <c r="L117" s="62" t="str">
        <f>IFERROR(__xludf.DUMMYFUNCTION("""COMPUTED_VALUE"""),"")</f>
        <v/>
      </c>
      <c r="M117" s="62"/>
      <c r="N117" s="62"/>
      <c r="O117" s="62"/>
      <c r="P117" s="62"/>
      <c r="Q117" s="62"/>
      <c r="R117" s="62"/>
      <c r="S117" s="62"/>
      <c r="T117" s="62"/>
      <c r="U117" s="62"/>
      <c r="V117" s="62"/>
      <c r="W117" s="62"/>
      <c r="X117" s="62"/>
      <c r="Y117" s="62"/>
      <c r="Z117" s="62"/>
      <c r="AA117" s="62"/>
      <c r="AB117" s="62"/>
      <c r="AC117" s="62"/>
      <c r="AD117" s="62"/>
    </row>
    <row r="118">
      <c r="A118" s="151">
        <f>IFERROR(__xludf.DUMMYFUNCTION("""COMPUTED_VALUE"""),43627.30079422453)</f>
        <v>43627.30079</v>
      </c>
      <c r="B118" s="6" t="str">
        <f>IFERROR(__xludf.DUMMYFUNCTION("""COMPUTED_VALUE"""),"Generoso")</f>
        <v>Generoso</v>
      </c>
      <c r="C118" s="6" t="str">
        <f>IFERROR(__xludf.DUMMYFUNCTION("""COMPUTED_VALUE"""),"generoso@dantelabs.com")</f>
        <v>generoso@dantelabs.com</v>
      </c>
      <c r="D118" s="62" t="str">
        <f>IFERROR(__xludf.DUMMYFUNCTION("""COMPUTED_VALUE"""),"Contacted")</f>
        <v>Contacted</v>
      </c>
      <c r="E118" s="62" t="str">
        <f>IFERROR(__xludf.DUMMYFUNCTION("""COMPUTED_VALUE"""),"")</f>
        <v/>
      </c>
      <c r="F118" s="62" t="str">
        <f>IFERROR(__xludf.DUMMYFUNCTION("""COMPUTED_VALUE"""),"No")</f>
        <v>No</v>
      </c>
      <c r="G118" s="62" t="str">
        <f>IFERROR(__xludf.DUMMYFUNCTION("""COMPUTED_VALUE"""),"Actionability")</f>
        <v>Actionability</v>
      </c>
      <c r="H118" s="62" t="str">
        <f>IFERROR(__xludf.DUMMYFUNCTION("""COMPUTED_VALUE"""),"")</f>
        <v/>
      </c>
      <c r="I118" s="152">
        <f t="shared" si="1"/>
        <v>90</v>
      </c>
      <c r="J118" s="62" t="str">
        <f>IFERROR(__xludf.DUMMYFUNCTION("""COMPUTED_VALUE"""),"")</f>
        <v/>
      </c>
      <c r="K118" s="150">
        <f t="shared" si="2"/>
        <v>182</v>
      </c>
      <c r="L118" s="62" t="str">
        <f>IFERROR(__xludf.DUMMYFUNCTION("""COMPUTED_VALUE"""),"")</f>
        <v/>
      </c>
      <c r="M118" s="62"/>
      <c r="N118" s="62"/>
      <c r="O118" s="62"/>
      <c r="P118" s="62"/>
      <c r="Q118" s="62"/>
      <c r="R118" s="62"/>
      <c r="S118" s="62"/>
      <c r="T118" s="62"/>
      <c r="U118" s="62"/>
      <c r="V118" s="62"/>
      <c r="W118" s="62"/>
      <c r="X118" s="62"/>
      <c r="Y118" s="62"/>
      <c r="Z118" s="62"/>
      <c r="AA118" s="62"/>
      <c r="AB118" s="62"/>
      <c r="AC118" s="62"/>
      <c r="AD118" s="62"/>
    </row>
    <row r="119">
      <c r="A119" s="151">
        <f>IFERROR(__xludf.DUMMYFUNCTION("""COMPUTED_VALUE"""),43627.80087137731)</f>
        <v>43627.80087</v>
      </c>
      <c r="B119" s="6" t="str">
        <f>IFERROR(__xludf.DUMMYFUNCTION("""COMPUTED_VALUE"""),"Hemantkumar Nemade ")</f>
        <v>Hemantkumar Nemade </v>
      </c>
      <c r="C119" s="6" t="str">
        <f>IFERROR(__xludf.DUMMYFUNCTION("""COMPUTED_VALUE"""),"drhemantnemade@gmail.com")</f>
        <v>drhemantnemade@gmail.com</v>
      </c>
      <c r="D119" s="62" t="str">
        <f>IFERROR(__xludf.DUMMYFUNCTION("""COMPUTED_VALUE"""),"Contacted")</f>
        <v>Contacted</v>
      </c>
      <c r="E119" s="106">
        <f>IFERROR(__xludf.DUMMYFUNCTION("""COMPUTED_VALUE"""),43859.0)</f>
        <v>43859</v>
      </c>
      <c r="F119" s="62" t="str">
        <f>IFERROR(__xludf.DUMMYFUNCTION("""COMPUTED_VALUE"""),"No")</f>
        <v>No</v>
      </c>
      <c r="G119" s="62" t="str">
        <f>IFERROR(__xludf.DUMMYFUNCTION("""COMPUTED_VALUE"""),"Variant Pathogenicity")</f>
        <v>Variant Pathogenicity</v>
      </c>
      <c r="H119" s="62" t="str">
        <f>IFERROR(__xludf.DUMMYFUNCTION("""COMPUTED_VALUE"""),"")</f>
        <v/>
      </c>
      <c r="I119" s="152">
        <f t="shared" si="1"/>
        <v>43950</v>
      </c>
      <c r="J119" s="62" t="str">
        <f>IFERROR(__xludf.DUMMYFUNCTION("""COMPUTED_VALUE"""),"")</f>
        <v/>
      </c>
      <c r="K119" s="150">
        <f t="shared" si="2"/>
        <v>44041</v>
      </c>
      <c r="L119" s="62" t="str">
        <f>IFERROR(__xludf.DUMMYFUNCTION("""COMPUTED_VALUE"""),"")</f>
        <v/>
      </c>
      <c r="M119" s="62"/>
      <c r="N119" s="62"/>
      <c r="O119" s="62"/>
      <c r="P119" s="62"/>
      <c r="Q119" s="62"/>
      <c r="R119" s="62"/>
      <c r="S119" s="62"/>
      <c r="T119" s="62"/>
      <c r="U119" s="62"/>
      <c r="V119" s="62"/>
      <c r="W119" s="62"/>
      <c r="X119" s="62"/>
      <c r="Y119" s="62"/>
      <c r="Z119" s="62"/>
      <c r="AA119" s="62"/>
      <c r="AB119" s="62"/>
      <c r="AC119" s="62"/>
      <c r="AD119" s="62"/>
    </row>
    <row r="120">
      <c r="A120" s="151">
        <f>IFERROR(__xludf.DUMMYFUNCTION("""COMPUTED_VALUE"""),43633.67853769676)</f>
        <v>43633.67854</v>
      </c>
      <c r="B120" s="6" t="str">
        <f>IFERROR(__xludf.DUMMYFUNCTION("""COMPUTED_VALUE"""),"Abul Kalam Azad")</f>
        <v>Abul Kalam Azad</v>
      </c>
      <c r="C120" s="6" t="str">
        <f>IFERROR(__xludf.DUMMYFUNCTION("""COMPUTED_VALUE"""),"azadak@gmail.com")</f>
        <v>azadak@gmail.com</v>
      </c>
      <c r="D120" s="62" t="str">
        <f>IFERROR(__xludf.DUMMYFUNCTION("""COMPUTED_VALUE"""),"Contacted")</f>
        <v>Contacted</v>
      </c>
      <c r="E120" s="77">
        <f>IFERROR(__xludf.DUMMYFUNCTION("""COMPUTED_VALUE"""),43769.0)</f>
        <v>43769</v>
      </c>
      <c r="F120" s="62" t="str">
        <f>IFERROR(__xludf.DUMMYFUNCTION("""COMPUTED_VALUE"""),"Yes")</f>
        <v>Yes</v>
      </c>
      <c r="G120" s="62" t="str">
        <f>IFERROR(__xludf.DUMMYFUNCTION("""COMPUTED_VALUE"""),"Actionability")</f>
        <v>Actionability</v>
      </c>
      <c r="H120" s="62" t="str">
        <f>IFERROR(__xludf.DUMMYFUNCTION("""COMPUTED_VALUE"""),"Actionability")</f>
        <v>Actionability</v>
      </c>
      <c r="I120" s="152">
        <f t="shared" si="1"/>
        <v>43861</v>
      </c>
      <c r="J120" s="62" t="str">
        <f>IFERROR(__xludf.DUMMYFUNCTION("""COMPUTED_VALUE"""),"")</f>
        <v/>
      </c>
      <c r="K120" s="150">
        <f t="shared" si="2"/>
        <v>43951</v>
      </c>
      <c r="L120" s="62" t="str">
        <f>IFERROR(__xludf.DUMMYFUNCTION("""COMPUTED_VALUE"""),"")</f>
        <v/>
      </c>
      <c r="M120" s="62"/>
      <c r="N120" s="62"/>
      <c r="O120" s="62"/>
      <c r="P120" s="62"/>
      <c r="Q120" s="62"/>
      <c r="R120" s="62"/>
      <c r="S120" s="62"/>
      <c r="T120" s="62"/>
      <c r="U120" s="62"/>
      <c r="V120" s="62"/>
      <c r="W120" s="62"/>
      <c r="X120" s="62"/>
      <c r="Y120" s="62"/>
      <c r="Z120" s="62"/>
      <c r="AA120" s="62"/>
      <c r="AB120" s="62"/>
      <c r="AC120" s="62"/>
      <c r="AD120" s="62"/>
    </row>
    <row r="121">
      <c r="A121" s="151">
        <f>IFERROR(__xludf.DUMMYFUNCTION("""COMPUTED_VALUE"""),43643.49489582176)</f>
        <v>43643.4949</v>
      </c>
      <c r="B121" s="6" t="str">
        <f>IFERROR(__xludf.DUMMYFUNCTION("""COMPUTED_VALUE"""),"Marc Lataillade")</f>
        <v>Marc Lataillade</v>
      </c>
      <c r="C121" s="6" t="str">
        <f>IFERROR(__xludf.DUMMYFUNCTION("""COMPUTED_VALUE"""),"marclataillade258@gmail.com")</f>
        <v>marclataillade258@gmail.com</v>
      </c>
      <c r="D121" s="62" t="str">
        <f>IFERROR(__xludf.DUMMYFUNCTION("""COMPUTED_VALUE"""),"Contacted")</f>
        <v>Contacted</v>
      </c>
      <c r="E121" s="77">
        <f>IFERROR(__xludf.DUMMYFUNCTION("""COMPUTED_VALUE"""),43692.0)</f>
        <v>43692</v>
      </c>
      <c r="F121" s="62" t="str">
        <f>IFERROR(__xludf.DUMMYFUNCTION("""COMPUTED_VALUE"""),"Yes")</f>
        <v>Yes</v>
      </c>
      <c r="G121" s="62" t="str">
        <f>IFERROR(__xludf.DUMMYFUNCTION("""COMPUTED_VALUE"""),"Gene Disease Validity")</f>
        <v>Gene Disease Validity</v>
      </c>
      <c r="H121" s="62" t="str">
        <f>IFERROR(__xludf.DUMMYFUNCTION("""COMPUTED_VALUE"""),"")</f>
        <v/>
      </c>
      <c r="I121" s="152">
        <f t="shared" si="1"/>
        <v>43784</v>
      </c>
      <c r="J121" s="62" t="str">
        <f>IFERROR(__xludf.DUMMYFUNCTION("""COMPUTED_VALUE"""),"")</f>
        <v/>
      </c>
      <c r="K121" s="150">
        <f t="shared" si="2"/>
        <v>43876</v>
      </c>
      <c r="L121" s="62" t="str">
        <f>IFERROR(__xludf.DUMMYFUNCTION("""COMPUTED_VALUE"""),"")</f>
        <v/>
      </c>
      <c r="M121" s="62"/>
      <c r="N121" s="62"/>
      <c r="O121" s="62"/>
      <c r="P121" s="62"/>
      <c r="Q121" s="62"/>
      <c r="R121" s="62"/>
      <c r="S121" s="62"/>
      <c r="T121" s="62"/>
      <c r="U121" s="62"/>
      <c r="V121" s="62"/>
      <c r="W121" s="62"/>
      <c r="X121" s="62"/>
      <c r="Y121" s="62"/>
      <c r="Z121" s="62"/>
      <c r="AA121" s="62"/>
      <c r="AB121" s="62"/>
      <c r="AC121" s="62"/>
      <c r="AD121" s="62"/>
    </row>
    <row r="122">
      <c r="A122" s="151">
        <f>IFERROR(__xludf.DUMMYFUNCTION("""COMPUTED_VALUE"""),43648.64460309028)</f>
        <v>43648.6446</v>
      </c>
      <c r="B122" s="6" t="str">
        <f>IFERROR(__xludf.DUMMYFUNCTION("""COMPUTED_VALUE"""),"Lori Millner")</f>
        <v>Lori Millner</v>
      </c>
      <c r="C122" s="6" t="str">
        <f>IFERROR(__xludf.DUMMYFUNCTION("""COMPUTED_VALUE"""),"lorimillner77@gmail.com")</f>
        <v>lorimillner77@gmail.com</v>
      </c>
      <c r="D122" s="62" t="str">
        <f>IFERROR(__xludf.DUMMYFUNCTION("""COMPUTED_VALUE"""),"Assigned")</f>
        <v>Assigned</v>
      </c>
      <c r="E122" s="77">
        <f>IFERROR(__xludf.DUMMYFUNCTION("""COMPUTED_VALUE"""),43719.0)</f>
        <v>43719</v>
      </c>
      <c r="F122" s="62" t="str">
        <f>IFERROR(__xludf.DUMMYFUNCTION("""COMPUTED_VALUE"""),"No")</f>
        <v>No</v>
      </c>
      <c r="G122" s="62" t="str">
        <f>IFERROR(__xludf.DUMMYFUNCTION("""COMPUTED_VALUE"""),"Somatic Cancer")</f>
        <v>Somatic Cancer</v>
      </c>
      <c r="H122" s="62" t="str">
        <f>IFERROR(__xludf.DUMMYFUNCTION("""COMPUTED_VALUE"""),"hematological cancer taskforce")</f>
        <v>hematological cancer taskforce</v>
      </c>
      <c r="I122" s="152">
        <f t="shared" si="1"/>
        <v>43810</v>
      </c>
      <c r="J122" s="62" t="str">
        <f>IFERROR(__xludf.DUMMYFUNCTION("""COMPUTED_VALUE"""),"")</f>
        <v/>
      </c>
      <c r="K122" s="150">
        <f t="shared" si="2"/>
        <v>43901</v>
      </c>
      <c r="L122" s="62" t="str">
        <f>IFERROR(__xludf.DUMMYFUNCTION("""COMPUTED_VALUE"""),"")</f>
        <v/>
      </c>
      <c r="M122" s="62"/>
      <c r="N122" s="62"/>
      <c r="O122" s="62"/>
      <c r="P122" s="62"/>
      <c r="Q122" s="62"/>
      <c r="R122" s="62"/>
      <c r="S122" s="62"/>
      <c r="T122" s="62"/>
      <c r="U122" s="62"/>
      <c r="V122" s="62"/>
      <c r="W122" s="62"/>
      <c r="X122" s="62"/>
      <c r="Y122" s="62"/>
      <c r="Z122" s="62"/>
      <c r="AA122" s="62"/>
      <c r="AB122" s="62"/>
      <c r="AC122" s="62"/>
      <c r="AD122" s="62"/>
    </row>
    <row r="123">
      <c r="A123" s="151">
        <f>IFERROR(__xludf.DUMMYFUNCTION("""COMPUTED_VALUE"""),43661.550887303245)</f>
        <v>43661.55089</v>
      </c>
      <c r="B123" s="6" t="str">
        <f>IFERROR(__xludf.DUMMYFUNCTION("""COMPUTED_VALUE"""),"Mayher Patel")</f>
        <v>Mayher Patel</v>
      </c>
      <c r="C123" s="6" t="str">
        <f>IFERROR(__xludf.DUMMYFUNCTION("""COMPUTED_VALUE"""),"mayher@broadinstitute.org")</f>
        <v>mayher@broadinstitute.org</v>
      </c>
      <c r="D123" s="62" t="str">
        <f>IFERROR(__xludf.DUMMYFUNCTION("""COMPUTED_VALUE"""),"Contacted")</f>
        <v>Contacted</v>
      </c>
      <c r="E123" s="77">
        <f>IFERROR(__xludf.DUMMYFUNCTION("""COMPUTED_VALUE"""),43692.0)</f>
        <v>43692</v>
      </c>
      <c r="F123" s="62" t="str">
        <f>IFERROR(__xludf.DUMMYFUNCTION("""COMPUTED_VALUE"""),"Yes")</f>
        <v>Yes</v>
      </c>
      <c r="G123" s="62" t="str">
        <f>IFERROR(__xludf.DUMMYFUNCTION("""COMPUTED_VALUE"""),"Gene Disease Validity")</f>
        <v>Gene Disease Validity</v>
      </c>
      <c r="H123" s="62" t="str">
        <f>IFERROR(__xludf.DUMMYFUNCTION("""COMPUTED_VALUE"""),"")</f>
        <v/>
      </c>
      <c r="I123" s="152">
        <f t="shared" si="1"/>
        <v>43784</v>
      </c>
      <c r="J123" s="62" t="str">
        <f>IFERROR(__xludf.DUMMYFUNCTION("""COMPUTED_VALUE"""),"")</f>
        <v/>
      </c>
      <c r="K123" s="150">
        <f t="shared" si="2"/>
        <v>43876</v>
      </c>
      <c r="L123" s="62" t="str">
        <f>IFERROR(__xludf.DUMMYFUNCTION("""COMPUTED_VALUE"""),"")</f>
        <v/>
      </c>
      <c r="M123" s="62"/>
      <c r="N123" s="62"/>
      <c r="O123" s="62"/>
      <c r="P123" s="62"/>
      <c r="Q123" s="62"/>
      <c r="R123" s="62"/>
      <c r="S123" s="62"/>
      <c r="T123" s="62"/>
      <c r="U123" s="62"/>
      <c r="V123" s="62"/>
      <c r="W123" s="62"/>
      <c r="X123" s="62"/>
      <c r="Y123" s="62"/>
      <c r="Z123" s="62"/>
      <c r="AA123" s="62"/>
      <c r="AB123" s="62"/>
      <c r="AC123" s="62"/>
      <c r="AD123" s="62"/>
    </row>
    <row r="124">
      <c r="A124" s="151">
        <f>IFERROR(__xludf.DUMMYFUNCTION("""COMPUTED_VALUE"""),43663.56819197916)</f>
        <v>43663.56819</v>
      </c>
      <c r="B124" s="6" t="str">
        <f>IFERROR(__xludf.DUMMYFUNCTION("""COMPUTED_VALUE"""),"Hwaida Hannoush")</f>
        <v>Hwaida Hannoush</v>
      </c>
      <c r="C124" s="6" t="str">
        <f>IFERROR(__xludf.DUMMYFUNCTION("""COMPUTED_VALUE"""),"hhannoush@acmg.net")</f>
        <v>hhannoush@acmg.net</v>
      </c>
      <c r="D124" s="62" t="str">
        <f>IFERROR(__xludf.DUMMYFUNCTION("""COMPUTED_VALUE"""),"Contacted")</f>
        <v>Contacted</v>
      </c>
      <c r="E124" s="77">
        <f>IFERROR(__xludf.DUMMYFUNCTION("""COMPUTED_VALUE"""),43692.0)</f>
        <v>43692</v>
      </c>
      <c r="F124" s="62" t="str">
        <f>IFERROR(__xludf.DUMMYFUNCTION("""COMPUTED_VALUE"""),"Yes")</f>
        <v>Yes</v>
      </c>
      <c r="G124" s="62" t="str">
        <f>IFERROR(__xludf.DUMMYFUNCTION("""COMPUTED_VALUE"""),"Gene Disease Validity")</f>
        <v>Gene Disease Validity</v>
      </c>
      <c r="H124" s="62" t="str">
        <f>IFERROR(__xludf.DUMMYFUNCTION("""COMPUTED_VALUE"""),"")</f>
        <v/>
      </c>
      <c r="I124" s="62"/>
      <c r="J124" s="62" t="str">
        <f>IFERROR(__xludf.DUMMYFUNCTION("""COMPUTED_VALUE"""),"")</f>
        <v/>
      </c>
      <c r="K124" s="62"/>
      <c r="L124" s="62" t="str">
        <f>IFERROR(__xludf.DUMMYFUNCTION("""COMPUTED_VALUE"""),"")</f>
        <v/>
      </c>
      <c r="M124" s="62"/>
      <c r="N124" s="62"/>
      <c r="O124" s="62"/>
      <c r="P124" s="62"/>
      <c r="Q124" s="62"/>
      <c r="R124" s="62"/>
      <c r="S124" s="62"/>
      <c r="T124" s="62"/>
      <c r="U124" s="62"/>
      <c r="V124" s="62"/>
      <c r="W124" s="62"/>
      <c r="X124" s="62"/>
      <c r="Y124" s="62"/>
      <c r="Z124" s="62"/>
      <c r="AA124" s="62"/>
      <c r="AB124" s="62"/>
      <c r="AC124" s="62"/>
      <c r="AD124" s="62"/>
    </row>
    <row r="125">
      <c r="A125" s="151">
        <f>IFERROR(__xludf.DUMMYFUNCTION("""COMPUTED_VALUE"""),43674.42165924769)</f>
        <v>43674.42166</v>
      </c>
      <c r="B125" s="6" t="str">
        <f>IFERROR(__xludf.DUMMYFUNCTION("""COMPUTED_VALUE"""),"Xiaolin Hu")</f>
        <v>Xiaolin Hu</v>
      </c>
      <c r="C125" s="6" t="str">
        <f>IFERROR(__xludf.DUMMYFUNCTION("""COMPUTED_VALUE"""),"xiaolin.hu@cchmc.org")</f>
        <v>xiaolin.hu@cchmc.org</v>
      </c>
      <c r="D125" s="62" t="str">
        <f>IFERROR(__xludf.DUMMYFUNCTION("""COMPUTED_VALUE"""),"Contacted")</f>
        <v>Contacted</v>
      </c>
      <c r="E125" s="77">
        <f>IFERROR(__xludf.DUMMYFUNCTION("""COMPUTED_VALUE"""),43769.0)</f>
        <v>43769</v>
      </c>
      <c r="F125" s="62" t="str">
        <f>IFERROR(__xludf.DUMMYFUNCTION("""COMPUTED_VALUE"""),"Yes")</f>
        <v>Yes</v>
      </c>
      <c r="G125" s="62" t="str">
        <f>IFERROR(__xludf.DUMMYFUNCTION("""COMPUTED_VALUE"""),"Actionability")</f>
        <v>Actionability</v>
      </c>
      <c r="H125" s="62" t="str">
        <f>IFERROR(__xludf.DUMMYFUNCTION("""COMPUTED_VALUE"""),"Actionability")</f>
        <v>Actionability</v>
      </c>
      <c r="I125" s="62"/>
      <c r="J125" s="62" t="str">
        <f>IFERROR(__xludf.DUMMYFUNCTION("""COMPUTED_VALUE"""),"")</f>
        <v/>
      </c>
      <c r="K125" s="62"/>
      <c r="L125" s="62" t="str">
        <f>IFERROR(__xludf.DUMMYFUNCTION("""COMPUTED_VALUE"""),"")</f>
        <v/>
      </c>
      <c r="M125" s="62"/>
      <c r="N125" s="62"/>
      <c r="O125" s="62"/>
      <c r="P125" s="62"/>
      <c r="Q125" s="62"/>
      <c r="R125" s="62"/>
      <c r="S125" s="62"/>
      <c r="T125" s="62"/>
      <c r="U125" s="62"/>
      <c r="V125" s="62"/>
      <c r="W125" s="62"/>
      <c r="X125" s="62"/>
      <c r="Y125" s="62"/>
      <c r="Z125" s="62"/>
      <c r="AA125" s="62"/>
      <c r="AB125" s="62"/>
      <c r="AC125" s="62"/>
      <c r="AD125" s="62"/>
    </row>
    <row r="126">
      <c r="A126" s="151">
        <f>IFERROR(__xludf.DUMMYFUNCTION("""COMPUTED_VALUE"""),43674.68125140046)</f>
        <v>43674.68125</v>
      </c>
      <c r="B126" s="6" t="str">
        <f>IFERROR(__xludf.DUMMYFUNCTION("""COMPUTED_VALUE"""),"Leighton Telling")</f>
        <v>Leighton Telling</v>
      </c>
      <c r="C126" s="6" t="str">
        <f>IFERROR(__xludf.DUMMYFUNCTION("""COMPUTED_VALUE"""),"lptellin@ncsu.edu")</f>
        <v>lptellin@ncsu.edu</v>
      </c>
      <c r="D126" s="62" t="str">
        <f>IFERROR(__xludf.DUMMYFUNCTION("""COMPUTED_VALUE"""),"Contacted")</f>
        <v>Contacted</v>
      </c>
      <c r="E126" s="106">
        <f>IFERROR(__xludf.DUMMYFUNCTION("""COMPUTED_VALUE"""),43859.0)</f>
        <v>43859</v>
      </c>
      <c r="F126" s="62" t="str">
        <f>IFERROR(__xludf.DUMMYFUNCTION("""COMPUTED_VALUE"""),"Yes")</f>
        <v>Yes</v>
      </c>
      <c r="G126" s="62" t="str">
        <f>IFERROR(__xludf.DUMMYFUNCTION("""COMPUTED_VALUE"""),"Variant Pathogenicity")</f>
        <v>Variant Pathogenicity</v>
      </c>
      <c r="H126" s="62" t="str">
        <f>IFERROR(__xludf.DUMMYFUNCTION("""COMPUTED_VALUE"""),"")</f>
        <v/>
      </c>
      <c r="I126" s="62"/>
      <c r="J126" s="62" t="str">
        <f>IFERROR(__xludf.DUMMYFUNCTION("""COMPUTED_VALUE"""),"")</f>
        <v/>
      </c>
      <c r="K126" s="62"/>
      <c r="L126" s="62" t="str">
        <f>IFERROR(__xludf.DUMMYFUNCTION("""COMPUTED_VALUE"""),"")</f>
        <v/>
      </c>
      <c r="M126" s="62"/>
      <c r="N126" s="62"/>
      <c r="O126" s="62"/>
      <c r="P126" s="62"/>
      <c r="Q126" s="62"/>
      <c r="R126" s="62"/>
      <c r="S126" s="62"/>
      <c r="T126" s="62"/>
      <c r="U126" s="62"/>
      <c r="V126" s="62"/>
      <c r="W126" s="62"/>
      <c r="X126" s="62"/>
      <c r="Y126" s="62"/>
      <c r="Z126" s="62"/>
      <c r="AA126" s="62"/>
      <c r="AB126" s="62"/>
      <c r="AC126" s="62"/>
      <c r="AD126" s="62"/>
    </row>
    <row r="127">
      <c r="A127" s="151">
        <f>IFERROR(__xludf.DUMMYFUNCTION("""COMPUTED_VALUE"""),43675.64387090278)</f>
        <v>43675.64387</v>
      </c>
      <c r="B127" s="6" t="str">
        <f>IFERROR(__xludf.DUMMYFUNCTION("""COMPUTED_VALUE"""),"Panieh Terraf")</f>
        <v>Panieh Terraf</v>
      </c>
      <c r="C127" s="6" t="str">
        <f>IFERROR(__xludf.DUMMYFUNCTION("""COMPUTED_VALUE"""),"pterraf@bwh.harvard.edu")</f>
        <v>pterraf@bwh.harvard.edu</v>
      </c>
      <c r="D127" s="62" t="str">
        <f>IFERROR(__xludf.DUMMYFUNCTION("""COMPUTED_VALUE"""),"Assigned")</f>
        <v>Assigned</v>
      </c>
      <c r="E127" s="77">
        <f>IFERROR(__xludf.DUMMYFUNCTION("""COMPUTED_VALUE"""),43719.0)</f>
        <v>43719</v>
      </c>
      <c r="F127" s="62" t="str">
        <f>IFERROR(__xludf.DUMMYFUNCTION("""COMPUTED_VALUE"""),"No")</f>
        <v>No</v>
      </c>
      <c r="G127" s="62" t="str">
        <f>IFERROR(__xludf.DUMMYFUNCTION("""COMPUTED_VALUE"""),"Somatic Cancer")</f>
        <v>Somatic Cancer</v>
      </c>
      <c r="H127" s="62" t="str">
        <f>IFERROR(__xludf.DUMMYFUNCTION("""COMPUTED_VALUE"""),"Pediatric cancer and Hematological cancer taskforce")</f>
        <v>Pediatric cancer and Hematological cancer taskforce</v>
      </c>
      <c r="I127" s="62"/>
      <c r="J127" s="62" t="str">
        <f>IFERROR(__xludf.DUMMYFUNCTION("""COMPUTED_VALUE"""),"")</f>
        <v/>
      </c>
      <c r="K127" s="62"/>
      <c r="L127" s="62" t="str">
        <f>IFERROR(__xludf.DUMMYFUNCTION("""COMPUTED_VALUE"""),"")</f>
        <v/>
      </c>
      <c r="M127" s="62"/>
      <c r="N127" s="62"/>
      <c r="O127" s="62"/>
      <c r="P127" s="62"/>
      <c r="Q127" s="62"/>
      <c r="R127" s="62"/>
      <c r="S127" s="62"/>
      <c r="T127" s="62"/>
      <c r="U127" s="62"/>
      <c r="V127" s="62"/>
      <c r="W127" s="62"/>
      <c r="X127" s="62"/>
      <c r="Y127" s="62"/>
      <c r="Z127" s="62"/>
      <c r="AA127" s="62"/>
      <c r="AB127" s="62"/>
      <c r="AC127" s="62"/>
      <c r="AD127" s="62"/>
    </row>
    <row r="128">
      <c r="A128" s="151">
        <f>IFERROR(__xludf.DUMMYFUNCTION("""COMPUTED_VALUE"""),43678.412040613424)</f>
        <v>43678.41204</v>
      </c>
      <c r="B128" s="6" t="str">
        <f>IFERROR(__xludf.DUMMYFUNCTION("""COMPUTED_VALUE"""),"Eric Kil")</f>
        <v>Eric Kil</v>
      </c>
      <c r="C128" s="6" t="str">
        <f>IFERROR(__xludf.DUMMYFUNCTION("""COMPUTED_VALUE"""),"ekil18@students.kgi.edu")</f>
        <v>ekil18@students.kgi.edu</v>
      </c>
      <c r="D128" s="62" t="str">
        <f>IFERROR(__xludf.DUMMYFUNCTION("""COMPUTED_VALUE"""),"Contacted")</f>
        <v>Contacted</v>
      </c>
      <c r="E128" s="77">
        <f>IFERROR(__xludf.DUMMYFUNCTION("""COMPUTED_VALUE"""),43719.0)</f>
        <v>43719</v>
      </c>
      <c r="F128" s="62" t="str">
        <f>IFERROR(__xludf.DUMMYFUNCTION("""COMPUTED_VALUE"""),"No")</f>
        <v>No</v>
      </c>
      <c r="G128" s="62" t="str">
        <f>IFERROR(__xludf.DUMMYFUNCTION("""COMPUTED_VALUE"""),"Somatic Cancer")</f>
        <v>Somatic Cancer</v>
      </c>
      <c r="H128" s="62" t="str">
        <f>IFERROR(__xludf.DUMMYFUNCTION("""COMPUTED_VALUE"""),"")</f>
        <v/>
      </c>
      <c r="I128" s="62"/>
      <c r="J128" s="62" t="str">
        <f>IFERROR(__xludf.DUMMYFUNCTION("""COMPUTED_VALUE"""),"")</f>
        <v/>
      </c>
      <c r="K128" s="62"/>
      <c r="L128" s="62" t="str">
        <f>IFERROR(__xludf.DUMMYFUNCTION("""COMPUTED_VALUE"""),"")</f>
        <v/>
      </c>
      <c r="M128" s="62"/>
      <c r="N128" s="62"/>
      <c r="O128" s="62"/>
      <c r="P128" s="62"/>
      <c r="Q128" s="62"/>
      <c r="R128" s="62"/>
      <c r="S128" s="62"/>
      <c r="T128" s="62"/>
      <c r="U128" s="62"/>
      <c r="V128" s="62"/>
      <c r="W128" s="62"/>
      <c r="X128" s="62"/>
      <c r="Y128" s="62"/>
      <c r="Z128" s="62"/>
      <c r="AA128" s="62"/>
      <c r="AB128" s="62"/>
      <c r="AC128" s="62"/>
      <c r="AD128" s="62"/>
    </row>
    <row r="129">
      <c r="A129" s="151">
        <f>IFERROR(__xludf.DUMMYFUNCTION("""COMPUTED_VALUE"""),43679.08931378472)</f>
        <v>43679.08931</v>
      </c>
      <c r="B129" s="6" t="str">
        <f>IFERROR(__xludf.DUMMYFUNCTION("""COMPUTED_VALUE"""),"Joseph Steward")</f>
        <v>Joseph Steward</v>
      </c>
      <c r="C129" s="6" t="str">
        <f>IFERROR(__xludf.DUMMYFUNCTION("""COMPUTED_VALUE"""),"jsteward2930@gmail.com")</f>
        <v>jsteward2930@gmail.com</v>
      </c>
      <c r="D129" s="62" t="str">
        <f>IFERROR(__xludf.DUMMYFUNCTION("""COMPUTED_VALUE"""),"Assigned")</f>
        <v>Assigned</v>
      </c>
      <c r="E129" s="77">
        <f>IFERROR(__xludf.DUMMYFUNCTION("""COMPUTED_VALUE"""),43719.0)</f>
        <v>43719</v>
      </c>
      <c r="F129" s="62" t="str">
        <f>IFERROR(__xludf.DUMMYFUNCTION("""COMPUTED_VALUE"""),"No")</f>
        <v>No</v>
      </c>
      <c r="G129" s="62" t="str">
        <f>IFERROR(__xludf.DUMMYFUNCTION("""COMPUTED_VALUE"""),"Somatic Cancer")</f>
        <v>Somatic Cancer</v>
      </c>
      <c r="H129" s="62" t="str">
        <f>IFERROR(__xludf.DUMMYFUNCTION("""COMPUTED_VALUE"""),"Genitourinary cancer taskforce")</f>
        <v>Genitourinary cancer taskforce</v>
      </c>
      <c r="I129" s="62"/>
      <c r="J129" s="62" t="str">
        <f>IFERROR(__xludf.DUMMYFUNCTION("""COMPUTED_VALUE"""),"")</f>
        <v/>
      </c>
      <c r="K129" s="62"/>
      <c r="L129" s="62" t="str">
        <f>IFERROR(__xludf.DUMMYFUNCTION("""COMPUTED_VALUE"""),"")</f>
        <v/>
      </c>
      <c r="M129" s="62"/>
      <c r="N129" s="62"/>
      <c r="O129" s="62"/>
      <c r="P129" s="62"/>
      <c r="Q129" s="62"/>
      <c r="R129" s="62"/>
      <c r="S129" s="62"/>
      <c r="T129" s="62"/>
      <c r="U129" s="62"/>
      <c r="V129" s="62"/>
      <c r="W129" s="62"/>
      <c r="X129" s="62"/>
      <c r="Y129" s="62"/>
      <c r="Z129" s="62"/>
      <c r="AA129" s="62"/>
      <c r="AB129" s="62"/>
      <c r="AC129" s="62"/>
      <c r="AD129" s="62"/>
    </row>
    <row r="130">
      <c r="A130" s="151">
        <f>IFERROR(__xludf.DUMMYFUNCTION("""COMPUTED_VALUE"""),43684.398782951386)</f>
        <v>43684.39878</v>
      </c>
      <c r="B130" s="6" t="str">
        <f>IFERROR(__xludf.DUMMYFUNCTION("""COMPUTED_VALUE"""),"Georgios Tsaousis")</f>
        <v>Georgios Tsaousis</v>
      </c>
      <c r="C130" s="6" t="str">
        <f>IFERROR(__xludf.DUMMYFUNCTION("""COMPUTED_VALUE"""),"gtsaousis@genekor.com")</f>
        <v>gtsaousis@genekor.com</v>
      </c>
      <c r="D130" s="62" t="str">
        <f>IFERROR(__xludf.DUMMYFUNCTION("""COMPUTED_VALUE"""),"Contacted")</f>
        <v>Contacted</v>
      </c>
      <c r="E130" s="106">
        <f>IFERROR(__xludf.DUMMYFUNCTION("""COMPUTED_VALUE"""),43859.0)</f>
        <v>43859</v>
      </c>
      <c r="F130" s="62" t="str">
        <f>IFERROR(__xludf.DUMMYFUNCTION("""COMPUTED_VALUE"""),"No")</f>
        <v>No</v>
      </c>
      <c r="G130" s="62" t="str">
        <f>IFERROR(__xludf.DUMMYFUNCTION("""COMPUTED_VALUE"""),"Variant Pathogenicity")</f>
        <v>Variant Pathogenicity</v>
      </c>
      <c r="H130" s="62" t="str">
        <f>IFERROR(__xludf.DUMMYFUNCTION("""COMPUTED_VALUE"""),"")</f>
        <v/>
      </c>
      <c r="I130" s="62"/>
      <c r="J130" s="62" t="str">
        <f>IFERROR(__xludf.DUMMYFUNCTION("""COMPUTED_VALUE"""),"")</f>
        <v/>
      </c>
      <c r="K130" s="62"/>
      <c r="L130" s="62" t="str">
        <f>IFERROR(__xludf.DUMMYFUNCTION("""COMPUTED_VALUE"""),"")</f>
        <v/>
      </c>
      <c r="M130" s="62"/>
      <c r="N130" s="62"/>
      <c r="O130" s="62"/>
      <c r="P130" s="62"/>
      <c r="Q130" s="62"/>
      <c r="R130" s="62"/>
      <c r="S130" s="62"/>
      <c r="T130" s="62"/>
      <c r="U130" s="62"/>
      <c r="V130" s="62"/>
      <c r="W130" s="62"/>
      <c r="X130" s="62"/>
      <c r="Y130" s="62"/>
      <c r="Z130" s="62"/>
      <c r="AA130" s="62"/>
      <c r="AB130" s="62"/>
      <c r="AC130" s="62"/>
      <c r="AD130" s="62"/>
    </row>
    <row r="131">
      <c r="A131" s="151">
        <f>IFERROR(__xludf.DUMMYFUNCTION("""COMPUTED_VALUE"""),43684.68687708333)</f>
        <v>43684.68688</v>
      </c>
      <c r="B131" s="6" t="str">
        <f>IFERROR(__xludf.DUMMYFUNCTION("""COMPUTED_VALUE"""),"Xia Tian")</f>
        <v>Xia Tian</v>
      </c>
      <c r="C131" s="6" t="str">
        <f>IFERROR(__xludf.DUMMYFUNCTION("""COMPUTED_VALUE"""),"xtian@wuxinextcode.com")</f>
        <v>xtian@wuxinextcode.com</v>
      </c>
      <c r="D131" s="62" t="str">
        <f>IFERROR(__xludf.DUMMYFUNCTION("""COMPUTED_VALUE"""),"Contacted")</f>
        <v>Contacted</v>
      </c>
      <c r="E131" s="106">
        <f>IFERROR(__xludf.DUMMYFUNCTION("""COMPUTED_VALUE"""),43859.0)</f>
        <v>43859</v>
      </c>
      <c r="F131" s="62" t="str">
        <f>IFERROR(__xludf.DUMMYFUNCTION("""COMPUTED_VALUE"""),"No")</f>
        <v>No</v>
      </c>
      <c r="G131" s="62" t="str">
        <f>IFERROR(__xludf.DUMMYFUNCTION("""COMPUTED_VALUE"""),"Variant Pathogenicity")</f>
        <v>Variant Pathogenicity</v>
      </c>
      <c r="H131" s="62" t="str">
        <f>IFERROR(__xludf.DUMMYFUNCTION("""COMPUTED_VALUE"""),"")</f>
        <v/>
      </c>
      <c r="I131" s="62"/>
      <c r="J131" s="62" t="str">
        <f>IFERROR(__xludf.DUMMYFUNCTION("""COMPUTED_VALUE"""),"")</f>
        <v/>
      </c>
      <c r="K131" s="62"/>
      <c r="L131" s="62" t="str">
        <f>IFERROR(__xludf.DUMMYFUNCTION("""COMPUTED_VALUE"""),"")</f>
        <v/>
      </c>
      <c r="M131" s="62"/>
      <c r="N131" s="62"/>
      <c r="O131" s="62"/>
      <c r="P131" s="62"/>
      <c r="Q131" s="62"/>
      <c r="R131" s="62"/>
      <c r="S131" s="62"/>
      <c r="T131" s="62"/>
      <c r="U131" s="62"/>
      <c r="V131" s="62"/>
      <c r="W131" s="62"/>
      <c r="X131" s="62"/>
      <c r="Y131" s="62"/>
      <c r="Z131" s="62"/>
      <c r="AA131" s="62"/>
      <c r="AB131" s="62"/>
      <c r="AC131" s="62"/>
      <c r="AD131" s="62"/>
    </row>
    <row r="132">
      <c r="A132" s="151">
        <f>IFERROR(__xludf.DUMMYFUNCTION("""COMPUTED_VALUE"""),43689.40685208333)</f>
        <v>43689.40685</v>
      </c>
      <c r="B132" s="6" t="str">
        <f>IFERROR(__xludf.DUMMYFUNCTION("""COMPUTED_VALUE"""),"SAILATHA RAVI")</f>
        <v>SAILATHA RAVI</v>
      </c>
      <c r="C132" s="6" t="str">
        <f>IFERROR(__xludf.DUMMYFUNCTION("""COMPUTED_VALUE"""),"sailatha.ravi@gmail.com")</f>
        <v>sailatha.ravi@gmail.com</v>
      </c>
      <c r="D132" s="62" t="str">
        <f>IFERROR(__xludf.DUMMYFUNCTION("""COMPUTED_VALUE"""),"Contacted")</f>
        <v>Contacted</v>
      </c>
      <c r="E132" s="77">
        <f>IFERROR(__xludf.DUMMYFUNCTION("""COMPUTED_VALUE"""),43692.0)</f>
        <v>43692</v>
      </c>
      <c r="F132" s="62" t="str">
        <f>IFERROR(__xludf.DUMMYFUNCTION("""COMPUTED_VALUE"""),"No")</f>
        <v>No</v>
      </c>
      <c r="G132" s="62" t="str">
        <f>IFERROR(__xludf.DUMMYFUNCTION("""COMPUTED_VALUE"""),"Gene Disease Validity")</f>
        <v>Gene Disease Validity</v>
      </c>
      <c r="H132" s="62" t="str">
        <f>IFERROR(__xludf.DUMMYFUNCTION("""COMPUTED_VALUE"""),"")</f>
        <v/>
      </c>
      <c r="I132" s="62"/>
      <c r="J132" s="62" t="str">
        <f>IFERROR(__xludf.DUMMYFUNCTION("""COMPUTED_VALUE"""),"")</f>
        <v/>
      </c>
      <c r="K132" s="62"/>
      <c r="L132" s="62" t="str">
        <f>IFERROR(__xludf.DUMMYFUNCTION("""COMPUTED_VALUE"""),"")</f>
        <v/>
      </c>
      <c r="M132" s="62"/>
      <c r="N132" s="62"/>
      <c r="O132" s="62"/>
      <c r="P132" s="62"/>
      <c r="Q132" s="62"/>
      <c r="R132" s="62"/>
      <c r="S132" s="62"/>
      <c r="T132" s="62"/>
      <c r="U132" s="62"/>
      <c r="V132" s="62"/>
      <c r="W132" s="62"/>
      <c r="X132" s="62"/>
      <c r="Y132" s="62"/>
      <c r="Z132" s="62"/>
      <c r="AA132" s="62"/>
      <c r="AB132" s="62"/>
      <c r="AC132" s="62"/>
      <c r="AD132" s="62"/>
    </row>
    <row r="133">
      <c r="A133" s="151">
        <f>IFERROR(__xludf.DUMMYFUNCTION("""COMPUTED_VALUE"""),43692.43983260416)</f>
        <v>43692.43983</v>
      </c>
      <c r="B133" s="6" t="str">
        <f>IFERROR(__xludf.DUMMYFUNCTION("""COMPUTED_VALUE"""),"Ronaldo da Silva Francisco Junior")</f>
        <v>Ronaldo da Silva Francisco Junior</v>
      </c>
      <c r="C133" s="6" t="str">
        <f>IFERROR(__xludf.DUMMYFUNCTION("""COMPUTED_VALUE"""),"ronaldoj@lncc.br")</f>
        <v>ronaldoj@lncc.br</v>
      </c>
      <c r="D133" s="62" t="str">
        <f>IFERROR(__xludf.DUMMYFUNCTION("""COMPUTED_VALUE"""),"Contacted")</f>
        <v>Contacted</v>
      </c>
      <c r="E133" s="106">
        <f>IFERROR(__xludf.DUMMYFUNCTION("""COMPUTED_VALUE"""),43859.0)</f>
        <v>43859</v>
      </c>
      <c r="F133" s="62" t="str">
        <f>IFERROR(__xludf.DUMMYFUNCTION("""COMPUTED_VALUE"""),"No")</f>
        <v>No</v>
      </c>
      <c r="G133" s="62" t="str">
        <f>IFERROR(__xludf.DUMMYFUNCTION("""COMPUTED_VALUE"""),"Variant Pathogenicity")</f>
        <v>Variant Pathogenicity</v>
      </c>
      <c r="H133" s="62" t="str">
        <f>IFERROR(__xludf.DUMMYFUNCTION("""COMPUTED_VALUE"""),"")</f>
        <v/>
      </c>
      <c r="I133" s="62"/>
      <c r="J133" s="62" t="str">
        <f>IFERROR(__xludf.DUMMYFUNCTION("""COMPUTED_VALUE"""),"")</f>
        <v/>
      </c>
      <c r="K133" s="62"/>
      <c r="L133" s="62" t="str">
        <f>IFERROR(__xludf.DUMMYFUNCTION("""COMPUTED_VALUE"""),"")</f>
        <v/>
      </c>
      <c r="M133" s="62"/>
      <c r="N133" s="62"/>
      <c r="O133" s="62"/>
      <c r="P133" s="62"/>
      <c r="Q133" s="62"/>
      <c r="R133" s="62"/>
      <c r="S133" s="62"/>
      <c r="T133" s="62"/>
      <c r="U133" s="62"/>
      <c r="V133" s="62"/>
      <c r="W133" s="62"/>
      <c r="X133" s="62"/>
      <c r="Y133" s="62"/>
      <c r="Z133" s="62"/>
      <c r="AA133" s="62"/>
      <c r="AB133" s="62"/>
      <c r="AC133" s="62"/>
      <c r="AD133" s="62"/>
    </row>
    <row r="134">
      <c r="A134" s="151">
        <f>IFERROR(__xludf.DUMMYFUNCTION("""COMPUTED_VALUE"""),43693.34301476852)</f>
        <v>43693.34301</v>
      </c>
      <c r="B134" s="6" t="str">
        <f>IFERROR(__xludf.DUMMYFUNCTION("""COMPUTED_VALUE"""),"FENGLI ZHANG")</f>
        <v>FENGLI ZHANG</v>
      </c>
      <c r="C134" s="6" t="str">
        <f>IFERROR(__xludf.DUMMYFUNCTION("""COMPUTED_VALUE"""),"fengli.zhang@slh.wisc.edu")</f>
        <v>fengli.zhang@slh.wisc.edu</v>
      </c>
      <c r="D134" s="62" t="str">
        <f>IFERROR(__xludf.DUMMYFUNCTION("""COMPUTED_VALUE"""),"Assigned")</f>
        <v>Assigned</v>
      </c>
      <c r="E134" s="81">
        <f>IFERROR(__xludf.DUMMYFUNCTION("""COMPUTED_VALUE"""),43719.0)</f>
        <v>43719</v>
      </c>
      <c r="F134" s="62" t="str">
        <f>IFERROR(__xludf.DUMMYFUNCTION("""COMPUTED_VALUE"""),"No")</f>
        <v>No</v>
      </c>
      <c r="G134" s="62" t="str">
        <f>IFERROR(__xludf.DUMMYFUNCTION("""COMPUTED_VALUE"""),"Somatic Cancer")</f>
        <v>Somatic Cancer</v>
      </c>
      <c r="H134" s="62" t="str">
        <f>IFERROR(__xludf.DUMMYFUNCTION("""COMPUTED_VALUE"""),"Hematological Cancer taskforce")</f>
        <v>Hematological Cancer taskforce</v>
      </c>
      <c r="I134" s="62"/>
      <c r="J134" s="62" t="str">
        <f>IFERROR(__xludf.DUMMYFUNCTION("""COMPUTED_VALUE"""),"")</f>
        <v/>
      </c>
      <c r="K134" s="62"/>
      <c r="L134" s="62" t="str">
        <f>IFERROR(__xludf.DUMMYFUNCTION("""COMPUTED_VALUE"""),"")</f>
        <v/>
      </c>
      <c r="M134" s="62"/>
      <c r="N134" s="62"/>
      <c r="O134" s="62"/>
      <c r="P134" s="62"/>
      <c r="Q134" s="62"/>
      <c r="R134" s="62"/>
      <c r="S134" s="62"/>
      <c r="T134" s="62"/>
      <c r="U134" s="62"/>
      <c r="V134" s="62"/>
      <c r="W134" s="62"/>
      <c r="X134" s="62"/>
      <c r="Y134" s="62"/>
      <c r="Z134" s="62"/>
      <c r="AA134" s="62"/>
      <c r="AB134" s="62"/>
      <c r="AC134" s="62"/>
      <c r="AD134" s="62"/>
    </row>
    <row r="135">
      <c r="A135" s="151">
        <f>IFERROR(__xludf.DUMMYFUNCTION("""COMPUTED_VALUE"""),43696.33861744213)</f>
        <v>43696.33862</v>
      </c>
      <c r="B135" s="6" t="str">
        <f>IFERROR(__xludf.DUMMYFUNCTION("""COMPUTED_VALUE"""),"Andrew Stergachis")</f>
        <v>Andrew Stergachis</v>
      </c>
      <c r="C135" s="6" t="str">
        <f>IFERROR(__xludf.DUMMYFUNCTION("""COMPUTED_VALUE"""),"astergachis@bwh.harvard.edu")</f>
        <v>astergachis@bwh.harvard.edu</v>
      </c>
      <c r="D135" s="62" t="str">
        <f>IFERROR(__xludf.DUMMYFUNCTION("""COMPUTED_VALUE"""),"Assigned")</f>
        <v>Assigned</v>
      </c>
      <c r="E135" s="77">
        <f>IFERROR(__xludf.DUMMYFUNCTION("""COMPUTED_VALUE"""),43678.0)</f>
        <v>43678</v>
      </c>
      <c r="F135" s="62" t="str">
        <f>IFERROR(__xludf.DUMMYFUNCTION("""COMPUTED_VALUE"""),"Yes")</f>
        <v>Yes</v>
      </c>
      <c r="G135" s="62" t="str">
        <f>IFERROR(__xludf.DUMMYFUNCTION("""COMPUTED_VALUE"""),"Actionability")</f>
        <v>Actionability</v>
      </c>
      <c r="H135" s="62" t="str">
        <f>IFERROR(__xludf.DUMMYFUNCTION("""COMPUTED_VALUE"""),"")</f>
        <v/>
      </c>
      <c r="I135" s="62"/>
      <c r="J135" s="62" t="str">
        <f>IFERROR(__xludf.DUMMYFUNCTION("""COMPUTED_VALUE"""),"")</f>
        <v/>
      </c>
      <c r="K135" s="62"/>
      <c r="L135" s="62" t="str">
        <f>IFERROR(__xludf.DUMMYFUNCTION("""COMPUTED_VALUE"""),"")</f>
        <v/>
      </c>
      <c r="M135" s="62"/>
      <c r="N135" s="62"/>
      <c r="O135" s="62"/>
      <c r="P135" s="62"/>
      <c r="Q135" s="62"/>
      <c r="R135" s="62"/>
      <c r="S135" s="62"/>
      <c r="T135" s="62"/>
      <c r="U135" s="62"/>
      <c r="V135" s="62"/>
      <c r="W135" s="62"/>
      <c r="X135" s="62"/>
      <c r="Y135" s="62"/>
      <c r="Z135" s="62"/>
      <c r="AA135" s="62"/>
      <c r="AB135" s="62"/>
      <c r="AC135" s="62"/>
      <c r="AD135" s="62"/>
    </row>
    <row r="136">
      <c r="A136" s="151">
        <f>IFERROR(__xludf.DUMMYFUNCTION("""COMPUTED_VALUE"""),43711.08206508102)</f>
        <v>43711.08207</v>
      </c>
      <c r="B136" s="6" t="str">
        <f>IFERROR(__xludf.DUMMYFUNCTION("""COMPUTED_VALUE"""),"Xin Chen")</f>
        <v>Xin Chen</v>
      </c>
      <c r="C136" s="6" t="str">
        <f>IFERROR(__xludf.DUMMYFUNCTION("""COMPUTED_VALUE"""),"chenx30nju@gmail.com")</f>
        <v>chenx30nju@gmail.com</v>
      </c>
      <c r="D136" s="62" t="str">
        <f>IFERROR(__xludf.DUMMYFUNCTION("""COMPUTED_VALUE"""),"Contacted")</f>
        <v>Contacted</v>
      </c>
      <c r="E136" s="106">
        <f>IFERROR(__xludf.DUMMYFUNCTION("""COMPUTED_VALUE"""),43859.0)</f>
        <v>43859</v>
      </c>
      <c r="F136" s="62" t="str">
        <f>IFERROR(__xludf.DUMMYFUNCTION("""COMPUTED_VALUE"""),"Yes")</f>
        <v>Yes</v>
      </c>
      <c r="G136" s="62" t="str">
        <f>IFERROR(__xludf.DUMMYFUNCTION("""COMPUTED_VALUE"""),"Variant Pathogenicity")</f>
        <v>Variant Pathogenicity</v>
      </c>
      <c r="H136" s="62" t="str">
        <f>IFERROR(__xludf.DUMMYFUNCTION("""COMPUTED_VALUE"""),"")</f>
        <v/>
      </c>
      <c r="I136" s="62"/>
      <c r="J136" s="62" t="str">
        <f>IFERROR(__xludf.DUMMYFUNCTION("""COMPUTED_VALUE"""),"")</f>
        <v/>
      </c>
      <c r="K136" s="62"/>
      <c r="L136" s="62" t="str">
        <f>IFERROR(__xludf.DUMMYFUNCTION("""COMPUTED_VALUE"""),"")</f>
        <v/>
      </c>
      <c r="M136" s="62"/>
      <c r="N136" s="62"/>
      <c r="O136" s="62"/>
      <c r="P136" s="62"/>
      <c r="Q136" s="62"/>
      <c r="R136" s="62"/>
      <c r="S136" s="62"/>
      <c r="T136" s="62"/>
      <c r="U136" s="62"/>
      <c r="V136" s="62"/>
      <c r="W136" s="62"/>
      <c r="X136" s="62"/>
      <c r="Y136" s="62"/>
      <c r="Z136" s="62"/>
      <c r="AA136" s="62"/>
      <c r="AB136" s="62"/>
      <c r="AC136" s="62"/>
      <c r="AD136" s="62"/>
    </row>
    <row r="137">
      <c r="A137" s="151">
        <f>IFERROR(__xludf.DUMMYFUNCTION("""COMPUTED_VALUE"""),43711.38992238426)</f>
        <v>43711.38992</v>
      </c>
      <c r="B137" s="6" t="str">
        <f>IFERROR(__xludf.DUMMYFUNCTION("""COMPUTED_VALUE"""),"Tomohiko Ai")</f>
        <v>Tomohiko Ai</v>
      </c>
      <c r="C137" s="6" t="str">
        <f>IFERROR(__xludf.DUMMYFUNCTION("""COMPUTED_VALUE"""),"Tomohiko.Ai@osumc.edu")</f>
        <v>Tomohiko.Ai@osumc.edu</v>
      </c>
      <c r="D137" s="62" t="str">
        <f>IFERROR(__xludf.DUMMYFUNCTION("""COMPUTED_VALUE"""),"Contacted")</f>
        <v>Contacted</v>
      </c>
      <c r="E137" s="81">
        <f>IFERROR(__xludf.DUMMYFUNCTION("""COMPUTED_VALUE"""),43626.0)</f>
        <v>43626</v>
      </c>
      <c r="F137" s="62" t="str">
        <f>IFERROR(__xludf.DUMMYFUNCTION("""COMPUTED_VALUE"""),"Yes")</f>
        <v>Yes</v>
      </c>
      <c r="G137" s="62" t="str">
        <f>IFERROR(__xludf.DUMMYFUNCTION("""COMPUTED_VALUE"""),"Variant Pathogenicity")</f>
        <v>Variant Pathogenicity</v>
      </c>
      <c r="H137" s="62" t="str">
        <f>IFERROR(__xludf.DUMMYFUNCTION("""COMPUTED_VALUE"""),"")</f>
        <v/>
      </c>
      <c r="I137" s="62"/>
      <c r="J137" s="62" t="str">
        <f>IFERROR(__xludf.DUMMYFUNCTION("""COMPUTED_VALUE"""),"")</f>
        <v/>
      </c>
      <c r="K137" s="62"/>
      <c r="L137" s="62" t="str">
        <f>IFERROR(__xludf.DUMMYFUNCTION("""COMPUTED_VALUE"""),"")</f>
        <v/>
      </c>
      <c r="M137" s="62"/>
      <c r="N137" s="62"/>
      <c r="O137" s="62"/>
      <c r="P137" s="62"/>
      <c r="Q137" s="62"/>
      <c r="R137" s="62"/>
      <c r="S137" s="62"/>
      <c r="T137" s="62"/>
      <c r="U137" s="62"/>
      <c r="V137" s="62"/>
      <c r="W137" s="62"/>
      <c r="X137" s="62"/>
      <c r="Y137" s="62"/>
      <c r="Z137" s="62"/>
      <c r="AA137" s="62"/>
      <c r="AB137" s="62"/>
      <c r="AC137" s="62"/>
      <c r="AD137" s="62"/>
    </row>
    <row r="138">
      <c r="A138" s="151">
        <f>IFERROR(__xludf.DUMMYFUNCTION("""COMPUTED_VALUE"""),43711.408003530094)</f>
        <v>43711.408</v>
      </c>
      <c r="B138" s="6" t="str">
        <f>IFERROR(__xludf.DUMMYFUNCTION("""COMPUTED_VALUE"""),"Coumarane Mani")</f>
        <v>Coumarane Mani</v>
      </c>
      <c r="C138" s="6" t="str">
        <f>IFERROR(__xludf.DUMMYFUNCTION("""COMPUTED_VALUE"""),"coumarane.mani@aruplab.com")</f>
        <v>coumarane.mani@aruplab.com</v>
      </c>
      <c r="D138" s="62" t="str">
        <f>IFERROR(__xludf.DUMMYFUNCTION("""COMPUTED_VALUE"""),"Contacted")</f>
        <v>Contacted</v>
      </c>
      <c r="E138" s="81">
        <f>IFERROR(__xludf.DUMMYFUNCTION("""COMPUTED_VALUE"""),43585.0)</f>
        <v>43585</v>
      </c>
      <c r="F138" s="62" t="str">
        <f>IFERROR(__xludf.DUMMYFUNCTION("""COMPUTED_VALUE"""),"No")</f>
        <v>No</v>
      </c>
      <c r="G138" s="62" t="str">
        <f>IFERROR(__xludf.DUMMYFUNCTION("""COMPUTED_VALUE"""),"Gene Disease Validity")</f>
        <v>Gene Disease Validity</v>
      </c>
      <c r="H138" s="62" t="str">
        <f>IFERROR(__xludf.DUMMYFUNCTION("""COMPUTED_VALUE"""),"")</f>
        <v/>
      </c>
      <c r="I138" s="62"/>
      <c r="J138" s="81">
        <f>IFERROR(__xludf.DUMMYFUNCTION("""COMPUTED_VALUE"""),43712.0)</f>
        <v>43712</v>
      </c>
      <c r="K138" s="62"/>
      <c r="L138" s="81" t="str">
        <f>IFERROR(__xludf.DUMMYFUNCTION("""COMPUTED_VALUE"""),"")</f>
        <v/>
      </c>
      <c r="M138" s="62"/>
      <c r="N138" s="62"/>
      <c r="O138" s="62"/>
      <c r="P138" s="62"/>
      <c r="Q138" s="62"/>
      <c r="R138" s="62"/>
      <c r="S138" s="62"/>
      <c r="T138" s="62"/>
      <c r="U138" s="62"/>
      <c r="V138" s="62"/>
      <c r="W138" s="62"/>
      <c r="X138" s="62"/>
      <c r="Y138" s="62"/>
      <c r="Z138" s="62"/>
      <c r="AA138" s="62"/>
      <c r="AB138" s="62"/>
      <c r="AC138" s="62"/>
      <c r="AD138" s="62"/>
    </row>
    <row r="139">
      <c r="A139" s="151">
        <f>IFERROR(__xludf.DUMMYFUNCTION("""COMPUTED_VALUE"""),43711.40908538195)</f>
        <v>43711.40909</v>
      </c>
      <c r="B139" s="6" t="str">
        <f>IFERROR(__xludf.DUMMYFUNCTION("""COMPUTED_VALUE"""),"Coumarane Mani")</f>
        <v>Coumarane Mani</v>
      </c>
      <c r="C139" s="6" t="str">
        <f>IFERROR(__xludf.DUMMYFUNCTION("""COMPUTED_VALUE"""),"coumarane.mani@aruplab.com")</f>
        <v>coumarane.mani@aruplab.com</v>
      </c>
      <c r="D139" s="62" t="str">
        <f>IFERROR(__xludf.DUMMYFUNCTION("""COMPUTED_VALUE"""),"Contacted")</f>
        <v>Contacted</v>
      </c>
      <c r="E139" s="81">
        <f>IFERROR(__xludf.DUMMYFUNCTION("""COMPUTED_VALUE"""),43605.0)</f>
        <v>43605</v>
      </c>
      <c r="F139" s="62" t="str">
        <f>IFERROR(__xludf.DUMMYFUNCTION("""COMPUTED_VALUE"""),"Yes")</f>
        <v>Yes</v>
      </c>
      <c r="G139" s="62" t="str">
        <f>IFERROR(__xludf.DUMMYFUNCTION("""COMPUTED_VALUE"""),"Variant Pathogenicity")</f>
        <v>Variant Pathogenicity</v>
      </c>
      <c r="H139" s="62" t="str">
        <f>IFERROR(__xludf.DUMMYFUNCTION("""COMPUTED_VALUE"""),"")</f>
        <v/>
      </c>
      <c r="I139" s="62"/>
      <c r="J139" s="62" t="str">
        <f>IFERROR(__xludf.DUMMYFUNCTION("""COMPUTED_VALUE"""),"")</f>
        <v/>
      </c>
      <c r="K139" s="62"/>
      <c r="L139" s="62" t="str">
        <f>IFERROR(__xludf.DUMMYFUNCTION("""COMPUTED_VALUE"""),"")</f>
        <v/>
      </c>
      <c r="M139" s="62"/>
      <c r="N139" s="62"/>
      <c r="O139" s="62"/>
      <c r="P139" s="62"/>
      <c r="Q139" s="62"/>
      <c r="R139" s="62"/>
      <c r="S139" s="62"/>
      <c r="T139" s="62"/>
      <c r="U139" s="62"/>
      <c r="V139" s="62"/>
      <c r="W139" s="62"/>
      <c r="X139" s="62"/>
      <c r="Y139" s="62"/>
      <c r="Z139" s="62"/>
      <c r="AA139" s="62"/>
      <c r="AB139" s="62"/>
      <c r="AC139" s="62"/>
      <c r="AD139" s="62"/>
    </row>
    <row r="140">
      <c r="A140" s="151">
        <f>IFERROR(__xludf.DUMMYFUNCTION("""COMPUTED_VALUE"""),43711.41408498842)</f>
        <v>43711.41408</v>
      </c>
      <c r="B140" s="6" t="str">
        <f>IFERROR(__xludf.DUMMYFUNCTION("""COMPUTED_VALUE"""),"Diogo Ventura Lovato")</f>
        <v>Diogo Ventura Lovato</v>
      </c>
      <c r="C140" s="6" t="str">
        <f>IFERROR(__xludf.DUMMYFUNCTION("""COMPUTED_VALUE"""),"diogo.v.lovato@gmail.com")</f>
        <v>diogo.v.lovato@gmail.com</v>
      </c>
      <c r="D140" s="62" t="str">
        <f>IFERROR(__xludf.DUMMYFUNCTION("""COMPUTED_VALUE"""),"Contacted")</f>
        <v>Contacted</v>
      </c>
      <c r="E140" s="81">
        <f>IFERROR(__xludf.DUMMYFUNCTION("""COMPUTED_VALUE"""),47258.0)</f>
        <v>47258</v>
      </c>
      <c r="F140" s="62" t="str">
        <f>IFERROR(__xludf.DUMMYFUNCTION("""COMPUTED_VALUE"""),"Yes")</f>
        <v>Yes</v>
      </c>
      <c r="G140" s="62" t="str">
        <f>IFERROR(__xludf.DUMMYFUNCTION("""COMPUTED_VALUE"""),"Variant Pathogenicity")</f>
        <v>Variant Pathogenicity</v>
      </c>
      <c r="H140" s="62" t="str">
        <f>IFERROR(__xludf.DUMMYFUNCTION("""COMPUTED_VALUE"""),"")</f>
        <v/>
      </c>
      <c r="I140" s="62"/>
      <c r="J140" s="62" t="str">
        <f>IFERROR(__xludf.DUMMYFUNCTION("""COMPUTED_VALUE"""),"")</f>
        <v/>
      </c>
      <c r="K140" s="62"/>
      <c r="L140" s="62" t="str">
        <f>IFERROR(__xludf.DUMMYFUNCTION("""COMPUTED_VALUE"""),"")</f>
        <v/>
      </c>
      <c r="M140" s="62"/>
      <c r="N140" s="62"/>
      <c r="O140" s="62"/>
      <c r="P140" s="62"/>
      <c r="Q140" s="62"/>
      <c r="R140" s="62"/>
      <c r="S140" s="62"/>
      <c r="T140" s="62"/>
      <c r="U140" s="62"/>
      <c r="V140" s="62"/>
      <c r="W140" s="62"/>
      <c r="X140" s="62"/>
      <c r="Y140" s="62"/>
      <c r="Z140" s="62"/>
      <c r="AA140" s="62"/>
      <c r="AB140" s="62"/>
      <c r="AC140" s="62"/>
      <c r="AD140" s="62"/>
    </row>
    <row r="141">
      <c r="A141" s="151">
        <f>IFERROR(__xludf.DUMMYFUNCTION("""COMPUTED_VALUE"""),43711.41696469907)</f>
        <v>43711.41696</v>
      </c>
      <c r="B141" s="6" t="str">
        <f>IFERROR(__xludf.DUMMYFUNCTION("""COMPUTED_VALUE"""),"Elaine Spector")</f>
        <v>Elaine Spector</v>
      </c>
      <c r="C141" s="6" t="str">
        <f>IFERROR(__xludf.DUMMYFUNCTION("""COMPUTED_VALUE"""),"elaine.spector@childrenscolorado.org")</f>
        <v>elaine.spector@childrenscolorado.org</v>
      </c>
      <c r="D141" s="62" t="str">
        <f>IFERROR(__xludf.DUMMYFUNCTION("""COMPUTED_VALUE"""),"Contacted")</f>
        <v>Contacted</v>
      </c>
      <c r="E141" s="81">
        <f>IFERROR(__xludf.DUMMYFUNCTION("""COMPUTED_VALUE"""),43626.0)</f>
        <v>43626</v>
      </c>
      <c r="F141" s="62" t="str">
        <f>IFERROR(__xludf.DUMMYFUNCTION("""COMPUTED_VALUE"""),"No")</f>
        <v>No</v>
      </c>
      <c r="G141" s="62" t="str">
        <f>IFERROR(__xludf.DUMMYFUNCTION("""COMPUTED_VALUE"""),"Variant Pathogenicity")</f>
        <v>Variant Pathogenicity</v>
      </c>
      <c r="H141" s="62" t="str">
        <f>IFERROR(__xludf.DUMMYFUNCTION("""COMPUTED_VALUE"""),"")</f>
        <v/>
      </c>
      <c r="I141" s="62"/>
      <c r="J141" s="62" t="str">
        <f>IFERROR(__xludf.DUMMYFUNCTION("""COMPUTED_VALUE"""),"")</f>
        <v/>
      </c>
      <c r="K141" s="62"/>
      <c r="L141" s="62" t="str">
        <f>IFERROR(__xludf.DUMMYFUNCTION("""COMPUTED_VALUE"""),"")</f>
        <v/>
      </c>
      <c r="M141" s="62"/>
      <c r="N141" s="62"/>
      <c r="O141" s="62"/>
      <c r="P141" s="62"/>
      <c r="Q141" s="62"/>
      <c r="R141" s="62"/>
      <c r="S141" s="62"/>
      <c r="T141" s="62"/>
      <c r="U141" s="62"/>
      <c r="V141" s="62"/>
      <c r="W141" s="62"/>
      <c r="X141" s="62"/>
      <c r="Y141" s="62"/>
      <c r="Z141" s="62"/>
      <c r="AA141" s="62"/>
      <c r="AB141" s="62"/>
      <c r="AC141" s="62"/>
      <c r="AD141" s="62"/>
    </row>
    <row r="142">
      <c r="A142" s="151">
        <f>IFERROR(__xludf.DUMMYFUNCTION("""COMPUTED_VALUE"""),43711.422284594904)</f>
        <v>43711.42228</v>
      </c>
      <c r="B142" s="6" t="str">
        <f>IFERROR(__xludf.DUMMYFUNCTION("""COMPUTED_VALUE"""),"Laura Fuqua")</f>
        <v>Laura Fuqua</v>
      </c>
      <c r="C142" s="6" t="str">
        <f>IFERROR(__xludf.DUMMYFUNCTION("""COMPUTED_VALUE"""),"laura.fuqua@gmail.com")</f>
        <v>laura.fuqua@gmail.com</v>
      </c>
      <c r="D142" s="62" t="str">
        <f>IFERROR(__xludf.DUMMYFUNCTION("""COMPUTED_VALUE"""),"Contacted")</f>
        <v>Contacted</v>
      </c>
      <c r="E142" s="81">
        <f>IFERROR(__xludf.DUMMYFUNCTION("""COMPUTED_VALUE"""),43608.0)</f>
        <v>43608</v>
      </c>
      <c r="F142" s="62" t="str">
        <f>IFERROR(__xludf.DUMMYFUNCTION("""COMPUTED_VALUE"""),"Yes")</f>
        <v>Yes</v>
      </c>
      <c r="G142" s="62" t="str">
        <f>IFERROR(__xludf.DUMMYFUNCTION("""COMPUTED_VALUE"""),"Variant Pathogenicity")</f>
        <v>Variant Pathogenicity</v>
      </c>
      <c r="H142" s="62" t="str">
        <f>IFERROR(__xludf.DUMMYFUNCTION("""COMPUTED_VALUE"""),"TP53")</f>
        <v>TP53</v>
      </c>
      <c r="I142" s="62"/>
      <c r="J142" s="81">
        <f>IFERROR(__xludf.DUMMYFUNCTION("""COMPUTED_VALUE"""),43712.0)</f>
        <v>43712</v>
      </c>
      <c r="K142" s="62"/>
      <c r="L142" s="81" t="str">
        <f>IFERROR(__xludf.DUMMYFUNCTION("""COMPUTED_VALUE"""),"")</f>
        <v/>
      </c>
      <c r="M142" s="62"/>
      <c r="N142" s="62"/>
      <c r="O142" s="62"/>
      <c r="P142" s="62"/>
      <c r="Q142" s="62"/>
      <c r="R142" s="62"/>
      <c r="S142" s="62"/>
      <c r="T142" s="62"/>
      <c r="U142" s="62"/>
      <c r="V142" s="62"/>
      <c r="W142" s="62"/>
      <c r="X142" s="62"/>
      <c r="Y142" s="62"/>
      <c r="Z142" s="62"/>
      <c r="AA142" s="62"/>
      <c r="AB142" s="62"/>
      <c r="AC142" s="62"/>
      <c r="AD142" s="62"/>
    </row>
    <row r="143">
      <c r="A143" s="151">
        <f>IFERROR(__xludf.DUMMYFUNCTION("""COMPUTED_VALUE"""),43717.72172622685)</f>
        <v>43717.72173</v>
      </c>
      <c r="B143" s="6" t="str">
        <f>IFERROR(__xludf.DUMMYFUNCTION("""COMPUTED_VALUE"""),"Xiaoting Ma")</f>
        <v>Xiaoting Ma</v>
      </c>
      <c r="C143" s="6" t="str">
        <f>IFERROR(__xludf.DUMMYFUNCTION("""COMPUTED_VALUE"""),"Xiaoting.Ma@childrens.harvard.edu")</f>
        <v>Xiaoting.Ma@childrens.harvard.edu</v>
      </c>
      <c r="D143" s="62" t="str">
        <f>IFERROR(__xludf.DUMMYFUNCTION("""COMPUTED_VALUE"""),"Contacted")</f>
        <v>Contacted</v>
      </c>
      <c r="E143" s="106">
        <f>IFERROR(__xludf.DUMMYFUNCTION("""COMPUTED_VALUE"""),43846.0)</f>
        <v>43846</v>
      </c>
      <c r="F143" s="62" t="str">
        <f>IFERROR(__xludf.DUMMYFUNCTION("""COMPUTED_VALUE"""),"No")</f>
        <v>No</v>
      </c>
      <c r="G143" s="62" t="str">
        <f>IFERROR(__xludf.DUMMYFUNCTION("""COMPUTED_VALUE"""),"Gene Disease Validity")</f>
        <v>Gene Disease Validity</v>
      </c>
      <c r="H143" s="62" t="str">
        <f>IFERROR(__xludf.DUMMYFUNCTION("""COMPUTED_VALUE"""),"")</f>
        <v/>
      </c>
      <c r="I143" s="62"/>
      <c r="J143" s="62" t="str">
        <f>IFERROR(__xludf.DUMMYFUNCTION("""COMPUTED_VALUE"""),"")</f>
        <v/>
      </c>
      <c r="K143" s="62"/>
      <c r="L143" s="62" t="str">
        <f>IFERROR(__xludf.DUMMYFUNCTION("""COMPUTED_VALUE"""),"")</f>
        <v/>
      </c>
      <c r="M143" s="62"/>
      <c r="N143" s="62"/>
      <c r="O143" s="62"/>
      <c r="P143" s="62"/>
      <c r="Q143" s="62"/>
      <c r="R143" s="62"/>
      <c r="S143" s="62"/>
      <c r="T143" s="62"/>
      <c r="U143" s="62"/>
      <c r="V143" s="62"/>
      <c r="W143" s="62"/>
      <c r="X143" s="62"/>
      <c r="Y143" s="62"/>
      <c r="Z143" s="62"/>
      <c r="AA143" s="62"/>
      <c r="AB143" s="62"/>
      <c r="AC143" s="62"/>
      <c r="AD143" s="62"/>
    </row>
    <row r="144">
      <c r="A144" s="151">
        <f>IFERROR(__xludf.DUMMYFUNCTION("""COMPUTED_VALUE"""),43720.90226984954)</f>
        <v>43720.90227</v>
      </c>
      <c r="B144" s="6" t="str">
        <f>IFERROR(__xludf.DUMMYFUNCTION("""COMPUTED_VALUE"""),"Brandon Chalazan")</f>
        <v>Brandon Chalazan</v>
      </c>
      <c r="C144" s="6" t="str">
        <f>IFERROR(__xludf.DUMMYFUNCTION("""COMPUTED_VALUE"""),"brandon.chalazan@cw.bc.ca")</f>
        <v>brandon.chalazan@cw.bc.ca</v>
      </c>
      <c r="D144" s="62" t="str">
        <f>IFERROR(__xludf.DUMMYFUNCTION("""COMPUTED_VALUE"""),"Contacted")</f>
        <v>Contacted</v>
      </c>
      <c r="E144" s="106">
        <f>IFERROR(__xludf.DUMMYFUNCTION("""COMPUTED_VALUE"""),43859.0)</f>
        <v>43859</v>
      </c>
      <c r="F144" s="62" t="str">
        <f>IFERROR(__xludf.DUMMYFUNCTION("""COMPUTED_VALUE"""),"Yes")</f>
        <v>Yes</v>
      </c>
      <c r="G144" s="62" t="str">
        <f>IFERROR(__xludf.DUMMYFUNCTION("""COMPUTED_VALUE"""),"Variant Pathogenicity")</f>
        <v>Variant Pathogenicity</v>
      </c>
      <c r="H144" s="62" t="str">
        <f>IFERROR(__xludf.DUMMYFUNCTION("""COMPUTED_VALUE"""),"")</f>
        <v/>
      </c>
      <c r="I144" s="62"/>
      <c r="J144" s="62" t="str">
        <f>IFERROR(__xludf.DUMMYFUNCTION("""COMPUTED_VALUE"""),"")</f>
        <v/>
      </c>
      <c r="K144" s="62"/>
      <c r="L144" s="62" t="str">
        <f>IFERROR(__xludf.DUMMYFUNCTION("""COMPUTED_VALUE"""),"")</f>
        <v/>
      </c>
      <c r="M144" s="62"/>
      <c r="N144" s="62"/>
      <c r="O144" s="62"/>
      <c r="P144" s="62"/>
      <c r="Q144" s="62"/>
      <c r="R144" s="62"/>
      <c r="S144" s="62"/>
      <c r="T144" s="62"/>
      <c r="U144" s="62"/>
      <c r="V144" s="62"/>
      <c r="W144" s="62"/>
      <c r="X144" s="62"/>
      <c r="Y144" s="62"/>
      <c r="Z144" s="62"/>
      <c r="AA144" s="62"/>
      <c r="AB144" s="62"/>
      <c r="AC144" s="62"/>
      <c r="AD144" s="62"/>
    </row>
    <row r="145">
      <c r="A145" s="154">
        <f>IFERROR(__xludf.DUMMYFUNCTION("""COMPUTED_VALUE"""),43721.408467650464)</f>
        <v>43721.40847</v>
      </c>
      <c r="B145" s="155" t="str">
        <f>IFERROR(__xludf.DUMMYFUNCTION("""COMPUTED_VALUE"""),"jean-leon chong")</f>
        <v>jean-leon chong</v>
      </c>
      <c r="C145" s="155" t="str">
        <f>IFERROR(__xludf.DUMMYFUNCTION("""COMPUTED_VALUE"""),"leon0044@gmail.com")</f>
        <v>leon0044@gmail.com</v>
      </c>
      <c r="D145" s="60" t="str">
        <f>IFERROR(__xludf.DUMMYFUNCTION("""COMPUTED_VALUE"""),"Contacted")</f>
        <v>Contacted</v>
      </c>
      <c r="E145" s="85">
        <f>IFERROR(__xludf.DUMMYFUNCTION("""COMPUTED_VALUE"""),43859.0)</f>
        <v>43859</v>
      </c>
      <c r="F145" s="62" t="str">
        <f>IFERROR(__xludf.DUMMYFUNCTION("""COMPUTED_VALUE"""),"Yes")</f>
        <v>Yes</v>
      </c>
      <c r="G145" s="62" t="str">
        <f>IFERROR(__xludf.DUMMYFUNCTION("""COMPUTED_VALUE"""),"Variant Pathogenicity")</f>
        <v>Variant Pathogenicity</v>
      </c>
      <c r="H145" s="62" t="str">
        <f>IFERROR(__xludf.DUMMYFUNCTION("""COMPUTED_VALUE"""),"")</f>
        <v/>
      </c>
      <c r="I145" s="62"/>
      <c r="J145" s="62" t="str">
        <f>IFERROR(__xludf.DUMMYFUNCTION("""COMPUTED_VALUE"""),"")</f>
        <v/>
      </c>
      <c r="K145" s="62"/>
      <c r="L145" s="62" t="str">
        <f>IFERROR(__xludf.DUMMYFUNCTION("""COMPUTED_VALUE"""),"")</f>
        <v/>
      </c>
      <c r="M145" s="62"/>
      <c r="N145" s="62"/>
      <c r="O145" s="62"/>
      <c r="P145" s="62"/>
      <c r="Q145" s="62"/>
      <c r="R145" s="62"/>
      <c r="S145" s="62"/>
      <c r="T145" s="62"/>
      <c r="U145" s="62"/>
      <c r="V145" s="62"/>
      <c r="W145" s="62"/>
      <c r="X145" s="62"/>
      <c r="Y145" s="62"/>
      <c r="Z145" s="62"/>
      <c r="AA145" s="62"/>
      <c r="AB145" s="62"/>
      <c r="AC145" s="62"/>
      <c r="AD145" s="62"/>
    </row>
    <row r="146">
      <c r="A146" s="151">
        <f>IFERROR(__xludf.DUMMYFUNCTION("""COMPUTED_VALUE"""),43731.70247251157)</f>
        <v>43731.70247</v>
      </c>
      <c r="B146" s="6" t="str">
        <f>IFERROR(__xludf.DUMMYFUNCTION("""COMPUTED_VALUE"""),"Julie Kim ")</f>
        <v>Julie Kim </v>
      </c>
      <c r="C146" s="6" t="str">
        <f>IFERROR(__xludf.DUMMYFUNCTION("""COMPUTED_VALUE"""),"serin.kim@nih.gov")</f>
        <v>serin.kim@nih.gov</v>
      </c>
      <c r="D146" s="62" t="str">
        <f>IFERROR(__xludf.DUMMYFUNCTION("""COMPUTED_VALUE"""),"Contacted")</f>
        <v>Contacted</v>
      </c>
      <c r="E146" s="106">
        <f>IFERROR(__xludf.DUMMYFUNCTION("""COMPUTED_VALUE"""),43846.0)</f>
        <v>43846</v>
      </c>
      <c r="F146" s="62" t="str">
        <f>IFERROR(__xludf.DUMMYFUNCTION("""COMPUTED_VALUE"""),"Yes")</f>
        <v>Yes</v>
      </c>
      <c r="G146" s="62" t="str">
        <f>IFERROR(__xludf.DUMMYFUNCTION("""COMPUTED_VALUE"""),"Gene Disease Validity")</f>
        <v>Gene Disease Validity</v>
      </c>
      <c r="H146" s="62" t="str">
        <f>IFERROR(__xludf.DUMMYFUNCTION("""COMPUTED_VALUE"""),"")</f>
        <v/>
      </c>
      <c r="I146" s="62"/>
      <c r="J146" s="62" t="str">
        <f>IFERROR(__xludf.DUMMYFUNCTION("""COMPUTED_VALUE"""),"")</f>
        <v/>
      </c>
      <c r="K146" s="62"/>
      <c r="L146" s="62" t="str">
        <f>IFERROR(__xludf.DUMMYFUNCTION("""COMPUTED_VALUE"""),"")</f>
        <v/>
      </c>
      <c r="M146" s="62"/>
      <c r="N146" s="62"/>
      <c r="O146" s="62"/>
      <c r="P146" s="62"/>
      <c r="Q146" s="62"/>
      <c r="R146" s="62"/>
      <c r="S146" s="62"/>
      <c r="T146" s="62"/>
      <c r="U146" s="62"/>
      <c r="V146" s="62"/>
      <c r="W146" s="62"/>
      <c r="X146" s="62"/>
      <c r="Y146" s="62"/>
      <c r="Z146" s="62"/>
      <c r="AA146" s="62"/>
      <c r="AB146" s="62"/>
      <c r="AC146" s="62"/>
      <c r="AD146" s="62"/>
    </row>
    <row r="147">
      <c r="A147" s="151">
        <f>IFERROR(__xludf.DUMMYFUNCTION("""COMPUTED_VALUE"""),43742.66885350695)</f>
        <v>43742.66885</v>
      </c>
      <c r="B147" s="6" t="str">
        <f>IFERROR(__xludf.DUMMYFUNCTION("""COMPUTED_VALUE"""),"Heather Harris")</f>
        <v>Heather Harris</v>
      </c>
      <c r="C147" s="6" t="str">
        <f>IFERROR(__xludf.DUMMYFUNCTION("""COMPUTED_VALUE"""),"heatherkharris1@gmail.com")</f>
        <v>heatherkharris1@gmail.com</v>
      </c>
      <c r="D147" s="62" t="str">
        <f>IFERROR(__xludf.DUMMYFUNCTION("""COMPUTED_VALUE"""),"Contacted")</f>
        <v>Contacted</v>
      </c>
      <c r="E147" s="106">
        <f>IFERROR(__xludf.DUMMYFUNCTION("""COMPUTED_VALUE"""),43859.0)</f>
        <v>43859</v>
      </c>
      <c r="F147" s="62" t="str">
        <f>IFERROR(__xludf.DUMMYFUNCTION("""COMPUTED_VALUE"""),"Yes")</f>
        <v>Yes</v>
      </c>
      <c r="G147" s="62" t="str">
        <f>IFERROR(__xludf.DUMMYFUNCTION("""COMPUTED_VALUE"""),"Variant Pathogenicity")</f>
        <v>Variant Pathogenicity</v>
      </c>
      <c r="H147" s="62" t="str">
        <f>IFERROR(__xludf.DUMMYFUNCTION("""COMPUTED_VALUE"""),"")</f>
        <v/>
      </c>
      <c r="I147" s="62"/>
      <c r="J147" s="62" t="str">
        <f>IFERROR(__xludf.DUMMYFUNCTION("""COMPUTED_VALUE"""),"")</f>
        <v/>
      </c>
      <c r="K147" s="62"/>
      <c r="L147" s="62" t="str">
        <f>IFERROR(__xludf.DUMMYFUNCTION("""COMPUTED_VALUE"""),"")</f>
        <v/>
      </c>
      <c r="M147" s="62"/>
      <c r="N147" s="62"/>
      <c r="O147" s="62"/>
      <c r="P147" s="62"/>
      <c r="Q147" s="62"/>
      <c r="R147" s="62"/>
      <c r="S147" s="62"/>
      <c r="T147" s="62"/>
      <c r="U147" s="62"/>
      <c r="V147" s="62"/>
      <c r="W147" s="62"/>
      <c r="X147" s="62"/>
      <c r="Y147" s="62"/>
      <c r="Z147" s="62"/>
      <c r="AA147" s="62"/>
      <c r="AB147" s="62"/>
      <c r="AC147" s="62"/>
      <c r="AD147" s="62"/>
    </row>
    <row r="148">
      <c r="A148" s="151">
        <f>IFERROR(__xludf.DUMMYFUNCTION("""COMPUTED_VALUE"""),43745.65172986111)</f>
        <v>43745.65173</v>
      </c>
      <c r="B148" s="6" t="str">
        <f>IFERROR(__xludf.DUMMYFUNCTION("""COMPUTED_VALUE"""),"Kaitlin Lenhart")</f>
        <v>Kaitlin Lenhart</v>
      </c>
      <c r="C148" s="6" t="str">
        <f>IFERROR(__xludf.DUMMYFUNCTION("""COMPUTED_VALUE"""),"kaitlin.lenhart@slh.wisc.edu")</f>
        <v>kaitlin.lenhart@slh.wisc.edu</v>
      </c>
      <c r="D148" s="62" t="str">
        <f>IFERROR(__xludf.DUMMYFUNCTION("""COMPUTED_VALUE"""),"Contacted")</f>
        <v>Contacted</v>
      </c>
      <c r="E148" s="106">
        <f>IFERROR(__xludf.DUMMYFUNCTION("""COMPUTED_VALUE"""),43859.0)</f>
        <v>43859</v>
      </c>
      <c r="F148" s="62" t="str">
        <f>IFERROR(__xludf.DUMMYFUNCTION("""COMPUTED_VALUE"""),"No")</f>
        <v>No</v>
      </c>
      <c r="G148" s="62" t="str">
        <f>IFERROR(__xludf.DUMMYFUNCTION("""COMPUTED_VALUE"""),"Variant Pathogenicity")</f>
        <v>Variant Pathogenicity</v>
      </c>
      <c r="H148" s="62" t="str">
        <f>IFERROR(__xludf.DUMMYFUNCTION("""COMPUTED_VALUE"""),"")</f>
        <v/>
      </c>
      <c r="I148" s="62"/>
      <c r="J148" s="62" t="str">
        <f>IFERROR(__xludf.DUMMYFUNCTION("""COMPUTED_VALUE"""),"")</f>
        <v/>
      </c>
      <c r="K148" s="62"/>
      <c r="L148" s="62" t="str">
        <f>IFERROR(__xludf.DUMMYFUNCTION("""COMPUTED_VALUE"""),"")</f>
        <v/>
      </c>
      <c r="M148" s="62"/>
      <c r="N148" s="62"/>
      <c r="O148" s="62"/>
      <c r="P148" s="62"/>
      <c r="Q148" s="62"/>
      <c r="R148" s="62"/>
      <c r="S148" s="62"/>
      <c r="T148" s="62"/>
      <c r="U148" s="62"/>
      <c r="V148" s="62"/>
      <c r="W148" s="62"/>
      <c r="X148" s="62"/>
      <c r="Y148" s="62"/>
      <c r="Z148" s="62"/>
      <c r="AA148" s="62"/>
      <c r="AB148" s="62"/>
      <c r="AC148" s="62"/>
      <c r="AD148" s="62"/>
    </row>
    <row r="149">
      <c r="A149" s="151">
        <f>IFERROR(__xludf.DUMMYFUNCTION("""COMPUTED_VALUE"""),43747.54224105324)</f>
        <v>43747.54224</v>
      </c>
      <c r="B149" s="6" t="str">
        <f>IFERROR(__xludf.DUMMYFUNCTION("""COMPUTED_VALUE"""),"Ikeoluwa Osei-Owusu")</f>
        <v>Ikeoluwa Osei-Owusu</v>
      </c>
      <c r="C149" s="6" t="str">
        <f>IFERROR(__xludf.DUMMYFUNCTION("""COMPUTED_VALUE"""),"ikeoluwa@jhmi.edu")</f>
        <v>ikeoluwa@jhmi.edu</v>
      </c>
      <c r="D149" s="62" t="str">
        <f>IFERROR(__xludf.DUMMYFUNCTION("""COMPUTED_VALUE"""),"Contacted")</f>
        <v>Contacted</v>
      </c>
      <c r="E149" s="106">
        <f>IFERROR(__xludf.DUMMYFUNCTION("""COMPUTED_VALUE"""),43846.0)</f>
        <v>43846</v>
      </c>
      <c r="F149" s="62" t="str">
        <f>IFERROR(__xludf.DUMMYFUNCTION("""COMPUTED_VALUE"""),"No")</f>
        <v>No</v>
      </c>
      <c r="G149" s="62" t="str">
        <f>IFERROR(__xludf.DUMMYFUNCTION("""COMPUTED_VALUE"""),"Gene Disease Validity")</f>
        <v>Gene Disease Validity</v>
      </c>
      <c r="H149" s="62" t="str">
        <f>IFERROR(__xludf.DUMMYFUNCTION("""COMPUTED_VALUE"""),"")</f>
        <v/>
      </c>
      <c r="I149" s="62"/>
      <c r="J149" s="62" t="str">
        <f>IFERROR(__xludf.DUMMYFUNCTION("""COMPUTED_VALUE"""),"")</f>
        <v/>
      </c>
      <c r="K149" s="62"/>
      <c r="L149" s="62" t="str">
        <f>IFERROR(__xludf.DUMMYFUNCTION("""COMPUTED_VALUE"""),"")</f>
        <v/>
      </c>
      <c r="M149" s="62"/>
      <c r="N149" s="62"/>
      <c r="O149" s="62"/>
      <c r="P149" s="62"/>
      <c r="Q149" s="62"/>
      <c r="R149" s="62"/>
      <c r="S149" s="62"/>
      <c r="T149" s="62"/>
      <c r="U149" s="62"/>
      <c r="V149" s="62"/>
      <c r="W149" s="62"/>
      <c r="X149" s="62"/>
      <c r="Y149" s="62"/>
      <c r="Z149" s="62"/>
      <c r="AA149" s="62"/>
      <c r="AB149" s="62"/>
      <c r="AC149" s="62"/>
      <c r="AD149" s="62"/>
    </row>
    <row r="150">
      <c r="A150" s="151">
        <f>IFERROR(__xludf.DUMMYFUNCTION("""COMPUTED_VALUE"""),43755.537383634255)</f>
        <v>43755.53738</v>
      </c>
      <c r="B150" s="6" t="str">
        <f>IFERROR(__xludf.DUMMYFUNCTION("""COMPUTED_VALUE"""),"Elizabeth Ewen")</f>
        <v>Elizabeth Ewen</v>
      </c>
      <c r="C150" s="6" t="str">
        <f>IFERROR(__xludf.DUMMYFUNCTION("""COMPUTED_VALUE"""),"elizabeth.ewen@agilent.com")</f>
        <v>elizabeth.ewen@agilent.com</v>
      </c>
      <c r="D150" s="62" t="str">
        <f>IFERROR(__xludf.DUMMYFUNCTION("""COMPUTED_VALUE"""),"Contacted")</f>
        <v>Contacted</v>
      </c>
      <c r="E150" s="106">
        <f>IFERROR(__xludf.DUMMYFUNCTION("""COMPUTED_VALUE"""),43859.0)</f>
        <v>43859</v>
      </c>
      <c r="F150" s="62" t="str">
        <f>IFERROR(__xludf.DUMMYFUNCTION("""COMPUTED_VALUE"""),"Yes")</f>
        <v>Yes</v>
      </c>
      <c r="G150" s="62" t="str">
        <f>IFERROR(__xludf.DUMMYFUNCTION("""COMPUTED_VALUE"""),"Variant Pathogenicity")</f>
        <v>Variant Pathogenicity</v>
      </c>
      <c r="H150" s="62" t="str">
        <f>IFERROR(__xludf.DUMMYFUNCTION("""COMPUTED_VALUE"""),"")</f>
        <v/>
      </c>
      <c r="I150" s="62"/>
      <c r="J150" s="62" t="str">
        <f>IFERROR(__xludf.DUMMYFUNCTION("""COMPUTED_VALUE"""),"")</f>
        <v/>
      </c>
      <c r="K150" s="62"/>
      <c r="L150" s="62" t="str">
        <f>IFERROR(__xludf.DUMMYFUNCTION("""COMPUTED_VALUE"""),"")</f>
        <v/>
      </c>
      <c r="M150" s="62"/>
      <c r="N150" s="62"/>
      <c r="O150" s="62"/>
      <c r="P150" s="62"/>
      <c r="Q150" s="62"/>
      <c r="R150" s="62"/>
      <c r="S150" s="62"/>
      <c r="T150" s="62"/>
      <c r="U150" s="62"/>
      <c r="V150" s="62"/>
      <c r="W150" s="62"/>
      <c r="X150" s="62"/>
      <c r="Y150" s="62"/>
      <c r="Z150" s="62"/>
      <c r="AA150" s="62"/>
      <c r="AB150" s="62"/>
      <c r="AC150" s="62"/>
      <c r="AD150" s="62"/>
    </row>
    <row r="151">
      <c r="A151" s="151">
        <f>IFERROR(__xludf.DUMMYFUNCTION("""COMPUTED_VALUE"""),43758.702828981484)</f>
        <v>43758.70283</v>
      </c>
      <c r="B151" s="6" t="str">
        <f>IFERROR(__xludf.DUMMYFUNCTION("""COMPUTED_VALUE"""),"Beth Stronach")</f>
        <v>Beth Stronach</v>
      </c>
      <c r="C151" s="6" t="str">
        <f>IFERROR(__xludf.DUMMYFUNCTION("""COMPUTED_VALUE"""),"stronach@pitt.edu")</f>
        <v>stronach@pitt.edu</v>
      </c>
      <c r="D151" s="62" t="str">
        <f>IFERROR(__xludf.DUMMYFUNCTION("""COMPUTED_VALUE"""),"Contacted")</f>
        <v>Contacted</v>
      </c>
      <c r="E151" s="106">
        <f>IFERROR(__xludf.DUMMYFUNCTION("""COMPUTED_VALUE"""),43846.0)</f>
        <v>43846</v>
      </c>
      <c r="F151" s="62" t="str">
        <f>IFERROR(__xludf.DUMMYFUNCTION("""COMPUTED_VALUE"""),"No")</f>
        <v>No</v>
      </c>
      <c r="G151" s="62" t="str">
        <f>IFERROR(__xludf.DUMMYFUNCTION("""COMPUTED_VALUE"""),"Gene Disease Validity")</f>
        <v>Gene Disease Validity</v>
      </c>
      <c r="H151" s="62" t="str">
        <f>IFERROR(__xludf.DUMMYFUNCTION("""COMPUTED_VALUE"""),"")</f>
        <v/>
      </c>
      <c r="I151" s="62"/>
      <c r="J151" s="62" t="str">
        <f>IFERROR(__xludf.DUMMYFUNCTION("""COMPUTED_VALUE"""),"")</f>
        <v/>
      </c>
      <c r="K151" s="62"/>
      <c r="L151" s="62" t="str">
        <f>IFERROR(__xludf.DUMMYFUNCTION("""COMPUTED_VALUE"""),"")</f>
        <v/>
      </c>
      <c r="M151" s="62"/>
      <c r="N151" s="62"/>
      <c r="O151" s="62"/>
      <c r="P151" s="62"/>
      <c r="Q151" s="62"/>
      <c r="R151" s="62"/>
      <c r="S151" s="62"/>
      <c r="T151" s="62"/>
      <c r="U151" s="62"/>
      <c r="V151" s="62"/>
      <c r="W151" s="62"/>
      <c r="X151" s="62"/>
      <c r="Y151" s="62"/>
      <c r="Z151" s="62"/>
      <c r="AA151" s="62"/>
      <c r="AB151" s="62"/>
      <c r="AC151" s="62"/>
      <c r="AD151" s="62"/>
    </row>
    <row r="152">
      <c r="A152" s="151">
        <f>IFERROR(__xludf.DUMMYFUNCTION("""COMPUTED_VALUE"""),43769.53906245371)</f>
        <v>43769.53906</v>
      </c>
      <c r="B152" s="6" t="str">
        <f>IFERROR(__xludf.DUMMYFUNCTION("""COMPUTED_VALUE"""),"Abul Kalam Azad")</f>
        <v>Abul Kalam Azad</v>
      </c>
      <c r="C152" s="6" t="str">
        <f>IFERROR(__xludf.DUMMYFUNCTION("""COMPUTED_VALUE"""),"azadak@gmail.com")</f>
        <v>azadak@gmail.com</v>
      </c>
      <c r="D152" s="62" t="str">
        <f>IFERROR(__xludf.DUMMYFUNCTION("""COMPUTED_VALUE"""),"Contacted")</f>
        <v>Contacted</v>
      </c>
      <c r="E152" s="106">
        <f>IFERROR(__xludf.DUMMYFUNCTION("""COMPUTED_VALUE"""),43859.0)</f>
        <v>43859</v>
      </c>
      <c r="F152" s="62" t="str">
        <f>IFERROR(__xludf.DUMMYFUNCTION("""COMPUTED_VALUE"""),"Yes")</f>
        <v>Yes</v>
      </c>
      <c r="G152" s="62" t="str">
        <f>IFERROR(__xludf.DUMMYFUNCTION("""COMPUTED_VALUE"""),"Variant Pathogenicity")</f>
        <v>Variant Pathogenicity</v>
      </c>
      <c r="H152" s="62" t="str">
        <f>IFERROR(__xludf.DUMMYFUNCTION("""COMPUTED_VALUE"""),"")</f>
        <v/>
      </c>
      <c r="I152" s="62"/>
      <c r="J152" s="62" t="str">
        <f>IFERROR(__xludf.DUMMYFUNCTION("""COMPUTED_VALUE"""),"")</f>
        <v/>
      </c>
      <c r="K152" s="62"/>
      <c r="L152" s="62" t="str">
        <f>IFERROR(__xludf.DUMMYFUNCTION("""COMPUTED_VALUE"""),"")</f>
        <v/>
      </c>
      <c r="M152" s="62"/>
      <c r="N152" s="62"/>
      <c r="O152" s="62"/>
      <c r="P152" s="62"/>
      <c r="Q152" s="62"/>
      <c r="R152" s="62"/>
      <c r="S152" s="62"/>
      <c r="T152" s="62"/>
      <c r="U152" s="62"/>
      <c r="V152" s="62"/>
      <c r="W152" s="62"/>
      <c r="X152" s="62"/>
      <c r="Y152" s="62"/>
      <c r="Z152" s="62"/>
      <c r="AA152" s="62"/>
      <c r="AB152" s="62"/>
      <c r="AC152" s="62"/>
      <c r="AD152" s="62"/>
    </row>
    <row r="153">
      <c r="A153" s="151">
        <f>IFERROR(__xludf.DUMMYFUNCTION("""COMPUTED_VALUE"""),43778.843209189814)</f>
        <v>43778.84321</v>
      </c>
      <c r="B153" s="6" t="str">
        <f>IFERROR(__xludf.DUMMYFUNCTION("""COMPUTED_VALUE"""),"Larissa Waldman")</f>
        <v>Larissa Waldman</v>
      </c>
      <c r="C153" s="6" t="str">
        <f>IFERROR(__xludf.DUMMYFUNCTION("""COMPUTED_VALUE"""),"larissa.waldman@gmail.com")</f>
        <v>larissa.waldman@gmail.com</v>
      </c>
      <c r="D153" s="62" t="str">
        <f>IFERROR(__xludf.DUMMYFUNCTION("""COMPUTED_VALUE"""),"Assigned")</f>
        <v>Assigned</v>
      </c>
      <c r="E153" s="77">
        <f>IFERROR(__xludf.DUMMYFUNCTION("""COMPUTED_VALUE"""),43859.0)</f>
        <v>43859</v>
      </c>
      <c r="F153" s="62" t="str">
        <f>IFERROR(__xludf.DUMMYFUNCTION("""COMPUTED_VALUE"""),"No")</f>
        <v>No</v>
      </c>
      <c r="G153" s="62" t="str">
        <f>IFERROR(__xludf.DUMMYFUNCTION("""COMPUTED_VALUE"""),"Actionability")</f>
        <v>Actionability</v>
      </c>
      <c r="H153" s="62" t="str">
        <f>IFERROR(__xludf.DUMMYFUNCTION("""COMPUTED_VALUE"""),"")</f>
        <v/>
      </c>
      <c r="I153" s="62"/>
      <c r="J153" s="62" t="str">
        <f>IFERROR(__xludf.DUMMYFUNCTION("""COMPUTED_VALUE"""),"")</f>
        <v/>
      </c>
      <c r="K153" s="62"/>
      <c r="L153" s="62" t="str">
        <f>IFERROR(__xludf.DUMMYFUNCTION("""COMPUTED_VALUE"""),"")</f>
        <v/>
      </c>
      <c r="M153" s="62"/>
      <c r="N153" s="62"/>
      <c r="O153" s="62"/>
      <c r="P153" s="62"/>
      <c r="Q153" s="62"/>
      <c r="R153" s="62"/>
      <c r="S153" s="62"/>
      <c r="T153" s="62"/>
      <c r="U153" s="62"/>
      <c r="V153" s="62"/>
      <c r="W153" s="62"/>
      <c r="X153" s="62"/>
      <c r="Y153" s="62"/>
      <c r="Z153" s="62"/>
      <c r="AA153" s="62"/>
      <c r="AB153" s="62"/>
      <c r="AC153" s="62"/>
      <c r="AD153" s="62"/>
    </row>
    <row r="154">
      <c r="A154" s="151">
        <f>IFERROR(__xludf.DUMMYFUNCTION("""COMPUTED_VALUE"""),43779.01428032407)</f>
        <v>43779.01428</v>
      </c>
      <c r="B154" s="6" t="str">
        <f>IFERROR(__xludf.DUMMYFUNCTION("""COMPUTED_VALUE"""),"Prasad Rao Kopparapu")</f>
        <v>Prasad Rao Kopparapu</v>
      </c>
      <c r="C154" s="6" t="str">
        <f>IFERROR(__xludf.DUMMYFUNCTION("""COMPUTED_VALUE"""),"prasaad82@gmail.com")</f>
        <v>prasaad82@gmail.com</v>
      </c>
      <c r="D154" s="62" t="str">
        <f>IFERROR(__xludf.DUMMYFUNCTION("""COMPUTED_VALUE"""),"Contacted")</f>
        <v>Contacted</v>
      </c>
      <c r="E154" s="106">
        <f>IFERROR(__xludf.DUMMYFUNCTION("""COMPUTED_VALUE"""),43859.0)</f>
        <v>43859</v>
      </c>
      <c r="F154" s="62" t="str">
        <f>IFERROR(__xludf.DUMMYFUNCTION("""COMPUTED_VALUE"""),"Yes")</f>
        <v>Yes</v>
      </c>
      <c r="G154" s="62" t="str">
        <f>IFERROR(__xludf.DUMMYFUNCTION("""COMPUTED_VALUE"""),"Variant Pathogenicity")</f>
        <v>Variant Pathogenicity</v>
      </c>
      <c r="H154" s="62" t="str">
        <f>IFERROR(__xludf.DUMMYFUNCTION("""COMPUTED_VALUE"""),"")</f>
        <v/>
      </c>
      <c r="I154" s="62"/>
      <c r="J154" s="62" t="str">
        <f>IFERROR(__xludf.DUMMYFUNCTION("""COMPUTED_VALUE"""),"")</f>
        <v/>
      </c>
      <c r="K154" s="62"/>
      <c r="L154" s="62" t="str">
        <f>IFERROR(__xludf.DUMMYFUNCTION("""COMPUTED_VALUE"""),"")</f>
        <v/>
      </c>
      <c r="M154" s="62"/>
      <c r="N154" s="62"/>
      <c r="O154" s="62"/>
      <c r="P154" s="62"/>
      <c r="Q154" s="62"/>
      <c r="R154" s="62"/>
      <c r="S154" s="62"/>
      <c r="T154" s="62"/>
      <c r="U154" s="62"/>
      <c r="V154" s="62"/>
      <c r="W154" s="62"/>
      <c r="X154" s="62"/>
      <c r="Y154" s="62"/>
      <c r="Z154" s="62"/>
      <c r="AA154" s="62"/>
      <c r="AB154" s="62"/>
      <c r="AC154" s="62"/>
      <c r="AD154" s="62"/>
    </row>
    <row r="155">
      <c r="A155" s="151">
        <f>IFERROR(__xludf.DUMMYFUNCTION("""COMPUTED_VALUE"""),43780.37467388889)</f>
        <v>43780.37467</v>
      </c>
      <c r="B155" s="6" t="str">
        <f>IFERROR(__xludf.DUMMYFUNCTION("""COMPUTED_VALUE"""),"Mark Shlapobersky")</f>
        <v>Mark Shlapobersky</v>
      </c>
      <c r="C155" s="6" t="str">
        <f>IFERROR(__xludf.DUMMYFUNCTION("""COMPUTED_VALUE"""),"marks@bmc.gov.il")</f>
        <v>marks@bmc.gov.il</v>
      </c>
      <c r="D155" s="62" t="str">
        <f>IFERROR(__xludf.DUMMYFUNCTION("""COMPUTED_VALUE"""),"Assigned")</f>
        <v>Assigned</v>
      </c>
      <c r="E155" s="77">
        <f>IFERROR(__xludf.DUMMYFUNCTION("""COMPUTED_VALUE"""),43859.0)</f>
        <v>43859</v>
      </c>
      <c r="F155" s="62" t="str">
        <f>IFERROR(__xludf.DUMMYFUNCTION("""COMPUTED_VALUE"""),"No")</f>
        <v>No</v>
      </c>
      <c r="G155" s="62" t="str">
        <f>IFERROR(__xludf.DUMMYFUNCTION("""COMPUTED_VALUE"""),"Actionability")</f>
        <v>Actionability</v>
      </c>
      <c r="H155" s="62" t="str">
        <f>IFERROR(__xludf.DUMMYFUNCTION("""COMPUTED_VALUE"""),"")</f>
        <v/>
      </c>
      <c r="I155" s="62"/>
      <c r="J155" s="62" t="str">
        <f>IFERROR(__xludf.DUMMYFUNCTION("""COMPUTED_VALUE"""),"")</f>
        <v/>
      </c>
      <c r="K155" s="62"/>
      <c r="L155" s="62" t="str">
        <f>IFERROR(__xludf.DUMMYFUNCTION("""COMPUTED_VALUE"""),"")</f>
        <v/>
      </c>
      <c r="M155" s="62"/>
      <c r="N155" s="62"/>
      <c r="O155" s="62"/>
      <c r="P155" s="62"/>
      <c r="Q155" s="62"/>
      <c r="R155" s="62"/>
      <c r="S155" s="62"/>
      <c r="T155" s="62"/>
      <c r="U155" s="62"/>
      <c r="V155" s="62"/>
      <c r="W155" s="62"/>
      <c r="X155" s="62"/>
      <c r="Y155" s="62"/>
      <c r="Z155" s="62"/>
      <c r="AA155" s="62"/>
      <c r="AB155" s="62"/>
      <c r="AC155" s="62"/>
      <c r="AD155" s="62"/>
    </row>
    <row r="156">
      <c r="A156" s="151">
        <f>IFERROR(__xludf.DUMMYFUNCTION("""COMPUTED_VALUE"""),43782.569134212965)</f>
        <v>43782.56913</v>
      </c>
      <c r="B156" s="6" t="str">
        <f>IFERROR(__xludf.DUMMYFUNCTION("""COMPUTED_VALUE"""),"Marie-Luise Brennan")</f>
        <v>Marie-Luise Brennan</v>
      </c>
      <c r="C156" s="6" t="str">
        <f>IFERROR(__xludf.DUMMYFUNCTION("""COMPUTED_VALUE"""),"mbrennan@acmg.net")</f>
        <v>mbrennan@acmg.net</v>
      </c>
      <c r="D156" s="62" t="str">
        <f>IFERROR(__xludf.DUMMYFUNCTION("""COMPUTED_VALUE"""),"Contacted")</f>
        <v>Contacted</v>
      </c>
      <c r="E156" s="106">
        <f>IFERROR(__xludf.DUMMYFUNCTION("""COMPUTED_VALUE"""),43846.0)</f>
        <v>43846</v>
      </c>
      <c r="F156" s="62" t="str">
        <f>IFERROR(__xludf.DUMMYFUNCTION("""COMPUTED_VALUE"""),"Yes")</f>
        <v>Yes</v>
      </c>
      <c r="G156" s="62" t="str">
        <f>IFERROR(__xludf.DUMMYFUNCTION("""COMPUTED_VALUE"""),"Gene Disease Validity")</f>
        <v>Gene Disease Validity</v>
      </c>
      <c r="H156" s="62" t="str">
        <f>IFERROR(__xludf.DUMMYFUNCTION("""COMPUTED_VALUE"""),"")</f>
        <v/>
      </c>
      <c r="I156" s="62"/>
      <c r="J156" s="62" t="str">
        <f>IFERROR(__xludf.DUMMYFUNCTION("""COMPUTED_VALUE"""),"")</f>
        <v/>
      </c>
      <c r="K156" s="62"/>
      <c r="L156" s="62" t="str">
        <f>IFERROR(__xludf.DUMMYFUNCTION("""COMPUTED_VALUE"""),"")</f>
        <v/>
      </c>
      <c r="M156" s="62"/>
      <c r="N156" s="62"/>
      <c r="O156" s="62"/>
      <c r="P156" s="62"/>
      <c r="Q156" s="62"/>
      <c r="R156" s="62"/>
      <c r="S156" s="62"/>
      <c r="T156" s="62"/>
      <c r="U156" s="62"/>
      <c r="V156" s="62"/>
      <c r="W156" s="62"/>
      <c r="X156" s="62"/>
      <c r="Y156" s="62"/>
      <c r="Z156" s="62"/>
      <c r="AA156" s="62"/>
      <c r="AB156" s="62"/>
      <c r="AC156" s="62"/>
      <c r="AD156" s="62"/>
    </row>
    <row r="157">
      <c r="A157" s="151">
        <f>IFERROR(__xludf.DUMMYFUNCTION("""COMPUTED_VALUE"""),43789.37928430555)</f>
        <v>43789.37928</v>
      </c>
      <c r="B157" s="6" t="str">
        <f>IFERROR(__xludf.DUMMYFUNCTION("""COMPUTED_VALUE"""),"Shawn Gessay")</f>
        <v>Shawn Gessay</v>
      </c>
      <c r="C157" s="6" t="str">
        <f>IFERROR(__xludf.DUMMYFUNCTION("""COMPUTED_VALUE"""),"gessays75@gmail.com")</f>
        <v>gessays75@gmail.com</v>
      </c>
      <c r="D157" s="62" t="str">
        <f>IFERROR(__xludf.DUMMYFUNCTION("""COMPUTED_VALUE"""),"Contacted")</f>
        <v>Contacted</v>
      </c>
      <c r="E157" s="106">
        <f>IFERROR(__xludf.DUMMYFUNCTION("""COMPUTED_VALUE"""),43859.0)</f>
        <v>43859</v>
      </c>
      <c r="F157" s="62" t="str">
        <f>IFERROR(__xludf.DUMMYFUNCTION("""COMPUTED_VALUE"""),"Yes")</f>
        <v>Yes</v>
      </c>
      <c r="G157" s="62" t="str">
        <f>IFERROR(__xludf.DUMMYFUNCTION("""COMPUTED_VALUE"""),"Variant Pathogenicity")</f>
        <v>Variant Pathogenicity</v>
      </c>
      <c r="H157" s="62" t="str">
        <f>IFERROR(__xludf.DUMMYFUNCTION("""COMPUTED_VALUE"""),"")</f>
        <v/>
      </c>
      <c r="I157" s="62"/>
      <c r="J157" s="62" t="str">
        <f>IFERROR(__xludf.DUMMYFUNCTION("""COMPUTED_VALUE"""),"")</f>
        <v/>
      </c>
      <c r="K157" s="62"/>
      <c r="L157" s="62" t="str">
        <f>IFERROR(__xludf.DUMMYFUNCTION("""COMPUTED_VALUE"""),"")</f>
        <v/>
      </c>
      <c r="M157" s="62"/>
      <c r="N157" s="62"/>
      <c r="O157" s="62"/>
      <c r="P157" s="62"/>
      <c r="Q157" s="62"/>
      <c r="R157" s="62"/>
      <c r="S157" s="62"/>
      <c r="T157" s="62"/>
      <c r="U157" s="62"/>
      <c r="V157" s="62"/>
      <c r="W157" s="62"/>
      <c r="X157" s="62"/>
      <c r="Y157" s="62"/>
      <c r="Z157" s="62"/>
      <c r="AA157" s="62"/>
      <c r="AB157" s="62"/>
      <c r="AC157" s="62"/>
      <c r="AD157" s="62"/>
    </row>
    <row r="158">
      <c r="A158" s="151">
        <f>IFERROR(__xludf.DUMMYFUNCTION("""COMPUTED_VALUE"""),43789.561137233795)</f>
        <v>43789.56114</v>
      </c>
      <c r="B158" s="6" t="str">
        <f>IFERROR(__xludf.DUMMYFUNCTION("""COMPUTED_VALUE"""),"Angela Hoang")</f>
        <v>Angela Hoang</v>
      </c>
      <c r="C158" s="6" t="str">
        <f>IFERROR(__xludf.DUMMYFUNCTION("""COMPUTED_VALUE"""),"ahoang18@students.kgi.edu")</f>
        <v>ahoang18@students.kgi.edu</v>
      </c>
      <c r="D158" s="62" t="str">
        <f>IFERROR(__xludf.DUMMYFUNCTION("""COMPUTED_VALUE"""),"Contacted")</f>
        <v>Contacted</v>
      </c>
      <c r="E158" s="106">
        <f>IFERROR(__xludf.DUMMYFUNCTION("""COMPUTED_VALUE"""),43859.0)</f>
        <v>43859</v>
      </c>
      <c r="F158" s="62" t="str">
        <f>IFERROR(__xludf.DUMMYFUNCTION("""COMPUTED_VALUE"""),"Yes")</f>
        <v>Yes</v>
      </c>
      <c r="G158" s="62" t="str">
        <f>IFERROR(__xludf.DUMMYFUNCTION("""COMPUTED_VALUE"""),"Variant Pathogenicity")</f>
        <v>Variant Pathogenicity</v>
      </c>
      <c r="H158" s="62" t="str">
        <f>IFERROR(__xludf.DUMMYFUNCTION("""COMPUTED_VALUE"""),"")</f>
        <v/>
      </c>
      <c r="I158" s="62"/>
      <c r="J158" s="62" t="str">
        <f>IFERROR(__xludf.DUMMYFUNCTION("""COMPUTED_VALUE"""),"")</f>
        <v/>
      </c>
      <c r="K158" s="62"/>
      <c r="L158" s="62" t="str">
        <f>IFERROR(__xludf.DUMMYFUNCTION("""COMPUTED_VALUE"""),"")</f>
        <v/>
      </c>
      <c r="M158" s="62"/>
      <c r="N158" s="62"/>
      <c r="O158" s="62"/>
      <c r="P158" s="62"/>
      <c r="Q158" s="62"/>
      <c r="R158" s="62"/>
      <c r="S158" s="62"/>
      <c r="T158" s="62"/>
      <c r="U158" s="62"/>
      <c r="V158" s="62"/>
      <c r="W158" s="62"/>
      <c r="X158" s="62"/>
      <c r="Y158" s="62"/>
      <c r="Z158" s="62"/>
      <c r="AA158" s="62"/>
      <c r="AB158" s="62"/>
      <c r="AC158" s="62"/>
      <c r="AD158" s="62"/>
    </row>
    <row r="159">
      <c r="A159" s="151">
        <f>IFERROR(__xludf.DUMMYFUNCTION("""COMPUTED_VALUE"""),43790.71008880787)</f>
        <v>43790.71009</v>
      </c>
      <c r="B159" s="6" t="str">
        <f>IFERROR(__xludf.DUMMYFUNCTION("""COMPUTED_VALUE"""),"Poornima Vijayan")</f>
        <v>Poornima Vijayan</v>
      </c>
      <c r="C159" s="6" t="str">
        <f>IFERROR(__xludf.DUMMYFUNCTION("""COMPUTED_VALUE"""),"poornima2785@gmail.com")</f>
        <v>poornima2785@gmail.com</v>
      </c>
      <c r="D159" s="62" t="str">
        <f>IFERROR(__xludf.DUMMYFUNCTION("""COMPUTED_VALUE"""),"Contacted")</f>
        <v>Contacted</v>
      </c>
      <c r="E159" s="106">
        <f>IFERROR(__xludf.DUMMYFUNCTION("""COMPUTED_VALUE"""),43859.0)</f>
        <v>43859</v>
      </c>
      <c r="F159" s="62" t="str">
        <f>IFERROR(__xludf.DUMMYFUNCTION("""COMPUTED_VALUE"""),"Yes")</f>
        <v>Yes</v>
      </c>
      <c r="G159" s="62" t="str">
        <f>IFERROR(__xludf.DUMMYFUNCTION("""COMPUTED_VALUE"""),"Variant Pathogenicity")</f>
        <v>Variant Pathogenicity</v>
      </c>
      <c r="H159" s="62" t="str">
        <f>IFERROR(__xludf.DUMMYFUNCTION("""COMPUTED_VALUE"""),"")</f>
        <v/>
      </c>
      <c r="I159" s="62"/>
      <c r="J159" s="62" t="str">
        <f>IFERROR(__xludf.DUMMYFUNCTION("""COMPUTED_VALUE"""),"")</f>
        <v/>
      </c>
      <c r="K159" s="62"/>
      <c r="L159" s="62" t="str">
        <f>IFERROR(__xludf.DUMMYFUNCTION("""COMPUTED_VALUE"""),"")</f>
        <v/>
      </c>
      <c r="M159" s="62"/>
      <c r="N159" s="62"/>
      <c r="O159" s="62"/>
      <c r="P159" s="62"/>
      <c r="Q159" s="62"/>
      <c r="R159" s="62"/>
      <c r="S159" s="62"/>
      <c r="T159" s="62"/>
      <c r="U159" s="62"/>
      <c r="V159" s="62"/>
      <c r="W159" s="62"/>
      <c r="X159" s="62"/>
      <c r="Y159" s="62"/>
      <c r="Z159" s="62"/>
      <c r="AA159" s="62"/>
      <c r="AB159" s="62"/>
      <c r="AC159" s="62"/>
      <c r="AD159" s="62"/>
    </row>
    <row r="160">
      <c r="A160" s="151">
        <f>IFERROR(__xludf.DUMMYFUNCTION("""COMPUTED_VALUE"""),43794.31350851851)</f>
        <v>43794.31351</v>
      </c>
      <c r="B160" s="6" t="str">
        <f>IFERROR(__xludf.DUMMYFUNCTION("""COMPUTED_VALUE"""),"Adriana Bastos Carvalho")</f>
        <v>Adriana Bastos Carvalho</v>
      </c>
      <c r="C160" s="6" t="str">
        <f>IFERROR(__xludf.DUMMYFUNCTION("""COMPUTED_VALUE"""),"carvalhoab@biof.ufrj.br")</f>
        <v>carvalhoab@biof.ufrj.br</v>
      </c>
      <c r="D160" s="62" t="str">
        <f>IFERROR(__xludf.DUMMYFUNCTION("""COMPUTED_VALUE"""),"Contacted")</f>
        <v>Contacted</v>
      </c>
      <c r="E160" s="106">
        <f>IFERROR(__xludf.DUMMYFUNCTION("""COMPUTED_VALUE"""),43846.0)</f>
        <v>43846</v>
      </c>
      <c r="F160" s="62" t="str">
        <f>IFERROR(__xludf.DUMMYFUNCTION("""COMPUTED_VALUE"""),"No")</f>
        <v>No</v>
      </c>
      <c r="G160" s="62" t="str">
        <f>IFERROR(__xludf.DUMMYFUNCTION("""COMPUTED_VALUE"""),"Gene Disease Validity")</f>
        <v>Gene Disease Validity</v>
      </c>
      <c r="H160" s="62" t="str">
        <f>IFERROR(__xludf.DUMMYFUNCTION("""COMPUTED_VALUE"""),"")</f>
        <v/>
      </c>
      <c r="I160" s="62"/>
      <c r="J160" s="62" t="str">
        <f>IFERROR(__xludf.DUMMYFUNCTION("""COMPUTED_VALUE"""),"")</f>
        <v/>
      </c>
      <c r="K160" s="62"/>
      <c r="L160" s="62" t="str">
        <f>IFERROR(__xludf.DUMMYFUNCTION("""COMPUTED_VALUE"""),"")</f>
        <v/>
      </c>
      <c r="M160" s="62"/>
      <c r="N160" s="62"/>
      <c r="O160" s="62"/>
      <c r="P160" s="62"/>
      <c r="Q160" s="62"/>
      <c r="R160" s="62"/>
      <c r="S160" s="62"/>
      <c r="T160" s="62"/>
      <c r="U160" s="62"/>
      <c r="V160" s="62"/>
      <c r="W160" s="62"/>
      <c r="X160" s="62"/>
      <c r="Y160" s="62"/>
      <c r="Z160" s="62"/>
      <c r="AA160" s="62"/>
      <c r="AB160" s="62"/>
      <c r="AC160" s="62"/>
      <c r="AD160" s="62"/>
    </row>
    <row r="161">
      <c r="A161" s="151">
        <f>IFERROR(__xludf.DUMMYFUNCTION("""COMPUTED_VALUE"""),43810.62789938657)</f>
        <v>43810.6279</v>
      </c>
      <c r="B161" s="6" t="str">
        <f>IFERROR(__xludf.DUMMYFUNCTION("""COMPUTED_VALUE"""),"Tess Levy")</f>
        <v>Tess Levy</v>
      </c>
      <c r="C161" s="6" t="str">
        <f>IFERROR(__xludf.DUMMYFUNCTION("""COMPUTED_VALUE"""),"tess.levy@mssm.edu")</f>
        <v>tess.levy@mssm.edu</v>
      </c>
      <c r="D161" s="62" t="str">
        <f>IFERROR(__xludf.DUMMYFUNCTION("""COMPUTED_VALUE"""),"Contacted")</f>
        <v>Contacted</v>
      </c>
      <c r="E161" s="106">
        <f>IFERROR(__xludf.DUMMYFUNCTION("""COMPUTED_VALUE"""),43846.0)</f>
        <v>43846</v>
      </c>
      <c r="F161" s="62" t="str">
        <f>IFERROR(__xludf.DUMMYFUNCTION("""COMPUTED_VALUE"""),"No")</f>
        <v>No</v>
      </c>
      <c r="G161" s="62" t="str">
        <f>IFERROR(__xludf.DUMMYFUNCTION("""COMPUTED_VALUE"""),"Gene Disease Validity")</f>
        <v>Gene Disease Validity</v>
      </c>
      <c r="H161" s="62" t="str">
        <f>IFERROR(__xludf.DUMMYFUNCTION("""COMPUTED_VALUE"""),"")</f>
        <v/>
      </c>
      <c r="I161" s="62"/>
      <c r="J161" s="62" t="str">
        <f>IFERROR(__xludf.DUMMYFUNCTION("""COMPUTED_VALUE"""),"")</f>
        <v/>
      </c>
      <c r="K161" s="62"/>
      <c r="L161" s="62" t="str">
        <f>IFERROR(__xludf.DUMMYFUNCTION("""COMPUTED_VALUE"""),"")</f>
        <v/>
      </c>
      <c r="M161" s="62"/>
      <c r="N161" s="62"/>
      <c r="O161" s="62"/>
      <c r="P161" s="62"/>
      <c r="Q161" s="62"/>
      <c r="R161" s="62"/>
      <c r="S161" s="62"/>
      <c r="T161" s="62"/>
      <c r="U161" s="62"/>
      <c r="V161" s="62"/>
      <c r="W161" s="62"/>
      <c r="X161" s="62"/>
      <c r="Y161" s="62"/>
      <c r="Z161" s="62"/>
      <c r="AA161" s="62"/>
      <c r="AB161" s="62"/>
      <c r="AC161" s="62"/>
      <c r="AD161" s="62"/>
    </row>
    <row r="162">
      <c r="A162" s="151">
        <f>IFERROR(__xludf.DUMMYFUNCTION("""COMPUTED_VALUE"""),43811.14995009259)</f>
        <v>43811.14995</v>
      </c>
      <c r="B162" s="6" t="str">
        <f>IFERROR(__xludf.DUMMYFUNCTION("""COMPUTED_VALUE"""),"Xiaoyan Guo ")</f>
        <v>Xiaoyan Guo </v>
      </c>
      <c r="C162" s="6" t="str">
        <f>IFERROR(__xludf.DUMMYFUNCTION("""COMPUTED_VALUE"""),"540842557@qq.com")</f>
        <v>540842557@qq.com</v>
      </c>
      <c r="D162" s="62" t="str">
        <f>IFERROR(__xludf.DUMMYFUNCTION("""COMPUTED_VALUE"""),"Contacted")</f>
        <v>Contacted</v>
      </c>
      <c r="E162" s="106">
        <f>IFERROR(__xludf.DUMMYFUNCTION("""COMPUTED_VALUE"""),43846.0)</f>
        <v>43846</v>
      </c>
      <c r="F162" s="62" t="str">
        <f>IFERROR(__xludf.DUMMYFUNCTION("""COMPUTED_VALUE"""),"Yes")</f>
        <v>Yes</v>
      </c>
      <c r="G162" s="62" t="str">
        <f>IFERROR(__xludf.DUMMYFUNCTION("""COMPUTED_VALUE"""),"Gene Disease Validity")</f>
        <v>Gene Disease Validity</v>
      </c>
      <c r="H162" s="62" t="str">
        <f>IFERROR(__xludf.DUMMYFUNCTION("""COMPUTED_VALUE"""),"")</f>
        <v/>
      </c>
      <c r="I162" s="62"/>
      <c r="J162" s="62" t="str">
        <f>IFERROR(__xludf.DUMMYFUNCTION("""COMPUTED_VALUE"""),"")</f>
        <v/>
      </c>
      <c r="K162" s="62"/>
      <c r="L162" s="62" t="str">
        <f>IFERROR(__xludf.DUMMYFUNCTION("""COMPUTED_VALUE"""),"")</f>
        <v/>
      </c>
      <c r="M162" s="62"/>
      <c r="N162" s="62"/>
      <c r="O162" s="62"/>
      <c r="P162" s="62"/>
      <c r="Q162" s="62"/>
      <c r="R162" s="62"/>
      <c r="S162" s="62"/>
      <c r="T162" s="62"/>
      <c r="U162" s="62"/>
      <c r="V162" s="62"/>
      <c r="W162" s="62"/>
      <c r="X162" s="62"/>
      <c r="Y162" s="62"/>
      <c r="Z162" s="62"/>
      <c r="AA162" s="62"/>
      <c r="AB162" s="62"/>
      <c r="AC162" s="62"/>
      <c r="AD162" s="62"/>
    </row>
    <row r="163">
      <c r="A163" s="151">
        <f>IFERROR(__xludf.DUMMYFUNCTION("""COMPUTED_VALUE"""),43818.519401909725)</f>
        <v>43818.5194</v>
      </c>
      <c r="B163" s="6" t="str">
        <f>IFERROR(__xludf.DUMMYFUNCTION("""COMPUTED_VALUE"""),"Thanuja Selvanayagam")</f>
        <v>Thanuja Selvanayagam</v>
      </c>
      <c r="C163" s="6" t="str">
        <f>IFERROR(__xludf.DUMMYFUNCTION("""COMPUTED_VALUE"""),"tselvanayagam@cheo.on.ca")</f>
        <v>tselvanayagam@cheo.on.ca</v>
      </c>
      <c r="D163" s="62" t="str">
        <f>IFERROR(__xludf.DUMMYFUNCTION("""COMPUTED_VALUE"""),"Contacted")</f>
        <v>Contacted</v>
      </c>
      <c r="E163" s="106">
        <f>IFERROR(__xludf.DUMMYFUNCTION("""COMPUTED_VALUE"""),43846.0)</f>
        <v>43846</v>
      </c>
      <c r="F163" s="62" t="str">
        <f>IFERROR(__xludf.DUMMYFUNCTION("""COMPUTED_VALUE"""),"Yes")</f>
        <v>Yes</v>
      </c>
      <c r="G163" s="62" t="str">
        <f>IFERROR(__xludf.DUMMYFUNCTION("""COMPUTED_VALUE"""),"Gene Disease Validity")</f>
        <v>Gene Disease Validity</v>
      </c>
      <c r="H163" s="62" t="str">
        <f>IFERROR(__xludf.DUMMYFUNCTION("""COMPUTED_VALUE"""),"")</f>
        <v/>
      </c>
      <c r="I163" s="62"/>
      <c r="J163" s="62" t="str">
        <f>IFERROR(__xludf.DUMMYFUNCTION("""COMPUTED_VALUE"""),"")</f>
        <v/>
      </c>
      <c r="K163" s="62"/>
      <c r="L163" s="62" t="str">
        <f>IFERROR(__xludf.DUMMYFUNCTION("""COMPUTED_VALUE"""),"")</f>
        <v/>
      </c>
      <c r="M163" s="62"/>
      <c r="N163" s="62"/>
      <c r="O163" s="62"/>
      <c r="P163" s="62"/>
      <c r="Q163" s="62"/>
      <c r="R163" s="62"/>
      <c r="S163" s="62"/>
      <c r="T163" s="62"/>
      <c r="U163" s="62"/>
      <c r="V163" s="62"/>
      <c r="W163" s="62"/>
      <c r="X163" s="62"/>
      <c r="Y163" s="62"/>
      <c r="Z163" s="62"/>
      <c r="AA163" s="62"/>
      <c r="AB163" s="62"/>
      <c r="AC163" s="62"/>
      <c r="AD163" s="62"/>
    </row>
    <row r="164">
      <c r="A164" s="151">
        <f>IFERROR(__xludf.DUMMYFUNCTION("""COMPUTED_VALUE"""),43838.591925925924)</f>
        <v>43838.59193</v>
      </c>
      <c r="B164" s="6" t="str">
        <f>IFERROR(__xludf.DUMMYFUNCTION("""COMPUTED_VALUE"""),"Kendrah Kidd")</f>
        <v>Kendrah Kidd</v>
      </c>
      <c r="C164" s="6" t="str">
        <f>IFERROR(__xludf.DUMMYFUNCTION("""COMPUTED_VALUE"""),"kkidd@wakehealth.edu")</f>
        <v>kkidd@wakehealth.edu</v>
      </c>
      <c r="D164" s="62" t="str">
        <f>IFERROR(__xludf.DUMMYFUNCTION("""COMPUTED_VALUE"""),"Contacted")</f>
        <v>Contacted</v>
      </c>
      <c r="E164" s="106">
        <f>IFERROR(__xludf.DUMMYFUNCTION("""COMPUTED_VALUE"""),43859.0)</f>
        <v>43859</v>
      </c>
      <c r="F164" s="62" t="str">
        <f>IFERROR(__xludf.DUMMYFUNCTION("""COMPUTED_VALUE"""),"Yes")</f>
        <v>Yes</v>
      </c>
      <c r="G164" s="62" t="str">
        <f>IFERROR(__xludf.DUMMYFUNCTION("""COMPUTED_VALUE"""),"Variant Pathogenicity")</f>
        <v>Variant Pathogenicity</v>
      </c>
      <c r="H164" s="62" t="str">
        <f>IFERROR(__xludf.DUMMYFUNCTION("""COMPUTED_VALUE"""),"")</f>
        <v/>
      </c>
      <c r="I164" s="62"/>
      <c r="J164" s="62" t="str">
        <f>IFERROR(__xludf.DUMMYFUNCTION("""COMPUTED_VALUE"""),"")</f>
        <v/>
      </c>
      <c r="K164" s="62"/>
      <c r="L164" s="62" t="str">
        <f>IFERROR(__xludf.DUMMYFUNCTION("""COMPUTED_VALUE"""),"")</f>
        <v/>
      </c>
      <c r="M164" s="62"/>
      <c r="N164" s="62"/>
      <c r="O164" s="62"/>
      <c r="P164" s="62"/>
      <c r="Q164" s="62"/>
      <c r="R164" s="62"/>
      <c r="S164" s="62"/>
      <c r="T164" s="62"/>
      <c r="U164" s="62"/>
      <c r="V164" s="62"/>
      <c r="W164" s="62"/>
      <c r="X164" s="62"/>
      <c r="Y164" s="62"/>
      <c r="Z164" s="62"/>
      <c r="AA164" s="62"/>
      <c r="AB164" s="62"/>
      <c r="AC164" s="62"/>
      <c r="AD164" s="62"/>
    </row>
    <row r="165">
      <c r="A165" s="151">
        <f>IFERROR(__xludf.DUMMYFUNCTION("""COMPUTED_VALUE"""),43846.63989085648)</f>
        <v>43846.63989</v>
      </c>
      <c r="B165" s="6" t="str">
        <f>IFERROR(__xludf.DUMMYFUNCTION("""COMPUTED_VALUE"""),"Julie Hathaway")</f>
        <v>Julie Hathaway</v>
      </c>
      <c r="C165" s="6" t="str">
        <f>IFERROR(__xludf.DUMMYFUNCTION("""COMPUTED_VALUE"""),"julie.hathaway@blueprintgenetics.com")</f>
        <v>julie.hathaway@blueprintgenetics.com</v>
      </c>
      <c r="D165" s="62" t="str">
        <f>IFERROR(__xludf.DUMMYFUNCTION("""COMPUTED_VALUE"""),"Contacted")</f>
        <v>Contacted</v>
      </c>
      <c r="E165" s="106">
        <f>IFERROR(__xludf.DUMMYFUNCTION("""COMPUTED_VALUE"""),43846.0)</f>
        <v>43846</v>
      </c>
      <c r="F165" s="62" t="str">
        <f>IFERROR(__xludf.DUMMYFUNCTION("""COMPUTED_VALUE"""),"Yes")</f>
        <v>Yes</v>
      </c>
      <c r="G165" s="62" t="str">
        <f>IFERROR(__xludf.DUMMYFUNCTION("""COMPUTED_VALUE"""),"Gene Disease Validity")</f>
        <v>Gene Disease Validity</v>
      </c>
      <c r="H165" s="62" t="str">
        <f>IFERROR(__xludf.DUMMYFUNCTION("""COMPUTED_VALUE"""),"")</f>
        <v/>
      </c>
      <c r="I165" s="62"/>
      <c r="J165" s="62" t="str">
        <f>IFERROR(__xludf.DUMMYFUNCTION("""COMPUTED_VALUE"""),"")</f>
        <v/>
      </c>
      <c r="K165" s="62"/>
      <c r="L165" s="62" t="str">
        <f>IFERROR(__xludf.DUMMYFUNCTION("""COMPUTED_VALUE"""),"")</f>
        <v/>
      </c>
      <c r="M165" s="62"/>
      <c r="N165" s="62"/>
      <c r="O165" s="62"/>
      <c r="P165" s="62"/>
      <c r="Q165" s="62"/>
      <c r="R165" s="62"/>
      <c r="S165" s="62"/>
      <c r="T165" s="62"/>
      <c r="U165" s="62"/>
      <c r="V165" s="62"/>
      <c r="W165" s="62"/>
      <c r="X165" s="62"/>
      <c r="Y165" s="62"/>
      <c r="Z165" s="62"/>
      <c r="AA165" s="62"/>
      <c r="AB165" s="62"/>
      <c r="AC165" s="62"/>
      <c r="AD165" s="62"/>
    </row>
    <row r="166">
      <c r="A166" s="151">
        <f>IFERROR(__xludf.DUMMYFUNCTION("""COMPUTED_VALUE"""),43846.65032980324)</f>
        <v>43846.65033</v>
      </c>
      <c r="B166" s="6" t="str">
        <f>IFERROR(__xludf.DUMMYFUNCTION("""COMPUTED_VALUE"""),"Devon Thrush")</f>
        <v>Devon Thrush</v>
      </c>
      <c r="C166" s="6" t="str">
        <f>IFERROR(__xludf.DUMMYFUNCTION("""COMPUTED_VALUE"""),"dthrush@ambrygen.com")</f>
        <v>dthrush@ambrygen.com</v>
      </c>
      <c r="D166" s="62" t="str">
        <f>IFERROR(__xludf.DUMMYFUNCTION("""COMPUTED_VALUE"""),"Contacted")</f>
        <v>Contacted</v>
      </c>
      <c r="E166" s="106">
        <f>IFERROR(__xludf.DUMMYFUNCTION("""COMPUTED_VALUE"""),43846.0)</f>
        <v>43846</v>
      </c>
      <c r="F166" s="62" t="str">
        <f>IFERROR(__xludf.DUMMYFUNCTION("""COMPUTED_VALUE"""),"No")</f>
        <v>No</v>
      </c>
      <c r="G166" s="62" t="str">
        <f>IFERROR(__xludf.DUMMYFUNCTION("""COMPUTED_VALUE"""),"Gene Disease Validity")</f>
        <v>Gene Disease Validity</v>
      </c>
      <c r="H166" s="62" t="str">
        <f>IFERROR(__xludf.DUMMYFUNCTION("""COMPUTED_VALUE"""),"")</f>
        <v/>
      </c>
      <c r="I166" s="62"/>
      <c r="J166" s="62" t="str">
        <f>IFERROR(__xludf.DUMMYFUNCTION("""COMPUTED_VALUE"""),"")</f>
        <v/>
      </c>
      <c r="K166" s="62"/>
      <c r="L166" s="62" t="str">
        <f>IFERROR(__xludf.DUMMYFUNCTION("""COMPUTED_VALUE"""),"")</f>
        <v/>
      </c>
      <c r="M166" s="62"/>
      <c r="N166" s="62"/>
      <c r="O166" s="62"/>
      <c r="P166" s="62"/>
      <c r="Q166" s="62"/>
      <c r="R166" s="62"/>
      <c r="S166" s="62"/>
      <c r="T166" s="62"/>
      <c r="U166" s="62"/>
      <c r="V166" s="62"/>
      <c r="W166" s="62"/>
      <c r="X166" s="62"/>
      <c r="Y166" s="62"/>
      <c r="Z166" s="62"/>
      <c r="AA166" s="62"/>
      <c r="AB166" s="62"/>
      <c r="AC166" s="62"/>
      <c r="AD166" s="62"/>
    </row>
    <row r="167">
      <c r="A167" s="151">
        <f>IFERROR(__xludf.DUMMYFUNCTION("""COMPUTED_VALUE"""),43847.4378778125)</f>
        <v>43847.43788</v>
      </c>
      <c r="B167" s="6" t="str">
        <f>IFERROR(__xludf.DUMMYFUNCTION("""COMPUTED_VALUE"""),"Adriana Bastos Carvalho")</f>
        <v>Adriana Bastos Carvalho</v>
      </c>
      <c r="C167" s="6" t="str">
        <f>IFERROR(__xludf.DUMMYFUNCTION("""COMPUTED_VALUE"""),"carvalhoab@biof.ufrj.br")</f>
        <v>carvalhoab@biof.ufrj.br</v>
      </c>
      <c r="D167" s="62" t="str">
        <f>IFERROR(__xludf.DUMMYFUNCTION("""COMPUTED_VALUE"""),"Contacted")</f>
        <v>Contacted</v>
      </c>
      <c r="E167" s="106">
        <f>IFERROR(__xludf.DUMMYFUNCTION("""COMPUTED_VALUE"""),43859.0)</f>
        <v>43859</v>
      </c>
      <c r="F167" s="62" t="str">
        <f>IFERROR(__xludf.DUMMYFUNCTION("""COMPUTED_VALUE"""),"Yes")</f>
        <v>Yes</v>
      </c>
      <c r="G167" s="62" t="str">
        <f>IFERROR(__xludf.DUMMYFUNCTION("""COMPUTED_VALUE"""),"Variant Pathogenicity")</f>
        <v>Variant Pathogenicity</v>
      </c>
      <c r="H167" s="62" t="str">
        <f>IFERROR(__xludf.DUMMYFUNCTION("""COMPUTED_VALUE"""),"")</f>
        <v/>
      </c>
      <c r="I167" s="62"/>
      <c r="J167" s="62" t="str">
        <f>IFERROR(__xludf.DUMMYFUNCTION("""COMPUTED_VALUE"""),"")</f>
        <v/>
      </c>
      <c r="K167" s="62"/>
      <c r="L167" s="62" t="str">
        <f>IFERROR(__xludf.DUMMYFUNCTION("""COMPUTED_VALUE"""),"")</f>
        <v/>
      </c>
      <c r="M167" s="62"/>
      <c r="N167" s="62"/>
      <c r="O167" s="62"/>
      <c r="P167" s="62"/>
      <c r="Q167" s="62"/>
      <c r="R167" s="62"/>
      <c r="S167" s="62"/>
      <c r="T167" s="62"/>
      <c r="U167" s="62"/>
      <c r="V167" s="62"/>
      <c r="W167" s="62"/>
      <c r="X167" s="62"/>
      <c r="Y167" s="62"/>
      <c r="Z167" s="62"/>
      <c r="AA167" s="62"/>
      <c r="AB167" s="62"/>
      <c r="AC167" s="62"/>
      <c r="AD167" s="62"/>
    </row>
    <row r="168">
      <c r="A168" s="151">
        <f>IFERROR(__xludf.DUMMYFUNCTION("""COMPUTED_VALUE"""),43847.669551747684)</f>
        <v>43847.66955</v>
      </c>
      <c r="B168" s="6" t="str">
        <f>IFERROR(__xludf.DUMMYFUNCTION("""COMPUTED_VALUE"""),"Shiloh Martin")</f>
        <v>Shiloh Martin</v>
      </c>
      <c r="C168" s="6" t="str">
        <f>IFERROR(__xludf.DUMMYFUNCTION("""COMPUTED_VALUE"""),"shiloh.martin@invitae.com")</f>
        <v>shiloh.martin@invitae.com</v>
      </c>
      <c r="D168" s="62" t="str">
        <f>IFERROR(__xludf.DUMMYFUNCTION("""COMPUTED_VALUE"""),"Contacted")</f>
        <v>Contacted</v>
      </c>
      <c r="E168" s="106">
        <f>IFERROR(__xludf.DUMMYFUNCTION("""COMPUTED_VALUE"""),43846.0)</f>
        <v>43846</v>
      </c>
      <c r="F168" s="62" t="str">
        <f>IFERROR(__xludf.DUMMYFUNCTION("""COMPUTED_VALUE"""),"Yes")</f>
        <v>Yes</v>
      </c>
      <c r="G168" s="62" t="str">
        <f>IFERROR(__xludf.DUMMYFUNCTION("""COMPUTED_VALUE"""),"Gene Disease Validity")</f>
        <v>Gene Disease Validity</v>
      </c>
      <c r="H168" s="62" t="str">
        <f>IFERROR(__xludf.DUMMYFUNCTION("""COMPUTED_VALUE"""),"")</f>
        <v/>
      </c>
      <c r="I168" s="62"/>
      <c r="J168" s="62" t="str">
        <f>IFERROR(__xludf.DUMMYFUNCTION("""COMPUTED_VALUE"""),"")</f>
        <v/>
      </c>
      <c r="K168" s="62"/>
      <c r="L168" s="62" t="str">
        <f>IFERROR(__xludf.DUMMYFUNCTION("""COMPUTED_VALUE"""),"")</f>
        <v/>
      </c>
      <c r="M168" s="62"/>
      <c r="N168" s="62"/>
      <c r="O168" s="62"/>
      <c r="P168" s="62"/>
      <c r="Q168" s="62"/>
      <c r="R168" s="62"/>
      <c r="S168" s="62"/>
      <c r="T168" s="62"/>
      <c r="U168" s="62"/>
      <c r="V168" s="62"/>
      <c r="W168" s="62"/>
      <c r="X168" s="62"/>
      <c r="Y168" s="62"/>
      <c r="Z168" s="62"/>
      <c r="AA168" s="62"/>
      <c r="AB168" s="62"/>
      <c r="AC168" s="62"/>
      <c r="AD168" s="62"/>
    </row>
    <row r="169">
      <c r="A169" s="151">
        <f>IFERROR(__xludf.DUMMYFUNCTION("""COMPUTED_VALUE"""),43859.26483828704)</f>
        <v>43859.26484</v>
      </c>
      <c r="B169" s="6" t="str">
        <f>IFERROR(__xludf.DUMMYFUNCTION("""COMPUTED_VALUE"""),"Saja El Yaacoub")</f>
        <v>Saja El Yaacoub</v>
      </c>
      <c r="C169" s="6" t="str">
        <f>IFERROR(__xludf.DUMMYFUNCTION("""COMPUTED_VALUE"""),"saja.alyaacoub@live.com")</f>
        <v>saja.alyaacoub@live.com</v>
      </c>
      <c r="D169" s="62" t="str">
        <f>IFERROR(__xludf.DUMMYFUNCTION("""COMPUTED_VALUE"""),"Contacted")</f>
        <v>Contacted</v>
      </c>
      <c r="E169" s="106">
        <f>IFERROR(__xludf.DUMMYFUNCTION("""COMPUTED_VALUE"""),43859.0)</f>
        <v>43859</v>
      </c>
      <c r="F169" s="62" t="str">
        <f>IFERROR(__xludf.DUMMYFUNCTION("""COMPUTED_VALUE"""),"Yes")</f>
        <v>Yes</v>
      </c>
      <c r="G169" s="62" t="str">
        <f>IFERROR(__xludf.DUMMYFUNCTION("""COMPUTED_VALUE"""),"Variant Pathogenicity")</f>
        <v>Variant Pathogenicity</v>
      </c>
      <c r="H169" s="62" t="str">
        <f>IFERROR(__xludf.DUMMYFUNCTION("""COMPUTED_VALUE"""),"")</f>
        <v/>
      </c>
      <c r="I169" s="62"/>
      <c r="J169" s="62" t="str">
        <f>IFERROR(__xludf.DUMMYFUNCTION("""COMPUTED_VALUE"""),"")</f>
        <v/>
      </c>
      <c r="K169" s="62"/>
      <c r="L169" s="62" t="str">
        <f>IFERROR(__xludf.DUMMYFUNCTION("""COMPUTED_VALUE"""),"")</f>
        <v/>
      </c>
      <c r="M169" s="62"/>
      <c r="N169" s="62"/>
      <c r="O169" s="62"/>
      <c r="P169" s="62"/>
      <c r="Q169" s="62"/>
      <c r="R169" s="62"/>
      <c r="S169" s="62"/>
      <c r="T169" s="62"/>
      <c r="U169" s="62"/>
      <c r="V169" s="62"/>
      <c r="W169" s="62"/>
      <c r="X169" s="62"/>
      <c r="Y169" s="62"/>
      <c r="Z169" s="62"/>
      <c r="AA169" s="62"/>
      <c r="AB169" s="62"/>
      <c r="AC169" s="62"/>
      <c r="AD169" s="62"/>
    </row>
    <row r="170">
      <c r="A170" s="6"/>
      <c r="B170" s="6"/>
      <c r="C170" s="6"/>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row>
    <row r="171">
      <c r="A171" s="6"/>
      <c r="B171" s="6"/>
      <c r="C171" s="6"/>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row>
    <row r="172">
      <c r="A172" s="6"/>
      <c r="B172" s="6"/>
      <c r="C172" s="6"/>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row>
    <row r="173">
      <c r="A173" s="6"/>
      <c r="B173" s="6"/>
      <c r="C173" s="6"/>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row>
    <row r="174">
      <c r="A174" s="6"/>
      <c r="B174" s="6"/>
      <c r="C174" s="6"/>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row>
    <row r="175">
      <c r="A175" s="6"/>
      <c r="B175" s="6"/>
      <c r="C175" s="6"/>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row>
    <row r="176">
      <c r="A176" s="6"/>
      <c r="B176" s="6"/>
      <c r="C176" s="6"/>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row>
    <row r="177">
      <c r="A177" s="6"/>
      <c r="B177" s="6"/>
      <c r="C177" s="6"/>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row>
    <row r="178">
      <c r="A178" s="6"/>
      <c r="B178" s="6"/>
      <c r="C178" s="6"/>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row>
    <row r="179">
      <c r="A179" s="6"/>
      <c r="B179" s="6"/>
      <c r="C179" s="6"/>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row>
    <row r="180">
      <c r="A180" s="6"/>
      <c r="B180" s="6"/>
      <c r="C180" s="6"/>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row>
    <row r="181">
      <c r="A181" s="6"/>
      <c r="B181" s="6"/>
      <c r="C181" s="6"/>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row>
    <row r="182">
      <c r="A182" s="6"/>
      <c r="B182" s="6"/>
      <c r="C182" s="6"/>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row>
    <row r="183">
      <c r="A183" s="6"/>
      <c r="B183" s="6"/>
      <c r="C183" s="6"/>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row>
    <row r="184">
      <c r="A184" s="6"/>
      <c r="B184" s="6"/>
      <c r="C184" s="6"/>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row>
    <row r="185">
      <c r="A185" s="6"/>
      <c r="B185" s="6"/>
      <c r="C185" s="6"/>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row>
    <row r="186">
      <c r="A186" s="6"/>
      <c r="B186" s="6"/>
      <c r="C186" s="6"/>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row>
    <row r="187">
      <c r="A187" s="6"/>
      <c r="B187" s="6"/>
      <c r="C187" s="6"/>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row>
    <row r="188">
      <c r="A188" s="6"/>
      <c r="B188" s="6"/>
      <c r="C188" s="6"/>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row>
    <row r="189">
      <c r="A189" s="6"/>
      <c r="B189" s="6"/>
      <c r="C189" s="6"/>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row>
    <row r="190">
      <c r="A190" s="6"/>
      <c r="B190" s="6"/>
      <c r="C190" s="6"/>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row>
    <row r="191">
      <c r="A191" s="6"/>
      <c r="B191" s="6"/>
      <c r="C191" s="6"/>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row>
    <row r="192">
      <c r="A192" s="6"/>
      <c r="B192" s="6"/>
      <c r="C192" s="6"/>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row>
    <row r="193">
      <c r="A193" s="155"/>
      <c r="B193" s="155"/>
      <c r="C193" s="155"/>
      <c r="D193" s="60"/>
      <c r="E193" s="60"/>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row>
    <row r="194">
      <c r="A194" s="6"/>
      <c r="B194" s="6"/>
      <c r="C194" s="6"/>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row>
    <row r="195">
      <c r="A195" s="6"/>
      <c r="B195" s="6"/>
      <c r="C195" s="6"/>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row>
    <row r="196">
      <c r="A196" s="6"/>
      <c r="B196" s="6"/>
      <c r="C196" s="6"/>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row>
    <row r="197">
      <c r="A197" s="6"/>
      <c r="B197" s="6"/>
      <c r="C197" s="6"/>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row>
    <row r="198">
      <c r="A198" s="6"/>
      <c r="B198" s="6"/>
      <c r="C198" s="6"/>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row>
    <row r="199">
      <c r="A199" s="6"/>
      <c r="B199" s="6"/>
      <c r="C199" s="6"/>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row>
    <row r="200">
      <c r="A200" s="6"/>
      <c r="B200" s="6"/>
      <c r="C200" s="6"/>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row>
    <row r="201">
      <c r="A201" s="6"/>
      <c r="B201" s="6"/>
      <c r="C201" s="6"/>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row>
    <row r="202">
      <c r="A202" s="6"/>
      <c r="B202" s="6"/>
      <c r="C202" s="6"/>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row>
    <row r="203">
      <c r="A203" s="6"/>
      <c r="B203" s="6"/>
      <c r="C203" s="6"/>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row>
    <row r="204">
      <c r="A204" s="6"/>
      <c r="B204" s="6"/>
      <c r="C204" s="6"/>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row>
    <row r="205">
      <c r="A205" s="6"/>
      <c r="B205" s="6"/>
      <c r="C205" s="6"/>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row>
    <row r="206">
      <c r="A206" s="6"/>
      <c r="B206" s="6"/>
      <c r="C206" s="6"/>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row>
    <row r="207">
      <c r="A207" s="6"/>
      <c r="B207" s="6"/>
      <c r="C207" s="6"/>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row>
    <row r="208">
      <c r="A208" s="6"/>
      <c r="B208" s="6"/>
      <c r="C208" s="6"/>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row>
    <row r="209">
      <c r="A209" s="6"/>
      <c r="B209" s="6"/>
      <c r="C209" s="6"/>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row>
    <row r="210">
      <c r="A210" s="6"/>
      <c r="B210" s="6"/>
      <c r="C210" s="6"/>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row>
    <row r="211">
      <c r="A211" s="6"/>
      <c r="B211" s="6"/>
      <c r="C211" s="6"/>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row>
    <row r="212">
      <c r="A212" s="6"/>
      <c r="B212" s="6"/>
      <c r="C212" s="6"/>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row>
    <row r="213">
      <c r="A213" s="6"/>
      <c r="B213" s="6"/>
      <c r="C213" s="6"/>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row>
    <row r="214">
      <c r="A214" s="6"/>
      <c r="B214" s="6"/>
      <c r="C214" s="6"/>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row>
    <row r="215">
      <c r="A215" s="6"/>
      <c r="B215" s="6"/>
      <c r="C215" s="6"/>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row>
    <row r="216">
      <c r="A216" s="6"/>
      <c r="B216" s="6"/>
      <c r="C216" s="6"/>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row>
    <row r="217">
      <c r="A217" s="6"/>
      <c r="B217" s="6"/>
      <c r="C217" s="6"/>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row>
    <row r="218">
      <c r="A218" s="6"/>
      <c r="B218" s="6"/>
      <c r="C218" s="6"/>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row>
    <row r="219">
      <c r="A219" s="6"/>
      <c r="B219" s="6"/>
      <c r="C219" s="6"/>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row>
    <row r="220">
      <c r="A220" s="6"/>
      <c r="B220" s="6"/>
      <c r="C220" s="6"/>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row>
    <row r="221">
      <c r="A221" s="6"/>
      <c r="B221" s="6"/>
      <c r="C221" s="6"/>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row>
    <row r="222">
      <c r="A222" s="6"/>
      <c r="B222" s="6"/>
      <c r="C222" s="6"/>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row>
    <row r="223">
      <c r="A223" s="6"/>
      <c r="B223" s="6"/>
      <c r="C223" s="6"/>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row>
    <row r="224">
      <c r="A224" s="6"/>
      <c r="B224" s="6"/>
      <c r="C224" s="6"/>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row>
    <row r="225">
      <c r="A225" s="6"/>
      <c r="B225" s="6"/>
      <c r="C225" s="6"/>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row>
    <row r="226">
      <c r="A226" s="6"/>
      <c r="B226" s="6"/>
      <c r="C226" s="6"/>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row>
    <row r="227">
      <c r="A227" s="6"/>
      <c r="B227" s="6"/>
      <c r="C227" s="6"/>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row>
    <row r="228">
      <c r="A228" s="6"/>
      <c r="B228" s="6"/>
      <c r="C228" s="6"/>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row>
    <row r="229">
      <c r="A229" s="6"/>
      <c r="B229" s="6"/>
      <c r="C229" s="6"/>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row>
    <row r="230">
      <c r="A230" s="6"/>
      <c r="B230" s="6"/>
      <c r="C230" s="6"/>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row>
    <row r="231">
      <c r="A231" s="6"/>
      <c r="B231" s="6"/>
      <c r="C231" s="6"/>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row>
    <row r="232">
      <c r="A232" s="6"/>
      <c r="B232" s="6"/>
      <c r="C232" s="6"/>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row>
    <row r="233">
      <c r="A233" s="6"/>
      <c r="B233" s="6"/>
      <c r="C233" s="6"/>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row>
    <row r="234">
      <c r="A234" s="6"/>
      <c r="B234" s="6"/>
      <c r="C234" s="6"/>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row>
    <row r="235">
      <c r="A235" s="6"/>
      <c r="B235" s="6"/>
      <c r="C235" s="6"/>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row>
    <row r="236">
      <c r="A236" s="6"/>
      <c r="B236" s="6"/>
      <c r="C236" s="6"/>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row>
    <row r="237">
      <c r="A237" s="6"/>
      <c r="B237" s="6"/>
      <c r="C237" s="6"/>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row>
    <row r="238">
      <c r="A238" s="6"/>
      <c r="B238" s="6"/>
      <c r="C238" s="6"/>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row>
    <row r="239">
      <c r="A239" s="6"/>
      <c r="B239" s="6"/>
      <c r="C239" s="6"/>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row>
    <row r="240">
      <c r="A240" s="6"/>
      <c r="B240" s="6"/>
      <c r="C240" s="6"/>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row>
    <row r="241">
      <c r="A241" s="6"/>
      <c r="B241" s="6"/>
      <c r="C241" s="6"/>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row>
    <row r="242">
      <c r="A242" s="6"/>
      <c r="B242" s="6"/>
      <c r="C242" s="6"/>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row>
    <row r="243">
      <c r="A243" s="6"/>
      <c r="B243" s="6"/>
      <c r="C243" s="6"/>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row>
    <row r="244">
      <c r="A244" s="6"/>
      <c r="B244" s="6"/>
      <c r="C244" s="6"/>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row>
    <row r="245">
      <c r="A245" s="6"/>
      <c r="B245" s="6"/>
      <c r="C245" s="6"/>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row>
    <row r="246">
      <c r="A246" s="6"/>
      <c r="B246" s="6"/>
      <c r="C246" s="6"/>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row>
    <row r="247">
      <c r="A247" s="6"/>
      <c r="B247" s="6"/>
      <c r="C247" s="6"/>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row>
    <row r="248">
      <c r="A248" s="6"/>
      <c r="B248" s="6"/>
      <c r="C248" s="6"/>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row>
    <row r="249">
      <c r="A249" s="6"/>
      <c r="B249" s="6"/>
      <c r="C249" s="6"/>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row>
    <row r="250">
      <c r="A250" s="6"/>
      <c r="B250" s="6"/>
      <c r="C250" s="6"/>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row>
    <row r="251">
      <c r="A251" s="6"/>
      <c r="B251" s="6"/>
      <c r="C251" s="6"/>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row>
    <row r="252">
      <c r="A252" s="6"/>
      <c r="B252" s="6"/>
      <c r="C252" s="6"/>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row>
    <row r="253">
      <c r="A253" s="6"/>
      <c r="B253" s="6"/>
      <c r="C253" s="6"/>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row>
    <row r="254">
      <c r="A254" s="6"/>
      <c r="B254" s="6"/>
      <c r="C254" s="6"/>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row>
    <row r="255">
      <c r="A255" s="6"/>
      <c r="B255" s="6"/>
      <c r="C255" s="6"/>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row>
    <row r="256">
      <c r="A256" s="6"/>
      <c r="B256" s="6"/>
      <c r="C256" s="6"/>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row>
    <row r="257">
      <c r="A257" s="6"/>
      <c r="B257" s="6"/>
      <c r="C257" s="6"/>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row>
    <row r="258">
      <c r="A258" s="6"/>
      <c r="B258" s="6"/>
      <c r="C258" s="6"/>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row>
    <row r="259">
      <c r="A259" s="6"/>
      <c r="B259" s="6"/>
      <c r="C259" s="6"/>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row>
    <row r="260">
      <c r="A260" s="6"/>
      <c r="B260" s="6"/>
      <c r="C260" s="6"/>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row>
    <row r="261">
      <c r="A261" s="6"/>
      <c r="B261" s="6"/>
      <c r="C261" s="6"/>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row>
    <row r="262">
      <c r="A262" s="6"/>
      <c r="B262" s="6"/>
      <c r="C262" s="6"/>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row>
    <row r="263">
      <c r="A263" s="6"/>
      <c r="B263" s="6"/>
      <c r="C263" s="6"/>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row>
    <row r="264">
      <c r="A264" s="6"/>
      <c r="B264" s="6"/>
      <c r="C264" s="6"/>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row>
    <row r="265">
      <c r="A265" s="6"/>
      <c r="B265" s="6"/>
      <c r="C265" s="6"/>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row>
    <row r="266">
      <c r="A266" s="6"/>
      <c r="B266" s="6"/>
      <c r="C266" s="6"/>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row>
    <row r="267">
      <c r="A267" s="6"/>
      <c r="B267" s="6"/>
      <c r="C267" s="6"/>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row>
    <row r="268">
      <c r="A268" s="6"/>
      <c r="B268" s="6"/>
      <c r="C268" s="6"/>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row>
    <row r="269">
      <c r="A269" s="6"/>
      <c r="B269" s="6"/>
      <c r="C269" s="6"/>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row>
    <row r="270">
      <c r="A270" s="6"/>
      <c r="B270" s="6"/>
      <c r="C270" s="6"/>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row>
    <row r="271">
      <c r="A271" s="6"/>
      <c r="B271" s="6"/>
      <c r="C271" s="6"/>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row>
    <row r="272">
      <c r="A272" s="6"/>
      <c r="B272" s="6"/>
      <c r="C272" s="6"/>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row>
    <row r="273">
      <c r="A273" s="6"/>
      <c r="B273" s="6"/>
      <c r="C273" s="6"/>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row>
    <row r="274">
      <c r="A274" s="6"/>
      <c r="B274" s="6"/>
      <c r="C274" s="6"/>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row>
    <row r="275">
      <c r="A275" s="6"/>
      <c r="B275" s="6"/>
      <c r="C275" s="6"/>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row>
    <row r="276">
      <c r="A276" s="6"/>
      <c r="B276" s="6"/>
      <c r="C276" s="6"/>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row>
    <row r="277">
      <c r="A277" s="6"/>
      <c r="B277" s="6"/>
      <c r="C277" s="6"/>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row>
    <row r="278">
      <c r="A278" s="6"/>
      <c r="B278" s="6"/>
      <c r="C278" s="6"/>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row>
    <row r="279">
      <c r="A279" s="6"/>
      <c r="B279" s="6"/>
      <c r="C279" s="6"/>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row>
    <row r="280">
      <c r="A280" s="6"/>
      <c r="B280" s="6"/>
      <c r="C280" s="6"/>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row>
    <row r="281">
      <c r="A281" s="6"/>
      <c r="B281" s="6"/>
      <c r="C281" s="6"/>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row>
    <row r="282">
      <c r="A282" s="6"/>
      <c r="B282" s="6"/>
      <c r="C282" s="6"/>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row>
    <row r="283">
      <c r="A283" s="6"/>
      <c r="B283" s="6"/>
      <c r="C283" s="6"/>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row>
    <row r="284">
      <c r="A284" s="6"/>
      <c r="B284" s="6"/>
      <c r="C284" s="6"/>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row>
    <row r="285">
      <c r="A285" s="6"/>
      <c r="B285" s="6"/>
      <c r="C285" s="6"/>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row>
    <row r="286">
      <c r="A286" s="6"/>
      <c r="B286" s="6"/>
      <c r="C286" s="6"/>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row>
    <row r="287">
      <c r="A287" s="6"/>
      <c r="B287" s="6"/>
      <c r="C287" s="6"/>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row>
    <row r="288">
      <c r="A288" s="6"/>
      <c r="B288" s="6"/>
      <c r="C288" s="6"/>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row>
    <row r="289">
      <c r="A289" s="6"/>
      <c r="B289" s="6"/>
      <c r="C289" s="6"/>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row>
    <row r="290">
      <c r="A290" s="6"/>
      <c r="B290" s="6"/>
      <c r="C290" s="6"/>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row>
    <row r="291">
      <c r="A291" s="6"/>
      <c r="B291" s="6"/>
      <c r="C291" s="6"/>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row>
    <row r="292">
      <c r="A292" s="6"/>
      <c r="B292" s="6"/>
      <c r="C292" s="6"/>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row>
    <row r="293">
      <c r="A293" s="6"/>
      <c r="B293" s="6"/>
      <c r="C293" s="6"/>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row>
    <row r="294">
      <c r="A294" s="6"/>
      <c r="B294" s="6"/>
      <c r="C294" s="6"/>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row>
    <row r="295">
      <c r="A295" s="6"/>
      <c r="B295" s="6"/>
      <c r="C295" s="6"/>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row>
    <row r="296">
      <c r="A296" s="6"/>
      <c r="B296" s="6"/>
      <c r="C296" s="6"/>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row>
    <row r="297">
      <c r="A297" s="6"/>
      <c r="B297" s="6"/>
      <c r="C297" s="6"/>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row>
    <row r="298">
      <c r="A298" s="6"/>
      <c r="B298" s="6"/>
      <c r="C298" s="6"/>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row>
    <row r="299">
      <c r="A299" s="6"/>
      <c r="B299" s="6"/>
      <c r="C299" s="6"/>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row>
    <row r="300">
      <c r="A300" s="6"/>
      <c r="B300" s="6"/>
      <c r="C300" s="6"/>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row>
    <row r="301">
      <c r="A301" s="6"/>
      <c r="B301" s="6"/>
      <c r="C301" s="6"/>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row>
    <row r="302">
      <c r="A302" s="6"/>
      <c r="B302" s="6"/>
      <c r="C302" s="6"/>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row>
    <row r="303">
      <c r="A303" s="6"/>
      <c r="B303" s="6"/>
      <c r="C303" s="6"/>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row>
    <row r="304">
      <c r="A304" s="6"/>
      <c r="B304" s="6"/>
      <c r="C304" s="6"/>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row>
    <row r="305">
      <c r="A305" s="6"/>
      <c r="B305" s="6"/>
      <c r="C305" s="6"/>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row>
    <row r="306">
      <c r="A306" s="6"/>
      <c r="B306" s="6"/>
      <c r="C306" s="6"/>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row>
    <row r="307">
      <c r="A307" s="6"/>
      <c r="B307" s="6"/>
      <c r="C307" s="6"/>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row>
    <row r="308">
      <c r="A308" s="6"/>
      <c r="B308" s="6"/>
      <c r="C308" s="6"/>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row>
    <row r="309">
      <c r="A309" s="6"/>
      <c r="B309" s="6"/>
      <c r="C309" s="6"/>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row>
    <row r="310">
      <c r="A310" s="6"/>
      <c r="B310" s="6"/>
      <c r="C310" s="6"/>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row>
    <row r="311">
      <c r="A311" s="6"/>
      <c r="B311" s="6"/>
      <c r="C311" s="6"/>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row>
    <row r="312">
      <c r="A312" s="6"/>
      <c r="B312" s="6"/>
      <c r="C312" s="6"/>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row>
    <row r="313">
      <c r="A313" s="6"/>
      <c r="B313" s="6"/>
      <c r="C313" s="6"/>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row>
    <row r="314">
      <c r="A314" s="6"/>
      <c r="B314" s="6"/>
      <c r="C314" s="6"/>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row>
    <row r="315">
      <c r="A315" s="6"/>
      <c r="B315" s="6"/>
      <c r="C315" s="6"/>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row>
    <row r="316">
      <c r="A316" s="6"/>
      <c r="B316" s="6"/>
      <c r="C316" s="6"/>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row>
    <row r="317">
      <c r="A317" s="6"/>
      <c r="B317" s="6"/>
      <c r="C317" s="6"/>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row>
    <row r="318">
      <c r="A318" s="6"/>
      <c r="B318" s="6"/>
      <c r="C318" s="6"/>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row>
    <row r="319">
      <c r="A319" s="6"/>
      <c r="B319" s="6"/>
      <c r="C319" s="6"/>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row>
    <row r="320">
      <c r="A320" s="6"/>
      <c r="B320" s="6"/>
      <c r="C320" s="6"/>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row>
    <row r="321">
      <c r="A321" s="6"/>
      <c r="B321" s="6"/>
      <c r="C321" s="6"/>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row>
    <row r="322">
      <c r="A322" s="6"/>
      <c r="B322" s="6"/>
      <c r="C322" s="6"/>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row>
    <row r="323">
      <c r="A323" s="6"/>
      <c r="B323" s="6"/>
      <c r="C323" s="6"/>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row>
    <row r="324">
      <c r="A324" s="6"/>
      <c r="B324" s="6"/>
      <c r="C324" s="6"/>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row>
    <row r="325">
      <c r="A325" s="6"/>
      <c r="B325" s="6"/>
      <c r="C325" s="6"/>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row>
    <row r="326">
      <c r="A326" s="6"/>
      <c r="B326" s="6"/>
      <c r="C326" s="6"/>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row>
    <row r="327">
      <c r="A327" s="6"/>
      <c r="B327" s="6"/>
      <c r="C327" s="6"/>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row>
    <row r="328">
      <c r="A328" s="6"/>
      <c r="B328" s="6"/>
      <c r="C328" s="6"/>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row>
    <row r="329">
      <c r="A329" s="6"/>
      <c r="B329" s="6"/>
      <c r="C329" s="6"/>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row>
    <row r="330">
      <c r="A330" s="6"/>
      <c r="B330" s="6"/>
      <c r="C330" s="6"/>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row>
    <row r="331">
      <c r="A331" s="6"/>
      <c r="B331" s="6"/>
      <c r="C331" s="6"/>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row>
    <row r="332">
      <c r="A332" s="6"/>
      <c r="B332" s="6"/>
      <c r="C332" s="6"/>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row>
    <row r="333">
      <c r="A333" s="6"/>
      <c r="B333" s="6"/>
      <c r="C333" s="6"/>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row>
    <row r="334">
      <c r="A334" s="6"/>
      <c r="B334" s="6"/>
      <c r="C334" s="6"/>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c r="AB334" s="62"/>
      <c r="AC334" s="62"/>
      <c r="AD334" s="62"/>
    </row>
    <row r="335">
      <c r="A335" s="6"/>
      <c r="B335" s="6"/>
      <c r="C335" s="6"/>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row>
    <row r="336">
      <c r="A336" s="6"/>
      <c r="B336" s="6"/>
      <c r="C336" s="6"/>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row>
    <row r="337">
      <c r="A337" s="6"/>
      <c r="B337" s="6"/>
      <c r="C337" s="6"/>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c r="AB337" s="62"/>
      <c r="AC337" s="62"/>
      <c r="AD337" s="62"/>
    </row>
    <row r="338">
      <c r="A338" s="6"/>
      <c r="B338" s="6"/>
      <c r="C338" s="6"/>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c r="AB338" s="62"/>
      <c r="AC338" s="62"/>
      <c r="AD338" s="62"/>
    </row>
    <row r="339">
      <c r="A339" s="6"/>
      <c r="B339" s="6"/>
      <c r="C339" s="6"/>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c r="AB339" s="62"/>
      <c r="AC339" s="62"/>
      <c r="AD339" s="62"/>
    </row>
    <row r="340">
      <c r="A340" s="6"/>
      <c r="B340" s="6"/>
      <c r="C340" s="6"/>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c r="AB340" s="62"/>
      <c r="AC340" s="62"/>
      <c r="AD340" s="62"/>
    </row>
    <row r="341">
      <c r="A341" s="6"/>
      <c r="B341" s="6"/>
      <c r="C341" s="6"/>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row>
    <row r="342">
      <c r="A342" s="6"/>
      <c r="B342" s="6"/>
      <c r="C342" s="6"/>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c r="AB342" s="62"/>
      <c r="AC342" s="62"/>
      <c r="AD342" s="62"/>
    </row>
    <row r="343">
      <c r="A343" s="6"/>
      <c r="B343" s="6"/>
      <c r="C343" s="6"/>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c r="AB343" s="62"/>
      <c r="AC343" s="62"/>
      <c r="AD343" s="62"/>
    </row>
    <row r="344">
      <c r="A344" s="6"/>
      <c r="B344" s="6"/>
      <c r="C344" s="6"/>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c r="AB344" s="62"/>
      <c r="AC344" s="62"/>
      <c r="AD344" s="62"/>
    </row>
    <row r="345">
      <c r="A345" s="6"/>
      <c r="B345" s="6"/>
      <c r="C345" s="6"/>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c r="AB345" s="62"/>
      <c r="AC345" s="62"/>
      <c r="AD345" s="62"/>
    </row>
    <row r="346">
      <c r="A346" s="6"/>
      <c r="B346" s="6"/>
      <c r="C346" s="6"/>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c r="AB346" s="62"/>
      <c r="AC346" s="62"/>
      <c r="AD346" s="62"/>
    </row>
    <row r="347">
      <c r="A347" s="6"/>
      <c r="B347" s="6"/>
      <c r="C347" s="6"/>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row>
    <row r="348">
      <c r="A348" s="6"/>
      <c r="B348" s="6"/>
      <c r="C348" s="6"/>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row>
    <row r="349">
      <c r="A349" s="6"/>
      <c r="B349" s="6"/>
      <c r="C349" s="6"/>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c r="AB349" s="62"/>
      <c r="AC349" s="62"/>
      <c r="AD349" s="62"/>
    </row>
    <row r="350">
      <c r="A350" s="6"/>
      <c r="B350" s="6"/>
      <c r="C350" s="6"/>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row>
    <row r="351">
      <c r="A351" s="6"/>
      <c r="B351" s="6"/>
      <c r="C351" s="6"/>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row>
    <row r="352">
      <c r="A352" s="6"/>
      <c r="B352" s="6"/>
      <c r="C352" s="6"/>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c r="AB352" s="62"/>
      <c r="AC352" s="62"/>
      <c r="AD352" s="62"/>
    </row>
    <row r="353">
      <c r="A353" s="6"/>
      <c r="B353" s="6"/>
      <c r="C353" s="6"/>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c r="AB353" s="62"/>
      <c r="AC353" s="62"/>
      <c r="AD353" s="62"/>
    </row>
    <row r="354">
      <c r="A354" s="6"/>
      <c r="B354" s="6"/>
      <c r="C354" s="6"/>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c r="AB354" s="62"/>
      <c r="AC354" s="62"/>
      <c r="AD354" s="62"/>
    </row>
    <row r="355">
      <c r="A355" s="6"/>
      <c r="B355" s="6"/>
      <c r="C355" s="6"/>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row>
    <row r="356">
      <c r="A356" s="6"/>
      <c r="B356" s="6"/>
      <c r="C356" s="6"/>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row>
    <row r="357">
      <c r="A357" s="6"/>
      <c r="B357" s="6"/>
      <c r="C357" s="6"/>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row>
    <row r="358">
      <c r="A358" s="6"/>
      <c r="B358" s="6"/>
      <c r="C358" s="6"/>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c r="AB358" s="62"/>
      <c r="AC358" s="62"/>
      <c r="AD358" s="62"/>
    </row>
    <row r="359">
      <c r="A359" s="6"/>
      <c r="B359" s="6"/>
      <c r="C359" s="6"/>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c r="AB359" s="62"/>
      <c r="AC359" s="62"/>
      <c r="AD359" s="62"/>
    </row>
    <row r="360">
      <c r="A360" s="6"/>
      <c r="B360" s="6"/>
      <c r="C360" s="6"/>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c r="AC360" s="62"/>
      <c r="AD360" s="62"/>
    </row>
    <row r="361">
      <c r="A361" s="6"/>
      <c r="B361" s="6"/>
      <c r="C361" s="6"/>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c r="AC361" s="62"/>
      <c r="AD361" s="62"/>
    </row>
    <row r="362">
      <c r="A362" s="6"/>
      <c r="B362" s="6"/>
      <c r="C362" s="6"/>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c r="AC362" s="62"/>
      <c r="AD362" s="62"/>
    </row>
    <row r="363">
      <c r="A363" s="6"/>
      <c r="B363" s="6"/>
      <c r="C363" s="6"/>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c r="AB363" s="62"/>
      <c r="AC363" s="62"/>
      <c r="AD363" s="62"/>
    </row>
    <row r="364">
      <c r="A364" s="6"/>
      <c r="B364" s="6"/>
      <c r="C364" s="6"/>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row>
    <row r="365">
      <c r="A365" s="6"/>
      <c r="B365" s="6"/>
      <c r="C365" s="6"/>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c r="AB365" s="62"/>
      <c r="AC365" s="62"/>
      <c r="AD365" s="62"/>
    </row>
    <row r="366">
      <c r="A366" s="6"/>
      <c r="B366" s="6"/>
      <c r="C366" s="6"/>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c r="AB366" s="62"/>
      <c r="AC366" s="62"/>
      <c r="AD366" s="62"/>
    </row>
    <row r="367">
      <c r="A367" s="6"/>
      <c r="B367" s="6"/>
      <c r="C367" s="6"/>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c r="AB367" s="62"/>
      <c r="AC367" s="62"/>
      <c r="AD367" s="62"/>
    </row>
    <row r="368">
      <c r="A368" s="6"/>
      <c r="B368" s="6"/>
      <c r="C368" s="6"/>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c r="AB368" s="62"/>
      <c r="AC368" s="62"/>
      <c r="AD368" s="62"/>
    </row>
    <row r="369">
      <c r="A369" s="6"/>
      <c r="B369" s="6"/>
      <c r="C369" s="6"/>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c r="AB369" s="62"/>
      <c r="AC369" s="62"/>
      <c r="AD369" s="62"/>
    </row>
    <row r="370">
      <c r="A370" s="6"/>
      <c r="B370" s="6"/>
      <c r="C370" s="6"/>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row>
    <row r="371">
      <c r="A371" s="6"/>
      <c r="B371" s="6"/>
      <c r="C371" s="6"/>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c r="AB371" s="62"/>
      <c r="AC371" s="62"/>
      <c r="AD371" s="62"/>
    </row>
    <row r="372">
      <c r="A372" s="6"/>
      <c r="B372" s="6"/>
      <c r="C372" s="6"/>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c r="AB372" s="62"/>
      <c r="AC372" s="62"/>
      <c r="AD372" s="62"/>
    </row>
    <row r="373">
      <c r="A373" s="6"/>
      <c r="B373" s="6"/>
      <c r="C373" s="6"/>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c r="AB373" s="62"/>
      <c r="AC373" s="62"/>
      <c r="AD373" s="62"/>
    </row>
    <row r="374">
      <c r="A374" s="6"/>
      <c r="B374" s="6"/>
      <c r="C374" s="6"/>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c r="AB374" s="62"/>
      <c r="AC374" s="62"/>
      <c r="AD374" s="62"/>
    </row>
    <row r="375">
      <c r="A375" s="6"/>
      <c r="B375" s="6"/>
      <c r="C375" s="6"/>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row>
    <row r="376">
      <c r="A376" s="6"/>
      <c r="B376" s="6"/>
      <c r="C376" s="6"/>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row>
    <row r="377">
      <c r="A377" s="6"/>
      <c r="B377" s="6"/>
      <c r="C377" s="6"/>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c r="AB377" s="62"/>
      <c r="AC377" s="62"/>
      <c r="AD377" s="62"/>
    </row>
    <row r="378">
      <c r="A378" s="6"/>
      <c r="B378" s="6"/>
      <c r="C378" s="6"/>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c r="AB378" s="62"/>
      <c r="AC378" s="62"/>
      <c r="AD378" s="62"/>
    </row>
    <row r="379">
      <c r="A379" s="6"/>
      <c r="B379" s="6"/>
      <c r="C379" s="6"/>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c r="AB379" s="62"/>
      <c r="AC379" s="62"/>
      <c r="AD379" s="62"/>
    </row>
    <row r="380">
      <c r="A380" s="6"/>
      <c r="B380" s="6"/>
      <c r="C380" s="6"/>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c r="AC380" s="62"/>
      <c r="AD380" s="62"/>
    </row>
    <row r="381">
      <c r="A381" s="6"/>
      <c r="B381" s="6"/>
      <c r="C381" s="6"/>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row>
    <row r="382">
      <c r="A382" s="6"/>
      <c r="B382" s="6"/>
      <c r="C382" s="6"/>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row>
    <row r="383">
      <c r="A383" s="6"/>
      <c r="B383" s="6"/>
      <c r="C383" s="6"/>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c r="AB383" s="62"/>
      <c r="AC383" s="62"/>
      <c r="AD383" s="62"/>
    </row>
    <row r="384">
      <c r="A384" s="6"/>
      <c r="B384" s="6"/>
      <c r="C384" s="6"/>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c r="AC384" s="62"/>
      <c r="AD384" s="62"/>
    </row>
    <row r="385">
      <c r="A385" s="6"/>
      <c r="B385" s="6"/>
      <c r="C385" s="6"/>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row>
    <row r="386">
      <c r="A386" s="6"/>
      <c r="B386" s="6"/>
      <c r="C386" s="6"/>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c r="AB386" s="62"/>
      <c r="AC386" s="62"/>
      <c r="AD386" s="62"/>
    </row>
    <row r="387">
      <c r="A387" s="6"/>
      <c r="B387" s="6"/>
      <c r="C387" s="6"/>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c r="AB387" s="62"/>
      <c r="AC387" s="62"/>
      <c r="AD387" s="62"/>
    </row>
    <row r="388">
      <c r="A388" s="6"/>
      <c r="B388" s="6"/>
      <c r="C388" s="6"/>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c r="AB388" s="62"/>
      <c r="AC388" s="62"/>
      <c r="AD388" s="62"/>
    </row>
    <row r="389">
      <c r="A389" s="6"/>
      <c r="B389" s="6"/>
      <c r="C389" s="6"/>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c r="AC389" s="62"/>
      <c r="AD389" s="62"/>
    </row>
    <row r="390">
      <c r="A390" s="6"/>
      <c r="B390" s="6"/>
      <c r="C390" s="6"/>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c r="AB390" s="62"/>
      <c r="AC390" s="62"/>
      <c r="AD390" s="62"/>
    </row>
    <row r="391">
      <c r="A391" s="6"/>
      <c r="B391" s="6"/>
      <c r="C391" s="6"/>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c r="AB391" s="62"/>
      <c r="AC391" s="62"/>
      <c r="AD391" s="62"/>
    </row>
    <row r="392">
      <c r="A392" s="6"/>
      <c r="B392" s="6"/>
      <c r="C392" s="6"/>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c r="AB392" s="62"/>
      <c r="AC392" s="62"/>
      <c r="AD392" s="62"/>
    </row>
    <row r="393">
      <c r="A393" s="6"/>
      <c r="B393" s="6"/>
      <c r="C393" s="6"/>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c r="AB393" s="62"/>
      <c r="AC393" s="62"/>
      <c r="AD393" s="62"/>
    </row>
    <row r="394">
      <c r="A394" s="6"/>
      <c r="B394" s="6"/>
      <c r="C394" s="6"/>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c r="AB394" s="62"/>
      <c r="AC394" s="62"/>
      <c r="AD394" s="62"/>
    </row>
    <row r="395">
      <c r="A395" s="6"/>
      <c r="B395" s="6"/>
      <c r="C395" s="6"/>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c r="AB395" s="62"/>
      <c r="AC395" s="62"/>
      <c r="AD395" s="62"/>
    </row>
    <row r="396">
      <c r="A396" s="6"/>
      <c r="B396" s="6"/>
      <c r="C396" s="6"/>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c r="AC396" s="62"/>
      <c r="AD396" s="62"/>
    </row>
    <row r="397">
      <c r="A397" s="6"/>
      <c r="B397" s="6"/>
      <c r="C397" s="6"/>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c r="AC397" s="62"/>
      <c r="AD397" s="62"/>
    </row>
    <row r="398">
      <c r="A398" s="6"/>
      <c r="B398" s="6"/>
      <c r="C398" s="6"/>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c r="AB398" s="62"/>
      <c r="AC398" s="62"/>
      <c r="AD398" s="62"/>
    </row>
    <row r="399">
      <c r="A399" s="6"/>
      <c r="B399" s="6"/>
      <c r="C399" s="6"/>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c r="AB399" s="62"/>
      <c r="AC399" s="62"/>
      <c r="AD399" s="62"/>
    </row>
    <row r="400">
      <c r="A400" s="6"/>
      <c r="B400" s="6"/>
      <c r="C400" s="6"/>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c r="AB400" s="62"/>
      <c r="AC400" s="62"/>
      <c r="AD400" s="62"/>
    </row>
    <row r="401">
      <c r="A401" s="6"/>
      <c r="B401" s="6"/>
      <c r="C401" s="6"/>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c r="AB401" s="62"/>
      <c r="AC401" s="62"/>
      <c r="AD401" s="62"/>
    </row>
    <row r="402">
      <c r="A402" s="6"/>
      <c r="B402" s="6"/>
      <c r="C402" s="6"/>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c r="AB402" s="62"/>
      <c r="AC402" s="62"/>
      <c r="AD402" s="62"/>
    </row>
    <row r="403">
      <c r="A403" s="6"/>
      <c r="B403" s="6"/>
      <c r="C403" s="6"/>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c r="AB403" s="62"/>
      <c r="AC403" s="62"/>
      <c r="AD403" s="62"/>
    </row>
    <row r="404">
      <c r="A404" s="6"/>
      <c r="B404" s="6"/>
      <c r="C404" s="6"/>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c r="AC404" s="62"/>
      <c r="AD404" s="62"/>
    </row>
    <row r="405">
      <c r="A405" s="6"/>
      <c r="B405" s="6"/>
      <c r="C405" s="6"/>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c r="AB405" s="62"/>
      <c r="AC405" s="62"/>
      <c r="AD405" s="62"/>
    </row>
    <row r="406">
      <c r="A406" s="6"/>
      <c r="B406" s="6"/>
      <c r="C406" s="6"/>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row>
    <row r="407">
      <c r="A407" s="6"/>
      <c r="B407" s="6"/>
      <c r="C407" s="6"/>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c r="AB407" s="62"/>
      <c r="AC407" s="62"/>
      <c r="AD407" s="62"/>
    </row>
    <row r="408">
      <c r="A408" s="6"/>
      <c r="B408" s="6"/>
      <c r="C408" s="6"/>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c r="AB408" s="62"/>
      <c r="AC408" s="62"/>
      <c r="AD408" s="62"/>
    </row>
    <row r="409">
      <c r="A409" s="6"/>
      <c r="B409" s="6"/>
      <c r="C409" s="6"/>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c r="AB409" s="62"/>
      <c r="AC409" s="62"/>
      <c r="AD409" s="62"/>
    </row>
    <row r="410">
      <c r="A410" s="6"/>
      <c r="B410" s="6"/>
      <c r="C410" s="6"/>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c r="AB410" s="62"/>
      <c r="AC410" s="62"/>
      <c r="AD410" s="62"/>
    </row>
    <row r="411">
      <c r="A411" s="6"/>
      <c r="B411" s="6"/>
      <c r="C411" s="6"/>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c r="AB411" s="62"/>
      <c r="AC411" s="62"/>
      <c r="AD411" s="62"/>
    </row>
    <row r="412">
      <c r="A412" s="6"/>
      <c r="B412" s="6"/>
      <c r="C412" s="6"/>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c r="AB412" s="62"/>
      <c r="AC412" s="62"/>
      <c r="AD412" s="62"/>
    </row>
    <row r="413">
      <c r="A413" s="6"/>
      <c r="B413" s="6"/>
      <c r="C413" s="6"/>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c r="AB413" s="62"/>
      <c r="AC413" s="62"/>
      <c r="AD413" s="62"/>
    </row>
    <row r="414">
      <c r="A414" s="6"/>
      <c r="B414" s="6"/>
      <c r="C414" s="6"/>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c r="AB414" s="62"/>
      <c r="AC414" s="62"/>
      <c r="AD414" s="62"/>
    </row>
    <row r="415">
      <c r="A415" s="6"/>
      <c r="B415" s="6"/>
      <c r="C415" s="6"/>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c r="AB415" s="62"/>
      <c r="AC415" s="62"/>
      <c r="AD415" s="62"/>
    </row>
    <row r="416">
      <c r="A416" s="6"/>
      <c r="B416" s="6"/>
      <c r="C416" s="6"/>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c r="AB416" s="62"/>
      <c r="AC416" s="62"/>
      <c r="AD416" s="62"/>
    </row>
    <row r="417">
      <c r="A417" s="6"/>
      <c r="B417" s="6"/>
      <c r="C417" s="6"/>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c r="AB417" s="62"/>
      <c r="AC417" s="62"/>
      <c r="AD417" s="62"/>
    </row>
    <row r="418">
      <c r="A418" s="6"/>
      <c r="B418" s="6"/>
      <c r="C418" s="6"/>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c r="AB418" s="62"/>
      <c r="AC418" s="62"/>
      <c r="AD418" s="62"/>
    </row>
    <row r="419">
      <c r="A419" s="6"/>
      <c r="B419" s="6"/>
      <c r="C419" s="6"/>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c r="AB419" s="62"/>
      <c r="AC419" s="62"/>
      <c r="AD419" s="62"/>
    </row>
    <row r="420">
      <c r="A420" s="6"/>
      <c r="B420" s="6"/>
      <c r="C420" s="6"/>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c r="AB420" s="62"/>
      <c r="AC420" s="62"/>
      <c r="AD420" s="62"/>
    </row>
    <row r="421">
      <c r="A421" s="6"/>
      <c r="B421" s="6"/>
      <c r="C421" s="6"/>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c r="AB421" s="62"/>
      <c r="AC421" s="62"/>
      <c r="AD421" s="62"/>
    </row>
    <row r="422">
      <c r="A422" s="6"/>
      <c r="B422" s="6"/>
      <c r="C422" s="6"/>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c r="AB422" s="62"/>
      <c r="AC422" s="62"/>
      <c r="AD422" s="62"/>
    </row>
    <row r="423">
      <c r="A423" s="6"/>
      <c r="B423" s="6"/>
      <c r="C423" s="6"/>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c r="AB423" s="62"/>
      <c r="AC423" s="62"/>
      <c r="AD423" s="62"/>
    </row>
    <row r="424">
      <c r="A424" s="6"/>
      <c r="B424" s="6"/>
      <c r="C424" s="6"/>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c r="AB424" s="62"/>
      <c r="AC424" s="62"/>
      <c r="AD424" s="62"/>
    </row>
    <row r="425">
      <c r="A425" s="6"/>
      <c r="B425" s="6"/>
      <c r="C425" s="6"/>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c r="AC425" s="62"/>
      <c r="AD425" s="62"/>
    </row>
    <row r="426">
      <c r="A426" s="6"/>
      <c r="B426" s="6"/>
      <c r="C426" s="6"/>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c r="AB426" s="62"/>
      <c r="AC426" s="62"/>
      <c r="AD426" s="62"/>
    </row>
    <row r="427">
      <c r="A427" s="6"/>
      <c r="B427" s="6"/>
      <c r="C427" s="6"/>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c r="AB427" s="62"/>
      <c r="AC427" s="62"/>
      <c r="AD427" s="62"/>
    </row>
    <row r="428">
      <c r="A428" s="6"/>
      <c r="B428" s="6"/>
      <c r="C428" s="6"/>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c r="AB428" s="62"/>
      <c r="AC428" s="62"/>
      <c r="AD428" s="62"/>
    </row>
    <row r="429">
      <c r="A429" s="6"/>
      <c r="B429" s="6"/>
      <c r="C429" s="6"/>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c r="AB429" s="62"/>
      <c r="AC429" s="62"/>
      <c r="AD429" s="62"/>
    </row>
    <row r="430">
      <c r="A430" s="6"/>
      <c r="B430" s="6"/>
      <c r="C430" s="6"/>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c r="AC430" s="62"/>
      <c r="AD430" s="62"/>
    </row>
    <row r="431">
      <c r="A431" s="6"/>
      <c r="B431" s="6"/>
      <c r="C431" s="6"/>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c r="AC431" s="62"/>
      <c r="AD431" s="62"/>
    </row>
    <row r="432">
      <c r="A432" s="6"/>
      <c r="B432" s="6"/>
      <c r="C432" s="6"/>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c r="AB432" s="62"/>
      <c r="AC432" s="62"/>
      <c r="AD432" s="62"/>
    </row>
    <row r="433">
      <c r="A433" s="6"/>
      <c r="B433" s="6"/>
      <c r="C433" s="6"/>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row>
    <row r="434">
      <c r="A434" s="6"/>
      <c r="B434" s="6"/>
      <c r="C434" s="6"/>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row>
    <row r="435">
      <c r="A435" s="6"/>
      <c r="B435" s="6"/>
      <c r="C435" s="6"/>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row>
    <row r="436">
      <c r="A436" s="6"/>
      <c r="B436" s="6"/>
      <c r="C436" s="6"/>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c r="AB436" s="62"/>
      <c r="AC436" s="62"/>
      <c r="AD436" s="62"/>
    </row>
    <row r="437">
      <c r="A437" s="6"/>
      <c r="B437" s="6"/>
      <c r="C437" s="6"/>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row>
    <row r="438">
      <c r="A438" s="6"/>
      <c r="B438" s="6"/>
      <c r="C438" s="6"/>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c r="AB438" s="62"/>
      <c r="AC438" s="62"/>
      <c r="AD438" s="62"/>
    </row>
    <row r="439">
      <c r="A439" s="6"/>
      <c r="B439" s="6"/>
      <c r="C439" s="6"/>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c r="AB439" s="62"/>
      <c r="AC439" s="62"/>
      <c r="AD439" s="62"/>
    </row>
    <row r="440">
      <c r="A440" s="6"/>
      <c r="B440" s="6"/>
      <c r="C440" s="6"/>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c r="AB440" s="62"/>
      <c r="AC440" s="62"/>
      <c r="AD440" s="62"/>
    </row>
    <row r="441">
      <c r="A441" s="6"/>
      <c r="B441" s="6"/>
      <c r="C441" s="6"/>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c r="AB441" s="62"/>
      <c r="AC441" s="62"/>
      <c r="AD441" s="62"/>
    </row>
    <row r="442">
      <c r="A442" s="6"/>
      <c r="B442" s="6"/>
      <c r="C442" s="6"/>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c r="AB442" s="62"/>
      <c r="AC442" s="62"/>
      <c r="AD442" s="62"/>
    </row>
    <row r="443">
      <c r="A443" s="6"/>
      <c r="B443" s="6"/>
      <c r="C443" s="6"/>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c r="AB443" s="62"/>
      <c r="AC443" s="62"/>
      <c r="AD443" s="62"/>
    </row>
    <row r="444">
      <c r="A444" s="6"/>
      <c r="B444" s="6"/>
      <c r="C444" s="6"/>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c r="AB444" s="62"/>
      <c r="AC444" s="62"/>
      <c r="AD444" s="62"/>
    </row>
    <row r="445">
      <c r="A445" s="6"/>
      <c r="B445" s="6"/>
      <c r="C445" s="6"/>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c r="AC445" s="62"/>
      <c r="AD445" s="62"/>
    </row>
    <row r="446">
      <c r="A446" s="6"/>
      <c r="B446" s="6"/>
      <c r="C446" s="6"/>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c r="AC446" s="62"/>
      <c r="AD446" s="62"/>
    </row>
    <row r="447">
      <c r="A447" s="6"/>
      <c r="B447" s="6"/>
      <c r="C447" s="6"/>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c r="AB447" s="62"/>
      <c r="AC447" s="62"/>
      <c r="AD447" s="62"/>
    </row>
    <row r="448">
      <c r="A448" s="6"/>
      <c r="B448" s="6"/>
      <c r="C448" s="6"/>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c r="AC448" s="62"/>
      <c r="AD448" s="62"/>
    </row>
    <row r="449">
      <c r="A449" s="6"/>
      <c r="B449" s="6"/>
      <c r="C449" s="6"/>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c r="AC449" s="62"/>
      <c r="AD449" s="62"/>
    </row>
    <row r="450">
      <c r="A450" s="6"/>
      <c r="B450" s="6"/>
      <c r="C450" s="6"/>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c r="AB450" s="62"/>
      <c r="AC450" s="62"/>
      <c r="AD450" s="62"/>
    </row>
    <row r="451">
      <c r="A451" s="6"/>
      <c r="B451" s="6"/>
      <c r="C451" s="6"/>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c r="AB451" s="62"/>
      <c r="AC451" s="62"/>
      <c r="AD451" s="62"/>
    </row>
    <row r="452">
      <c r="A452" s="6"/>
      <c r="B452" s="6"/>
      <c r="C452" s="6"/>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c r="AB452" s="62"/>
      <c r="AC452" s="62"/>
      <c r="AD452" s="62"/>
    </row>
    <row r="453">
      <c r="A453" s="6"/>
      <c r="B453" s="6"/>
      <c r="C453" s="6"/>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c r="AC453" s="62"/>
      <c r="AD453" s="62"/>
    </row>
    <row r="454">
      <c r="A454" s="6"/>
      <c r="B454" s="6"/>
      <c r="C454" s="6"/>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c r="AC454" s="62"/>
      <c r="AD454" s="62"/>
    </row>
    <row r="455">
      <c r="A455" s="6"/>
      <c r="B455" s="6"/>
      <c r="C455" s="6"/>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row>
    <row r="456">
      <c r="A456" s="6"/>
      <c r="B456" s="6"/>
      <c r="C456" s="6"/>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c r="AB456" s="62"/>
      <c r="AC456" s="62"/>
      <c r="AD456" s="62"/>
    </row>
    <row r="457">
      <c r="A457" s="6"/>
      <c r="B457" s="6"/>
      <c r="C457" s="6"/>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c r="AB457" s="62"/>
      <c r="AC457" s="62"/>
      <c r="AD457" s="62"/>
    </row>
    <row r="458">
      <c r="A458" s="6"/>
      <c r="B458" s="6"/>
      <c r="C458" s="6"/>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c r="AB458" s="62"/>
      <c r="AC458" s="62"/>
      <c r="AD458" s="62"/>
    </row>
    <row r="459">
      <c r="A459" s="6"/>
      <c r="B459" s="6"/>
      <c r="C459" s="6"/>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c r="AB459" s="62"/>
      <c r="AC459" s="62"/>
      <c r="AD459" s="62"/>
    </row>
    <row r="460">
      <c r="A460" s="6"/>
      <c r="B460" s="6"/>
      <c r="C460" s="6"/>
      <c r="D460" s="62"/>
      <c r="E460" s="62"/>
      <c r="F460" s="62"/>
      <c r="G460" s="62"/>
      <c r="H460" s="62"/>
      <c r="I460" s="62"/>
      <c r="J460" s="62"/>
      <c r="K460" s="62"/>
      <c r="L460" s="62"/>
      <c r="M460" s="62"/>
      <c r="N460" s="62"/>
      <c r="O460" s="62"/>
      <c r="P460" s="62"/>
      <c r="Q460" s="62"/>
      <c r="R460" s="62"/>
      <c r="S460" s="62"/>
      <c r="T460" s="62"/>
      <c r="U460" s="62"/>
      <c r="V460" s="62"/>
      <c r="W460" s="62"/>
      <c r="X460" s="62"/>
      <c r="Y460" s="62"/>
      <c r="Z460" s="62"/>
      <c r="AA460" s="62"/>
      <c r="AB460" s="62"/>
      <c r="AC460" s="62"/>
      <c r="AD460" s="62"/>
    </row>
    <row r="461">
      <c r="A461" s="6"/>
      <c r="B461" s="6"/>
      <c r="C461" s="6"/>
      <c r="D461" s="62"/>
      <c r="E461" s="62"/>
      <c r="F461" s="62"/>
      <c r="G461" s="62"/>
      <c r="H461" s="62"/>
      <c r="I461" s="62"/>
      <c r="J461" s="62"/>
      <c r="K461" s="62"/>
      <c r="L461" s="62"/>
      <c r="M461" s="62"/>
      <c r="N461" s="62"/>
      <c r="O461" s="62"/>
      <c r="P461" s="62"/>
      <c r="Q461" s="62"/>
      <c r="R461" s="62"/>
      <c r="S461" s="62"/>
      <c r="T461" s="62"/>
      <c r="U461" s="62"/>
      <c r="V461" s="62"/>
      <c r="W461" s="62"/>
      <c r="X461" s="62"/>
      <c r="Y461" s="62"/>
      <c r="Z461" s="62"/>
      <c r="AA461" s="62"/>
      <c r="AB461" s="62"/>
      <c r="AC461" s="62"/>
      <c r="AD461" s="62"/>
    </row>
    <row r="462">
      <c r="A462" s="6"/>
      <c r="B462" s="6"/>
      <c r="C462" s="6"/>
      <c r="D462" s="62"/>
      <c r="E462" s="62"/>
      <c r="F462" s="62"/>
      <c r="G462" s="62"/>
      <c r="H462" s="62"/>
      <c r="I462" s="62"/>
      <c r="J462" s="62"/>
      <c r="K462" s="62"/>
      <c r="L462" s="62"/>
      <c r="M462" s="62"/>
      <c r="N462" s="62"/>
      <c r="O462" s="62"/>
      <c r="P462" s="62"/>
      <c r="Q462" s="62"/>
      <c r="R462" s="62"/>
      <c r="S462" s="62"/>
      <c r="T462" s="62"/>
      <c r="U462" s="62"/>
      <c r="V462" s="62"/>
      <c r="W462" s="62"/>
      <c r="X462" s="62"/>
      <c r="Y462" s="62"/>
      <c r="Z462" s="62"/>
      <c r="AA462" s="62"/>
      <c r="AB462" s="62"/>
      <c r="AC462" s="62"/>
      <c r="AD462" s="62"/>
    </row>
    <row r="463">
      <c r="A463" s="6"/>
      <c r="B463" s="6"/>
      <c r="C463" s="6"/>
      <c r="D463" s="62"/>
      <c r="E463" s="62"/>
      <c r="F463" s="62"/>
      <c r="G463" s="62"/>
      <c r="H463" s="62"/>
      <c r="I463" s="62"/>
      <c r="J463" s="62"/>
      <c r="K463" s="62"/>
      <c r="L463" s="62"/>
      <c r="M463" s="62"/>
      <c r="N463" s="62"/>
      <c r="O463" s="62"/>
      <c r="P463" s="62"/>
      <c r="Q463" s="62"/>
      <c r="R463" s="62"/>
      <c r="S463" s="62"/>
      <c r="T463" s="62"/>
      <c r="U463" s="62"/>
      <c r="V463" s="62"/>
      <c r="W463" s="62"/>
      <c r="X463" s="62"/>
      <c r="Y463" s="62"/>
      <c r="Z463" s="62"/>
      <c r="AA463" s="62"/>
      <c r="AB463" s="62"/>
      <c r="AC463" s="62"/>
      <c r="AD463" s="62"/>
    </row>
    <row r="464">
      <c r="A464" s="6"/>
      <c r="B464" s="6"/>
      <c r="C464" s="6"/>
      <c r="D464" s="62"/>
      <c r="E464" s="62"/>
      <c r="F464" s="62"/>
      <c r="G464" s="62"/>
      <c r="H464" s="62"/>
      <c r="I464" s="62"/>
      <c r="J464" s="62"/>
      <c r="K464" s="62"/>
      <c r="L464" s="62"/>
      <c r="M464" s="62"/>
      <c r="N464" s="62"/>
      <c r="O464" s="62"/>
      <c r="P464" s="62"/>
      <c r="Q464" s="62"/>
      <c r="R464" s="62"/>
      <c r="S464" s="62"/>
      <c r="T464" s="62"/>
      <c r="U464" s="62"/>
      <c r="V464" s="62"/>
      <c r="W464" s="62"/>
      <c r="X464" s="62"/>
      <c r="Y464" s="62"/>
      <c r="Z464" s="62"/>
      <c r="AA464" s="62"/>
      <c r="AB464" s="62"/>
      <c r="AC464" s="62"/>
      <c r="AD464" s="62"/>
    </row>
    <row r="465">
      <c r="A465" s="6"/>
      <c r="B465" s="6"/>
      <c r="C465" s="6"/>
      <c r="D465" s="62"/>
      <c r="E465" s="62"/>
      <c r="F465" s="62"/>
      <c r="G465" s="62"/>
      <c r="H465" s="62"/>
      <c r="I465" s="62"/>
      <c r="J465" s="62"/>
      <c r="K465" s="62"/>
      <c r="L465" s="62"/>
      <c r="M465" s="62"/>
      <c r="N465" s="62"/>
      <c r="O465" s="62"/>
      <c r="P465" s="62"/>
      <c r="Q465" s="62"/>
      <c r="R465" s="62"/>
      <c r="S465" s="62"/>
      <c r="T465" s="62"/>
      <c r="U465" s="62"/>
      <c r="V465" s="62"/>
      <c r="W465" s="62"/>
      <c r="X465" s="62"/>
      <c r="Y465" s="62"/>
      <c r="Z465" s="62"/>
      <c r="AA465" s="62"/>
      <c r="AB465" s="62"/>
      <c r="AC465" s="62"/>
      <c r="AD465" s="62"/>
    </row>
    <row r="466">
      <c r="A466" s="6"/>
      <c r="B466" s="6"/>
      <c r="C466" s="6"/>
      <c r="D466" s="62"/>
      <c r="E466" s="62"/>
      <c r="F466" s="62"/>
      <c r="G466" s="62"/>
      <c r="H466" s="62"/>
      <c r="I466" s="62"/>
      <c r="J466" s="62"/>
      <c r="K466" s="62"/>
      <c r="L466" s="62"/>
      <c r="M466" s="62"/>
      <c r="N466" s="62"/>
      <c r="O466" s="62"/>
      <c r="P466" s="62"/>
      <c r="Q466" s="62"/>
      <c r="R466" s="62"/>
      <c r="S466" s="62"/>
      <c r="T466" s="62"/>
      <c r="U466" s="62"/>
      <c r="V466" s="62"/>
      <c r="W466" s="62"/>
      <c r="X466" s="62"/>
      <c r="Y466" s="62"/>
      <c r="Z466" s="62"/>
      <c r="AA466" s="62"/>
      <c r="AB466" s="62"/>
      <c r="AC466" s="62"/>
      <c r="AD466" s="62"/>
    </row>
    <row r="467">
      <c r="A467" s="6"/>
      <c r="B467" s="6"/>
      <c r="C467" s="6"/>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c r="AB467" s="62"/>
      <c r="AC467" s="62"/>
      <c r="AD467" s="62"/>
    </row>
    <row r="468">
      <c r="A468" s="6"/>
      <c r="B468" s="6"/>
      <c r="C468" s="6"/>
      <c r="D468" s="62"/>
      <c r="E468" s="62"/>
      <c r="F468" s="62"/>
      <c r="G468" s="62"/>
      <c r="H468" s="62"/>
      <c r="I468" s="62"/>
      <c r="J468" s="62"/>
      <c r="K468" s="62"/>
      <c r="L468" s="62"/>
      <c r="M468" s="62"/>
      <c r="N468" s="62"/>
      <c r="O468" s="62"/>
      <c r="P468" s="62"/>
      <c r="Q468" s="62"/>
      <c r="R468" s="62"/>
      <c r="S468" s="62"/>
      <c r="T468" s="62"/>
      <c r="U468" s="62"/>
      <c r="V468" s="62"/>
      <c r="W468" s="62"/>
      <c r="X468" s="62"/>
      <c r="Y468" s="62"/>
      <c r="Z468" s="62"/>
      <c r="AA468" s="62"/>
      <c r="AB468" s="62"/>
      <c r="AC468" s="62"/>
      <c r="AD468" s="62"/>
    </row>
    <row r="469">
      <c r="A469" s="6"/>
      <c r="B469" s="6"/>
      <c r="C469" s="6"/>
      <c r="D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c r="AB469" s="62"/>
      <c r="AC469" s="62"/>
      <c r="AD469" s="62"/>
    </row>
    <row r="470">
      <c r="A470" s="6"/>
      <c r="B470" s="6"/>
      <c r="C470" s="6"/>
      <c r="D470" s="62"/>
      <c r="E470" s="62"/>
      <c r="F470" s="62"/>
      <c r="G470" s="62"/>
      <c r="H470" s="62"/>
      <c r="I470" s="62"/>
      <c r="J470" s="62"/>
      <c r="K470" s="62"/>
      <c r="L470" s="62"/>
      <c r="M470" s="62"/>
      <c r="N470" s="62"/>
      <c r="O470" s="62"/>
      <c r="P470" s="62"/>
      <c r="Q470" s="62"/>
      <c r="R470" s="62"/>
      <c r="S470" s="62"/>
      <c r="T470" s="62"/>
      <c r="U470" s="62"/>
      <c r="V470" s="62"/>
      <c r="W470" s="62"/>
      <c r="X470" s="62"/>
      <c r="Y470" s="62"/>
      <c r="Z470" s="62"/>
      <c r="AA470" s="62"/>
      <c r="AB470" s="62"/>
      <c r="AC470" s="62"/>
      <c r="AD470" s="62"/>
    </row>
    <row r="471">
      <c r="A471" s="6"/>
      <c r="B471" s="6"/>
      <c r="C471" s="6"/>
      <c r="D471" s="62"/>
      <c r="E471" s="62"/>
      <c r="F471" s="62"/>
      <c r="G471" s="62"/>
      <c r="H471" s="62"/>
      <c r="I471" s="62"/>
      <c r="J471" s="62"/>
      <c r="K471" s="62"/>
      <c r="L471" s="62"/>
      <c r="M471" s="62"/>
      <c r="N471" s="62"/>
      <c r="O471" s="62"/>
      <c r="P471" s="62"/>
      <c r="Q471" s="62"/>
      <c r="R471" s="62"/>
      <c r="S471" s="62"/>
      <c r="T471" s="62"/>
      <c r="U471" s="62"/>
      <c r="V471" s="62"/>
      <c r="W471" s="62"/>
      <c r="X471" s="62"/>
      <c r="Y471" s="62"/>
      <c r="Z471" s="62"/>
      <c r="AA471" s="62"/>
      <c r="AB471" s="62"/>
      <c r="AC471" s="62"/>
      <c r="AD471" s="62"/>
    </row>
    <row r="472">
      <c r="A472" s="6"/>
      <c r="B472" s="6"/>
      <c r="C472" s="6"/>
      <c r="D472" s="62"/>
      <c r="E472" s="62"/>
      <c r="F472" s="62"/>
      <c r="G472" s="62"/>
      <c r="H472" s="62"/>
      <c r="I472" s="62"/>
      <c r="J472" s="62"/>
      <c r="K472" s="62"/>
      <c r="L472" s="62"/>
      <c r="M472" s="62"/>
      <c r="N472" s="62"/>
      <c r="O472" s="62"/>
      <c r="P472" s="62"/>
      <c r="Q472" s="62"/>
      <c r="R472" s="62"/>
      <c r="S472" s="62"/>
      <c r="T472" s="62"/>
      <c r="U472" s="62"/>
      <c r="V472" s="62"/>
      <c r="W472" s="62"/>
      <c r="X472" s="62"/>
      <c r="Y472" s="62"/>
      <c r="Z472" s="62"/>
      <c r="AA472" s="62"/>
      <c r="AB472" s="62"/>
      <c r="AC472" s="62"/>
      <c r="AD472" s="62"/>
    </row>
    <row r="473">
      <c r="A473" s="6"/>
      <c r="B473" s="6"/>
      <c r="C473" s="6"/>
      <c r="D473" s="62"/>
      <c r="E473" s="62"/>
      <c r="F473" s="62"/>
      <c r="G473" s="62"/>
      <c r="H473" s="62"/>
      <c r="I473" s="62"/>
      <c r="J473" s="62"/>
      <c r="K473" s="62"/>
      <c r="L473" s="62"/>
      <c r="M473" s="62"/>
      <c r="N473" s="62"/>
      <c r="O473" s="62"/>
      <c r="P473" s="62"/>
      <c r="Q473" s="62"/>
      <c r="R473" s="62"/>
      <c r="S473" s="62"/>
      <c r="T473" s="62"/>
      <c r="U473" s="62"/>
      <c r="V473" s="62"/>
      <c r="W473" s="62"/>
      <c r="X473" s="62"/>
      <c r="Y473" s="62"/>
      <c r="Z473" s="62"/>
      <c r="AA473" s="62"/>
      <c r="AB473" s="62"/>
      <c r="AC473" s="62"/>
      <c r="AD473" s="62"/>
    </row>
    <row r="474">
      <c r="A474" s="6"/>
      <c r="B474" s="6"/>
      <c r="C474" s="6"/>
      <c r="D474" s="62"/>
      <c r="E474" s="62"/>
      <c r="F474" s="62"/>
      <c r="G474" s="62"/>
      <c r="H474" s="62"/>
      <c r="I474" s="62"/>
      <c r="J474" s="62"/>
      <c r="K474" s="62"/>
      <c r="L474" s="62"/>
      <c r="M474" s="62"/>
      <c r="N474" s="62"/>
      <c r="O474" s="62"/>
      <c r="P474" s="62"/>
      <c r="Q474" s="62"/>
      <c r="R474" s="62"/>
      <c r="S474" s="62"/>
      <c r="T474" s="62"/>
      <c r="U474" s="62"/>
      <c r="V474" s="62"/>
      <c r="W474" s="62"/>
      <c r="X474" s="62"/>
      <c r="Y474" s="62"/>
      <c r="Z474" s="62"/>
      <c r="AA474" s="62"/>
      <c r="AB474" s="62"/>
      <c r="AC474" s="62"/>
      <c r="AD474" s="62"/>
    </row>
    <row r="475">
      <c r="A475" s="6"/>
      <c r="B475" s="6"/>
      <c r="C475" s="6"/>
      <c r="D475" s="62"/>
      <c r="E475" s="62"/>
      <c r="F475" s="62"/>
      <c r="G475" s="62"/>
      <c r="H475" s="62"/>
      <c r="I475" s="62"/>
      <c r="J475" s="62"/>
      <c r="K475" s="62"/>
      <c r="L475" s="62"/>
      <c r="M475" s="62"/>
      <c r="N475" s="62"/>
      <c r="O475" s="62"/>
      <c r="P475" s="62"/>
      <c r="Q475" s="62"/>
      <c r="R475" s="62"/>
      <c r="S475" s="62"/>
      <c r="T475" s="62"/>
      <c r="U475" s="62"/>
      <c r="V475" s="62"/>
      <c r="W475" s="62"/>
      <c r="X475" s="62"/>
      <c r="Y475" s="62"/>
      <c r="Z475" s="62"/>
      <c r="AA475" s="62"/>
      <c r="AB475" s="62"/>
      <c r="AC475" s="62"/>
      <c r="AD475" s="62"/>
    </row>
    <row r="476">
      <c r="A476" s="6"/>
      <c r="B476" s="6"/>
      <c r="C476" s="6"/>
      <c r="D476" s="62"/>
      <c r="E476" s="62"/>
      <c r="F476" s="62"/>
      <c r="G476" s="62"/>
      <c r="H476" s="62"/>
      <c r="I476" s="62"/>
      <c r="J476" s="62"/>
      <c r="K476" s="62"/>
      <c r="L476" s="62"/>
      <c r="M476" s="62"/>
      <c r="N476" s="62"/>
      <c r="O476" s="62"/>
      <c r="P476" s="62"/>
      <c r="Q476" s="62"/>
      <c r="R476" s="62"/>
      <c r="S476" s="62"/>
      <c r="T476" s="62"/>
      <c r="U476" s="62"/>
      <c r="V476" s="62"/>
      <c r="W476" s="62"/>
      <c r="X476" s="62"/>
      <c r="Y476" s="62"/>
      <c r="Z476" s="62"/>
      <c r="AA476" s="62"/>
      <c r="AB476" s="62"/>
      <c r="AC476" s="62"/>
      <c r="AD476" s="62"/>
    </row>
    <row r="477">
      <c r="A477" s="6"/>
      <c r="B477" s="6"/>
      <c r="C477" s="6"/>
      <c r="D477" s="62"/>
      <c r="E477" s="62"/>
      <c r="F477" s="62"/>
      <c r="G477" s="62"/>
      <c r="H477" s="62"/>
      <c r="I477" s="62"/>
      <c r="J477" s="62"/>
      <c r="K477" s="62"/>
      <c r="L477" s="62"/>
      <c r="M477" s="62"/>
      <c r="N477" s="62"/>
      <c r="O477" s="62"/>
      <c r="P477" s="62"/>
      <c r="Q477" s="62"/>
      <c r="R477" s="62"/>
      <c r="S477" s="62"/>
      <c r="T477" s="62"/>
      <c r="U477" s="62"/>
      <c r="V477" s="62"/>
      <c r="W477" s="62"/>
      <c r="X477" s="62"/>
      <c r="Y477" s="62"/>
      <c r="Z477" s="62"/>
      <c r="AA477" s="62"/>
      <c r="AB477" s="62"/>
      <c r="AC477" s="62"/>
      <c r="AD477" s="62"/>
    </row>
    <row r="478">
      <c r="A478" s="6"/>
      <c r="B478" s="6"/>
      <c r="C478" s="6"/>
      <c r="D478" s="62"/>
      <c r="E478" s="62"/>
      <c r="F478" s="62"/>
      <c r="G478" s="62"/>
      <c r="H478" s="62"/>
      <c r="I478" s="62"/>
      <c r="J478" s="62"/>
      <c r="K478" s="62"/>
      <c r="L478" s="62"/>
      <c r="M478" s="62"/>
      <c r="N478" s="62"/>
      <c r="O478" s="62"/>
      <c r="P478" s="62"/>
      <c r="Q478" s="62"/>
      <c r="R478" s="62"/>
      <c r="S478" s="62"/>
      <c r="T478" s="62"/>
      <c r="U478" s="62"/>
      <c r="V478" s="62"/>
      <c r="W478" s="62"/>
      <c r="X478" s="62"/>
      <c r="Y478" s="62"/>
      <c r="Z478" s="62"/>
      <c r="AA478" s="62"/>
      <c r="AB478" s="62"/>
      <c r="AC478" s="62"/>
      <c r="AD478" s="62"/>
    </row>
    <row r="479">
      <c r="A479" s="6"/>
      <c r="B479" s="6"/>
      <c r="C479" s="6"/>
      <c r="D479" s="62"/>
      <c r="E479" s="62"/>
      <c r="F479" s="62"/>
      <c r="G479" s="62"/>
      <c r="H479" s="62"/>
      <c r="I479" s="62"/>
      <c r="J479" s="62"/>
      <c r="K479" s="62"/>
      <c r="L479" s="62"/>
      <c r="M479" s="62"/>
      <c r="N479" s="62"/>
      <c r="O479" s="62"/>
      <c r="P479" s="62"/>
      <c r="Q479" s="62"/>
      <c r="R479" s="62"/>
      <c r="S479" s="62"/>
      <c r="T479" s="62"/>
      <c r="U479" s="62"/>
      <c r="V479" s="62"/>
      <c r="W479" s="62"/>
      <c r="X479" s="62"/>
      <c r="Y479" s="62"/>
      <c r="Z479" s="62"/>
      <c r="AA479" s="62"/>
      <c r="AB479" s="62"/>
      <c r="AC479" s="62"/>
      <c r="AD479" s="62"/>
    </row>
    <row r="480">
      <c r="A480" s="6"/>
      <c r="B480" s="6"/>
      <c r="C480" s="6"/>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c r="AB480" s="62"/>
      <c r="AC480" s="62"/>
      <c r="AD480" s="62"/>
    </row>
    <row r="481">
      <c r="A481" s="6"/>
      <c r="B481" s="6"/>
      <c r="C481" s="6"/>
      <c r="D481" s="62"/>
      <c r="E481" s="62"/>
      <c r="F481" s="62"/>
      <c r="G481" s="62"/>
      <c r="H481" s="62"/>
      <c r="I481" s="62"/>
      <c r="J481" s="62"/>
      <c r="K481" s="62"/>
      <c r="L481" s="62"/>
      <c r="M481" s="62"/>
      <c r="N481" s="62"/>
      <c r="O481" s="62"/>
      <c r="P481" s="62"/>
      <c r="Q481" s="62"/>
      <c r="R481" s="62"/>
      <c r="S481" s="62"/>
      <c r="T481" s="62"/>
      <c r="U481" s="62"/>
      <c r="V481" s="62"/>
      <c r="W481" s="62"/>
      <c r="X481" s="62"/>
      <c r="Y481" s="62"/>
      <c r="Z481" s="62"/>
      <c r="AA481" s="62"/>
      <c r="AB481" s="62"/>
      <c r="AC481" s="62"/>
      <c r="AD481" s="62"/>
    </row>
    <row r="482">
      <c r="A482" s="6"/>
      <c r="B482" s="6"/>
      <c r="C482" s="6"/>
      <c r="D482" s="62"/>
      <c r="E482" s="62"/>
      <c r="F482" s="62"/>
      <c r="G482" s="62"/>
      <c r="H482" s="62"/>
      <c r="I482" s="62"/>
      <c r="J482" s="62"/>
      <c r="K482" s="62"/>
      <c r="L482" s="62"/>
      <c r="M482" s="62"/>
      <c r="N482" s="62"/>
      <c r="O482" s="62"/>
      <c r="P482" s="62"/>
      <c r="Q482" s="62"/>
      <c r="R482" s="62"/>
      <c r="S482" s="62"/>
      <c r="T482" s="62"/>
      <c r="U482" s="62"/>
      <c r="V482" s="62"/>
      <c r="W482" s="62"/>
      <c r="X482" s="62"/>
      <c r="Y482" s="62"/>
      <c r="Z482" s="62"/>
      <c r="AA482" s="62"/>
      <c r="AB482" s="62"/>
      <c r="AC482" s="62"/>
      <c r="AD482" s="62"/>
    </row>
    <row r="483">
      <c r="A483" s="6"/>
      <c r="B483" s="6"/>
      <c r="C483" s="6"/>
      <c r="D483" s="62"/>
      <c r="E483" s="62"/>
      <c r="F483" s="62"/>
      <c r="G483" s="62"/>
      <c r="H483" s="62"/>
      <c r="I483" s="62"/>
      <c r="J483" s="62"/>
      <c r="K483" s="62"/>
      <c r="L483" s="62"/>
      <c r="M483" s="62"/>
      <c r="N483" s="62"/>
      <c r="O483" s="62"/>
      <c r="P483" s="62"/>
      <c r="Q483" s="62"/>
      <c r="R483" s="62"/>
      <c r="S483" s="62"/>
      <c r="T483" s="62"/>
      <c r="U483" s="62"/>
      <c r="V483" s="62"/>
      <c r="W483" s="62"/>
      <c r="X483" s="62"/>
      <c r="Y483" s="62"/>
      <c r="Z483" s="62"/>
      <c r="AA483" s="62"/>
      <c r="AB483" s="62"/>
      <c r="AC483" s="62"/>
      <c r="AD483" s="62"/>
    </row>
    <row r="484">
      <c r="A484" s="6"/>
      <c r="B484" s="6"/>
      <c r="C484" s="6"/>
      <c r="D484" s="62"/>
      <c r="E484" s="62"/>
      <c r="F484" s="62"/>
      <c r="G484" s="62"/>
      <c r="H484" s="62"/>
      <c r="I484" s="62"/>
      <c r="J484" s="62"/>
      <c r="K484" s="62"/>
      <c r="L484" s="62"/>
      <c r="M484" s="62"/>
      <c r="N484" s="62"/>
      <c r="O484" s="62"/>
      <c r="P484" s="62"/>
      <c r="Q484" s="62"/>
      <c r="R484" s="62"/>
      <c r="S484" s="62"/>
      <c r="T484" s="62"/>
      <c r="U484" s="62"/>
      <c r="V484" s="62"/>
      <c r="W484" s="62"/>
      <c r="X484" s="62"/>
      <c r="Y484" s="62"/>
      <c r="Z484" s="62"/>
      <c r="AA484" s="62"/>
      <c r="AB484" s="62"/>
      <c r="AC484" s="62"/>
      <c r="AD484" s="62"/>
    </row>
    <row r="485">
      <c r="A485" s="6"/>
      <c r="B485" s="6"/>
      <c r="C485" s="6"/>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c r="AB485" s="62"/>
      <c r="AC485" s="62"/>
      <c r="AD485" s="62"/>
    </row>
    <row r="486">
      <c r="A486" s="6"/>
      <c r="B486" s="6"/>
      <c r="C486" s="6"/>
      <c r="D486" s="62"/>
      <c r="E486" s="62"/>
      <c r="F486" s="62"/>
      <c r="G486" s="62"/>
      <c r="H486" s="62"/>
      <c r="I486" s="62"/>
      <c r="J486" s="62"/>
      <c r="K486" s="62"/>
      <c r="L486" s="62"/>
      <c r="M486" s="62"/>
      <c r="N486" s="62"/>
      <c r="O486" s="62"/>
      <c r="P486" s="62"/>
      <c r="Q486" s="62"/>
      <c r="R486" s="62"/>
      <c r="S486" s="62"/>
      <c r="T486" s="62"/>
      <c r="U486" s="62"/>
      <c r="V486" s="62"/>
      <c r="W486" s="62"/>
      <c r="X486" s="62"/>
      <c r="Y486" s="62"/>
      <c r="Z486" s="62"/>
      <c r="AA486" s="62"/>
      <c r="AB486" s="62"/>
      <c r="AC486" s="62"/>
      <c r="AD486" s="62"/>
    </row>
    <row r="487">
      <c r="A487" s="6"/>
      <c r="B487" s="6"/>
      <c r="C487" s="6"/>
      <c r="D487" s="62"/>
      <c r="E487" s="62"/>
      <c r="F487" s="62"/>
      <c r="G487" s="62"/>
      <c r="H487" s="62"/>
      <c r="I487" s="62"/>
      <c r="J487" s="62"/>
      <c r="K487" s="62"/>
      <c r="L487" s="62"/>
      <c r="M487" s="62"/>
      <c r="N487" s="62"/>
      <c r="O487" s="62"/>
      <c r="P487" s="62"/>
      <c r="Q487" s="62"/>
      <c r="R487" s="62"/>
      <c r="S487" s="62"/>
      <c r="T487" s="62"/>
      <c r="U487" s="62"/>
      <c r="V487" s="62"/>
      <c r="W487" s="62"/>
      <c r="X487" s="62"/>
      <c r="Y487" s="62"/>
      <c r="Z487" s="62"/>
      <c r="AA487" s="62"/>
      <c r="AB487" s="62"/>
      <c r="AC487" s="62"/>
      <c r="AD487" s="62"/>
    </row>
    <row r="488">
      <c r="A488" s="6"/>
      <c r="B488" s="6"/>
      <c r="C488" s="6"/>
      <c r="D488" s="62"/>
      <c r="E488" s="62"/>
      <c r="F488" s="62"/>
      <c r="G488" s="62"/>
      <c r="H488" s="62"/>
      <c r="I488" s="62"/>
      <c r="J488" s="62"/>
      <c r="K488" s="62"/>
      <c r="L488" s="62"/>
      <c r="M488" s="62"/>
      <c r="N488" s="62"/>
      <c r="O488" s="62"/>
      <c r="P488" s="62"/>
      <c r="Q488" s="62"/>
      <c r="R488" s="62"/>
      <c r="S488" s="62"/>
      <c r="T488" s="62"/>
      <c r="U488" s="62"/>
      <c r="V488" s="62"/>
      <c r="W488" s="62"/>
      <c r="X488" s="62"/>
      <c r="Y488" s="62"/>
      <c r="Z488" s="62"/>
      <c r="AA488" s="62"/>
      <c r="AB488" s="62"/>
      <c r="AC488" s="62"/>
      <c r="AD488" s="62"/>
    </row>
    <row r="489">
      <c r="A489" s="6"/>
      <c r="B489" s="6"/>
      <c r="C489" s="6"/>
      <c r="D489" s="62"/>
      <c r="E489" s="62"/>
      <c r="F489" s="62"/>
      <c r="G489" s="62"/>
      <c r="H489" s="62"/>
      <c r="I489" s="62"/>
      <c r="J489" s="62"/>
      <c r="K489" s="62"/>
      <c r="L489" s="62"/>
      <c r="M489" s="62"/>
      <c r="N489" s="62"/>
      <c r="O489" s="62"/>
      <c r="P489" s="62"/>
      <c r="Q489" s="62"/>
      <c r="R489" s="62"/>
      <c r="S489" s="62"/>
      <c r="T489" s="62"/>
      <c r="U489" s="62"/>
      <c r="V489" s="62"/>
      <c r="W489" s="62"/>
      <c r="X489" s="62"/>
      <c r="Y489" s="62"/>
      <c r="Z489" s="62"/>
      <c r="AA489" s="62"/>
      <c r="AB489" s="62"/>
      <c r="AC489" s="62"/>
      <c r="AD489" s="62"/>
    </row>
    <row r="490">
      <c r="A490" s="6"/>
      <c r="B490" s="6"/>
      <c r="C490" s="6"/>
      <c r="D490" s="62"/>
      <c r="E490" s="62"/>
      <c r="F490" s="62"/>
      <c r="G490" s="62"/>
      <c r="H490" s="62"/>
      <c r="I490" s="62"/>
      <c r="J490" s="62"/>
      <c r="K490" s="62"/>
      <c r="L490" s="62"/>
      <c r="M490" s="62"/>
      <c r="N490" s="62"/>
      <c r="O490" s="62"/>
      <c r="P490" s="62"/>
      <c r="Q490" s="62"/>
      <c r="R490" s="62"/>
      <c r="S490" s="62"/>
      <c r="T490" s="62"/>
      <c r="U490" s="62"/>
      <c r="V490" s="62"/>
      <c r="W490" s="62"/>
      <c r="X490" s="62"/>
      <c r="Y490" s="62"/>
      <c r="Z490" s="62"/>
      <c r="AA490" s="62"/>
      <c r="AB490" s="62"/>
      <c r="AC490" s="62"/>
      <c r="AD490" s="62"/>
    </row>
    <row r="491">
      <c r="A491" s="6"/>
      <c r="B491" s="6"/>
      <c r="C491" s="6"/>
      <c r="D491" s="62"/>
      <c r="E491" s="62"/>
      <c r="F491" s="62"/>
      <c r="G491" s="62"/>
      <c r="H491" s="62"/>
      <c r="I491" s="62"/>
      <c r="J491" s="62"/>
      <c r="K491" s="62"/>
      <c r="L491" s="62"/>
      <c r="M491" s="62"/>
      <c r="N491" s="62"/>
      <c r="O491" s="62"/>
      <c r="P491" s="62"/>
      <c r="Q491" s="62"/>
      <c r="R491" s="62"/>
      <c r="S491" s="62"/>
      <c r="T491" s="62"/>
      <c r="U491" s="62"/>
      <c r="V491" s="62"/>
      <c r="W491" s="62"/>
      <c r="X491" s="62"/>
      <c r="Y491" s="62"/>
      <c r="Z491" s="62"/>
      <c r="AA491" s="62"/>
      <c r="AB491" s="62"/>
      <c r="AC491" s="62"/>
      <c r="AD491" s="62"/>
    </row>
    <row r="492">
      <c r="A492" s="6"/>
      <c r="B492" s="6"/>
      <c r="C492" s="6"/>
      <c r="D492" s="62"/>
      <c r="E492" s="62"/>
      <c r="F492" s="62"/>
      <c r="G492" s="62"/>
      <c r="H492" s="62"/>
      <c r="I492" s="62"/>
      <c r="J492" s="62"/>
      <c r="K492" s="62"/>
      <c r="L492" s="62"/>
      <c r="M492" s="62"/>
      <c r="N492" s="62"/>
      <c r="O492" s="62"/>
      <c r="P492" s="62"/>
      <c r="Q492" s="62"/>
      <c r="R492" s="62"/>
      <c r="S492" s="62"/>
      <c r="T492" s="62"/>
      <c r="U492" s="62"/>
      <c r="V492" s="62"/>
      <c r="W492" s="62"/>
      <c r="X492" s="62"/>
      <c r="Y492" s="62"/>
      <c r="Z492" s="62"/>
      <c r="AA492" s="62"/>
      <c r="AB492" s="62"/>
      <c r="AC492" s="62"/>
      <c r="AD492" s="62"/>
    </row>
    <row r="493">
      <c r="A493" s="6"/>
      <c r="B493" s="6"/>
      <c r="C493" s="6"/>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c r="AB493" s="62"/>
      <c r="AC493" s="62"/>
      <c r="AD493" s="62"/>
    </row>
    <row r="494">
      <c r="A494" s="6"/>
      <c r="B494" s="6"/>
      <c r="C494" s="6"/>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c r="AB494" s="62"/>
      <c r="AC494" s="62"/>
      <c r="AD494" s="62"/>
    </row>
    <row r="495">
      <c r="A495" s="6"/>
      <c r="B495" s="6"/>
      <c r="C495" s="6"/>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c r="AB495" s="62"/>
      <c r="AC495" s="62"/>
      <c r="AD495" s="62"/>
    </row>
    <row r="496">
      <c r="A496" s="6"/>
      <c r="B496" s="6"/>
      <c r="C496" s="6"/>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c r="AB496" s="62"/>
      <c r="AC496" s="62"/>
      <c r="AD496" s="62"/>
    </row>
    <row r="497">
      <c r="A497" s="6"/>
      <c r="B497" s="6"/>
      <c r="C497" s="6"/>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c r="AB497" s="62"/>
      <c r="AC497" s="62"/>
      <c r="AD497" s="62"/>
    </row>
    <row r="498">
      <c r="A498" s="6"/>
      <c r="B498" s="6"/>
      <c r="C498" s="6"/>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c r="AB498" s="62"/>
      <c r="AC498" s="62"/>
      <c r="AD498" s="62"/>
    </row>
    <row r="499">
      <c r="A499" s="6"/>
      <c r="B499" s="6"/>
      <c r="C499" s="6"/>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c r="AB499" s="62"/>
      <c r="AC499" s="62"/>
      <c r="AD499" s="62"/>
    </row>
    <row r="500">
      <c r="A500" s="6"/>
      <c r="B500" s="6"/>
      <c r="C500" s="6"/>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c r="AB500" s="62"/>
      <c r="AC500" s="62"/>
      <c r="AD500" s="62"/>
    </row>
    <row r="501">
      <c r="A501" s="6"/>
      <c r="B501" s="6"/>
      <c r="C501" s="6"/>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c r="AB501" s="62"/>
      <c r="AC501" s="62"/>
      <c r="AD501" s="62"/>
    </row>
    <row r="502">
      <c r="A502" s="6"/>
      <c r="B502" s="6"/>
      <c r="C502" s="6"/>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row>
    <row r="503">
      <c r="A503" s="6"/>
      <c r="B503" s="6"/>
      <c r="C503" s="6"/>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row>
    <row r="504">
      <c r="A504" s="6"/>
      <c r="B504" s="6"/>
      <c r="C504" s="6"/>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row>
    <row r="505">
      <c r="A505" s="6"/>
      <c r="B505" s="6"/>
      <c r="C505" s="6"/>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c r="AB505" s="62"/>
      <c r="AC505" s="62"/>
      <c r="AD505" s="62"/>
    </row>
    <row r="506">
      <c r="A506" s="6"/>
      <c r="B506" s="6"/>
      <c r="C506" s="6"/>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c r="AB506" s="62"/>
      <c r="AC506" s="62"/>
      <c r="AD506" s="62"/>
    </row>
    <row r="507">
      <c r="A507" s="6"/>
      <c r="B507" s="6"/>
      <c r="C507" s="6"/>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c r="AB507" s="62"/>
      <c r="AC507" s="62"/>
      <c r="AD507" s="62"/>
    </row>
    <row r="508">
      <c r="A508" s="6"/>
      <c r="B508" s="6"/>
      <c r="C508" s="6"/>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c r="AB508" s="62"/>
      <c r="AC508" s="62"/>
      <c r="AD508" s="62"/>
    </row>
    <row r="509">
      <c r="A509" s="6"/>
      <c r="B509" s="6"/>
      <c r="C509" s="6"/>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c r="AB509" s="62"/>
      <c r="AC509" s="62"/>
      <c r="AD509" s="62"/>
    </row>
    <row r="510">
      <c r="A510" s="6"/>
      <c r="B510" s="6"/>
      <c r="C510" s="6"/>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c r="AB510" s="62"/>
      <c r="AC510" s="62"/>
      <c r="AD510" s="62"/>
    </row>
    <row r="511">
      <c r="A511" s="6"/>
      <c r="B511" s="6"/>
      <c r="C511" s="6"/>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c r="AB511" s="62"/>
      <c r="AC511" s="62"/>
      <c r="AD511" s="62"/>
    </row>
    <row r="512">
      <c r="A512" s="6"/>
      <c r="B512" s="6"/>
      <c r="C512" s="6"/>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c r="AB512" s="62"/>
      <c r="AC512" s="62"/>
      <c r="AD512" s="62"/>
    </row>
    <row r="513">
      <c r="A513" s="6"/>
      <c r="B513" s="6"/>
      <c r="C513" s="6"/>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c r="AB513" s="62"/>
      <c r="AC513" s="62"/>
      <c r="AD513" s="62"/>
    </row>
    <row r="514">
      <c r="A514" s="6"/>
      <c r="B514" s="6"/>
      <c r="C514" s="6"/>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c r="AB514" s="62"/>
      <c r="AC514" s="62"/>
      <c r="AD514" s="62"/>
    </row>
    <row r="515">
      <c r="A515" s="6"/>
      <c r="B515" s="6"/>
      <c r="C515" s="6"/>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row>
    <row r="516">
      <c r="A516" s="6"/>
      <c r="B516" s="6"/>
      <c r="C516" s="6"/>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row>
    <row r="517">
      <c r="A517" s="6"/>
      <c r="B517" s="6"/>
      <c r="C517" s="6"/>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row>
    <row r="518">
      <c r="A518" s="6"/>
      <c r="B518" s="6"/>
      <c r="C518" s="6"/>
      <c r="D518" s="62"/>
      <c r="E518" s="62"/>
      <c r="F518" s="62"/>
      <c r="G518" s="62"/>
      <c r="H518" s="62"/>
      <c r="I518" s="62"/>
      <c r="J518" s="62"/>
      <c r="K518" s="62"/>
      <c r="L518" s="62"/>
      <c r="M518" s="62"/>
      <c r="N518" s="62"/>
      <c r="O518" s="62"/>
      <c r="P518" s="62"/>
      <c r="Q518" s="62"/>
      <c r="R518" s="62"/>
      <c r="S518" s="62"/>
      <c r="T518" s="62"/>
      <c r="U518" s="62"/>
      <c r="V518" s="62"/>
      <c r="W518" s="62"/>
      <c r="X518" s="62"/>
      <c r="Y518" s="62"/>
      <c r="Z518" s="62"/>
      <c r="AA518" s="62"/>
      <c r="AB518" s="62"/>
      <c r="AC518" s="62"/>
      <c r="AD518" s="62"/>
    </row>
    <row r="519">
      <c r="A519" s="6"/>
      <c r="B519" s="6"/>
      <c r="C519" s="6"/>
      <c r="D519" s="62"/>
      <c r="E519" s="62"/>
      <c r="F519" s="62"/>
      <c r="G519" s="62"/>
      <c r="H519" s="62"/>
      <c r="I519" s="62"/>
      <c r="J519" s="62"/>
      <c r="K519" s="62"/>
      <c r="L519" s="62"/>
      <c r="M519" s="62"/>
      <c r="N519" s="62"/>
      <c r="O519" s="62"/>
      <c r="P519" s="62"/>
      <c r="Q519" s="62"/>
      <c r="R519" s="62"/>
      <c r="S519" s="62"/>
      <c r="T519" s="62"/>
      <c r="U519" s="62"/>
      <c r="V519" s="62"/>
      <c r="W519" s="62"/>
      <c r="X519" s="62"/>
      <c r="Y519" s="62"/>
      <c r="Z519" s="62"/>
      <c r="AA519" s="62"/>
      <c r="AB519" s="62"/>
      <c r="AC519" s="62"/>
      <c r="AD519" s="62"/>
    </row>
    <row r="520">
      <c r="A520" s="6"/>
      <c r="B520" s="6"/>
      <c r="C520" s="6"/>
      <c r="D520" s="62"/>
      <c r="E520" s="62"/>
      <c r="F520" s="62"/>
      <c r="G520" s="62"/>
      <c r="H520" s="62"/>
      <c r="I520" s="62"/>
      <c r="J520" s="62"/>
      <c r="K520" s="62"/>
      <c r="L520" s="62"/>
      <c r="M520" s="62"/>
      <c r="N520" s="62"/>
      <c r="O520" s="62"/>
      <c r="P520" s="62"/>
      <c r="Q520" s="62"/>
      <c r="R520" s="62"/>
      <c r="S520" s="62"/>
      <c r="T520" s="62"/>
      <c r="U520" s="62"/>
      <c r="V520" s="62"/>
      <c r="W520" s="62"/>
      <c r="X520" s="62"/>
      <c r="Y520" s="62"/>
      <c r="Z520" s="62"/>
      <c r="AA520" s="62"/>
      <c r="AB520" s="62"/>
      <c r="AC520" s="62"/>
      <c r="AD520" s="62"/>
    </row>
    <row r="521">
      <c r="A521" s="6"/>
      <c r="B521" s="6"/>
      <c r="C521" s="6"/>
      <c r="D521" s="62"/>
      <c r="E521" s="62"/>
      <c r="F521" s="62"/>
      <c r="G521" s="62"/>
      <c r="H521" s="62"/>
      <c r="I521" s="62"/>
      <c r="J521" s="62"/>
      <c r="K521" s="62"/>
      <c r="L521" s="62"/>
      <c r="M521" s="62"/>
      <c r="N521" s="62"/>
      <c r="O521" s="62"/>
      <c r="P521" s="62"/>
      <c r="Q521" s="62"/>
      <c r="R521" s="62"/>
      <c r="S521" s="62"/>
      <c r="T521" s="62"/>
      <c r="U521" s="62"/>
      <c r="V521" s="62"/>
      <c r="W521" s="62"/>
      <c r="X521" s="62"/>
      <c r="Y521" s="62"/>
      <c r="Z521" s="62"/>
      <c r="AA521" s="62"/>
      <c r="AB521" s="62"/>
      <c r="AC521" s="62"/>
      <c r="AD521" s="62"/>
    </row>
    <row r="522">
      <c r="A522" s="6"/>
      <c r="B522" s="6"/>
      <c r="C522" s="6"/>
      <c r="D522" s="62"/>
      <c r="E522" s="62"/>
      <c r="F522" s="62"/>
      <c r="G522" s="62"/>
      <c r="H522" s="62"/>
      <c r="I522" s="62"/>
      <c r="J522" s="62"/>
      <c r="K522" s="62"/>
      <c r="L522" s="62"/>
      <c r="M522" s="62"/>
      <c r="N522" s="62"/>
      <c r="O522" s="62"/>
      <c r="P522" s="62"/>
      <c r="Q522" s="62"/>
      <c r="R522" s="62"/>
      <c r="S522" s="62"/>
      <c r="T522" s="62"/>
      <c r="U522" s="62"/>
      <c r="V522" s="62"/>
      <c r="W522" s="62"/>
      <c r="X522" s="62"/>
      <c r="Y522" s="62"/>
      <c r="Z522" s="62"/>
      <c r="AA522" s="62"/>
      <c r="AB522" s="62"/>
      <c r="AC522" s="62"/>
      <c r="AD522" s="62"/>
    </row>
    <row r="523">
      <c r="A523" s="6"/>
      <c r="B523" s="6"/>
      <c r="C523" s="6"/>
      <c r="D523" s="62"/>
      <c r="E523" s="62"/>
      <c r="F523" s="62"/>
      <c r="G523" s="62"/>
      <c r="H523" s="62"/>
      <c r="I523" s="62"/>
      <c r="J523" s="62"/>
      <c r="K523" s="62"/>
      <c r="L523" s="62"/>
      <c r="M523" s="62"/>
      <c r="N523" s="62"/>
      <c r="O523" s="62"/>
      <c r="P523" s="62"/>
      <c r="Q523" s="62"/>
      <c r="R523" s="62"/>
      <c r="S523" s="62"/>
      <c r="T523" s="62"/>
      <c r="U523" s="62"/>
      <c r="V523" s="62"/>
      <c r="W523" s="62"/>
      <c r="X523" s="62"/>
      <c r="Y523" s="62"/>
      <c r="Z523" s="62"/>
      <c r="AA523" s="62"/>
      <c r="AB523" s="62"/>
      <c r="AC523" s="62"/>
      <c r="AD523" s="62"/>
    </row>
    <row r="524">
      <c r="A524" s="6"/>
      <c r="B524" s="6"/>
      <c r="C524" s="6"/>
      <c r="D524" s="62"/>
      <c r="E524" s="62"/>
      <c r="F524" s="62"/>
      <c r="G524" s="62"/>
      <c r="H524" s="62"/>
      <c r="I524" s="62"/>
      <c r="J524" s="62"/>
      <c r="K524" s="62"/>
      <c r="L524" s="62"/>
      <c r="M524" s="62"/>
      <c r="N524" s="62"/>
      <c r="O524" s="62"/>
      <c r="P524" s="62"/>
      <c r="Q524" s="62"/>
      <c r="R524" s="62"/>
      <c r="S524" s="62"/>
      <c r="T524" s="62"/>
      <c r="U524" s="62"/>
      <c r="V524" s="62"/>
      <c r="W524" s="62"/>
      <c r="X524" s="62"/>
      <c r="Y524" s="62"/>
      <c r="Z524" s="62"/>
      <c r="AA524" s="62"/>
      <c r="AB524" s="62"/>
      <c r="AC524" s="62"/>
      <c r="AD524" s="62"/>
    </row>
    <row r="525">
      <c r="A525" s="6"/>
      <c r="B525" s="6"/>
      <c r="C525" s="6"/>
      <c r="D525" s="62"/>
      <c r="E525" s="62"/>
      <c r="F525" s="62"/>
      <c r="G525" s="62"/>
      <c r="H525" s="62"/>
      <c r="I525" s="62"/>
      <c r="J525" s="62"/>
      <c r="K525" s="62"/>
      <c r="L525" s="62"/>
      <c r="M525" s="62"/>
      <c r="N525" s="62"/>
      <c r="O525" s="62"/>
      <c r="P525" s="62"/>
      <c r="Q525" s="62"/>
      <c r="R525" s="62"/>
      <c r="S525" s="62"/>
      <c r="T525" s="62"/>
      <c r="U525" s="62"/>
      <c r="V525" s="62"/>
      <c r="W525" s="62"/>
      <c r="X525" s="62"/>
      <c r="Y525" s="62"/>
      <c r="Z525" s="62"/>
      <c r="AA525" s="62"/>
      <c r="AB525" s="62"/>
      <c r="AC525" s="62"/>
      <c r="AD525" s="62"/>
    </row>
    <row r="526">
      <c r="A526" s="6"/>
      <c r="B526" s="6"/>
      <c r="C526" s="6"/>
      <c r="D526" s="62"/>
      <c r="E526" s="62"/>
      <c r="F526" s="62"/>
      <c r="G526" s="62"/>
      <c r="H526" s="62"/>
      <c r="I526" s="62"/>
      <c r="J526" s="62"/>
      <c r="K526" s="62"/>
      <c r="L526" s="62"/>
      <c r="M526" s="62"/>
      <c r="N526" s="62"/>
      <c r="O526" s="62"/>
      <c r="P526" s="62"/>
      <c r="Q526" s="62"/>
      <c r="R526" s="62"/>
      <c r="S526" s="62"/>
      <c r="T526" s="62"/>
      <c r="U526" s="62"/>
      <c r="V526" s="62"/>
      <c r="W526" s="62"/>
      <c r="X526" s="62"/>
      <c r="Y526" s="62"/>
      <c r="Z526" s="62"/>
      <c r="AA526" s="62"/>
      <c r="AB526" s="62"/>
      <c r="AC526" s="62"/>
      <c r="AD526" s="62"/>
    </row>
    <row r="527">
      <c r="A527" s="6"/>
      <c r="B527" s="6"/>
      <c r="C527" s="6"/>
      <c r="D527" s="62"/>
      <c r="E527" s="62"/>
      <c r="F527" s="62"/>
      <c r="G527" s="62"/>
      <c r="H527" s="62"/>
      <c r="I527" s="62"/>
      <c r="J527" s="62"/>
      <c r="K527" s="62"/>
      <c r="L527" s="62"/>
      <c r="M527" s="62"/>
      <c r="N527" s="62"/>
      <c r="O527" s="62"/>
      <c r="P527" s="62"/>
      <c r="Q527" s="62"/>
      <c r="R527" s="62"/>
      <c r="S527" s="62"/>
      <c r="T527" s="62"/>
      <c r="U527" s="62"/>
      <c r="V527" s="62"/>
      <c r="W527" s="62"/>
      <c r="X527" s="62"/>
      <c r="Y527" s="62"/>
      <c r="Z527" s="62"/>
      <c r="AA527" s="62"/>
      <c r="AB527" s="62"/>
      <c r="AC527" s="62"/>
      <c r="AD527" s="62"/>
    </row>
    <row r="528">
      <c r="A528" s="6"/>
      <c r="B528" s="6"/>
      <c r="C528" s="6"/>
      <c r="D528" s="62"/>
      <c r="E528" s="62"/>
      <c r="F528" s="62"/>
      <c r="G528" s="62"/>
      <c r="H528" s="62"/>
      <c r="I528" s="62"/>
      <c r="J528" s="62"/>
      <c r="K528" s="62"/>
      <c r="L528" s="62"/>
      <c r="M528" s="62"/>
      <c r="N528" s="62"/>
      <c r="O528" s="62"/>
      <c r="P528" s="62"/>
      <c r="Q528" s="62"/>
      <c r="R528" s="62"/>
      <c r="S528" s="62"/>
      <c r="T528" s="62"/>
      <c r="U528" s="62"/>
      <c r="V528" s="62"/>
      <c r="W528" s="62"/>
      <c r="X528" s="62"/>
      <c r="Y528" s="62"/>
      <c r="Z528" s="62"/>
      <c r="AA528" s="62"/>
      <c r="AB528" s="62"/>
      <c r="AC528" s="62"/>
      <c r="AD528" s="62"/>
    </row>
    <row r="529">
      <c r="A529" s="6"/>
      <c r="B529" s="6"/>
      <c r="C529" s="6"/>
      <c r="D529" s="62"/>
      <c r="E529" s="62"/>
      <c r="F529" s="62"/>
      <c r="G529" s="62"/>
      <c r="H529" s="62"/>
      <c r="I529" s="62"/>
      <c r="J529" s="62"/>
      <c r="K529" s="62"/>
      <c r="L529" s="62"/>
      <c r="M529" s="62"/>
      <c r="N529" s="62"/>
      <c r="O529" s="62"/>
      <c r="P529" s="62"/>
      <c r="Q529" s="62"/>
      <c r="R529" s="62"/>
      <c r="S529" s="62"/>
      <c r="T529" s="62"/>
      <c r="U529" s="62"/>
      <c r="V529" s="62"/>
      <c r="W529" s="62"/>
      <c r="X529" s="62"/>
      <c r="Y529" s="62"/>
      <c r="Z529" s="62"/>
      <c r="AA529" s="62"/>
      <c r="AB529" s="62"/>
      <c r="AC529" s="62"/>
      <c r="AD529" s="62"/>
    </row>
    <row r="530">
      <c r="A530" s="6"/>
      <c r="B530" s="6"/>
      <c r="C530" s="6"/>
      <c r="D530" s="62"/>
      <c r="E530" s="62"/>
      <c r="F530" s="62"/>
      <c r="G530" s="62"/>
      <c r="H530" s="62"/>
      <c r="I530" s="62"/>
      <c r="J530" s="62"/>
      <c r="K530" s="62"/>
      <c r="L530" s="62"/>
      <c r="M530" s="62"/>
      <c r="N530" s="62"/>
      <c r="O530" s="62"/>
      <c r="P530" s="62"/>
      <c r="Q530" s="62"/>
      <c r="R530" s="62"/>
      <c r="S530" s="62"/>
      <c r="T530" s="62"/>
      <c r="U530" s="62"/>
      <c r="V530" s="62"/>
      <c r="W530" s="62"/>
      <c r="X530" s="62"/>
      <c r="Y530" s="62"/>
      <c r="Z530" s="62"/>
      <c r="AA530" s="62"/>
      <c r="AB530" s="62"/>
      <c r="AC530" s="62"/>
      <c r="AD530" s="62"/>
    </row>
    <row r="531">
      <c r="A531" s="6"/>
      <c r="B531" s="6"/>
      <c r="C531" s="6"/>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row>
    <row r="532">
      <c r="A532" s="6"/>
      <c r="B532" s="6"/>
      <c r="C532" s="6"/>
      <c r="D532" s="62"/>
      <c r="E532" s="62"/>
      <c r="F532" s="62"/>
      <c r="G532" s="62"/>
      <c r="H532" s="62"/>
      <c r="I532" s="62"/>
      <c r="J532" s="62"/>
      <c r="K532" s="62"/>
      <c r="L532" s="62"/>
      <c r="M532" s="62"/>
      <c r="N532" s="62"/>
      <c r="O532" s="62"/>
      <c r="P532" s="62"/>
      <c r="Q532" s="62"/>
      <c r="R532" s="62"/>
      <c r="S532" s="62"/>
      <c r="T532" s="62"/>
      <c r="U532" s="62"/>
      <c r="V532" s="62"/>
      <c r="W532" s="62"/>
      <c r="X532" s="62"/>
      <c r="Y532" s="62"/>
      <c r="Z532" s="62"/>
      <c r="AA532" s="62"/>
      <c r="AB532" s="62"/>
      <c r="AC532" s="62"/>
      <c r="AD532" s="62"/>
    </row>
    <row r="533">
      <c r="A533" s="6"/>
      <c r="B533" s="6"/>
      <c r="C533" s="6"/>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c r="AB533" s="62"/>
      <c r="AC533" s="62"/>
      <c r="AD533" s="62"/>
    </row>
    <row r="534">
      <c r="A534" s="6"/>
      <c r="B534" s="6"/>
      <c r="C534" s="6"/>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c r="AB534" s="62"/>
      <c r="AC534" s="62"/>
      <c r="AD534" s="62"/>
    </row>
    <row r="535">
      <c r="A535" s="6"/>
      <c r="B535" s="6"/>
      <c r="C535" s="6"/>
      <c r="D535" s="62"/>
      <c r="E535" s="62"/>
      <c r="F535" s="62"/>
      <c r="G535" s="62"/>
      <c r="H535" s="62"/>
      <c r="I535" s="62"/>
      <c r="J535" s="62"/>
      <c r="K535" s="62"/>
      <c r="L535" s="62"/>
      <c r="M535" s="62"/>
      <c r="N535" s="62"/>
      <c r="O535" s="62"/>
      <c r="P535" s="62"/>
      <c r="Q535" s="62"/>
      <c r="R535" s="62"/>
      <c r="S535" s="62"/>
      <c r="T535" s="62"/>
      <c r="U535" s="62"/>
      <c r="V535" s="62"/>
      <c r="W535" s="62"/>
      <c r="X535" s="62"/>
      <c r="Y535" s="62"/>
      <c r="Z535" s="62"/>
      <c r="AA535" s="62"/>
      <c r="AB535" s="62"/>
      <c r="AC535" s="62"/>
      <c r="AD535" s="62"/>
    </row>
    <row r="536">
      <c r="A536" s="6"/>
      <c r="B536" s="6"/>
      <c r="C536" s="6"/>
      <c r="D536" s="62"/>
      <c r="E536" s="62"/>
      <c r="F536" s="62"/>
      <c r="G536" s="62"/>
      <c r="H536" s="62"/>
      <c r="I536" s="62"/>
      <c r="J536" s="62"/>
      <c r="K536" s="62"/>
      <c r="L536" s="62"/>
      <c r="M536" s="62"/>
      <c r="N536" s="62"/>
      <c r="O536" s="62"/>
      <c r="P536" s="62"/>
      <c r="Q536" s="62"/>
      <c r="R536" s="62"/>
      <c r="S536" s="62"/>
      <c r="T536" s="62"/>
      <c r="U536" s="62"/>
      <c r="V536" s="62"/>
      <c r="W536" s="62"/>
      <c r="X536" s="62"/>
      <c r="Y536" s="62"/>
      <c r="Z536" s="62"/>
      <c r="AA536" s="62"/>
      <c r="AB536" s="62"/>
      <c r="AC536" s="62"/>
      <c r="AD536" s="62"/>
    </row>
    <row r="537">
      <c r="A537" s="6"/>
      <c r="B537" s="6"/>
      <c r="C537" s="6"/>
      <c r="D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c r="AB537" s="62"/>
      <c r="AC537" s="62"/>
      <c r="AD537" s="62"/>
    </row>
    <row r="538">
      <c r="A538" s="6"/>
      <c r="B538" s="6"/>
      <c r="C538" s="6"/>
      <c r="D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c r="AB538" s="62"/>
      <c r="AC538" s="62"/>
      <c r="AD538" s="62"/>
    </row>
    <row r="539">
      <c r="A539" s="6"/>
      <c r="B539" s="6"/>
      <c r="C539" s="6"/>
      <c r="D539" s="62"/>
      <c r="E539" s="62"/>
      <c r="F539" s="62"/>
      <c r="G539" s="62"/>
      <c r="H539" s="62"/>
      <c r="I539" s="62"/>
      <c r="J539" s="62"/>
      <c r="K539" s="62"/>
      <c r="L539" s="62"/>
      <c r="M539" s="62"/>
      <c r="N539" s="62"/>
      <c r="O539" s="62"/>
      <c r="P539" s="62"/>
      <c r="Q539" s="62"/>
      <c r="R539" s="62"/>
      <c r="S539" s="62"/>
      <c r="T539" s="62"/>
      <c r="U539" s="62"/>
      <c r="V539" s="62"/>
      <c r="W539" s="62"/>
      <c r="X539" s="62"/>
      <c r="Y539" s="62"/>
      <c r="Z539" s="62"/>
      <c r="AA539" s="62"/>
      <c r="AB539" s="62"/>
      <c r="AC539" s="62"/>
      <c r="AD539" s="62"/>
    </row>
    <row r="540">
      <c r="A540" s="6"/>
      <c r="B540" s="6"/>
      <c r="C540" s="6"/>
      <c r="D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c r="AB540" s="62"/>
      <c r="AC540" s="62"/>
      <c r="AD540" s="62"/>
    </row>
    <row r="541">
      <c r="A541" s="6"/>
      <c r="B541" s="6"/>
      <c r="C541" s="6"/>
      <c r="D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c r="AB541" s="62"/>
      <c r="AC541" s="62"/>
      <c r="AD541" s="62"/>
    </row>
    <row r="542">
      <c r="A542" s="6"/>
      <c r="B542" s="6"/>
      <c r="C542" s="6"/>
      <c r="D542" s="62"/>
      <c r="E542" s="62"/>
      <c r="F542" s="62"/>
      <c r="G542" s="62"/>
      <c r="H542" s="62"/>
      <c r="I542" s="62"/>
      <c r="J542" s="62"/>
      <c r="K542" s="62"/>
      <c r="L542" s="62"/>
      <c r="M542" s="62"/>
      <c r="N542" s="62"/>
      <c r="O542" s="62"/>
      <c r="P542" s="62"/>
      <c r="Q542" s="62"/>
      <c r="R542" s="62"/>
      <c r="S542" s="62"/>
      <c r="T542" s="62"/>
      <c r="U542" s="62"/>
      <c r="V542" s="62"/>
      <c r="W542" s="62"/>
      <c r="X542" s="62"/>
      <c r="Y542" s="62"/>
      <c r="Z542" s="62"/>
      <c r="AA542" s="62"/>
      <c r="AB542" s="62"/>
      <c r="AC542" s="62"/>
      <c r="AD542" s="62"/>
    </row>
    <row r="543">
      <c r="A543" s="6"/>
      <c r="B543" s="6"/>
      <c r="C543" s="6"/>
      <c r="D543" s="62"/>
      <c r="E543" s="62"/>
      <c r="F543" s="62"/>
      <c r="G543" s="62"/>
      <c r="H543" s="62"/>
      <c r="I543" s="62"/>
      <c r="J543" s="62"/>
      <c r="K543" s="62"/>
      <c r="L543" s="62"/>
      <c r="M543" s="62"/>
      <c r="N543" s="62"/>
      <c r="O543" s="62"/>
      <c r="P543" s="62"/>
      <c r="Q543" s="62"/>
      <c r="R543" s="62"/>
      <c r="S543" s="62"/>
      <c r="T543" s="62"/>
      <c r="U543" s="62"/>
      <c r="V543" s="62"/>
      <c r="W543" s="62"/>
      <c r="X543" s="62"/>
      <c r="Y543" s="62"/>
      <c r="Z543" s="62"/>
      <c r="AA543" s="62"/>
      <c r="AB543" s="62"/>
      <c r="AC543" s="62"/>
      <c r="AD543" s="62"/>
    </row>
    <row r="544">
      <c r="A544" s="6"/>
      <c r="B544" s="6"/>
      <c r="C544" s="6"/>
      <c r="D544" s="62"/>
      <c r="E544" s="62"/>
      <c r="F544" s="62"/>
      <c r="G544" s="62"/>
      <c r="H544" s="62"/>
      <c r="I544" s="62"/>
      <c r="J544" s="62"/>
      <c r="K544" s="62"/>
      <c r="L544" s="62"/>
      <c r="M544" s="62"/>
      <c r="N544" s="62"/>
      <c r="O544" s="62"/>
      <c r="P544" s="62"/>
      <c r="Q544" s="62"/>
      <c r="R544" s="62"/>
      <c r="S544" s="62"/>
      <c r="T544" s="62"/>
      <c r="U544" s="62"/>
      <c r="V544" s="62"/>
      <c r="W544" s="62"/>
      <c r="X544" s="62"/>
      <c r="Y544" s="62"/>
      <c r="Z544" s="62"/>
      <c r="AA544" s="62"/>
      <c r="AB544" s="62"/>
      <c r="AC544" s="62"/>
      <c r="AD544" s="62"/>
    </row>
    <row r="545">
      <c r="A545" s="6"/>
      <c r="B545" s="6"/>
      <c r="C545" s="6"/>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c r="AB545" s="62"/>
      <c r="AC545" s="62"/>
      <c r="AD545" s="62"/>
    </row>
    <row r="546">
      <c r="A546" s="6"/>
      <c r="B546" s="6"/>
      <c r="C546" s="6"/>
      <c r="D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c r="AB546" s="62"/>
      <c r="AC546" s="62"/>
      <c r="AD546" s="62"/>
    </row>
    <row r="547">
      <c r="A547" s="6"/>
      <c r="B547" s="6"/>
      <c r="C547" s="6"/>
      <c r="D547" s="62"/>
      <c r="E547" s="62"/>
      <c r="F547" s="62"/>
      <c r="G547" s="62"/>
      <c r="H547" s="62"/>
      <c r="I547" s="62"/>
      <c r="J547" s="62"/>
      <c r="K547" s="62"/>
      <c r="L547" s="62"/>
      <c r="M547" s="62"/>
      <c r="N547" s="62"/>
      <c r="O547" s="62"/>
      <c r="P547" s="62"/>
      <c r="Q547" s="62"/>
      <c r="R547" s="62"/>
      <c r="S547" s="62"/>
      <c r="T547" s="62"/>
      <c r="U547" s="62"/>
      <c r="V547" s="62"/>
      <c r="W547" s="62"/>
      <c r="X547" s="62"/>
      <c r="Y547" s="62"/>
      <c r="Z547" s="62"/>
      <c r="AA547" s="62"/>
      <c r="AB547" s="62"/>
      <c r="AC547" s="62"/>
      <c r="AD547" s="62"/>
    </row>
    <row r="548">
      <c r="A548" s="6"/>
      <c r="B548" s="6"/>
      <c r="C548" s="6"/>
      <c r="D548" s="62"/>
      <c r="E548" s="62"/>
      <c r="F548" s="62"/>
      <c r="G548" s="62"/>
      <c r="H548" s="62"/>
      <c r="I548" s="62"/>
      <c r="J548" s="62"/>
      <c r="K548" s="62"/>
      <c r="L548" s="62"/>
      <c r="M548" s="62"/>
      <c r="N548" s="62"/>
      <c r="O548" s="62"/>
      <c r="P548" s="62"/>
      <c r="Q548" s="62"/>
      <c r="R548" s="62"/>
      <c r="S548" s="62"/>
      <c r="T548" s="62"/>
      <c r="U548" s="62"/>
      <c r="V548" s="62"/>
      <c r="W548" s="62"/>
      <c r="X548" s="62"/>
      <c r="Y548" s="62"/>
      <c r="Z548" s="62"/>
      <c r="AA548" s="62"/>
      <c r="AB548" s="62"/>
      <c r="AC548" s="62"/>
      <c r="AD548" s="62"/>
    </row>
    <row r="549">
      <c r="A549" s="6"/>
      <c r="B549" s="6"/>
      <c r="C549" s="6"/>
      <c r="D549" s="62"/>
      <c r="E549" s="62"/>
      <c r="F549" s="62"/>
      <c r="G549" s="62"/>
      <c r="H549" s="62"/>
      <c r="I549" s="62"/>
      <c r="J549" s="62"/>
      <c r="K549" s="62"/>
      <c r="L549" s="62"/>
      <c r="M549" s="62"/>
      <c r="N549" s="62"/>
      <c r="O549" s="62"/>
      <c r="P549" s="62"/>
      <c r="Q549" s="62"/>
      <c r="R549" s="62"/>
      <c r="S549" s="62"/>
      <c r="T549" s="62"/>
      <c r="U549" s="62"/>
      <c r="V549" s="62"/>
      <c r="W549" s="62"/>
      <c r="X549" s="62"/>
      <c r="Y549" s="62"/>
      <c r="Z549" s="62"/>
      <c r="AA549" s="62"/>
      <c r="AB549" s="62"/>
      <c r="AC549" s="62"/>
      <c r="AD549" s="62"/>
    </row>
    <row r="550">
      <c r="A550" s="6"/>
      <c r="B550" s="6"/>
      <c r="C550" s="6"/>
      <c r="D550" s="62"/>
      <c r="E550" s="62"/>
      <c r="F550" s="62"/>
      <c r="G550" s="62"/>
      <c r="H550" s="62"/>
      <c r="I550" s="62"/>
      <c r="J550" s="62"/>
      <c r="K550" s="62"/>
      <c r="L550" s="62"/>
      <c r="M550" s="62"/>
      <c r="N550" s="62"/>
      <c r="O550" s="62"/>
      <c r="P550" s="62"/>
      <c r="Q550" s="62"/>
      <c r="R550" s="62"/>
      <c r="S550" s="62"/>
      <c r="T550" s="62"/>
      <c r="U550" s="62"/>
      <c r="V550" s="62"/>
      <c r="W550" s="62"/>
      <c r="X550" s="62"/>
      <c r="Y550" s="62"/>
      <c r="Z550" s="62"/>
      <c r="AA550" s="62"/>
      <c r="AB550" s="62"/>
      <c r="AC550" s="62"/>
      <c r="AD550" s="62"/>
    </row>
    <row r="551">
      <c r="A551" s="6"/>
      <c r="B551" s="6"/>
      <c r="C551" s="6"/>
      <c r="D551" s="62"/>
      <c r="E551" s="62"/>
      <c r="F551" s="62"/>
      <c r="G551" s="62"/>
      <c r="H551" s="62"/>
      <c r="I551" s="62"/>
      <c r="J551" s="62"/>
      <c r="K551" s="62"/>
      <c r="L551" s="62"/>
      <c r="M551" s="62"/>
      <c r="N551" s="62"/>
      <c r="O551" s="62"/>
      <c r="P551" s="62"/>
      <c r="Q551" s="62"/>
      <c r="R551" s="62"/>
      <c r="S551" s="62"/>
      <c r="T551" s="62"/>
      <c r="U551" s="62"/>
      <c r="V551" s="62"/>
      <c r="W551" s="62"/>
      <c r="X551" s="62"/>
      <c r="Y551" s="62"/>
      <c r="Z551" s="62"/>
      <c r="AA551" s="62"/>
      <c r="AB551" s="62"/>
      <c r="AC551" s="62"/>
      <c r="AD551" s="62"/>
    </row>
    <row r="552">
      <c r="A552" s="6"/>
      <c r="B552" s="6"/>
      <c r="C552" s="6"/>
      <c r="D552" s="62"/>
      <c r="E552" s="62"/>
      <c r="F552" s="62"/>
      <c r="G552" s="62"/>
      <c r="H552" s="62"/>
      <c r="I552" s="62"/>
      <c r="J552" s="62"/>
      <c r="K552" s="62"/>
      <c r="L552" s="62"/>
      <c r="M552" s="62"/>
      <c r="N552" s="62"/>
      <c r="O552" s="62"/>
      <c r="P552" s="62"/>
      <c r="Q552" s="62"/>
      <c r="R552" s="62"/>
      <c r="S552" s="62"/>
      <c r="T552" s="62"/>
      <c r="U552" s="62"/>
      <c r="V552" s="62"/>
      <c r="W552" s="62"/>
      <c r="X552" s="62"/>
      <c r="Y552" s="62"/>
      <c r="Z552" s="62"/>
      <c r="AA552" s="62"/>
      <c r="AB552" s="62"/>
      <c r="AC552" s="62"/>
      <c r="AD552" s="62"/>
    </row>
    <row r="553">
      <c r="A553" s="6"/>
      <c r="B553" s="6"/>
      <c r="C553" s="6"/>
      <c r="D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c r="AB553" s="62"/>
      <c r="AC553" s="62"/>
      <c r="AD553" s="62"/>
    </row>
    <row r="554">
      <c r="A554" s="6"/>
      <c r="B554" s="6"/>
      <c r="C554" s="6"/>
      <c r="D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c r="AB554" s="62"/>
      <c r="AC554" s="62"/>
      <c r="AD554" s="62"/>
    </row>
    <row r="555">
      <c r="A555" s="6"/>
      <c r="B555" s="6"/>
      <c r="C555" s="6"/>
      <c r="D555" s="62"/>
      <c r="E555" s="62"/>
      <c r="F555" s="62"/>
      <c r="G555" s="62"/>
      <c r="H555" s="62"/>
      <c r="I555" s="62"/>
      <c r="J555" s="62"/>
      <c r="K555" s="62"/>
      <c r="L555" s="62"/>
      <c r="M555" s="62"/>
      <c r="N555" s="62"/>
      <c r="O555" s="62"/>
      <c r="P555" s="62"/>
      <c r="Q555" s="62"/>
      <c r="R555" s="62"/>
      <c r="S555" s="62"/>
      <c r="T555" s="62"/>
      <c r="U555" s="62"/>
      <c r="V555" s="62"/>
      <c r="W555" s="62"/>
      <c r="X555" s="62"/>
      <c r="Y555" s="62"/>
      <c r="Z555" s="62"/>
      <c r="AA555" s="62"/>
      <c r="AB555" s="62"/>
      <c r="AC555" s="62"/>
      <c r="AD555" s="62"/>
    </row>
    <row r="556">
      <c r="A556" s="6"/>
      <c r="B556" s="6"/>
      <c r="C556" s="6"/>
      <c r="D556" s="62"/>
      <c r="E556" s="62"/>
      <c r="F556" s="62"/>
      <c r="G556" s="62"/>
      <c r="H556" s="62"/>
      <c r="I556" s="62"/>
      <c r="J556" s="62"/>
      <c r="K556" s="62"/>
      <c r="L556" s="62"/>
      <c r="M556" s="62"/>
      <c r="N556" s="62"/>
      <c r="O556" s="62"/>
      <c r="P556" s="62"/>
      <c r="Q556" s="62"/>
      <c r="R556" s="62"/>
      <c r="S556" s="62"/>
      <c r="T556" s="62"/>
      <c r="U556" s="62"/>
      <c r="V556" s="62"/>
      <c r="W556" s="62"/>
      <c r="X556" s="62"/>
      <c r="Y556" s="62"/>
      <c r="Z556" s="62"/>
      <c r="AA556" s="62"/>
      <c r="AB556" s="62"/>
      <c r="AC556" s="62"/>
      <c r="AD556" s="62"/>
    </row>
    <row r="557">
      <c r="A557" s="6"/>
      <c r="B557" s="6"/>
      <c r="C557" s="6"/>
      <c r="D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c r="AB557" s="62"/>
      <c r="AC557" s="62"/>
      <c r="AD557" s="62"/>
    </row>
    <row r="558">
      <c r="A558" s="6"/>
      <c r="B558" s="6"/>
      <c r="C558" s="6"/>
      <c r="D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c r="AB558" s="62"/>
      <c r="AC558" s="62"/>
      <c r="AD558" s="62"/>
    </row>
    <row r="559">
      <c r="A559" s="6"/>
      <c r="B559" s="6"/>
      <c r="C559" s="6"/>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c r="AB559" s="62"/>
      <c r="AC559" s="62"/>
      <c r="AD559" s="62"/>
    </row>
    <row r="560">
      <c r="A560" s="6"/>
      <c r="B560" s="6"/>
      <c r="C560" s="6"/>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c r="AC560" s="62"/>
      <c r="AD560" s="62"/>
    </row>
    <row r="561">
      <c r="A561" s="6"/>
      <c r="B561" s="6"/>
      <c r="C561" s="6"/>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c r="AB561" s="62"/>
      <c r="AC561" s="62"/>
      <c r="AD561" s="62"/>
    </row>
    <row r="562">
      <c r="A562" s="6"/>
      <c r="B562" s="6"/>
      <c r="C562" s="6"/>
      <c r="D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c r="AB562" s="62"/>
      <c r="AC562" s="62"/>
      <c r="AD562" s="62"/>
    </row>
    <row r="563">
      <c r="A563" s="6"/>
      <c r="B563" s="6"/>
      <c r="C563" s="6"/>
      <c r="D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c r="AB563" s="62"/>
      <c r="AC563" s="62"/>
      <c r="AD563" s="62"/>
    </row>
    <row r="564">
      <c r="A564" s="6"/>
      <c r="B564" s="6"/>
      <c r="C564" s="6"/>
      <c r="D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c r="AB564" s="62"/>
      <c r="AC564" s="62"/>
      <c r="AD564" s="62"/>
    </row>
    <row r="565">
      <c r="A565" s="6"/>
      <c r="B565" s="6"/>
      <c r="C565" s="6"/>
      <c r="D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c r="AB565" s="62"/>
      <c r="AC565" s="62"/>
      <c r="AD565" s="62"/>
    </row>
    <row r="566">
      <c r="A566" s="6"/>
      <c r="B566" s="6"/>
      <c r="C566" s="6"/>
      <c r="D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c r="AC566" s="62"/>
      <c r="AD566" s="62"/>
    </row>
    <row r="567">
      <c r="A567" s="6"/>
      <c r="B567" s="6"/>
      <c r="C567" s="6"/>
      <c r="D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c r="AB567" s="62"/>
      <c r="AC567" s="62"/>
      <c r="AD567" s="62"/>
    </row>
    <row r="568">
      <c r="A568" s="6"/>
      <c r="B568" s="6"/>
      <c r="C568" s="6"/>
      <c r="D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c r="AB568" s="62"/>
      <c r="AC568" s="62"/>
      <c r="AD568" s="62"/>
    </row>
    <row r="569">
      <c r="A569" s="6"/>
      <c r="B569" s="6"/>
      <c r="C569" s="6"/>
      <c r="D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c r="AB569" s="62"/>
      <c r="AC569" s="62"/>
      <c r="AD569" s="62"/>
    </row>
    <row r="570">
      <c r="A570" s="6"/>
      <c r="B570" s="6"/>
      <c r="C570" s="6"/>
      <c r="D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c r="AB570" s="62"/>
      <c r="AC570" s="62"/>
      <c r="AD570" s="62"/>
    </row>
    <row r="571">
      <c r="A571" s="6"/>
      <c r="B571" s="6"/>
      <c r="C571" s="6"/>
      <c r="D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c r="AB571" s="62"/>
      <c r="AC571" s="62"/>
      <c r="AD571" s="62"/>
    </row>
    <row r="572">
      <c r="A572" s="6"/>
      <c r="B572" s="6"/>
      <c r="C572" s="6"/>
      <c r="D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c r="AB572" s="62"/>
      <c r="AC572" s="62"/>
      <c r="AD572" s="62"/>
    </row>
    <row r="573">
      <c r="A573" s="6"/>
      <c r="B573" s="6"/>
      <c r="C573" s="6"/>
      <c r="D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c r="AB573" s="62"/>
      <c r="AC573" s="62"/>
      <c r="AD573" s="62"/>
    </row>
    <row r="574">
      <c r="A574" s="6"/>
      <c r="B574" s="6"/>
      <c r="C574" s="6"/>
      <c r="D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c r="AB574" s="62"/>
      <c r="AC574" s="62"/>
      <c r="AD574" s="62"/>
    </row>
    <row r="575">
      <c r="A575" s="6"/>
      <c r="B575" s="6"/>
      <c r="C575" s="6"/>
      <c r="D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c r="AB575" s="62"/>
      <c r="AC575" s="62"/>
      <c r="AD575" s="62"/>
    </row>
    <row r="576">
      <c r="A576" s="6"/>
      <c r="B576" s="6"/>
      <c r="C576" s="6"/>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c r="AB576" s="62"/>
      <c r="AC576" s="62"/>
      <c r="AD576" s="62"/>
    </row>
    <row r="577">
      <c r="A577" s="6"/>
      <c r="B577" s="6"/>
      <c r="C577" s="6"/>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c r="AB577" s="62"/>
      <c r="AC577" s="62"/>
      <c r="AD577" s="62"/>
    </row>
    <row r="578">
      <c r="A578" s="6"/>
      <c r="B578" s="6"/>
      <c r="C578" s="6"/>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c r="AB578" s="62"/>
      <c r="AC578" s="62"/>
      <c r="AD578" s="62"/>
    </row>
    <row r="579">
      <c r="A579" s="6"/>
      <c r="B579" s="6"/>
      <c r="C579" s="6"/>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c r="AB579" s="62"/>
      <c r="AC579" s="62"/>
      <c r="AD579" s="62"/>
    </row>
    <row r="580">
      <c r="A580" s="6"/>
      <c r="B580" s="6"/>
      <c r="C580" s="6"/>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c r="AB580" s="62"/>
      <c r="AC580" s="62"/>
      <c r="AD580" s="62"/>
    </row>
    <row r="581">
      <c r="A581" s="6"/>
      <c r="B581" s="6"/>
      <c r="C581" s="6"/>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c r="AC581" s="62"/>
      <c r="AD581" s="62"/>
    </row>
    <row r="582">
      <c r="A582" s="6"/>
      <c r="B582" s="6"/>
      <c r="C582" s="6"/>
      <c r="D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c r="AB582" s="62"/>
      <c r="AC582" s="62"/>
      <c r="AD582" s="62"/>
    </row>
    <row r="583">
      <c r="A583" s="6"/>
      <c r="B583" s="6"/>
      <c r="C583" s="6"/>
      <c r="D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c r="AB583" s="62"/>
      <c r="AC583" s="62"/>
      <c r="AD583" s="62"/>
    </row>
    <row r="584">
      <c r="A584" s="6"/>
      <c r="B584" s="6"/>
      <c r="C584" s="6"/>
      <c r="D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c r="AB584" s="62"/>
      <c r="AC584" s="62"/>
      <c r="AD584" s="62"/>
    </row>
    <row r="585">
      <c r="A585" s="6"/>
      <c r="B585" s="6"/>
      <c r="C585" s="6"/>
      <c r="D585" s="62"/>
      <c r="E585" s="62"/>
      <c r="F585" s="62"/>
      <c r="G585" s="62"/>
      <c r="H585" s="62"/>
      <c r="I585" s="62"/>
      <c r="J585" s="62"/>
      <c r="K585" s="62"/>
      <c r="L585" s="62"/>
      <c r="M585" s="62"/>
      <c r="N585" s="62"/>
      <c r="O585" s="62"/>
      <c r="P585" s="62"/>
      <c r="Q585" s="62"/>
      <c r="R585" s="62"/>
      <c r="S585" s="62"/>
      <c r="T585" s="62"/>
      <c r="U585" s="62"/>
      <c r="V585" s="62"/>
      <c r="W585" s="62"/>
      <c r="X585" s="62"/>
      <c r="Y585" s="62"/>
      <c r="Z585" s="62"/>
      <c r="AA585" s="62"/>
      <c r="AB585" s="62"/>
      <c r="AC585" s="62"/>
      <c r="AD585" s="62"/>
    </row>
    <row r="586">
      <c r="A586" s="6"/>
      <c r="B586" s="6"/>
      <c r="C586" s="6"/>
      <c r="D586" s="62"/>
      <c r="E586" s="62"/>
      <c r="F586" s="62"/>
      <c r="G586" s="62"/>
      <c r="H586" s="62"/>
      <c r="I586" s="62"/>
      <c r="J586" s="62"/>
      <c r="K586" s="62"/>
      <c r="L586" s="62"/>
      <c r="M586" s="62"/>
      <c r="N586" s="62"/>
      <c r="O586" s="62"/>
      <c r="P586" s="62"/>
      <c r="Q586" s="62"/>
      <c r="R586" s="62"/>
      <c r="S586" s="62"/>
      <c r="T586" s="62"/>
      <c r="U586" s="62"/>
      <c r="V586" s="62"/>
      <c r="W586" s="62"/>
      <c r="X586" s="62"/>
      <c r="Y586" s="62"/>
      <c r="Z586" s="62"/>
      <c r="AA586" s="62"/>
      <c r="AB586" s="62"/>
      <c r="AC586" s="62"/>
      <c r="AD586" s="62"/>
    </row>
    <row r="587">
      <c r="A587" s="6"/>
      <c r="B587" s="6"/>
      <c r="C587" s="6"/>
      <c r="D587" s="62"/>
      <c r="E587" s="62"/>
      <c r="F587" s="62"/>
      <c r="G587" s="62"/>
      <c r="H587" s="62"/>
      <c r="I587" s="62"/>
      <c r="J587" s="62"/>
      <c r="K587" s="62"/>
      <c r="L587" s="62"/>
      <c r="M587" s="62"/>
      <c r="N587" s="62"/>
      <c r="O587" s="62"/>
      <c r="P587" s="62"/>
      <c r="Q587" s="62"/>
      <c r="R587" s="62"/>
      <c r="S587" s="62"/>
      <c r="T587" s="62"/>
      <c r="U587" s="62"/>
      <c r="V587" s="62"/>
      <c r="W587" s="62"/>
      <c r="X587" s="62"/>
      <c r="Y587" s="62"/>
      <c r="Z587" s="62"/>
      <c r="AA587" s="62"/>
      <c r="AB587" s="62"/>
      <c r="AC587" s="62"/>
      <c r="AD587" s="62"/>
    </row>
    <row r="588">
      <c r="A588" s="6"/>
      <c r="B588" s="6"/>
      <c r="C588" s="6"/>
      <c r="D588" s="62"/>
      <c r="E588" s="62"/>
      <c r="F588" s="62"/>
      <c r="G588" s="62"/>
      <c r="H588" s="62"/>
      <c r="I588" s="62"/>
      <c r="J588" s="62"/>
      <c r="K588" s="62"/>
      <c r="L588" s="62"/>
      <c r="M588" s="62"/>
      <c r="N588" s="62"/>
      <c r="O588" s="62"/>
      <c r="P588" s="62"/>
      <c r="Q588" s="62"/>
      <c r="R588" s="62"/>
      <c r="S588" s="62"/>
      <c r="T588" s="62"/>
      <c r="U588" s="62"/>
      <c r="V588" s="62"/>
      <c r="W588" s="62"/>
      <c r="X588" s="62"/>
      <c r="Y588" s="62"/>
      <c r="Z588" s="62"/>
      <c r="AA588" s="62"/>
      <c r="AB588" s="62"/>
      <c r="AC588" s="62"/>
      <c r="AD588" s="62"/>
    </row>
    <row r="589">
      <c r="A589" s="6"/>
      <c r="B589" s="6"/>
      <c r="C589" s="6"/>
      <c r="D589" s="62"/>
      <c r="E589" s="62"/>
      <c r="F589" s="62"/>
      <c r="G589" s="62"/>
      <c r="H589" s="62"/>
      <c r="I589" s="62"/>
      <c r="J589" s="62"/>
      <c r="K589" s="62"/>
      <c r="L589" s="62"/>
      <c r="M589" s="62"/>
      <c r="N589" s="62"/>
      <c r="O589" s="62"/>
      <c r="P589" s="62"/>
      <c r="Q589" s="62"/>
      <c r="R589" s="62"/>
      <c r="S589" s="62"/>
      <c r="T589" s="62"/>
      <c r="U589" s="62"/>
      <c r="V589" s="62"/>
      <c r="W589" s="62"/>
      <c r="X589" s="62"/>
      <c r="Y589" s="62"/>
      <c r="Z589" s="62"/>
      <c r="AA589" s="62"/>
      <c r="AB589" s="62"/>
      <c r="AC589" s="62"/>
      <c r="AD589" s="62"/>
    </row>
    <row r="590">
      <c r="A590" s="6"/>
      <c r="B590" s="6"/>
      <c r="C590" s="6"/>
      <c r="D590" s="62"/>
      <c r="E590" s="62"/>
      <c r="F590" s="62"/>
      <c r="G590" s="62"/>
      <c r="H590" s="62"/>
      <c r="I590" s="62"/>
      <c r="J590" s="62"/>
      <c r="K590" s="62"/>
      <c r="L590" s="62"/>
      <c r="M590" s="62"/>
      <c r="N590" s="62"/>
      <c r="O590" s="62"/>
      <c r="P590" s="62"/>
      <c r="Q590" s="62"/>
      <c r="R590" s="62"/>
      <c r="S590" s="62"/>
      <c r="T590" s="62"/>
      <c r="U590" s="62"/>
      <c r="V590" s="62"/>
      <c r="W590" s="62"/>
      <c r="X590" s="62"/>
      <c r="Y590" s="62"/>
      <c r="Z590" s="62"/>
      <c r="AA590" s="62"/>
      <c r="AB590" s="62"/>
      <c r="AC590" s="62"/>
      <c r="AD590" s="62"/>
    </row>
    <row r="591">
      <c r="A591" s="6"/>
      <c r="B591" s="6"/>
      <c r="C591" s="6"/>
      <c r="D591" s="62"/>
      <c r="E591" s="62"/>
      <c r="F591" s="62"/>
      <c r="G591" s="62"/>
      <c r="H591" s="62"/>
      <c r="I591" s="62"/>
      <c r="J591" s="62"/>
      <c r="K591" s="62"/>
      <c r="L591" s="62"/>
      <c r="M591" s="62"/>
      <c r="N591" s="62"/>
      <c r="O591" s="62"/>
      <c r="P591" s="62"/>
      <c r="Q591" s="62"/>
      <c r="R591" s="62"/>
      <c r="S591" s="62"/>
      <c r="T591" s="62"/>
      <c r="U591" s="62"/>
      <c r="V591" s="62"/>
      <c r="W591" s="62"/>
      <c r="X591" s="62"/>
      <c r="Y591" s="62"/>
      <c r="Z591" s="62"/>
      <c r="AA591" s="62"/>
      <c r="AB591" s="62"/>
      <c r="AC591" s="62"/>
      <c r="AD591" s="62"/>
    </row>
    <row r="592">
      <c r="A592" s="6"/>
      <c r="B592" s="6"/>
      <c r="C592" s="6"/>
      <c r="D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c r="AB592" s="62"/>
      <c r="AC592" s="62"/>
      <c r="AD592" s="62"/>
    </row>
    <row r="593">
      <c r="A593" s="6"/>
      <c r="B593" s="6"/>
      <c r="C593" s="6"/>
      <c r="D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c r="AB593" s="62"/>
      <c r="AC593" s="62"/>
      <c r="AD593" s="62"/>
    </row>
    <row r="594">
      <c r="A594" s="6"/>
      <c r="B594" s="6"/>
      <c r="C594" s="6"/>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c r="AB594" s="62"/>
      <c r="AC594" s="62"/>
      <c r="AD594" s="62"/>
    </row>
    <row r="595">
      <c r="A595" s="6"/>
      <c r="B595" s="6"/>
      <c r="C595" s="6"/>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row>
    <row r="596">
      <c r="A596" s="6"/>
      <c r="B596" s="6"/>
      <c r="C596" s="6"/>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c r="AB596" s="62"/>
      <c r="AC596" s="62"/>
      <c r="AD596" s="62"/>
    </row>
    <row r="597">
      <c r="A597" s="6"/>
      <c r="B597" s="6"/>
      <c r="C597" s="6"/>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c r="AB597" s="62"/>
      <c r="AC597" s="62"/>
      <c r="AD597" s="62"/>
    </row>
    <row r="598">
      <c r="A598" s="6"/>
      <c r="B598" s="6"/>
      <c r="C598" s="6"/>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c r="AB598" s="62"/>
      <c r="AC598" s="62"/>
      <c r="AD598" s="62"/>
    </row>
    <row r="599">
      <c r="A599" s="6"/>
      <c r="B599" s="6"/>
      <c r="C599" s="6"/>
      <c r="D599" s="62"/>
      <c r="E599" s="62"/>
      <c r="F599" s="62"/>
      <c r="G599" s="62"/>
      <c r="H599" s="62"/>
      <c r="I599" s="62"/>
      <c r="J599" s="62"/>
      <c r="K599" s="62"/>
      <c r="L599" s="62"/>
      <c r="M599" s="62"/>
      <c r="N599" s="62"/>
      <c r="O599" s="62"/>
      <c r="P599" s="62"/>
      <c r="Q599" s="62"/>
      <c r="R599" s="62"/>
      <c r="S599" s="62"/>
      <c r="T599" s="62"/>
      <c r="U599" s="62"/>
      <c r="V599" s="62"/>
      <c r="W599" s="62"/>
      <c r="X599" s="62"/>
      <c r="Y599" s="62"/>
      <c r="Z599" s="62"/>
      <c r="AA599" s="62"/>
      <c r="AB599" s="62"/>
      <c r="AC599" s="62"/>
      <c r="AD599" s="62"/>
    </row>
    <row r="600">
      <c r="A600" s="6"/>
      <c r="B600" s="6"/>
      <c r="C600" s="6"/>
      <c r="D600" s="62"/>
      <c r="E600" s="62"/>
      <c r="F600" s="62"/>
      <c r="G600" s="62"/>
      <c r="H600" s="62"/>
      <c r="I600" s="62"/>
      <c r="J600" s="62"/>
      <c r="K600" s="62"/>
      <c r="L600" s="62"/>
      <c r="M600" s="62"/>
      <c r="N600" s="62"/>
      <c r="O600" s="62"/>
      <c r="P600" s="62"/>
      <c r="Q600" s="62"/>
      <c r="R600" s="62"/>
      <c r="S600" s="62"/>
      <c r="T600" s="62"/>
      <c r="U600" s="62"/>
      <c r="V600" s="62"/>
      <c r="W600" s="62"/>
      <c r="X600" s="62"/>
      <c r="Y600" s="62"/>
      <c r="Z600" s="62"/>
      <c r="AA600" s="62"/>
      <c r="AB600" s="62"/>
      <c r="AC600" s="62"/>
      <c r="AD600" s="62"/>
    </row>
    <row r="601">
      <c r="A601" s="6"/>
      <c r="B601" s="6"/>
      <c r="C601" s="6"/>
      <c r="D601" s="62"/>
      <c r="E601" s="62"/>
      <c r="F601" s="62"/>
      <c r="G601" s="62"/>
      <c r="H601" s="62"/>
      <c r="I601" s="62"/>
      <c r="J601" s="62"/>
      <c r="K601" s="62"/>
      <c r="L601" s="62"/>
      <c r="M601" s="62"/>
      <c r="N601" s="62"/>
      <c r="O601" s="62"/>
      <c r="P601" s="62"/>
      <c r="Q601" s="62"/>
      <c r="R601" s="62"/>
      <c r="S601" s="62"/>
      <c r="T601" s="62"/>
      <c r="U601" s="62"/>
      <c r="V601" s="62"/>
      <c r="W601" s="62"/>
      <c r="X601" s="62"/>
      <c r="Y601" s="62"/>
      <c r="Z601" s="62"/>
      <c r="AA601" s="62"/>
      <c r="AB601" s="62"/>
      <c r="AC601" s="62"/>
      <c r="AD601" s="62"/>
    </row>
    <row r="602">
      <c r="A602" s="6"/>
      <c r="B602" s="6"/>
      <c r="C602" s="6"/>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c r="AB602" s="62"/>
      <c r="AC602" s="62"/>
      <c r="AD602" s="62"/>
    </row>
    <row r="603">
      <c r="A603" s="6"/>
      <c r="B603" s="6"/>
      <c r="C603" s="6"/>
      <c r="D603" s="62"/>
      <c r="E603" s="62"/>
      <c r="F603" s="62"/>
      <c r="G603" s="62"/>
      <c r="H603" s="62"/>
      <c r="I603" s="62"/>
      <c r="J603" s="62"/>
      <c r="K603" s="62"/>
      <c r="L603" s="62"/>
      <c r="M603" s="62"/>
      <c r="N603" s="62"/>
      <c r="O603" s="62"/>
      <c r="P603" s="62"/>
      <c r="Q603" s="62"/>
      <c r="R603" s="62"/>
      <c r="S603" s="62"/>
      <c r="T603" s="62"/>
      <c r="U603" s="62"/>
      <c r="V603" s="62"/>
      <c r="W603" s="62"/>
      <c r="X603" s="62"/>
      <c r="Y603" s="62"/>
      <c r="Z603" s="62"/>
      <c r="AA603" s="62"/>
      <c r="AB603" s="62"/>
      <c r="AC603" s="62"/>
      <c r="AD603" s="62"/>
    </row>
    <row r="604">
      <c r="A604" s="6"/>
      <c r="B604" s="6"/>
      <c r="C604" s="6"/>
      <c r="D604" s="62"/>
      <c r="E604" s="62"/>
      <c r="F604" s="62"/>
      <c r="G604" s="62"/>
      <c r="H604" s="62"/>
      <c r="I604" s="62"/>
      <c r="J604" s="62"/>
      <c r="K604" s="62"/>
      <c r="L604" s="62"/>
      <c r="M604" s="62"/>
      <c r="N604" s="62"/>
      <c r="O604" s="62"/>
      <c r="P604" s="62"/>
      <c r="Q604" s="62"/>
      <c r="R604" s="62"/>
      <c r="S604" s="62"/>
      <c r="T604" s="62"/>
      <c r="U604" s="62"/>
      <c r="V604" s="62"/>
      <c r="W604" s="62"/>
      <c r="X604" s="62"/>
      <c r="Y604" s="62"/>
      <c r="Z604" s="62"/>
      <c r="AA604" s="62"/>
      <c r="AB604" s="62"/>
      <c r="AC604" s="62"/>
      <c r="AD604" s="62"/>
    </row>
    <row r="605">
      <c r="A605" s="6"/>
      <c r="B605" s="6"/>
      <c r="C605" s="6"/>
      <c r="D605" s="62"/>
      <c r="E605" s="62"/>
      <c r="F605" s="62"/>
      <c r="G605" s="62"/>
      <c r="H605" s="62"/>
      <c r="I605" s="62"/>
      <c r="J605" s="62"/>
      <c r="K605" s="62"/>
      <c r="L605" s="62"/>
      <c r="M605" s="62"/>
      <c r="N605" s="62"/>
      <c r="O605" s="62"/>
      <c r="P605" s="62"/>
      <c r="Q605" s="62"/>
      <c r="R605" s="62"/>
      <c r="S605" s="62"/>
      <c r="T605" s="62"/>
      <c r="U605" s="62"/>
      <c r="V605" s="62"/>
      <c r="W605" s="62"/>
      <c r="X605" s="62"/>
      <c r="Y605" s="62"/>
      <c r="Z605" s="62"/>
      <c r="AA605" s="62"/>
      <c r="AB605" s="62"/>
      <c r="AC605" s="62"/>
      <c r="AD605" s="62"/>
    </row>
    <row r="606">
      <c r="A606" s="6"/>
      <c r="B606" s="6"/>
      <c r="C606" s="6"/>
      <c r="D606" s="62"/>
      <c r="E606" s="62"/>
      <c r="F606" s="62"/>
      <c r="G606" s="62"/>
      <c r="H606" s="62"/>
      <c r="I606" s="62"/>
      <c r="J606" s="62"/>
      <c r="K606" s="62"/>
      <c r="L606" s="62"/>
      <c r="M606" s="62"/>
      <c r="N606" s="62"/>
      <c r="O606" s="62"/>
      <c r="P606" s="62"/>
      <c r="Q606" s="62"/>
      <c r="R606" s="62"/>
      <c r="S606" s="62"/>
      <c r="T606" s="62"/>
      <c r="U606" s="62"/>
      <c r="V606" s="62"/>
      <c r="W606" s="62"/>
      <c r="X606" s="62"/>
      <c r="Y606" s="62"/>
      <c r="Z606" s="62"/>
      <c r="AA606" s="62"/>
      <c r="AB606" s="62"/>
      <c r="AC606" s="62"/>
      <c r="AD606" s="62"/>
    </row>
    <row r="607">
      <c r="A607" s="6"/>
      <c r="B607" s="6"/>
      <c r="C607" s="6"/>
      <c r="D607" s="62"/>
      <c r="E607" s="62"/>
      <c r="F607" s="62"/>
      <c r="G607" s="62"/>
      <c r="H607" s="62"/>
      <c r="I607" s="62"/>
      <c r="J607" s="62"/>
      <c r="K607" s="62"/>
      <c r="L607" s="62"/>
      <c r="M607" s="62"/>
      <c r="N607" s="62"/>
      <c r="O607" s="62"/>
      <c r="P607" s="62"/>
      <c r="Q607" s="62"/>
      <c r="R607" s="62"/>
      <c r="S607" s="62"/>
      <c r="T607" s="62"/>
      <c r="U607" s="62"/>
      <c r="V607" s="62"/>
      <c r="W607" s="62"/>
      <c r="X607" s="62"/>
      <c r="Y607" s="62"/>
      <c r="Z607" s="62"/>
      <c r="AA607" s="62"/>
      <c r="AB607" s="62"/>
      <c r="AC607" s="62"/>
      <c r="AD607" s="62"/>
    </row>
    <row r="608">
      <c r="A608" s="6"/>
      <c r="B608" s="6"/>
      <c r="C608" s="6"/>
      <c r="D608" s="62"/>
      <c r="E608" s="62"/>
      <c r="F608" s="62"/>
      <c r="G608" s="62"/>
      <c r="H608" s="62"/>
      <c r="I608" s="62"/>
      <c r="J608" s="62"/>
      <c r="K608" s="62"/>
      <c r="L608" s="62"/>
      <c r="M608" s="62"/>
      <c r="N608" s="62"/>
      <c r="O608" s="62"/>
      <c r="P608" s="62"/>
      <c r="Q608" s="62"/>
      <c r="R608" s="62"/>
      <c r="S608" s="62"/>
      <c r="T608" s="62"/>
      <c r="U608" s="62"/>
      <c r="V608" s="62"/>
      <c r="W608" s="62"/>
      <c r="X608" s="62"/>
      <c r="Y608" s="62"/>
      <c r="Z608" s="62"/>
      <c r="AA608" s="62"/>
      <c r="AB608" s="62"/>
      <c r="AC608" s="62"/>
      <c r="AD608" s="62"/>
    </row>
    <row r="609">
      <c r="A609" s="6"/>
      <c r="B609" s="6"/>
      <c r="C609" s="6"/>
      <c r="D609" s="62"/>
      <c r="E609" s="62"/>
      <c r="F609" s="62"/>
      <c r="G609" s="62"/>
      <c r="H609" s="62"/>
      <c r="I609" s="62"/>
      <c r="J609" s="62"/>
      <c r="K609" s="62"/>
      <c r="L609" s="62"/>
      <c r="M609" s="62"/>
      <c r="N609" s="62"/>
      <c r="O609" s="62"/>
      <c r="P609" s="62"/>
      <c r="Q609" s="62"/>
      <c r="R609" s="62"/>
      <c r="S609" s="62"/>
      <c r="T609" s="62"/>
      <c r="U609" s="62"/>
      <c r="V609" s="62"/>
      <c r="W609" s="62"/>
      <c r="X609" s="62"/>
      <c r="Y609" s="62"/>
      <c r="Z609" s="62"/>
      <c r="AA609" s="62"/>
      <c r="AB609" s="62"/>
      <c r="AC609" s="62"/>
      <c r="AD609" s="62"/>
    </row>
    <row r="610">
      <c r="A610" s="6"/>
      <c r="B610" s="6"/>
      <c r="C610" s="6"/>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c r="AB610" s="62"/>
      <c r="AC610" s="62"/>
      <c r="AD610" s="62"/>
    </row>
    <row r="611">
      <c r="A611" s="6"/>
      <c r="B611" s="6"/>
      <c r="C611" s="6"/>
      <c r="D611" s="62"/>
      <c r="E611" s="62"/>
      <c r="F611" s="62"/>
      <c r="G611" s="62"/>
      <c r="H611" s="62"/>
      <c r="I611" s="62"/>
      <c r="J611" s="62"/>
      <c r="K611" s="62"/>
      <c r="L611" s="62"/>
      <c r="M611" s="62"/>
      <c r="N611" s="62"/>
      <c r="O611" s="62"/>
      <c r="P611" s="62"/>
      <c r="Q611" s="62"/>
      <c r="R611" s="62"/>
      <c r="S611" s="62"/>
      <c r="T611" s="62"/>
      <c r="U611" s="62"/>
      <c r="V611" s="62"/>
      <c r="W611" s="62"/>
      <c r="X611" s="62"/>
      <c r="Y611" s="62"/>
      <c r="Z611" s="62"/>
      <c r="AA611" s="62"/>
      <c r="AB611" s="62"/>
      <c r="AC611" s="62"/>
      <c r="AD611" s="62"/>
    </row>
    <row r="612">
      <c r="A612" s="6"/>
      <c r="B612" s="6"/>
      <c r="C612" s="6"/>
      <c r="D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c r="AB612" s="62"/>
      <c r="AC612" s="62"/>
      <c r="AD612" s="62"/>
    </row>
    <row r="613">
      <c r="A613" s="6"/>
      <c r="B613" s="6"/>
      <c r="C613" s="6"/>
      <c r="D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c r="AB613" s="62"/>
      <c r="AC613" s="62"/>
      <c r="AD613" s="62"/>
    </row>
    <row r="614">
      <c r="A614" s="6"/>
      <c r="B614" s="6"/>
      <c r="C614" s="6"/>
      <c r="D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c r="AB614" s="62"/>
      <c r="AC614" s="62"/>
      <c r="AD614" s="62"/>
    </row>
    <row r="615">
      <c r="A615" s="6"/>
      <c r="B615" s="6"/>
      <c r="C615" s="6"/>
      <c r="D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c r="AB615" s="62"/>
      <c r="AC615" s="62"/>
      <c r="AD615" s="62"/>
    </row>
    <row r="616">
      <c r="A616" s="6"/>
      <c r="B616" s="6"/>
      <c r="C616" s="6"/>
      <c r="D616" s="62"/>
      <c r="E616" s="62"/>
      <c r="F616" s="62"/>
      <c r="G616" s="62"/>
      <c r="H616" s="62"/>
      <c r="I616" s="62"/>
      <c r="J616" s="62"/>
      <c r="K616" s="62"/>
      <c r="L616" s="62"/>
      <c r="M616" s="62"/>
      <c r="N616" s="62"/>
      <c r="O616" s="62"/>
      <c r="P616" s="62"/>
      <c r="Q616" s="62"/>
      <c r="R616" s="62"/>
      <c r="S616" s="62"/>
      <c r="T616" s="62"/>
      <c r="U616" s="62"/>
      <c r="V616" s="62"/>
      <c r="W616" s="62"/>
      <c r="X616" s="62"/>
      <c r="Y616" s="62"/>
      <c r="Z616" s="62"/>
      <c r="AA616" s="62"/>
      <c r="AB616" s="62"/>
      <c r="AC616" s="62"/>
      <c r="AD616" s="62"/>
    </row>
    <row r="617">
      <c r="A617" s="6"/>
      <c r="B617" s="6"/>
      <c r="C617" s="6"/>
      <c r="D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c r="AB617" s="62"/>
      <c r="AC617" s="62"/>
      <c r="AD617" s="62"/>
    </row>
    <row r="618">
      <c r="A618" s="6"/>
      <c r="B618" s="6"/>
      <c r="C618" s="6"/>
      <c r="D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c r="AB618" s="62"/>
      <c r="AC618" s="62"/>
      <c r="AD618" s="62"/>
    </row>
    <row r="619">
      <c r="A619" s="6"/>
      <c r="B619" s="6"/>
      <c r="C619" s="6"/>
      <c r="D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c r="AB619" s="62"/>
      <c r="AC619" s="62"/>
      <c r="AD619" s="62"/>
    </row>
    <row r="620">
      <c r="A620" s="6"/>
      <c r="B620" s="6"/>
      <c r="C620" s="6"/>
      <c r="D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c r="AB620" s="62"/>
      <c r="AC620" s="62"/>
      <c r="AD620" s="62"/>
    </row>
    <row r="621">
      <c r="A621" s="6"/>
      <c r="B621" s="6"/>
      <c r="C621" s="6"/>
      <c r="D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c r="AB621" s="62"/>
      <c r="AC621" s="62"/>
      <c r="AD621" s="62"/>
    </row>
    <row r="622">
      <c r="A622" s="6"/>
      <c r="B622" s="6"/>
      <c r="C622" s="6"/>
      <c r="D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c r="AB622" s="62"/>
      <c r="AC622" s="62"/>
      <c r="AD622" s="62"/>
    </row>
    <row r="623">
      <c r="A623" s="6"/>
      <c r="B623" s="6"/>
      <c r="C623" s="6"/>
      <c r="D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c r="AB623" s="62"/>
      <c r="AC623" s="62"/>
      <c r="AD623" s="62"/>
    </row>
    <row r="624">
      <c r="A624" s="6"/>
      <c r="B624" s="6"/>
      <c r="C624" s="6"/>
      <c r="D624" s="62"/>
      <c r="E624" s="62"/>
      <c r="F624" s="62"/>
      <c r="G624" s="62"/>
      <c r="H624" s="62"/>
      <c r="I624" s="62"/>
      <c r="J624" s="62"/>
      <c r="K624" s="62"/>
      <c r="L624" s="62"/>
      <c r="M624" s="62"/>
      <c r="N624" s="62"/>
      <c r="O624" s="62"/>
      <c r="P624" s="62"/>
      <c r="Q624" s="62"/>
      <c r="R624" s="62"/>
      <c r="S624" s="62"/>
      <c r="T624" s="62"/>
      <c r="U624" s="62"/>
      <c r="V624" s="62"/>
      <c r="W624" s="62"/>
      <c r="X624" s="62"/>
      <c r="Y624" s="62"/>
      <c r="Z624" s="62"/>
      <c r="AA624" s="62"/>
      <c r="AB624" s="62"/>
      <c r="AC624" s="62"/>
      <c r="AD624" s="62"/>
    </row>
    <row r="625">
      <c r="A625" s="6"/>
      <c r="B625" s="6"/>
      <c r="C625" s="6"/>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c r="AB625" s="62"/>
      <c r="AC625" s="62"/>
      <c r="AD625" s="62"/>
    </row>
    <row r="626">
      <c r="A626" s="6"/>
      <c r="B626" s="6"/>
      <c r="C626" s="6"/>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c r="AB626" s="62"/>
      <c r="AC626" s="62"/>
      <c r="AD626" s="62"/>
    </row>
    <row r="627">
      <c r="A627" s="6"/>
      <c r="B627" s="6"/>
      <c r="C627" s="6"/>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c r="AB627" s="62"/>
      <c r="AC627" s="62"/>
      <c r="AD627" s="62"/>
    </row>
    <row r="628">
      <c r="A628" s="6"/>
      <c r="B628" s="6"/>
      <c r="C628" s="6"/>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c r="AB628" s="62"/>
      <c r="AC628" s="62"/>
      <c r="AD628" s="62"/>
    </row>
    <row r="629">
      <c r="A629" s="6"/>
      <c r="B629" s="6"/>
      <c r="C629" s="6"/>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c r="AB629" s="62"/>
      <c r="AC629" s="62"/>
      <c r="AD629" s="62"/>
    </row>
    <row r="630">
      <c r="A630" s="6"/>
      <c r="B630" s="6"/>
      <c r="C630" s="6"/>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c r="AB630" s="62"/>
      <c r="AC630" s="62"/>
      <c r="AD630" s="62"/>
    </row>
    <row r="631">
      <c r="A631" s="6"/>
      <c r="B631" s="6"/>
      <c r="C631" s="6"/>
      <c r="D631" s="62"/>
      <c r="E631" s="62"/>
      <c r="F631" s="62"/>
      <c r="G631" s="62"/>
      <c r="H631" s="62"/>
      <c r="I631" s="62"/>
      <c r="J631" s="62"/>
      <c r="K631" s="62"/>
      <c r="L631" s="62"/>
      <c r="M631" s="62"/>
      <c r="N631" s="62"/>
      <c r="O631" s="62"/>
      <c r="P631" s="62"/>
      <c r="Q631" s="62"/>
      <c r="R631" s="62"/>
      <c r="S631" s="62"/>
      <c r="T631" s="62"/>
      <c r="U631" s="62"/>
      <c r="V631" s="62"/>
      <c r="W631" s="62"/>
      <c r="X631" s="62"/>
      <c r="Y631" s="62"/>
      <c r="Z631" s="62"/>
      <c r="AA631" s="62"/>
      <c r="AB631" s="62"/>
      <c r="AC631" s="62"/>
      <c r="AD631" s="62"/>
    </row>
    <row r="632">
      <c r="A632" s="6"/>
      <c r="B632" s="6"/>
      <c r="C632" s="6"/>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c r="AB632" s="62"/>
      <c r="AC632" s="62"/>
      <c r="AD632" s="62"/>
    </row>
    <row r="633">
      <c r="A633" s="6"/>
      <c r="B633" s="6"/>
      <c r="C633" s="6"/>
      <c r="D633" s="62"/>
      <c r="E633" s="62"/>
      <c r="F633" s="62"/>
      <c r="G633" s="62"/>
      <c r="H633" s="62"/>
      <c r="I633" s="62"/>
      <c r="J633" s="62"/>
      <c r="K633" s="62"/>
      <c r="L633" s="62"/>
      <c r="M633" s="62"/>
      <c r="N633" s="62"/>
      <c r="O633" s="62"/>
      <c r="P633" s="62"/>
      <c r="Q633" s="62"/>
      <c r="R633" s="62"/>
      <c r="S633" s="62"/>
      <c r="T633" s="62"/>
      <c r="U633" s="62"/>
      <c r="V633" s="62"/>
      <c r="W633" s="62"/>
      <c r="X633" s="62"/>
      <c r="Y633" s="62"/>
      <c r="Z633" s="62"/>
      <c r="AA633" s="62"/>
      <c r="AB633" s="62"/>
      <c r="AC633" s="62"/>
      <c r="AD633" s="62"/>
    </row>
    <row r="634">
      <c r="A634" s="6"/>
      <c r="B634" s="6"/>
      <c r="C634" s="6"/>
      <c r="D634" s="62"/>
      <c r="E634" s="62"/>
      <c r="F634" s="62"/>
      <c r="G634" s="62"/>
      <c r="H634" s="62"/>
      <c r="I634" s="62"/>
      <c r="J634" s="62"/>
      <c r="K634" s="62"/>
      <c r="L634" s="62"/>
      <c r="M634" s="62"/>
      <c r="N634" s="62"/>
      <c r="O634" s="62"/>
      <c r="P634" s="62"/>
      <c r="Q634" s="62"/>
      <c r="R634" s="62"/>
      <c r="S634" s="62"/>
      <c r="T634" s="62"/>
      <c r="U634" s="62"/>
      <c r="V634" s="62"/>
      <c r="W634" s="62"/>
      <c r="X634" s="62"/>
      <c r="Y634" s="62"/>
      <c r="Z634" s="62"/>
      <c r="AA634" s="62"/>
      <c r="AB634" s="62"/>
      <c r="AC634" s="62"/>
      <c r="AD634" s="62"/>
    </row>
    <row r="635">
      <c r="A635" s="6"/>
      <c r="B635" s="6"/>
      <c r="C635" s="6"/>
      <c r="D635" s="62"/>
      <c r="E635" s="62"/>
      <c r="F635" s="62"/>
      <c r="G635" s="62"/>
      <c r="H635" s="62"/>
      <c r="I635" s="62"/>
      <c r="J635" s="62"/>
      <c r="K635" s="62"/>
      <c r="L635" s="62"/>
      <c r="M635" s="62"/>
      <c r="N635" s="62"/>
      <c r="O635" s="62"/>
      <c r="P635" s="62"/>
      <c r="Q635" s="62"/>
      <c r="R635" s="62"/>
      <c r="S635" s="62"/>
      <c r="T635" s="62"/>
      <c r="U635" s="62"/>
      <c r="V635" s="62"/>
      <c r="W635" s="62"/>
      <c r="X635" s="62"/>
      <c r="Y635" s="62"/>
      <c r="Z635" s="62"/>
      <c r="AA635" s="62"/>
      <c r="AB635" s="62"/>
      <c r="AC635" s="62"/>
      <c r="AD635" s="62"/>
    </row>
    <row r="636">
      <c r="A636" s="6"/>
      <c r="B636" s="6"/>
      <c r="C636" s="6"/>
      <c r="D636" s="62"/>
      <c r="E636" s="62"/>
      <c r="F636" s="62"/>
      <c r="G636" s="62"/>
      <c r="H636" s="62"/>
      <c r="I636" s="62"/>
      <c r="J636" s="62"/>
      <c r="K636" s="62"/>
      <c r="L636" s="62"/>
      <c r="M636" s="62"/>
      <c r="N636" s="62"/>
      <c r="O636" s="62"/>
      <c r="P636" s="62"/>
      <c r="Q636" s="62"/>
      <c r="R636" s="62"/>
      <c r="S636" s="62"/>
      <c r="T636" s="62"/>
      <c r="U636" s="62"/>
      <c r="V636" s="62"/>
      <c r="W636" s="62"/>
      <c r="X636" s="62"/>
      <c r="Y636" s="62"/>
      <c r="Z636" s="62"/>
      <c r="AA636" s="62"/>
      <c r="AB636" s="62"/>
      <c r="AC636" s="62"/>
      <c r="AD636" s="62"/>
    </row>
    <row r="637">
      <c r="A637" s="6"/>
      <c r="B637" s="6"/>
      <c r="C637" s="6"/>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c r="AB637" s="62"/>
      <c r="AC637" s="62"/>
      <c r="AD637" s="62"/>
    </row>
    <row r="638">
      <c r="A638" s="6"/>
      <c r="B638" s="6"/>
      <c r="C638" s="6"/>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c r="AB638" s="62"/>
      <c r="AC638" s="62"/>
      <c r="AD638" s="62"/>
    </row>
    <row r="639">
      <c r="A639" s="6"/>
      <c r="B639" s="6"/>
      <c r="C639" s="6"/>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c r="AB639" s="62"/>
      <c r="AC639" s="62"/>
      <c r="AD639" s="62"/>
    </row>
    <row r="640">
      <c r="A640" s="6"/>
      <c r="B640" s="6"/>
      <c r="C640" s="6"/>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c r="AB640" s="62"/>
      <c r="AC640" s="62"/>
      <c r="AD640" s="62"/>
    </row>
    <row r="641">
      <c r="A641" s="6"/>
      <c r="B641" s="6"/>
      <c r="C641" s="6"/>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c r="AB641" s="62"/>
      <c r="AC641" s="62"/>
      <c r="AD641" s="62"/>
    </row>
    <row r="642">
      <c r="A642" s="6"/>
      <c r="B642" s="6"/>
      <c r="C642" s="6"/>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row>
    <row r="643">
      <c r="A643" s="6"/>
      <c r="B643" s="6"/>
      <c r="C643" s="6"/>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c r="AB643" s="62"/>
      <c r="AC643" s="62"/>
      <c r="AD643" s="62"/>
    </row>
    <row r="644">
      <c r="A644" s="6"/>
      <c r="B644" s="6"/>
      <c r="C644" s="6"/>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c r="AB644" s="62"/>
      <c r="AC644" s="62"/>
      <c r="AD644" s="62"/>
    </row>
    <row r="645">
      <c r="A645" s="6"/>
      <c r="B645" s="6"/>
      <c r="C645" s="6"/>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c r="AB645" s="62"/>
      <c r="AC645" s="62"/>
      <c r="AD645" s="62"/>
    </row>
    <row r="646">
      <c r="A646" s="6"/>
      <c r="B646" s="6"/>
      <c r="C646" s="6"/>
      <c r="D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c r="AB646" s="62"/>
      <c r="AC646" s="62"/>
      <c r="AD646" s="62"/>
    </row>
    <row r="647">
      <c r="A647" s="6"/>
      <c r="B647" s="6"/>
      <c r="C647" s="6"/>
      <c r="D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c r="AB647" s="62"/>
      <c r="AC647" s="62"/>
      <c r="AD647" s="62"/>
    </row>
    <row r="648">
      <c r="A648" s="6"/>
      <c r="B648" s="6"/>
      <c r="C648" s="6"/>
      <c r="D648" s="62"/>
      <c r="E648" s="62"/>
      <c r="F648" s="62"/>
      <c r="G648" s="62"/>
      <c r="H648" s="62"/>
      <c r="I648" s="62"/>
      <c r="J648" s="62"/>
      <c r="K648" s="62"/>
      <c r="L648" s="62"/>
      <c r="M648" s="62"/>
      <c r="N648" s="62"/>
      <c r="O648" s="62"/>
      <c r="P648" s="62"/>
      <c r="Q648" s="62"/>
      <c r="R648" s="62"/>
      <c r="S648" s="62"/>
      <c r="T648" s="62"/>
      <c r="U648" s="62"/>
      <c r="V648" s="62"/>
      <c r="W648" s="62"/>
      <c r="X648" s="62"/>
      <c r="Y648" s="62"/>
      <c r="Z648" s="62"/>
      <c r="AA648" s="62"/>
      <c r="AB648" s="62"/>
      <c r="AC648" s="62"/>
      <c r="AD648" s="62"/>
    </row>
    <row r="649">
      <c r="A649" s="6"/>
      <c r="B649" s="6"/>
      <c r="C649" s="6"/>
      <c r="D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c r="AB649" s="62"/>
      <c r="AC649" s="62"/>
      <c r="AD649" s="62"/>
    </row>
    <row r="650">
      <c r="A650" s="6"/>
      <c r="B650" s="6"/>
      <c r="C650" s="6"/>
      <c r="D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c r="AB650" s="62"/>
      <c r="AC650" s="62"/>
      <c r="AD650" s="62"/>
    </row>
    <row r="651">
      <c r="A651" s="6"/>
      <c r="B651" s="6"/>
      <c r="C651" s="6"/>
      <c r="D651" s="62"/>
      <c r="E651" s="62"/>
      <c r="F651" s="62"/>
      <c r="G651" s="62"/>
      <c r="H651" s="62"/>
      <c r="I651" s="62"/>
      <c r="J651" s="62"/>
      <c r="K651" s="62"/>
      <c r="L651" s="62"/>
      <c r="M651" s="62"/>
      <c r="N651" s="62"/>
      <c r="O651" s="62"/>
      <c r="P651" s="62"/>
      <c r="Q651" s="62"/>
      <c r="R651" s="62"/>
      <c r="S651" s="62"/>
      <c r="T651" s="62"/>
      <c r="U651" s="62"/>
      <c r="V651" s="62"/>
      <c r="W651" s="62"/>
      <c r="X651" s="62"/>
      <c r="Y651" s="62"/>
      <c r="Z651" s="62"/>
      <c r="AA651" s="62"/>
      <c r="AB651" s="62"/>
      <c r="AC651" s="62"/>
      <c r="AD651" s="62"/>
    </row>
    <row r="652">
      <c r="A652" s="6"/>
      <c r="B652" s="6"/>
      <c r="C652" s="6"/>
      <c r="D652" s="62"/>
      <c r="E652" s="62"/>
      <c r="F652" s="62"/>
      <c r="G652" s="62"/>
      <c r="H652" s="62"/>
      <c r="I652" s="62"/>
      <c r="J652" s="62"/>
      <c r="K652" s="62"/>
      <c r="L652" s="62"/>
      <c r="M652" s="62"/>
      <c r="N652" s="62"/>
      <c r="O652" s="62"/>
      <c r="P652" s="62"/>
      <c r="Q652" s="62"/>
      <c r="R652" s="62"/>
      <c r="S652" s="62"/>
      <c r="T652" s="62"/>
      <c r="U652" s="62"/>
      <c r="V652" s="62"/>
      <c r="W652" s="62"/>
      <c r="X652" s="62"/>
      <c r="Y652" s="62"/>
      <c r="Z652" s="62"/>
      <c r="AA652" s="62"/>
      <c r="AB652" s="62"/>
      <c r="AC652" s="62"/>
      <c r="AD652" s="62"/>
    </row>
    <row r="653">
      <c r="A653" s="6"/>
      <c r="B653" s="6"/>
      <c r="C653" s="6"/>
      <c r="D653" s="62"/>
      <c r="E653" s="62"/>
      <c r="F653" s="62"/>
      <c r="G653" s="62"/>
      <c r="H653" s="62"/>
      <c r="I653" s="62"/>
      <c r="J653" s="62"/>
      <c r="K653" s="62"/>
      <c r="L653" s="62"/>
      <c r="M653" s="62"/>
      <c r="N653" s="62"/>
      <c r="O653" s="62"/>
      <c r="P653" s="62"/>
      <c r="Q653" s="62"/>
      <c r="R653" s="62"/>
      <c r="S653" s="62"/>
      <c r="T653" s="62"/>
      <c r="U653" s="62"/>
      <c r="V653" s="62"/>
      <c r="W653" s="62"/>
      <c r="X653" s="62"/>
      <c r="Y653" s="62"/>
      <c r="Z653" s="62"/>
      <c r="AA653" s="62"/>
      <c r="AB653" s="62"/>
      <c r="AC653" s="62"/>
      <c r="AD653" s="62"/>
    </row>
    <row r="654">
      <c r="A654" s="6"/>
      <c r="B654" s="6"/>
      <c r="C654" s="6"/>
      <c r="D654" s="62"/>
      <c r="E654" s="62"/>
      <c r="F654" s="62"/>
      <c r="G654" s="62"/>
      <c r="H654" s="62"/>
      <c r="I654" s="62"/>
      <c r="J654" s="62"/>
      <c r="K654" s="62"/>
      <c r="L654" s="62"/>
      <c r="M654" s="62"/>
      <c r="N654" s="62"/>
      <c r="O654" s="62"/>
      <c r="P654" s="62"/>
      <c r="Q654" s="62"/>
      <c r="R654" s="62"/>
      <c r="S654" s="62"/>
      <c r="T654" s="62"/>
      <c r="U654" s="62"/>
      <c r="V654" s="62"/>
      <c r="W654" s="62"/>
      <c r="X654" s="62"/>
      <c r="Y654" s="62"/>
      <c r="Z654" s="62"/>
      <c r="AA654" s="62"/>
      <c r="AB654" s="62"/>
      <c r="AC654" s="62"/>
      <c r="AD654" s="62"/>
    </row>
    <row r="655">
      <c r="A655" s="6"/>
      <c r="B655" s="6"/>
      <c r="C655" s="6"/>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c r="AB655" s="62"/>
      <c r="AC655" s="62"/>
      <c r="AD655" s="62"/>
    </row>
    <row r="656">
      <c r="A656" s="6"/>
      <c r="B656" s="6"/>
      <c r="C656" s="6"/>
      <c r="D656" s="62"/>
      <c r="E656" s="62"/>
      <c r="F656" s="62"/>
      <c r="G656" s="62"/>
      <c r="H656" s="62"/>
      <c r="I656" s="62"/>
      <c r="J656" s="62"/>
      <c r="K656" s="62"/>
      <c r="L656" s="62"/>
      <c r="M656" s="62"/>
      <c r="N656" s="62"/>
      <c r="O656" s="62"/>
      <c r="P656" s="62"/>
      <c r="Q656" s="62"/>
      <c r="R656" s="62"/>
      <c r="S656" s="62"/>
      <c r="T656" s="62"/>
      <c r="U656" s="62"/>
      <c r="V656" s="62"/>
      <c r="W656" s="62"/>
      <c r="X656" s="62"/>
      <c r="Y656" s="62"/>
      <c r="Z656" s="62"/>
      <c r="AA656" s="62"/>
      <c r="AB656" s="62"/>
      <c r="AC656" s="62"/>
      <c r="AD656" s="62"/>
    </row>
    <row r="657">
      <c r="A657" s="6"/>
      <c r="B657" s="6"/>
      <c r="C657" s="6"/>
      <c r="D657" s="62"/>
      <c r="E657" s="62"/>
      <c r="F657" s="62"/>
      <c r="G657" s="62"/>
      <c r="H657" s="62"/>
      <c r="I657" s="62"/>
      <c r="J657" s="62"/>
      <c r="K657" s="62"/>
      <c r="L657" s="62"/>
      <c r="M657" s="62"/>
      <c r="N657" s="62"/>
      <c r="O657" s="62"/>
      <c r="P657" s="62"/>
      <c r="Q657" s="62"/>
      <c r="R657" s="62"/>
      <c r="S657" s="62"/>
      <c r="T657" s="62"/>
      <c r="U657" s="62"/>
      <c r="V657" s="62"/>
      <c r="W657" s="62"/>
      <c r="X657" s="62"/>
      <c r="Y657" s="62"/>
      <c r="Z657" s="62"/>
      <c r="AA657" s="62"/>
      <c r="AB657" s="62"/>
      <c r="AC657" s="62"/>
      <c r="AD657" s="62"/>
    </row>
    <row r="658">
      <c r="A658" s="6"/>
      <c r="B658" s="6"/>
      <c r="C658" s="6"/>
      <c r="D658" s="62"/>
      <c r="E658" s="62"/>
      <c r="F658" s="62"/>
      <c r="G658" s="62"/>
      <c r="H658" s="62"/>
      <c r="I658" s="62"/>
      <c r="J658" s="62"/>
      <c r="K658" s="62"/>
      <c r="L658" s="62"/>
      <c r="M658" s="62"/>
      <c r="N658" s="62"/>
      <c r="O658" s="62"/>
      <c r="P658" s="62"/>
      <c r="Q658" s="62"/>
      <c r="R658" s="62"/>
      <c r="S658" s="62"/>
      <c r="T658" s="62"/>
      <c r="U658" s="62"/>
      <c r="V658" s="62"/>
      <c r="W658" s="62"/>
      <c r="X658" s="62"/>
      <c r="Y658" s="62"/>
      <c r="Z658" s="62"/>
      <c r="AA658" s="62"/>
      <c r="AB658" s="62"/>
      <c r="AC658" s="62"/>
      <c r="AD658" s="62"/>
    </row>
    <row r="659">
      <c r="A659" s="6"/>
      <c r="B659" s="6"/>
      <c r="C659" s="6"/>
      <c r="D659" s="62"/>
      <c r="E659" s="62"/>
      <c r="F659" s="62"/>
      <c r="G659" s="62"/>
      <c r="H659" s="62"/>
      <c r="I659" s="62"/>
      <c r="J659" s="62"/>
      <c r="K659" s="62"/>
      <c r="L659" s="62"/>
      <c r="M659" s="62"/>
      <c r="N659" s="62"/>
      <c r="O659" s="62"/>
      <c r="P659" s="62"/>
      <c r="Q659" s="62"/>
      <c r="R659" s="62"/>
      <c r="S659" s="62"/>
      <c r="T659" s="62"/>
      <c r="U659" s="62"/>
      <c r="V659" s="62"/>
      <c r="W659" s="62"/>
      <c r="X659" s="62"/>
      <c r="Y659" s="62"/>
      <c r="Z659" s="62"/>
      <c r="AA659" s="62"/>
      <c r="AB659" s="62"/>
      <c r="AC659" s="62"/>
      <c r="AD659" s="62"/>
    </row>
    <row r="660">
      <c r="A660" s="6"/>
      <c r="B660" s="6"/>
      <c r="C660" s="6"/>
      <c r="D660" s="62"/>
      <c r="E660" s="62"/>
      <c r="F660" s="62"/>
      <c r="G660" s="62"/>
      <c r="H660" s="62"/>
      <c r="I660" s="62"/>
      <c r="J660" s="62"/>
      <c r="K660" s="62"/>
      <c r="L660" s="62"/>
      <c r="M660" s="62"/>
      <c r="N660" s="62"/>
      <c r="O660" s="62"/>
      <c r="P660" s="62"/>
      <c r="Q660" s="62"/>
      <c r="R660" s="62"/>
      <c r="S660" s="62"/>
      <c r="T660" s="62"/>
      <c r="U660" s="62"/>
      <c r="V660" s="62"/>
      <c r="W660" s="62"/>
      <c r="X660" s="62"/>
      <c r="Y660" s="62"/>
      <c r="Z660" s="62"/>
      <c r="AA660" s="62"/>
      <c r="AB660" s="62"/>
      <c r="AC660" s="62"/>
      <c r="AD660" s="62"/>
    </row>
    <row r="661">
      <c r="A661" s="6"/>
      <c r="B661" s="6"/>
      <c r="C661" s="6"/>
      <c r="D661" s="62"/>
      <c r="E661" s="62"/>
      <c r="F661" s="62"/>
      <c r="G661" s="62"/>
      <c r="H661" s="62"/>
      <c r="I661" s="62"/>
      <c r="J661" s="62"/>
      <c r="K661" s="62"/>
      <c r="L661" s="62"/>
      <c r="M661" s="62"/>
      <c r="N661" s="62"/>
      <c r="O661" s="62"/>
      <c r="P661" s="62"/>
      <c r="Q661" s="62"/>
      <c r="R661" s="62"/>
      <c r="S661" s="62"/>
      <c r="T661" s="62"/>
      <c r="U661" s="62"/>
      <c r="V661" s="62"/>
      <c r="W661" s="62"/>
      <c r="X661" s="62"/>
      <c r="Y661" s="62"/>
      <c r="Z661" s="62"/>
      <c r="AA661" s="62"/>
      <c r="AB661" s="62"/>
      <c r="AC661" s="62"/>
      <c r="AD661" s="62"/>
    </row>
    <row r="662">
      <c r="A662" s="6"/>
      <c r="B662" s="6"/>
      <c r="C662" s="6"/>
      <c r="D662" s="62"/>
      <c r="E662" s="62"/>
      <c r="F662" s="62"/>
      <c r="G662" s="62"/>
      <c r="H662" s="62"/>
      <c r="I662" s="62"/>
      <c r="J662" s="62"/>
      <c r="K662" s="62"/>
      <c r="L662" s="62"/>
      <c r="M662" s="62"/>
      <c r="N662" s="62"/>
      <c r="O662" s="62"/>
      <c r="P662" s="62"/>
      <c r="Q662" s="62"/>
      <c r="R662" s="62"/>
      <c r="S662" s="62"/>
      <c r="T662" s="62"/>
      <c r="U662" s="62"/>
      <c r="V662" s="62"/>
      <c r="W662" s="62"/>
      <c r="X662" s="62"/>
      <c r="Y662" s="62"/>
      <c r="Z662" s="62"/>
      <c r="AA662" s="62"/>
      <c r="AB662" s="62"/>
      <c r="AC662" s="62"/>
      <c r="AD662" s="62"/>
    </row>
    <row r="663">
      <c r="A663" s="6"/>
      <c r="B663" s="6"/>
      <c r="C663" s="6"/>
      <c r="D663" s="62"/>
      <c r="E663" s="62"/>
      <c r="F663" s="62"/>
      <c r="G663" s="62"/>
      <c r="H663" s="62"/>
      <c r="I663" s="62"/>
      <c r="J663" s="62"/>
      <c r="K663" s="62"/>
      <c r="L663" s="62"/>
      <c r="M663" s="62"/>
      <c r="N663" s="62"/>
      <c r="O663" s="62"/>
      <c r="P663" s="62"/>
      <c r="Q663" s="62"/>
      <c r="R663" s="62"/>
      <c r="S663" s="62"/>
      <c r="T663" s="62"/>
      <c r="U663" s="62"/>
      <c r="V663" s="62"/>
      <c r="W663" s="62"/>
      <c r="X663" s="62"/>
      <c r="Y663" s="62"/>
      <c r="Z663" s="62"/>
      <c r="AA663" s="62"/>
      <c r="AB663" s="62"/>
      <c r="AC663" s="62"/>
      <c r="AD663" s="62"/>
    </row>
    <row r="664">
      <c r="A664" s="6"/>
      <c r="B664" s="6"/>
      <c r="C664" s="6"/>
      <c r="D664" s="62"/>
      <c r="E664" s="62"/>
      <c r="F664" s="62"/>
      <c r="G664" s="62"/>
      <c r="H664" s="62"/>
      <c r="I664" s="62"/>
      <c r="J664" s="62"/>
      <c r="K664" s="62"/>
      <c r="L664" s="62"/>
      <c r="M664" s="62"/>
      <c r="N664" s="62"/>
      <c r="O664" s="62"/>
      <c r="P664" s="62"/>
      <c r="Q664" s="62"/>
      <c r="R664" s="62"/>
      <c r="S664" s="62"/>
      <c r="T664" s="62"/>
      <c r="U664" s="62"/>
      <c r="V664" s="62"/>
      <c r="W664" s="62"/>
      <c r="X664" s="62"/>
      <c r="Y664" s="62"/>
      <c r="Z664" s="62"/>
      <c r="AA664" s="62"/>
      <c r="AB664" s="62"/>
      <c r="AC664" s="62"/>
      <c r="AD664" s="62"/>
    </row>
    <row r="665">
      <c r="A665" s="6"/>
      <c r="B665" s="6"/>
      <c r="C665" s="6"/>
      <c r="D665" s="62"/>
      <c r="E665" s="62"/>
      <c r="F665" s="62"/>
      <c r="G665" s="62"/>
      <c r="H665" s="62"/>
      <c r="I665" s="62"/>
      <c r="J665" s="62"/>
      <c r="K665" s="62"/>
      <c r="L665" s="62"/>
      <c r="M665" s="62"/>
      <c r="N665" s="62"/>
      <c r="O665" s="62"/>
      <c r="P665" s="62"/>
      <c r="Q665" s="62"/>
      <c r="R665" s="62"/>
      <c r="S665" s="62"/>
      <c r="T665" s="62"/>
      <c r="U665" s="62"/>
      <c r="V665" s="62"/>
      <c r="W665" s="62"/>
      <c r="X665" s="62"/>
      <c r="Y665" s="62"/>
      <c r="Z665" s="62"/>
      <c r="AA665" s="62"/>
      <c r="AB665" s="62"/>
      <c r="AC665" s="62"/>
      <c r="AD665" s="62"/>
    </row>
    <row r="666">
      <c r="A666" s="6"/>
      <c r="B666" s="6"/>
      <c r="C666" s="6"/>
      <c r="D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c r="AB666" s="62"/>
      <c r="AC666" s="62"/>
      <c r="AD666" s="62"/>
    </row>
    <row r="667">
      <c r="A667" s="6"/>
      <c r="B667" s="6"/>
      <c r="C667" s="6"/>
      <c r="D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c r="AB667" s="62"/>
      <c r="AC667" s="62"/>
      <c r="AD667" s="62"/>
    </row>
    <row r="668">
      <c r="A668" s="6"/>
      <c r="B668" s="6"/>
      <c r="C668" s="6"/>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c r="AB668" s="62"/>
      <c r="AC668" s="62"/>
      <c r="AD668" s="62"/>
    </row>
    <row r="669">
      <c r="A669" s="6"/>
      <c r="B669" s="6"/>
      <c r="C669" s="6"/>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row>
    <row r="670">
      <c r="A670" s="6"/>
      <c r="B670" s="6"/>
      <c r="C670" s="6"/>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c r="AC670" s="62"/>
      <c r="AD670" s="62"/>
    </row>
    <row r="671">
      <c r="A671" s="6"/>
      <c r="B671" s="6"/>
      <c r="C671" s="6"/>
      <c r="D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c r="AB671" s="62"/>
      <c r="AC671" s="62"/>
      <c r="AD671" s="62"/>
    </row>
    <row r="672">
      <c r="A672" s="6"/>
      <c r="B672" s="6"/>
      <c r="C672" s="6"/>
      <c r="D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c r="AB672" s="62"/>
      <c r="AC672" s="62"/>
      <c r="AD672" s="62"/>
    </row>
    <row r="673">
      <c r="A673" s="6"/>
      <c r="B673" s="6"/>
      <c r="C673" s="6"/>
      <c r="D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c r="AB673" s="62"/>
      <c r="AC673" s="62"/>
      <c r="AD673" s="62"/>
    </row>
    <row r="674">
      <c r="A674" s="6"/>
      <c r="B674" s="6"/>
      <c r="C674" s="6"/>
      <c r="D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c r="AB674" s="62"/>
      <c r="AC674" s="62"/>
      <c r="AD674" s="62"/>
    </row>
    <row r="675">
      <c r="A675" s="6"/>
      <c r="B675" s="6"/>
      <c r="C675" s="6"/>
      <c r="D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c r="AC675" s="62"/>
      <c r="AD675" s="62"/>
    </row>
    <row r="676">
      <c r="A676" s="6"/>
      <c r="B676" s="6"/>
      <c r="C676" s="6"/>
      <c r="D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c r="AC676" s="62"/>
      <c r="AD676" s="62"/>
    </row>
    <row r="677">
      <c r="A677" s="6"/>
      <c r="B677" s="6"/>
      <c r="C677" s="6"/>
      <c r="D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c r="AB677" s="62"/>
      <c r="AC677" s="62"/>
      <c r="AD677" s="62"/>
    </row>
    <row r="678">
      <c r="A678" s="6"/>
      <c r="B678" s="6"/>
      <c r="C678" s="6"/>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c r="AB678" s="62"/>
      <c r="AC678" s="62"/>
      <c r="AD678" s="62"/>
    </row>
    <row r="679">
      <c r="A679" s="6"/>
      <c r="B679" s="6"/>
      <c r="C679" s="6"/>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c r="AB679" s="62"/>
      <c r="AC679" s="62"/>
      <c r="AD679" s="62"/>
    </row>
    <row r="680">
      <c r="A680" s="6"/>
      <c r="B680" s="6"/>
      <c r="C680" s="6"/>
      <c r="D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c r="AB680" s="62"/>
      <c r="AC680" s="62"/>
      <c r="AD680" s="62"/>
    </row>
    <row r="681">
      <c r="A681" s="6"/>
      <c r="B681" s="6"/>
      <c r="C681" s="6"/>
      <c r="D681" s="62"/>
      <c r="E681" s="62"/>
      <c r="F681" s="62"/>
      <c r="G681" s="62"/>
      <c r="H681" s="62"/>
      <c r="I681" s="62"/>
      <c r="J681" s="62"/>
      <c r="K681" s="62"/>
      <c r="L681" s="62"/>
      <c r="M681" s="62"/>
      <c r="N681" s="62"/>
      <c r="O681" s="62"/>
      <c r="P681" s="62"/>
      <c r="Q681" s="62"/>
      <c r="R681" s="62"/>
      <c r="S681" s="62"/>
      <c r="T681" s="62"/>
      <c r="U681" s="62"/>
      <c r="V681" s="62"/>
      <c r="W681" s="62"/>
      <c r="X681" s="62"/>
      <c r="Y681" s="62"/>
      <c r="Z681" s="62"/>
      <c r="AA681" s="62"/>
      <c r="AB681" s="62"/>
      <c r="AC681" s="62"/>
      <c r="AD681" s="62"/>
    </row>
    <row r="682">
      <c r="A682" s="6"/>
      <c r="B682" s="6"/>
      <c r="C682" s="6"/>
      <c r="D682" s="62"/>
      <c r="E682" s="62"/>
      <c r="F682" s="62"/>
      <c r="G682" s="62"/>
      <c r="H682" s="62"/>
      <c r="I682" s="62"/>
      <c r="J682" s="62"/>
      <c r="K682" s="62"/>
      <c r="L682" s="62"/>
      <c r="M682" s="62"/>
      <c r="N682" s="62"/>
      <c r="O682" s="62"/>
      <c r="P682" s="62"/>
      <c r="Q682" s="62"/>
      <c r="R682" s="62"/>
      <c r="S682" s="62"/>
      <c r="T682" s="62"/>
      <c r="U682" s="62"/>
      <c r="V682" s="62"/>
      <c r="W682" s="62"/>
      <c r="X682" s="62"/>
      <c r="Y682" s="62"/>
      <c r="Z682" s="62"/>
      <c r="AA682" s="62"/>
      <c r="AB682" s="62"/>
      <c r="AC682" s="62"/>
      <c r="AD682" s="62"/>
    </row>
    <row r="683">
      <c r="A683" s="6"/>
      <c r="B683" s="6"/>
      <c r="C683" s="6"/>
      <c r="D683" s="62"/>
      <c r="E683" s="62"/>
      <c r="F683" s="62"/>
      <c r="G683" s="62"/>
      <c r="H683" s="62"/>
      <c r="I683" s="62"/>
      <c r="J683" s="62"/>
      <c r="K683" s="62"/>
      <c r="L683" s="62"/>
      <c r="M683" s="62"/>
      <c r="N683" s="62"/>
      <c r="O683" s="62"/>
      <c r="P683" s="62"/>
      <c r="Q683" s="62"/>
      <c r="R683" s="62"/>
      <c r="S683" s="62"/>
      <c r="T683" s="62"/>
      <c r="U683" s="62"/>
      <c r="V683" s="62"/>
      <c r="W683" s="62"/>
      <c r="X683" s="62"/>
      <c r="Y683" s="62"/>
      <c r="Z683" s="62"/>
      <c r="AA683" s="62"/>
      <c r="AB683" s="62"/>
      <c r="AC683" s="62"/>
      <c r="AD683" s="62"/>
    </row>
    <row r="684">
      <c r="A684" s="6"/>
      <c r="B684" s="6"/>
      <c r="C684" s="6"/>
      <c r="D684" s="62"/>
      <c r="E684" s="62"/>
      <c r="F684" s="62"/>
      <c r="G684" s="62"/>
      <c r="H684" s="62"/>
      <c r="I684" s="62"/>
      <c r="J684" s="62"/>
      <c r="K684" s="62"/>
      <c r="L684" s="62"/>
      <c r="M684" s="62"/>
      <c r="N684" s="62"/>
      <c r="O684" s="62"/>
      <c r="P684" s="62"/>
      <c r="Q684" s="62"/>
      <c r="R684" s="62"/>
      <c r="S684" s="62"/>
      <c r="T684" s="62"/>
      <c r="U684" s="62"/>
      <c r="V684" s="62"/>
      <c r="W684" s="62"/>
      <c r="X684" s="62"/>
      <c r="Y684" s="62"/>
      <c r="Z684" s="62"/>
      <c r="AA684" s="62"/>
      <c r="AB684" s="62"/>
      <c r="AC684" s="62"/>
      <c r="AD684" s="62"/>
    </row>
    <row r="685">
      <c r="A685" s="6"/>
      <c r="B685" s="6"/>
      <c r="C685" s="6"/>
      <c r="D685" s="62"/>
      <c r="E685" s="62"/>
      <c r="F685" s="62"/>
      <c r="G685" s="62"/>
      <c r="H685" s="62"/>
      <c r="I685" s="62"/>
      <c r="J685" s="62"/>
      <c r="K685" s="62"/>
      <c r="L685" s="62"/>
      <c r="M685" s="62"/>
      <c r="N685" s="62"/>
      <c r="O685" s="62"/>
      <c r="P685" s="62"/>
      <c r="Q685" s="62"/>
      <c r="R685" s="62"/>
      <c r="S685" s="62"/>
      <c r="T685" s="62"/>
      <c r="U685" s="62"/>
      <c r="V685" s="62"/>
      <c r="W685" s="62"/>
      <c r="X685" s="62"/>
      <c r="Y685" s="62"/>
      <c r="Z685" s="62"/>
      <c r="AA685" s="62"/>
      <c r="AB685" s="62"/>
      <c r="AC685" s="62"/>
      <c r="AD685" s="62"/>
    </row>
    <row r="686">
      <c r="A686" s="6"/>
      <c r="B686" s="6"/>
      <c r="C686" s="6"/>
      <c r="D686" s="62"/>
      <c r="E686" s="62"/>
      <c r="F686" s="62"/>
      <c r="G686" s="62"/>
      <c r="H686" s="62"/>
      <c r="I686" s="62"/>
      <c r="J686" s="62"/>
      <c r="K686" s="62"/>
      <c r="L686" s="62"/>
      <c r="M686" s="62"/>
      <c r="N686" s="62"/>
      <c r="O686" s="62"/>
      <c r="P686" s="62"/>
      <c r="Q686" s="62"/>
      <c r="R686" s="62"/>
      <c r="S686" s="62"/>
      <c r="T686" s="62"/>
      <c r="U686" s="62"/>
      <c r="V686" s="62"/>
      <c r="W686" s="62"/>
      <c r="X686" s="62"/>
      <c r="Y686" s="62"/>
      <c r="Z686" s="62"/>
      <c r="AA686" s="62"/>
      <c r="AB686" s="62"/>
      <c r="AC686" s="62"/>
      <c r="AD686" s="62"/>
    </row>
    <row r="687">
      <c r="A687" s="6"/>
      <c r="B687" s="6"/>
      <c r="C687" s="6"/>
      <c r="D687" s="62"/>
      <c r="E687" s="62"/>
      <c r="F687" s="62"/>
      <c r="G687" s="62"/>
      <c r="H687" s="62"/>
      <c r="I687" s="62"/>
      <c r="J687" s="62"/>
      <c r="K687" s="62"/>
      <c r="L687" s="62"/>
      <c r="M687" s="62"/>
      <c r="N687" s="62"/>
      <c r="O687" s="62"/>
      <c r="P687" s="62"/>
      <c r="Q687" s="62"/>
      <c r="R687" s="62"/>
      <c r="S687" s="62"/>
      <c r="T687" s="62"/>
      <c r="U687" s="62"/>
      <c r="V687" s="62"/>
      <c r="W687" s="62"/>
      <c r="X687" s="62"/>
      <c r="Y687" s="62"/>
      <c r="Z687" s="62"/>
      <c r="AA687" s="62"/>
      <c r="AB687" s="62"/>
      <c r="AC687" s="62"/>
      <c r="AD687" s="62"/>
    </row>
    <row r="688">
      <c r="A688" s="6"/>
      <c r="B688" s="6"/>
      <c r="C688" s="6"/>
      <c r="D688" s="62"/>
      <c r="E688" s="62"/>
      <c r="F688" s="62"/>
      <c r="G688" s="62"/>
      <c r="H688" s="62"/>
      <c r="I688" s="62"/>
      <c r="J688" s="62"/>
      <c r="K688" s="62"/>
      <c r="L688" s="62"/>
      <c r="M688" s="62"/>
      <c r="N688" s="62"/>
      <c r="O688" s="62"/>
      <c r="P688" s="62"/>
      <c r="Q688" s="62"/>
      <c r="R688" s="62"/>
      <c r="S688" s="62"/>
      <c r="T688" s="62"/>
      <c r="U688" s="62"/>
      <c r="V688" s="62"/>
      <c r="W688" s="62"/>
      <c r="X688" s="62"/>
      <c r="Y688" s="62"/>
      <c r="Z688" s="62"/>
      <c r="AA688" s="62"/>
      <c r="AB688" s="62"/>
      <c r="AC688" s="62"/>
      <c r="AD688" s="62"/>
    </row>
    <row r="689">
      <c r="A689" s="6"/>
      <c r="B689" s="6"/>
      <c r="C689" s="6"/>
      <c r="D689" s="62"/>
      <c r="E689" s="62"/>
      <c r="F689" s="62"/>
      <c r="G689" s="62"/>
      <c r="H689" s="62"/>
      <c r="I689" s="62"/>
      <c r="J689" s="62"/>
      <c r="K689" s="62"/>
      <c r="L689" s="62"/>
      <c r="M689" s="62"/>
      <c r="N689" s="62"/>
      <c r="O689" s="62"/>
      <c r="P689" s="62"/>
      <c r="Q689" s="62"/>
      <c r="R689" s="62"/>
      <c r="S689" s="62"/>
      <c r="T689" s="62"/>
      <c r="U689" s="62"/>
      <c r="V689" s="62"/>
      <c r="W689" s="62"/>
      <c r="X689" s="62"/>
      <c r="Y689" s="62"/>
      <c r="Z689" s="62"/>
      <c r="AA689" s="62"/>
      <c r="AB689" s="62"/>
      <c r="AC689" s="62"/>
      <c r="AD689" s="62"/>
    </row>
    <row r="690">
      <c r="A690" s="6"/>
      <c r="B690" s="6"/>
      <c r="C690" s="6"/>
      <c r="D690" s="62"/>
      <c r="E690" s="62"/>
      <c r="F690" s="62"/>
      <c r="G690" s="62"/>
      <c r="H690" s="62"/>
      <c r="I690" s="62"/>
      <c r="J690" s="62"/>
      <c r="K690" s="62"/>
      <c r="L690" s="62"/>
      <c r="M690" s="62"/>
      <c r="N690" s="62"/>
      <c r="O690" s="62"/>
      <c r="P690" s="62"/>
      <c r="Q690" s="62"/>
      <c r="R690" s="62"/>
      <c r="S690" s="62"/>
      <c r="T690" s="62"/>
      <c r="U690" s="62"/>
      <c r="V690" s="62"/>
      <c r="W690" s="62"/>
      <c r="X690" s="62"/>
      <c r="Y690" s="62"/>
      <c r="Z690" s="62"/>
      <c r="AA690" s="62"/>
      <c r="AB690" s="62"/>
      <c r="AC690" s="62"/>
      <c r="AD690" s="62"/>
    </row>
    <row r="691">
      <c r="A691" s="6"/>
      <c r="B691" s="6"/>
      <c r="C691" s="6"/>
      <c r="D691" s="62"/>
      <c r="E691" s="62"/>
      <c r="F691" s="62"/>
      <c r="G691" s="62"/>
      <c r="H691" s="62"/>
      <c r="I691" s="62"/>
      <c r="J691" s="62"/>
      <c r="K691" s="62"/>
      <c r="L691" s="62"/>
      <c r="M691" s="62"/>
      <c r="N691" s="62"/>
      <c r="O691" s="62"/>
      <c r="P691" s="62"/>
      <c r="Q691" s="62"/>
      <c r="R691" s="62"/>
      <c r="S691" s="62"/>
      <c r="T691" s="62"/>
      <c r="U691" s="62"/>
      <c r="V691" s="62"/>
      <c r="W691" s="62"/>
      <c r="X691" s="62"/>
      <c r="Y691" s="62"/>
      <c r="Z691" s="62"/>
      <c r="AA691" s="62"/>
      <c r="AB691" s="62"/>
      <c r="AC691" s="62"/>
      <c r="AD691" s="62"/>
    </row>
    <row r="692">
      <c r="A692" s="6"/>
      <c r="B692" s="6"/>
      <c r="C692" s="6"/>
      <c r="D692" s="62"/>
      <c r="E692" s="62"/>
      <c r="F692" s="62"/>
      <c r="G692" s="62"/>
      <c r="H692" s="62"/>
      <c r="I692" s="62"/>
      <c r="J692" s="62"/>
      <c r="K692" s="62"/>
      <c r="L692" s="62"/>
      <c r="M692" s="62"/>
      <c r="N692" s="62"/>
      <c r="O692" s="62"/>
      <c r="P692" s="62"/>
      <c r="Q692" s="62"/>
      <c r="R692" s="62"/>
      <c r="S692" s="62"/>
      <c r="T692" s="62"/>
      <c r="U692" s="62"/>
      <c r="V692" s="62"/>
      <c r="W692" s="62"/>
      <c r="X692" s="62"/>
      <c r="Y692" s="62"/>
      <c r="Z692" s="62"/>
      <c r="AA692" s="62"/>
      <c r="AB692" s="62"/>
      <c r="AC692" s="62"/>
      <c r="AD692" s="62"/>
    </row>
    <row r="693">
      <c r="A693" s="6"/>
      <c r="B693" s="6"/>
      <c r="C693" s="6"/>
      <c r="D693" s="62"/>
      <c r="E693" s="62"/>
      <c r="F693" s="62"/>
      <c r="G693" s="62"/>
      <c r="H693" s="62"/>
      <c r="I693" s="62"/>
      <c r="J693" s="62"/>
      <c r="K693" s="62"/>
      <c r="L693" s="62"/>
      <c r="M693" s="62"/>
      <c r="N693" s="62"/>
      <c r="O693" s="62"/>
      <c r="P693" s="62"/>
      <c r="Q693" s="62"/>
      <c r="R693" s="62"/>
      <c r="S693" s="62"/>
      <c r="T693" s="62"/>
      <c r="U693" s="62"/>
      <c r="V693" s="62"/>
      <c r="W693" s="62"/>
      <c r="X693" s="62"/>
      <c r="Y693" s="62"/>
      <c r="Z693" s="62"/>
      <c r="AA693" s="62"/>
      <c r="AB693" s="62"/>
      <c r="AC693" s="62"/>
      <c r="AD693" s="62"/>
    </row>
    <row r="694">
      <c r="A694" s="6"/>
      <c r="B694" s="6"/>
      <c r="C694" s="6"/>
      <c r="D694" s="62"/>
      <c r="E694" s="62"/>
      <c r="F694" s="62"/>
      <c r="G694" s="62"/>
      <c r="H694" s="62"/>
      <c r="I694" s="62"/>
      <c r="J694" s="62"/>
      <c r="K694" s="62"/>
      <c r="L694" s="62"/>
      <c r="M694" s="62"/>
      <c r="N694" s="62"/>
      <c r="O694" s="62"/>
      <c r="P694" s="62"/>
      <c r="Q694" s="62"/>
      <c r="R694" s="62"/>
      <c r="S694" s="62"/>
      <c r="T694" s="62"/>
      <c r="U694" s="62"/>
      <c r="V694" s="62"/>
      <c r="W694" s="62"/>
      <c r="X694" s="62"/>
      <c r="Y694" s="62"/>
      <c r="Z694" s="62"/>
      <c r="AA694" s="62"/>
      <c r="AB694" s="62"/>
      <c r="AC694" s="62"/>
      <c r="AD694" s="62"/>
    </row>
    <row r="695">
      <c r="A695" s="6"/>
      <c r="B695" s="6"/>
      <c r="C695" s="6"/>
      <c r="D695" s="62"/>
      <c r="E695" s="62"/>
      <c r="F695" s="62"/>
      <c r="G695" s="62"/>
      <c r="H695" s="62"/>
      <c r="I695" s="62"/>
      <c r="J695" s="62"/>
      <c r="K695" s="62"/>
      <c r="L695" s="62"/>
      <c r="M695" s="62"/>
      <c r="N695" s="62"/>
      <c r="O695" s="62"/>
      <c r="P695" s="62"/>
      <c r="Q695" s="62"/>
      <c r="R695" s="62"/>
      <c r="S695" s="62"/>
      <c r="T695" s="62"/>
      <c r="U695" s="62"/>
      <c r="V695" s="62"/>
      <c r="W695" s="62"/>
      <c r="X695" s="62"/>
      <c r="Y695" s="62"/>
      <c r="Z695" s="62"/>
      <c r="AA695" s="62"/>
      <c r="AB695" s="62"/>
      <c r="AC695" s="62"/>
      <c r="AD695" s="62"/>
    </row>
    <row r="696">
      <c r="A696" s="6"/>
      <c r="B696" s="6"/>
      <c r="C696" s="6"/>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c r="AB696" s="62"/>
      <c r="AC696" s="62"/>
      <c r="AD696" s="62"/>
    </row>
    <row r="697">
      <c r="A697" s="6"/>
      <c r="B697" s="6"/>
      <c r="C697" s="6"/>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c r="AB697" s="62"/>
      <c r="AC697" s="62"/>
      <c r="AD697" s="62"/>
    </row>
    <row r="698">
      <c r="A698" s="6"/>
      <c r="B698" s="6"/>
      <c r="C698" s="6"/>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c r="AB698" s="62"/>
      <c r="AC698" s="62"/>
      <c r="AD698" s="62"/>
    </row>
    <row r="699">
      <c r="A699" s="6"/>
      <c r="B699" s="6"/>
      <c r="C699" s="6"/>
      <c r="D699" s="62"/>
      <c r="E699" s="62"/>
      <c r="F699" s="62"/>
      <c r="G699" s="62"/>
      <c r="H699" s="62"/>
      <c r="I699" s="62"/>
      <c r="J699" s="62"/>
      <c r="K699" s="62"/>
      <c r="L699" s="62"/>
      <c r="M699" s="62"/>
      <c r="N699" s="62"/>
      <c r="O699" s="62"/>
      <c r="P699" s="62"/>
      <c r="Q699" s="62"/>
      <c r="R699" s="62"/>
      <c r="S699" s="62"/>
      <c r="T699" s="62"/>
      <c r="U699" s="62"/>
      <c r="V699" s="62"/>
      <c r="W699" s="62"/>
      <c r="X699" s="62"/>
      <c r="Y699" s="62"/>
      <c r="Z699" s="62"/>
      <c r="AA699" s="62"/>
      <c r="AB699" s="62"/>
      <c r="AC699" s="62"/>
      <c r="AD699" s="62"/>
    </row>
    <row r="700">
      <c r="A700" s="6"/>
      <c r="B700" s="6"/>
      <c r="C700" s="6"/>
      <c r="D700" s="62"/>
      <c r="E700" s="62"/>
      <c r="F700" s="62"/>
      <c r="G700" s="62"/>
      <c r="H700" s="62"/>
      <c r="I700" s="62"/>
      <c r="J700" s="62"/>
      <c r="K700" s="62"/>
      <c r="L700" s="62"/>
      <c r="M700" s="62"/>
      <c r="N700" s="62"/>
      <c r="O700" s="62"/>
      <c r="P700" s="62"/>
      <c r="Q700" s="62"/>
      <c r="R700" s="62"/>
      <c r="S700" s="62"/>
      <c r="T700" s="62"/>
      <c r="U700" s="62"/>
      <c r="V700" s="62"/>
      <c r="W700" s="62"/>
      <c r="X700" s="62"/>
      <c r="Y700" s="62"/>
      <c r="Z700" s="62"/>
      <c r="AA700" s="62"/>
      <c r="AB700" s="62"/>
      <c r="AC700" s="62"/>
      <c r="AD700" s="62"/>
    </row>
    <row r="701">
      <c r="A701" s="6"/>
      <c r="B701" s="6"/>
      <c r="C701" s="6"/>
      <c r="D701" s="62"/>
      <c r="E701" s="62"/>
      <c r="F701" s="62"/>
      <c r="G701" s="62"/>
      <c r="H701" s="62"/>
      <c r="I701" s="62"/>
      <c r="J701" s="62"/>
      <c r="K701" s="62"/>
      <c r="L701" s="62"/>
      <c r="M701" s="62"/>
      <c r="N701" s="62"/>
      <c r="O701" s="62"/>
      <c r="P701" s="62"/>
      <c r="Q701" s="62"/>
      <c r="R701" s="62"/>
      <c r="S701" s="62"/>
      <c r="T701" s="62"/>
      <c r="U701" s="62"/>
      <c r="V701" s="62"/>
      <c r="W701" s="62"/>
      <c r="X701" s="62"/>
      <c r="Y701" s="62"/>
      <c r="Z701" s="62"/>
      <c r="AA701" s="62"/>
      <c r="AB701" s="62"/>
      <c r="AC701" s="62"/>
      <c r="AD701" s="62"/>
    </row>
    <row r="702">
      <c r="A702" s="6"/>
      <c r="B702" s="6"/>
      <c r="C702" s="6"/>
      <c r="D702" s="62"/>
      <c r="E702" s="62"/>
      <c r="F702" s="62"/>
      <c r="G702" s="62"/>
      <c r="H702" s="62"/>
      <c r="I702" s="62"/>
      <c r="J702" s="62"/>
      <c r="K702" s="62"/>
      <c r="L702" s="62"/>
      <c r="M702" s="62"/>
      <c r="N702" s="62"/>
      <c r="O702" s="62"/>
      <c r="P702" s="62"/>
      <c r="Q702" s="62"/>
      <c r="R702" s="62"/>
      <c r="S702" s="62"/>
      <c r="T702" s="62"/>
      <c r="U702" s="62"/>
      <c r="V702" s="62"/>
      <c r="W702" s="62"/>
      <c r="X702" s="62"/>
      <c r="Y702" s="62"/>
      <c r="Z702" s="62"/>
      <c r="AA702" s="62"/>
      <c r="AB702" s="62"/>
      <c r="AC702" s="62"/>
      <c r="AD702" s="62"/>
    </row>
    <row r="703">
      <c r="A703" s="6"/>
      <c r="B703" s="6"/>
      <c r="C703" s="6"/>
      <c r="D703" s="62"/>
      <c r="E703" s="62"/>
      <c r="F703" s="62"/>
      <c r="G703" s="62"/>
      <c r="H703" s="62"/>
      <c r="I703" s="62"/>
      <c r="J703" s="62"/>
      <c r="K703" s="62"/>
      <c r="L703" s="62"/>
      <c r="M703" s="62"/>
      <c r="N703" s="62"/>
      <c r="O703" s="62"/>
      <c r="P703" s="62"/>
      <c r="Q703" s="62"/>
      <c r="R703" s="62"/>
      <c r="S703" s="62"/>
      <c r="T703" s="62"/>
      <c r="U703" s="62"/>
      <c r="V703" s="62"/>
      <c r="W703" s="62"/>
      <c r="X703" s="62"/>
      <c r="Y703" s="62"/>
      <c r="Z703" s="62"/>
      <c r="AA703" s="62"/>
      <c r="AB703" s="62"/>
      <c r="AC703" s="62"/>
      <c r="AD703" s="62"/>
    </row>
    <row r="704">
      <c r="A704" s="6"/>
      <c r="B704" s="6"/>
      <c r="C704" s="6"/>
      <c r="D704" s="62"/>
      <c r="E704" s="62"/>
      <c r="F704" s="62"/>
      <c r="G704" s="62"/>
      <c r="H704" s="62"/>
      <c r="I704" s="62"/>
      <c r="J704" s="62"/>
      <c r="K704" s="62"/>
      <c r="L704" s="62"/>
      <c r="M704" s="62"/>
      <c r="N704" s="62"/>
      <c r="O704" s="62"/>
      <c r="P704" s="62"/>
      <c r="Q704" s="62"/>
      <c r="R704" s="62"/>
      <c r="S704" s="62"/>
      <c r="T704" s="62"/>
      <c r="U704" s="62"/>
      <c r="V704" s="62"/>
      <c r="W704" s="62"/>
      <c r="X704" s="62"/>
      <c r="Y704" s="62"/>
      <c r="Z704" s="62"/>
      <c r="AA704" s="62"/>
      <c r="AB704" s="62"/>
      <c r="AC704" s="62"/>
      <c r="AD704" s="62"/>
    </row>
    <row r="705">
      <c r="A705" s="6"/>
      <c r="B705" s="6"/>
      <c r="C705" s="6"/>
      <c r="D705" s="62"/>
      <c r="E705" s="62"/>
      <c r="F705" s="62"/>
      <c r="G705" s="62"/>
      <c r="H705" s="62"/>
      <c r="I705" s="62"/>
      <c r="J705" s="62"/>
      <c r="K705" s="62"/>
      <c r="L705" s="62"/>
      <c r="M705" s="62"/>
      <c r="N705" s="62"/>
      <c r="O705" s="62"/>
      <c r="P705" s="62"/>
      <c r="Q705" s="62"/>
      <c r="R705" s="62"/>
      <c r="S705" s="62"/>
      <c r="T705" s="62"/>
      <c r="U705" s="62"/>
      <c r="V705" s="62"/>
      <c r="W705" s="62"/>
      <c r="X705" s="62"/>
      <c r="Y705" s="62"/>
      <c r="Z705" s="62"/>
      <c r="AA705" s="62"/>
      <c r="AB705" s="62"/>
      <c r="AC705" s="62"/>
      <c r="AD705" s="62"/>
    </row>
    <row r="706">
      <c r="A706" s="6"/>
      <c r="B706" s="6"/>
      <c r="C706" s="6"/>
      <c r="D706" s="62"/>
      <c r="E706" s="62"/>
      <c r="F706" s="62"/>
      <c r="G706" s="62"/>
      <c r="H706" s="62"/>
      <c r="I706" s="62"/>
      <c r="J706" s="62"/>
      <c r="K706" s="62"/>
      <c r="L706" s="62"/>
      <c r="M706" s="62"/>
      <c r="N706" s="62"/>
      <c r="O706" s="62"/>
      <c r="P706" s="62"/>
      <c r="Q706" s="62"/>
      <c r="R706" s="62"/>
      <c r="S706" s="62"/>
      <c r="T706" s="62"/>
      <c r="U706" s="62"/>
      <c r="V706" s="62"/>
      <c r="W706" s="62"/>
      <c r="X706" s="62"/>
      <c r="Y706" s="62"/>
      <c r="Z706" s="62"/>
      <c r="AA706" s="62"/>
      <c r="AB706" s="62"/>
      <c r="AC706" s="62"/>
      <c r="AD706" s="62"/>
    </row>
    <row r="707">
      <c r="A707" s="6"/>
      <c r="B707" s="6"/>
      <c r="C707" s="6"/>
      <c r="D707" s="62"/>
      <c r="E707" s="62"/>
      <c r="F707" s="62"/>
      <c r="G707" s="62"/>
      <c r="H707" s="62"/>
      <c r="I707" s="62"/>
      <c r="J707" s="62"/>
      <c r="K707" s="62"/>
      <c r="L707" s="62"/>
      <c r="M707" s="62"/>
      <c r="N707" s="62"/>
      <c r="O707" s="62"/>
      <c r="P707" s="62"/>
      <c r="Q707" s="62"/>
      <c r="R707" s="62"/>
      <c r="S707" s="62"/>
      <c r="T707" s="62"/>
      <c r="U707" s="62"/>
      <c r="V707" s="62"/>
      <c r="W707" s="62"/>
      <c r="X707" s="62"/>
      <c r="Y707" s="62"/>
      <c r="Z707" s="62"/>
      <c r="AA707" s="62"/>
      <c r="AB707" s="62"/>
      <c r="AC707" s="62"/>
      <c r="AD707" s="62"/>
    </row>
    <row r="708">
      <c r="A708" s="6"/>
      <c r="B708" s="6"/>
      <c r="C708" s="6"/>
      <c r="D708" s="62"/>
      <c r="E708" s="62"/>
      <c r="F708" s="62"/>
      <c r="G708" s="62"/>
      <c r="H708" s="62"/>
      <c r="I708" s="62"/>
      <c r="J708" s="62"/>
      <c r="K708" s="62"/>
      <c r="L708" s="62"/>
      <c r="M708" s="62"/>
      <c r="N708" s="62"/>
      <c r="O708" s="62"/>
      <c r="P708" s="62"/>
      <c r="Q708" s="62"/>
      <c r="R708" s="62"/>
      <c r="S708" s="62"/>
      <c r="T708" s="62"/>
      <c r="U708" s="62"/>
      <c r="V708" s="62"/>
      <c r="W708" s="62"/>
      <c r="X708" s="62"/>
      <c r="Y708" s="62"/>
      <c r="Z708" s="62"/>
      <c r="AA708" s="62"/>
      <c r="AB708" s="62"/>
      <c r="AC708" s="62"/>
      <c r="AD708" s="62"/>
    </row>
    <row r="709">
      <c r="A709" s="6"/>
      <c r="B709" s="6"/>
      <c r="C709" s="6"/>
      <c r="D709" s="62"/>
      <c r="E709" s="62"/>
      <c r="F709" s="62"/>
      <c r="G709" s="62"/>
      <c r="H709" s="62"/>
      <c r="I709" s="62"/>
      <c r="J709" s="62"/>
      <c r="K709" s="62"/>
      <c r="L709" s="62"/>
      <c r="M709" s="62"/>
      <c r="N709" s="62"/>
      <c r="O709" s="62"/>
      <c r="P709" s="62"/>
      <c r="Q709" s="62"/>
      <c r="R709" s="62"/>
      <c r="S709" s="62"/>
      <c r="T709" s="62"/>
      <c r="U709" s="62"/>
      <c r="V709" s="62"/>
      <c r="W709" s="62"/>
      <c r="X709" s="62"/>
      <c r="Y709" s="62"/>
      <c r="Z709" s="62"/>
      <c r="AA709" s="62"/>
      <c r="AB709" s="62"/>
      <c r="AC709" s="62"/>
      <c r="AD709" s="62"/>
    </row>
    <row r="710">
      <c r="A710" s="6"/>
      <c r="B710" s="6"/>
      <c r="C710" s="6"/>
      <c r="D710" s="62"/>
      <c r="E710" s="62"/>
      <c r="F710" s="62"/>
      <c r="G710" s="62"/>
      <c r="H710" s="62"/>
      <c r="I710" s="62"/>
      <c r="J710" s="62"/>
      <c r="K710" s="62"/>
      <c r="L710" s="62"/>
      <c r="M710" s="62"/>
      <c r="N710" s="62"/>
      <c r="O710" s="62"/>
      <c r="P710" s="62"/>
      <c r="Q710" s="62"/>
      <c r="R710" s="62"/>
      <c r="S710" s="62"/>
      <c r="T710" s="62"/>
      <c r="U710" s="62"/>
      <c r="V710" s="62"/>
      <c r="W710" s="62"/>
      <c r="X710" s="62"/>
      <c r="Y710" s="62"/>
      <c r="Z710" s="62"/>
      <c r="AA710" s="62"/>
      <c r="AB710" s="62"/>
      <c r="AC710" s="62"/>
      <c r="AD710" s="62"/>
    </row>
    <row r="711">
      <c r="A711" s="6"/>
      <c r="B711" s="6"/>
      <c r="C711" s="6"/>
      <c r="D711" s="62"/>
      <c r="E711" s="62"/>
      <c r="F711" s="62"/>
      <c r="G711" s="62"/>
      <c r="H711" s="62"/>
      <c r="I711" s="62"/>
      <c r="J711" s="62"/>
      <c r="K711" s="62"/>
      <c r="L711" s="62"/>
      <c r="M711" s="62"/>
      <c r="N711" s="62"/>
      <c r="O711" s="62"/>
      <c r="P711" s="62"/>
      <c r="Q711" s="62"/>
      <c r="R711" s="62"/>
      <c r="S711" s="62"/>
      <c r="T711" s="62"/>
      <c r="U711" s="62"/>
      <c r="V711" s="62"/>
      <c r="W711" s="62"/>
      <c r="X711" s="62"/>
      <c r="Y711" s="62"/>
      <c r="Z711" s="62"/>
      <c r="AA711" s="62"/>
      <c r="AB711" s="62"/>
      <c r="AC711" s="62"/>
      <c r="AD711" s="62"/>
    </row>
    <row r="712">
      <c r="A712" s="6"/>
      <c r="B712" s="6"/>
      <c r="C712" s="6"/>
      <c r="D712" s="62"/>
      <c r="E712" s="62"/>
      <c r="F712" s="62"/>
      <c r="G712" s="62"/>
      <c r="H712" s="62"/>
      <c r="I712" s="62"/>
      <c r="J712" s="62"/>
      <c r="K712" s="62"/>
      <c r="L712" s="62"/>
      <c r="M712" s="62"/>
      <c r="N712" s="62"/>
      <c r="O712" s="62"/>
      <c r="P712" s="62"/>
      <c r="Q712" s="62"/>
      <c r="R712" s="62"/>
      <c r="S712" s="62"/>
      <c r="T712" s="62"/>
      <c r="U712" s="62"/>
      <c r="V712" s="62"/>
      <c r="W712" s="62"/>
      <c r="X712" s="62"/>
      <c r="Y712" s="62"/>
      <c r="Z712" s="62"/>
      <c r="AA712" s="62"/>
      <c r="AB712" s="62"/>
      <c r="AC712" s="62"/>
      <c r="AD712" s="62"/>
    </row>
    <row r="713">
      <c r="A713" s="6"/>
      <c r="B713" s="6"/>
      <c r="C713" s="6"/>
      <c r="D713" s="62"/>
      <c r="E713" s="62"/>
      <c r="F713" s="62"/>
      <c r="G713" s="62"/>
      <c r="H713" s="62"/>
      <c r="I713" s="62"/>
      <c r="J713" s="62"/>
      <c r="K713" s="62"/>
      <c r="L713" s="62"/>
      <c r="M713" s="62"/>
      <c r="N713" s="62"/>
      <c r="O713" s="62"/>
      <c r="P713" s="62"/>
      <c r="Q713" s="62"/>
      <c r="R713" s="62"/>
      <c r="S713" s="62"/>
      <c r="T713" s="62"/>
      <c r="U713" s="62"/>
      <c r="V713" s="62"/>
      <c r="W713" s="62"/>
      <c r="X713" s="62"/>
      <c r="Y713" s="62"/>
      <c r="Z713" s="62"/>
      <c r="AA713" s="62"/>
      <c r="AB713" s="62"/>
      <c r="AC713" s="62"/>
      <c r="AD713" s="62"/>
    </row>
    <row r="714">
      <c r="A714" s="6"/>
      <c r="B714" s="6"/>
      <c r="C714" s="6"/>
      <c r="D714" s="62"/>
      <c r="E714" s="62"/>
      <c r="F714" s="62"/>
      <c r="G714" s="62"/>
      <c r="H714" s="62"/>
      <c r="I714" s="62"/>
      <c r="J714" s="62"/>
      <c r="K714" s="62"/>
      <c r="L714" s="62"/>
      <c r="M714" s="62"/>
      <c r="N714" s="62"/>
      <c r="O714" s="62"/>
      <c r="P714" s="62"/>
      <c r="Q714" s="62"/>
      <c r="R714" s="62"/>
      <c r="S714" s="62"/>
      <c r="T714" s="62"/>
      <c r="U714" s="62"/>
      <c r="V714" s="62"/>
      <c r="W714" s="62"/>
      <c r="X714" s="62"/>
      <c r="Y714" s="62"/>
      <c r="Z714" s="62"/>
      <c r="AA714" s="62"/>
      <c r="AB714" s="62"/>
      <c r="AC714" s="62"/>
      <c r="AD714" s="62"/>
    </row>
    <row r="715">
      <c r="A715" s="6"/>
      <c r="B715" s="6"/>
      <c r="C715" s="6"/>
      <c r="D715" s="62"/>
      <c r="E715" s="62"/>
      <c r="F715" s="62"/>
      <c r="G715" s="62"/>
      <c r="H715" s="62"/>
      <c r="I715" s="62"/>
      <c r="J715" s="62"/>
      <c r="K715" s="62"/>
      <c r="L715" s="62"/>
      <c r="M715" s="62"/>
      <c r="N715" s="62"/>
      <c r="O715" s="62"/>
      <c r="P715" s="62"/>
      <c r="Q715" s="62"/>
      <c r="R715" s="62"/>
      <c r="S715" s="62"/>
      <c r="T715" s="62"/>
      <c r="U715" s="62"/>
      <c r="V715" s="62"/>
      <c r="W715" s="62"/>
      <c r="X715" s="62"/>
      <c r="Y715" s="62"/>
      <c r="Z715" s="62"/>
      <c r="AA715" s="62"/>
      <c r="AB715" s="62"/>
      <c r="AC715" s="62"/>
      <c r="AD715" s="62"/>
    </row>
    <row r="716">
      <c r="A716" s="6"/>
      <c r="B716" s="6"/>
      <c r="C716" s="6"/>
      <c r="D716" s="62"/>
      <c r="E716" s="62"/>
      <c r="F716" s="62"/>
      <c r="G716" s="62"/>
      <c r="H716" s="62"/>
      <c r="I716" s="62"/>
      <c r="J716" s="62"/>
      <c r="K716" s="62"/>
      <c r="L716" s="62"/>
      <c r="M716" s="62"/>
      <c r="N716" s="62"/>
      <c r="O716" s="62"/>
      <c r="P716" s="62"/>
      <c r="Q716" s="62"/>
      <c r="R716" s="62"/>
      <c r="S716" s="62"/>
      <c r="T716" s="62"/>
      <c r="U716" s="62"/>
      <c r="V716" s="62"/>
      <c r="W716" s="62"/>
      <c r="X716" s="62"/>
      <c r="Y716" s="62"/>
      <c r="Z716" s="62"/>
      <c r="AA716" s="62"/>
      <c r="AB716" s="62"/>
      <c r="AC716" s="62"/>
      <c r="AD716" s="62"/>
    </row>
    <row r="717">
      <c r="A717" s="6"/>
      <c r="B717" s="6"/>
      <c r="C717" s="6"/>
      <c r="D717" s="62"/>
      <c r="E717" s="62"/>
      <c r="F717" s="62"/>
      <c r="G717" s="62"/>
      <c r="H717" s="62"/>
      <c r="I717" s="62"/>
      <c r="J717" s="62"/>
      <c r="K717" s="62"/>
      <c r="L717" s="62"/>
      <c r="M717" s="62"/>
      <c r="N717" s="62"/>
      <c r="O717" s="62"/>
      <c r="P717" s="62"/>
      <c r="Q717" s="62"/>
      <c r="R717" s="62"/>
      <c r="S717" s="62"/>
      <c r="T717" s="62"/>
      <c r="U717" s="62"/>
      <c r="V717" s="62"/>
      <c r="W717" s="62"/>
      <c r="X717" s="62"/>
      <c r="Y717" s="62"/>
      <c r="Z717" s="62"/>
      <c r="AA717" s="62"/>
      <c r="AB717" s="62"/>
      <c r="AC717" s="62"/>
      <c r="AD717" s="62"/>
    </row>
    <row r="718">
      <c r="A718" s="6"/>
      <c r="B718" s="6"/>
      <c r="C718" s="6"/>
      <c r="D718" s="62"/>
      <c r="E718" s="62"/>
      <c r="F718" s="62"/>
      <c r="G718" s="62"/>
      <c r="H718" s="62"/>
      <c r="I718" s="62"/>
      <c r="J718" s="62"/>
      <c r="K718" s="62"/>
      <c r="L718" s="62"/>
      <c r="M718" s="62"/>
      <c r="N718" s="62"/>
      <c r="O718" s="62"/>
      <c r="P718" s="62"/>
      <c r="Q718" s="62"/>
      <c r="R718" s="62"/>
      <c r="S718" s="62"/>
      <c r="T718" s="62"/>
      <c r="U718" s="62"/>
      <c r="V718" s="62"/>
      <c r="W718" s="62"/>
      <c r="X718" s="62"/>
      <c r="Y718" s="62"/>
      <c r="Z718" s="62"/>
      <c r="AA718" s="62"/>
      <c r="AB718" s="62"/>
      <c r="AC718" s="62"/>
      <c r="AD718" s="62"/>
    </row>
    <row r="719">
      <c r="A719" s="6"/>
      <c r="B719" s="6"/>
      <c r="C719" s="6"/>
      <c r="D719" s="62"/>
      <c r="E719" s="62"/>
      <c r="F719" s="62"/>
      <c r="G719" s="62"/>
      <c r="H719" s="62"/>
      <c r="I719" s="62"/>
      <c r="J719" s="62"/>
      <c r="K719" s="62"/>
      <c r="L719" s="62"/>
      <c r="M719" s="62"/>
      <c r="N719" s="62"/>
      <c r="O719" s="62"/>
      <c r="P719" s="62"/>
      <c r="Q719" s="62"/>
      <c r="R719" s="62"/>
      <c r="S719" s="62"/>
      <c r="T719" s="62"/>
      <c r="U719" s="62"/>
      <c r="V719" s="62"/>
      <c r="W719" s="62"/>
      <c r="X719" s="62"/>
      <c r="Y719" s="62"/>
      <c r="Z719" s="62"/>
      <c r="AA719" s="62"/>
      <c r="AB719" s="62"/>
      <c r="AC719" s="62"/>
      <c r="AD719" s="62"/>
    </row>
    <row r="720">
      <c r="A720" s="6"/>
      <c r="B720" s="6"/>
      <c r="C720" s="6"/>
      <c r="D720" s="62"/>
      <c r="E720" s="62"/>
      <c r="F720" s="62"/>
      <c r="G720" s="62"/>
      <c r="H720" s="62"/>
      <c r="I720" s="62"/>
      <c r="J720" s="62"/>
      <c r="K720" s="62"/>
      <c r="L720" s="62"/>
      <c r="M720" s="62"/>
      <c r="N720" s="62"/>
      <c r="O720" s="62"/>
      <c r="P720" s="62"/>
      <c r="Q720" s="62"/>
      <c r="R720" s="62"/>
      <c r="S720" s="62"/>
      <c r="T720" s="62"/>
      <c r="U720" s="62"/>
      <c r="V720" s="62"/>
      <c r="W720" s="62"/>
      <c r="X720" s="62"/>
      <c r="Y720" s="62"/>
      <c r="Z720" s="62"/>
      <c r="AA720" s="62"/>
      <c r="AB720" s="62"/>
      <c r="AC720" s="62"/>
      <c r="AD720" s="62"/>
    </row>
    <row r="721">
      <c r="A721" s="6"/>
      <c r="B721" s="6"/>
      <c r="C721" s="6"/>
      <c r="D721" s="62"/>
      <c r="E721" s="62"/>
      <c r="F721" s="62"/>
      <c r="G721" s="62"/>
      <c r="H721" s="62"/>
      <c r="I721" s="62"/>
      <c r="J721" s="62"/>
      <c r="K721" s="62"/>
      <c r="L721" s="62"/>
      <c r="M721" s="62"/>
      <c r="N721" s="62"/>
      <c r="O721" s="62"/>
      <c r="P721" s="62"/>
      <c r="Q721" s="62"/>
      <c r="R721" s="62"/>
      <c r="S721" s="62"/>
      <c r="T721" s="62"/>
      <c r="U721" s="62"/>
      <c r="V721" s="62"/>
      <c r="W721" s="62"/>
      <c r="X721" s="62"/>
      <c r="Y721" s="62"/>
      <c r="Z721" s="62"/>
      <c r="AA721" s="62"/>
      <c r="AB721" s="62"/>
      <c r="AC721" s="62"/>
      <c r="AD721" s="62"/>
    </row>
    <row r="722">
      <c r="A722" s="6"/>
      <c r="B722" s="6"/>
      <c r="C722" s="6"/>
      <c r="D722" s="62"/>
      <c r="E722" s="62"/>
      <c r="F722" s="62"/>
      <c r="G722" s="62"/>
      <c r="H722" s="62"/>
      <c r="I722" s="62"/>
      <c r="J722" s="62"/>
      <c r="K722" s="62"/>
      <c r="L722" s="62"/>
      <c r="M722" s="62"/>
      <c r="N722" s="62"/>
      <c r="O722" s="62"/>
      <c r="P722" s="62"/>
      <c r="Q722" s="62"/>
      <c r="R722" s="62"/>
      <c r="S722" s="62"/>
      <c r="T722" s="62"/>
      <c r="U722" s="62"/>
      <c r="V722" s="62"/>
      <c r="W722" s="62"/>
      <c r="X722" s="62"/>
      <c r="Y722" s="62"/>
      <c r="Z722" s="62"/>
      <c r="AA722" s="62"/>
      <c r="AB722" s="62"/>
      <c r="AC722" s="62"/>
      <c r="AD722" s="62"/>
    </row>
    <row r="723">
      <c r="A723" s="6"/>
      <c r="B723" s="6"/>
      <c r="C723" s="6"/>
      <c r="D723" s="62"/>
      <c r="E723" s="62"/>
      <c r="F723" s="62"/>
      <c r="G723" s="62"/>
      <c r="H723" s="62"/>
      <c r="I723" s="62"/>
      <c r="J723" s="62"/>
      <c r="K723" s="62"/>
      <c r="L723" s="62"/>
      <c r="M723" s="62"/>
      <c r="N723" s="62"/>
      <c r="O723" s="62"/>
      <c r="P723" s="62"/>
      <c r="Q723" s="62"/>
      <c r="R723" s="62"/>
      <c r="S723" s="62"/>
      <c r="T723" s="62"/>
      <c r="U723" s="62"/>
      <c r="V723" s="62"/>
      <c r="W723" s="62"/>
      <c r="X723" s="62"/>
      <c r="Y723" s="62"/>
      <c r="Z723" s="62"/>
      <c r="AA723" s="62"/>
      <c r="AB723" s="62"/>
      <c r="AC723" s="62"/>
      <c r="AD723" s="62"/>
    </row>
    <row r="724">
      <c r="A724" s="6"/>
      <c r="B724" s="6"/>
      <c r="C724" s="6"/>
      <c r="D724" s="62"/>
      <c r="E724" s="62"/>
      <c r="F724" s="62"/>
      <c r="G724" s="62"/>
      <c r="H724" s="62"/>
      <c r="I724" s="62"/>
      <c r="J724" s="62"/>
      <c r="K724" s="62"/>
      <c r="L724" s="62"/>
      <c r="M724" s="62"/>
      <c r="N724" s="62"/>
      <c r="O724" s="62"/>
      <c r="P724" s="62"/>
      <c r="Q724" s="62"/>
      <c r="R724" s="62"/>
      <c r="S724" s="62"/>
      <c r="T724" s="62"/>
      <c r="U724" s="62"/>
      <c r="V724" s="62"/>
      <c r="W724" s="62"/>
      <c r="X724" s="62"/>
      <c r="Y724" s="62"/>
      <c r="Z724" s="62"/>
      <c r="AA724" s="62"/>
      <c r="AB724" s="62"/>
      <c r="AC724" s="62"/>
      <c r="AD724" s="62"/>
    </row>
    <row r="725">
      <c r="A725" s="6"/>
      <c r="B725" s="6"/>
      <c r="C725" s="6"/>
      <c r="D725" s="62"/>
      <c r="E725" s="62"/>
      <c r="F725" s="62"/>
      <c r="G725" s="62"/>
      <c r="H725" s="62"/>
      <c r="I725" s="62"/>
      <c r="J725" s="62"/>
      <c r="K725" s="62"/>
      <c r="L725" s="62"/>
      <c r="M725" s="62"/>
      <c r="N725" s="62"/>
      <c r="O725" s="62"/>
      <c r="P725" s="62"/>
      <c r="Q725" s="62"/>
      <c r="R725" s="62"/>
      <c r="S725" s="62"/>
      <c r="T725" s="62"/>
      <c r="U725" s="62"/>
      <c r="V725" s="62"/>
      <c r="W725" s="62"/>
      <c r="X725" s="62"/>
      <c r="Y725" s="62"/>
      <c r="Z725" s="62"/>
      <c r="AA725" s="62"/>
      <c r="AB725" s="62"/>
      <c r="AC725" s="62"/>
      <c r="AD725" s="62"/>
    </row>
    <row r="726">
      <c r="A726" s="6"/>
      <c r="B726" s="6"/>
      <c r="C726" s="6"/>
      <c r="D726" s="62"/>
      <c r="E726" s="62"/>
      <c r="F726" s="62"/>
      <c r="G726" s="62"/>
      <c r="H726" s="62"/>
      <c r="I726" s="62"/>
      <c r="J726" s="62"/>
      <c r="K726" s="62"/>
      <c r="L726" s="62"/>
      <c r="M726" s="62"/>
      <c r="N726" s="62"/>
      <c r="O726" s="62"/>
      <c r="P726" s="62"/>
      <c r="Q726" s="62"/>
      <c r="R726" s="62"/>
      <c r="S726" s="62"/>
      <c r="T726" s="62"/>
      <c r="U726" s="62"/>
      <c r="V726" s="62"/>
      <c r="W726" s="62"/>
      <c r="X726" s="62"/>
      <c r="Y726" s="62"/>
      <c r="Z726" s="62"/>
      <c r="AA726" s="62"/>
      <c r="AB726" s="62"/>
      <c r="AC726" s="62"/>
      <c r="AD726" s="62"/>
    </row>
    <row r="727">
      <c r="A727" s="6"/>
      <c r="B727" s="6"/>
      <c r="C727" s="6"/>
      <c r="D727" s="62"/>
      <c r="E727" s="62"/>
      <c r="F727" s="62"/>
      <c r="G727" s="62"/>
      <c r="H727" s="62"/>
      <c r="I727" s="62"/>
      <c r="J727" s="62"/>
      <c r="K727" s="62"/>
      <c r="L727" s="62"/>
      <c r="M727" s="62"/>
      <c r="N727" s="62"/>
      <c r="O727" s="62"/>
      <c r="P727" s="62"/>
      <c r="Q727" s="62"/>
      <c r="R727" s="62"/>
      <c r="S727" s="62"/>
      <c r="T727" s="62"/>
      <c r="U727" s="62"/>
      <c r="V727" s="62"/>
      <c r="W727" s="62"/>
      <c r="X727" s="62"/>
      <c r="Y727" s="62"/>
      <c r="Z727" s="62"/>
      <c r="AA727" s="62"/>
      <c r="AB727" s="62"/>
      <c r="AC727" s="62"/>
      <c r="AD727" s="62"/>
    </row>
    <row r="728">
      <c r="A728" s="6"/>
      <c r="B728" s="6"/>
      <c r="C728" s="6"/>
      <c r="D728" s="62"/>
      <c r="E728" s="62"/>
      <c r="F728" s="62"/>
      <c r="G728" s="62"/>
      <c r="H728" s="62"/>
      <c r="I728" s="62"/>
      <c r="J728" s="62"/>
      <c r="K728" s="62"/>
      <c r="L728" s="62"/>
      <c r="M728" s="62"/>
      <c r="N728" s="62"/>
      <c r="O728" s="62"/>
      <c r="P728" s="62"/>
      <c r="Q728" s="62"/>
      <c r="R728" s="62"/>
      <c r="S728" s="62"/>
      <c r="T728" s="62"/>
      <c r="U728" s="62"/>
      <c r="V728" s="62"/>
      <c r="W728" s="62"/>
      <c r="X728" s="62"/>
      <c r="Y728" s="62"/>
      <c r="Z728" s="62"/>
      <c r="AA728" s="62"/>
      <c r="AB728" s="62"/>
      <c r="AC728" s="62"/>
      <c r="AD728" s="62"/>
    </row>
    <row r="729">
      <c r="A729" s="6"/>
      <c r="B729" s="6"/>
      <c r="C729" s="6"/>
      <c r="D729" s="62"/>
      <c r="E729" s="62"/>
      <c r="F729" s="62"/>
      <c r="G729" s="62"/>
      <c r="H729" s="62"/>
      <c r="I729" s="62"/>
      <c r="J729" s="62"/>
      <c r="K729" s="62"/>
      <c r="L729" s="62"/>
      <c r="M729" s="62"/>
      <c r="N729" s="62"/>
      <c r="O729" s="62"/>
      <c r="P729" s="62"/>
      <c r="Q729" s="62"/>
      <c r="R729" s="62"/>
      <c r="S729" s="62"/>
      <c r="T729" s="62"/>
      <c r="U729" s="62"/>
      <c r="V729" s="62"/>
      <c r="W729" s="62"/>
      <c r="X729" s="62"/>
      <c r="Y729" s="62"/>
      <c r="Z729" s="62"/>
      <c r="AA729" s="62"/>
      <c r="AB729" s="62"/>
      <c r="AC729" s="62"/>
      <c r="AD729" s="62"/>
    </row>
    <row r="730">
      <c r="A730" s="6"/>
      <c r="B730" s="6"/>
      <c r="C730" s="6"/>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c r="AB730" s="62"/>
      <c r="AC730" s="62"/>
      <c r="AD730" s="62"/>
    </row>
    <row r="731">
      <c r="A731" s="6"/>
      <c r="B731" s="6"/>
      <c r="C731" s="6"/>
      <c r="D731" s="62"/>
      <c r="E731" s="62"/>
      <c r="F731" s="62"/>
      <c r="G731" s="62"/>
      <c r="H731" s="62"/>
      <c r="I731" s="62"/>
      <c r="J731" s="62"/>
      <c r="K731" s="62"/>
      <c r="L731" s="62"/>
      <c r="M731" s="62"/>
      <c r="N731" s="62"/>
      <c r="O731" s="62"/>
      <c r="P731" s="62"/>
      <c r="Q731" s="62"/>
      <c r="R731" s="62"/>
      <c r="S731" s="62"/>
      <c r="T731" s="62"/>
      <c r="U731" s="62"/>
      <c r="V731" s="62"/>
      <c r="W731" s="62"/>
      <c r="X731" s="62"/>
      <c r="Y731" s="62"/>
      <c r="Z731" s="62"/>
      <c r="AA731" s="62"/>
      <c r="AB731" s="62"/>
      <c r="AC731" s="62"/>
      <c r="AD731" s="62"/>
    </row>
    <row r="732">
      <c r="A732" s="6"/>
      <c r="B732" s="6"/>
      <c r="C732" s="6"/>
      <c r="D732" s="62"/>
      <c r="E732" s="62"/>
      <c r="F732" s="62"/>
      <c r="G732" s="62"/>
      <c r="H732" s="62"/>
      <c r="I732" s="62"/>
      <c r="J732" s="62"/>
      <c r="K732" s="62"/>
      <c r="L732" s="62"/>
      <c r="M732" s="62"/>
      <c r="N732" s="62"/>
      <c r="O732" s="62"/>
      <c r="P732" s="62"/>
      <c r="Q732" s="62"/>
      <c r="R732" s="62"/>
      <c r="S732" s="62"/>
      <c r="T732" s="62"/>
      <c r="U732" s="62"/>
      <c r="V732" s="62"/>
      <c r="W732" s="62"/>
      <c r="X732" s="62"/>
      <c r="Y732" s="62"/>
      <c r="Z732" s="62"/>
      <c r="AA732" s="62"/>
      <c r="AB732" s="62"/>
      <c r="AC732" s="62"/>
      <c r="AD732" s="62"/>
    </row>
    <row r="733">
      <c r="A733" s="6"/>
      <c r="B733" s="6"/>
      <c r="C733" s="6"/>
      <c r="D733" s="62"/>
      <c r="E733" s="62"/>
      <c r="F733" s="62"/>
      <c r="G733" s="62"/>
      <c r="H733" s="62"/>
      <c r="I733" s="62"/>
      <c r="J733" s="62"/>
      <c r="K733" s="62"/>
      <c r="L733" s="62"/>
      <c r="M733" s="62"/>
      <c r="N733" s="62"/>
      <c r="O733" s="62"/>
      <c r="P733" s="62"/>
      <c r="Q733" s="62"/>
      <c r="R733" s="62"/>
      <c r="S733" s="62"/>
      <c r="T733" s="62"/>
      <c r="U733" s="62"/>
      <c r="V733" s="62"/>
      <c r="W733" s="62"/>
      <c r="X733" s="62"/>
      <c r="Y733" s="62"/>
      <c r="Z733" s="62"/>
      <c r="AA733" s="62"/>
      <c r="AB733" s="62"/>
      <c r="AC733" s="62"/>
      <c r="AD733" s="62"/>
    </row>
    <row r="734">
      <c r="A734" s="6"/>
      <c r="B734" s="6"/>
      <c r="C734" s="6"/>
      <c r="D734" s="62"/>
      <c r="E734" s="62"/>
      <c r="F734" s="62"/>
      <c r="G734" s="62"/>
      <c r="H734" s="62"/>
      <c r="I734" s="62"/>
      <c r="J734" s="62"/>
      <c r="K734" s="62"/>
      <c r="L734" s="62"/>
      <c r="M734" s="62"/>
      <c r="N734" s="62"/>
      <c r="O734" s="62"/>
      <c r="P734" s="62"/>
      <c r="Q734" s="62"/>
      <c r="R734" s="62"/>
      <c r="S734" s="62"/>
      <c r="T734" s="62"/>
      <c r="U734" s="62"/>
      <c r="V734" s="62"/>
      <c r="W734" s="62"/>
      <c r="X734" s="62"/>
      <c r="Y734" s="62"/>
      <c r="Z734" s="62"/>
      <c r="AA734" s="62"/>
      <c r="AB734" s="62"/>
      <c r="AC734" s="62"/>
      <c r="AD734" s="62"/>
    </row>
    <row r="735">
      <c r="A735" s="6"/>
      <c r="B735" s="6"/>
      <c r="C735" s="6"/>
      <c r="D735" s="62"/>
      <c r="E735" s="62"/>
      <c r="F735" s="62"/>
      <c r="G735" s="62"/>
      <c r="H735" s="62"/>
      <c r="I735" s="62"/>
      <c r="J735" s="62"/>
      <c r="K735" s="62"/>
      <c r="L735" s="62"/>
      <c r="M735" s="62"/>
      <c r="N735" s="62"/>
      <c r="O735" s="62"/>
      <c r="P735" s="62"/>
      <c r="Q735" s="62"/>
      <c r="R735" s="62"/>
      <c r="S735" s="62"/>
      <c r="T735" s="62"/>
      <c r="U735" s="62"/>
      <c r="V735" s="62"/>
      <c r="W735" s="62"/>
      <c r="X735" s="62"/>
      <c r="Y735" s="62"/>
      <c r="Z735" s="62"/>
      <c r="AA735" s="62"/>
      <c r="AB735" s="62"/>
      <c r="AC735" s="62"/>
      <c r="AD735" s="62"/>
    </row>
    <row r="736">
      <c r="A736" s="6"/>
      <c r="B736" s="6"/>
      <c r="C736" s="6"/>
      <c r="D736" s="62"/>
      <c r="E736" s="62"/>
      <c r="F736" s="62"/>
      <c r="G736" s="62"/>
      <c r="H736" s="62"/>
      <c r="I736" s="62"/>
      <c r="J736" s="62"/>
      <c r="K736" s="62"/>
      <c r="L736" s="62"/>
      <c r="M736" s="62"/>
      <c r="N736" s="62"/>
      <c r="O736" s="62"/>
      <c r="P736" s="62"/>
      <c r="Q736" s="62"/>
      <c r="R736" s="62"/>
      <c r="S736" s="62"/>
      <c r="T736" s="62"/>
      <c r="U736" s="62"/>
      <c r="V736" s="62"/>
      <c r="W736" s="62"/>
      <c r="X736" s="62"/>
      <c r="Y736" s="62"/>
      <c r="Z736" s="62"/>
      <c r="AA736" s="62"/>
      <c r="AB736" s="62"/>
      <c r="AC736" s="62"/>
      <c r="AD736" s="62"/>
    </row>
    <row r="737">
      <c r="A737" s="6"/>
      <c r="B737" s="6"/>
      <c r="C737" s="6"/>
      <c r="D737" s="62"/>
      <c r="E737" s="62"/>
      <c r="F737" s="62"/>
      <c r="G737" s="62"/>
      <c r="H737" s="62"/>
      <c r="I737" s="62"/>
      <c r="J737" s="62"/>
      <c r="K737" s="62"/>
      <c r="L737" s="62"/>
      <c r="M737" s="62"/>
      <c r="N737" s="62"/>
      <c r="O737" s="62"/>
      <c r="P737" s="62"/>
      <c r="Q737" s="62"/>
      <c r="R737" s="62"/>
      <c r="S737" s="62"/>
      <c r="T737" s="62"/>
      <c r="U737" s="62"/>
      <c r="V737" s="62"/>
      <c r="W737" s="62"/>
      <c r="X737" s="62"/>
      <c r="Y737" s="62"/>
      <c r="Z737" s="62"/>
      <c r="AA737" s="62"/>
      <c r="AB737" s="62"/>
      <c r="AC737" s="62"/>
      <c r="AD737" s="62"/>
    </row>
    <row r="738">
      <c r="A738" s="6"/>
      <c r="B738" s="6"/>
      <c r="C738" s="6"/>
      <c r="D738" s="62"/>
      <c r="E738" s="62"/>
      <c r="F738" s="62"/>
      <c r="G738" s="62"/>
      <c r="H738" s="62"/>
      <c r="I738" s="62"/>
      <c r="J738" s="62"/>
      <c r="K738" s="62"/>
      <c r="L738" s="62"/>
      <c r="M738" s="62"/>
      <c r="N738" s="62"/>
      <c r="O738" s="62"/>
      <c r="P738" s="62"/>
      <c r="Q738" s="62"/>
      <c r="R738" s="62"/>
      <c r="S738" s="62"/>
      <c r="T738" s="62"/>
      <c r="U738" s="62"/>
      <c r="V738" s="62"/>
      <c r="W738" s="62"/>
      <c r="X738" s="62"/>
      <c r="Y738" s="62"/>
      <c r="Z738" s="62"/>
      <c r="AA738" s="62"/>
      <c r="AB738" s="62"/>
      <c r="AC738" s="62"/>
      <c r="AD738" s="62"/>
    </row>
    <row r="739">
      <c r="A739" s="6"/>
      <c r="B739" s="6"/>
      <c r="C739" s="6"/>
      <c r="D739" s="62"/>
      <c r="E739" s="62"/>
      <c r="F739" s="62"/>
      <c r="G739" s="62"/>
      <c r="H739" s="62"/>
      <c r="I739" s="62"/>
      <c r="J739" s="62"/>
      <c r="K739" s="62"/>
      <c r="L739" s="62"/>
      <c r="M739" s="62"/>
      <c r="N739" s="62"/>
      <c r="O739" s="62"/>
      <c r="P739" s="62"/>
      <c r="Q739" s="62"/>
      <c r="R739" s="62"/>
      <c r="S739" s="62"/>
      <c r="T739" s="62"/>
      <c r="U739" s="62"/>
      <c r="V739" s="62"/>
      <c r="W739" s="62"/>
      <c r="X739" s="62"/>
      <c r="Y739" s="62"/>
      <c r="Z739" s="62"/>
      <c r="AA739" s="62"/>
      <c r="AB739" s="62"/>
      <c r="AC739" s="62"/>
      <c r="AD739" s="62"/>
    </row>
    <row r="740">
      <c r="A740" s="6"/>
      <c r="B740" s="6"/>
      <c r="C740" s="6"/>
      <c r="D740" s="62"/>
      <c r="E740" s="62"/>
      <c r="F740" s="62"/>
      <c r="G740" s="62"/>
      <c r="H740" s="62"/>
      <c r="I740" s="62"/>
      <c r="J740" s="62"/>
      <c r="K740" s="62"/>
      <c r="L740" s="62"/>
      <c r="M740" s="62"/>
      <c r="N740" s="62"/>
      <c r="O740" s="62"/>
      <c r="P740" s="62"/>
      <c r="Q740" s="62"/>
      <c r="R740" s="62"/>
      <c r="S740" s="62"/>
      <c r="T740" s="62"/>
      <c r="U740" s="62"/>
      <c r="V740" s="62"/>
      <c r="W740" s="62"/>
      <c r="X740" s="62"/>
      <c r="Y740" s="62"/>
      <c r="Z740" s="62"/>
      <c r="AA740" s="62"/>
      <c r="AB740" s="62"/>
      <c r="AC740" s="62"/>
      <c r="AD740" s="62"/>
    </row>
    <row r="741">
      <c r="A741" s="6"/>
      <c r="B741" s="6"/>
      <c r="C741" s="6"/>
      <c r="D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c r="AB741" s="62"/>
      <c r="AC741" s="62"/>
      <c r="AD741" s="62"/>
    </row>
    <row r="742">
      <c r="A742" s="6"/>
      <c r="B742" s="6"/>
      <c r="C742" s="6"/>
      <c r="D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c r="AB742" s="62"/>
      <c r="AC742" s="62"/>
      <c r="AD742" s="62"/>
    </row>
    <row r="743">
      <c r="A743" s="6"/>
      <c r="B743" s="6"/>
      <c r="C743" s="6"/>
      <c r="D743" s="62"/>
      <c r="E743" s="62"/>
      <c r="F743" s="62"/>
      <c r="G743" s="62"/>
      <c r="H743" s="62"/>
      <c r="I743" s="62"/>
      <c r="J743" s="62"/>
      <c r="K743" s="62"/>
      <c r="L743" s="62"/>
      <c r="M743" s="62"/>
      <c r="N743" s="62"/>
      <c r="O743" s="62"/>
      <c r="P743" s="62"/>
      <c r="Q743" s="62"/>
      <c r="R743" s="62"/>
      <c r="S743" s="62"/>
      <c r="T743" s="62"/>
      <c r="U743" s="62"/>
      <c r="V743" s="62"/>
      <c r="W743" s="62"/>
      <c r="X743" s="62"/>
      <c r="Y743" s="62"/>
      <c r="Z743" s="62"/>
      <c r="AA743" s="62"/>
      <c r="AB743" s="62"/>
      <c r="AC743" s="62"/>
      <c r="AD743" s="62"/>
    </row>
    <row r="744">
      <c r="A744" s="6"/>
      <c r="B744" s="6"/>
      <c r="C744" s="6"/>
      <c r="D744" s="62"/>
      <c r="E744" s="62"/>
      <c r="F744" s="62"/>
      <c r="G744" s="62"/>
      <c r="H744" s="62"/>
      <c r="I744" s="62"/>
      <c r="J744" s="62"/>
      <c r="K744" s="62"/>
      <c r="L744" s="62"/>
      <c r="M744" s="62"/>
      <c r="N744" s="62"/>
      <c r="O744" s="62"/>
      <c r="P744" s="62"/>
      <c r="Q744" s="62"/>
      <c r="R744" s="62"/>
      <c r="S744" s="62"/>
      <c r="T744" s="62"/>
      <c r="U744" s="62"/>
      <c r="V744" s="62"/>
      <c r="W744" s="62"/>
      <c r="X744" s="62"/>
      <c r="Y744" s="62"/>
      <c r="Z744" s="62"/>
      <c r="AA744" s="62"/>
      <c r="AB744" s="62"/>
      <c r="AC744" s="62"/>
      <c r="AD744" s="62"/>
    </row>
    <row r="745">
      <c r="A745" s="6"/>
      <c r="B745" s="6"/>
      <c r="C745" s="6"/>
      <c r="D745" s="62"/>
      <c r="E745" s="62"/>
      <c r="F745" s="62"/>
      <c r="G745" s="62"/>
      <c r="H745" s="62"/>
      <c r="I745" s="62"/>
      <c r="J745" s="62"/>
      <c r="K745" s="62"/>
      <c r="L745" s="62"/>
      <c r="M745" s="62"/>
      <c r="N745" s="62"/>
      <c r="O745" s="62"/>
      <c r="P745" s="62"/>
      <c r="Q745" s="62"/>
      <c r="R745" s="62"/>
      <c r="S745" s="62"/>
      <c r="T745" s="62"/>
      <c r="U745" s="62"/>
      <c r="V745" s="62"/>
      <c r="W745" s="62"/>
      <c r="X745" s="62"/>
      <c r="Y745" s="62"/>
      <c r="Z745" s="62"/>
      <c r="AA745" s="62"/>
      <c r="AB745" s="62"/>
      <c r="AC745" s="62"/>
      <c r="AD745" s="62"/>
    </row>
    <row r="746">
      <c r="A746" s="6"/>
      <c r="B746" s="6"/>
      <c r="C746" s="6"/>
      <c r="D746" s="62"/>
      <c r="E746" s="62"/>
      <c r="F746" s="62"/>
      <c r="G746" s="62"/>
      <c r="H746" s="62"/>
      <c r="I746" s="62"/>
      <c r="J746" s="62"/>
      <c r="K746" s="62"/>
      <c r="L746" s="62"/>
      <c r="M746" s="62"/>
      <c r="N746" s="62"/>
      <c r="O746" s="62"/>
      <c r="P746" s="62"/>
      <c r="Q746" s="62"/>
      <c r="R746" s="62"/>
      <c r="S746" s="62"/>
      <c r="T746" s="62"/>
      <c r="U746" s="62"/>
      <c r="V746" s="62"/>
      <c r="W746" s="62"/>
      <c r="X746" s="62"/>
      <c r="Y746" s="62"/>
      <c r="Z746" s="62"/>
      <c r="AA746" s="62"/>
      <c r="AB746" s="62"/>
      <c r="AC746" s="62"/>
      <c r="AD746" s="62"/>
    </row>
    <row r="747">
      <c r="A747" s="6"/>
      <c r="B747" s="6"/>
      <c r="C747" s="6"/>
      <c r="D747" s="62"/>
      <c r="E747" s="62"/>
      <c r="F747" s="62"/>
      <c r="G747" s="62"/>
      <c r="H747" s="62"/>
      <c r="I747" s="62"/>
      <c r="J747" s="62"/>
      <c r="K747" s="62"/>
      <c r="L747" s="62"/>
      <c r="M747" s="62"/>
      <c r="N747" s="62"/>
      <c r="O747" s="62"/>
      <c r="P747" s="62"/>
      <c r="Q747" s="62"/>
      <c r="R747" s="62"/>
      <c r="S747" s="62"/>
      <c r="T747" s="62"/>
      <c r="U747" s="62"/>
      <c r="V747" s="62"/>
      <c r="W747" s="62"/>
      <c r="X747" s="62"/>
      <c r="Y747" s="62"/>
      <c r="Z747" s="62"/>
      <c r="AA747" s="62"/>
      <c r="AB747" s="62"/>
      <c r="AC747" s="62"/>
      <c r="AD747" s="62"/>
    </row>
    <row r="748">
      <c r="A748" s="6"/>
      <c r="B748" s="6"/>
      <c r="C748" s="6"/>
      <c r="D748" s="62"/>
      <c r="E748" s="62"/>
      <c r="F748" s="62"/>
      <c r="G748" s="62"/>
      <c r="H748" s="62"/>
      <c r="I748" s="62"/>
      <c r="J748" s="62"/>
      <c r="K748" s="62"/>
      <c r="L748" s="62"/>
      <c r="M748" s="62"/>
      <c r="N748" s="62"/>
      <c r="O748" s="62"/>
      <c r="P748" s="62"/>
      <c r="Q748" s="62"/>
      <c r="R748" s="62"/>
      <c r="S748" s="62"/>
      <c r="T748" s="62"/>
      <c r="U748" s="62"/>
      <c r="V748" s="62"/>
      <c r="W748" s="62"/>
      <c r="X748" s="62"/>
      <c r="Y748" s="62"/>
      <c r="Z748" s="62"/>
      <c r="AA748" s="62"/>
      <c r="AB748" s="62"/>
      <c r="AC748" s="62"/>
      <c r="AD748" s="62"/>
    </row>
    <row r="749">
      <c r="A749" s="6"/>
      <c r="B749" s="6"/>
      <c r="C749" s="6"/>
      <c r="D749" s="62"/>
      <c r="E749" s="62"/>
      <c r="F749" s="62"/>
      <c r="G749" s="62"/>
      <c r="H749" s="62"/>
      <c r="I749" s="62"/>
      <c r="J749" s="62"/>
      <c r="K749" s="62"/>
      <c r="L749" s="62"/>
      <c r="M749" s="62"/>
      <c r="N749" s="62"/>
      <c r="O749" s="62"/>
      <c r="P749" s="62"/>
      <c r="Q749" s="62"/>
      <c r="R749" s="62"/>
      <c r="S749" s="62"/>
      <c r="T749" s="62"/>
      <c r="U749" s="62"/>
      <c r="V749" s="62"/>
      <c r="W749" s="62"/>
      <c r="X749" s="62"/>
      <c r="Y749" s="62"/>
      <c r="Z749" s="62"/>
      <c r="AA749" s="62"/>
      <c r="AB749" s="62"/>
      <c r="AC749" s="62"/>
      <c r="AD749" s="62"/>
    </row>
    <row r="750">
      <c r="A750" s="6"/>
      <c r="B750" s="6"/>
      <c r="C750" s="6"/>
      <c r="D750" s="62"/>
      <c r="E750" s="62"/>
      <c r="F750" s="62"/>
      <c r="G750" s="62"/>
      <c r="H750" s="62"/>
      <c r="I750" s="62"/>
      <c r="J750" s="62"/>
      <c r="K750" s="62"/>
      <c r="L750" s="62"/>
      <c r="M750" s="62"/>
      <c r="N750" s="62"/>
      <c r="O750" s="62"/>
      <c r="P750" s="62"/>
      <c r="Q750" s="62"/>
      <c r="R750" s="62"/>
      <c r="S750" s="62"/>
      <c r="T750" s="62"/>
      <c r="U750" s="62"/>
      <c r="V750" s="62"/>
      <c r="W750" s="62"/>
      <c r="X750" s="62"/>
      <c r="Y750" s="62"/>
      <c r="Z750" s="62"/>
      <c r="AA750" s="62"/>
      <c r="AB750" s="62"/>
      <c r="AC750" s="62"/>
      <c r="AD750" s="62"/>
    </row>
    <row r="751">
      <c r="A751" s="6"/>
      <c r="B751" s="6"/>
      <c r="C751" s="6"/>
      <c r="D751" s="62"/>
      <c r="E751" s="62"/>
      <c r="F751" s="62"/>
      <c r="G751" s="62"/>
      <c r="H751" s="62"/>
      <c r="I751" s="62"/>
      <c r="J751" s="62"/>
      <c r="K751" s="62"/>
      <c r="L751" s="62"/>
      <c r="M751" s="62"/>
      <c r="N751" s="62"/>
      <c r="O751" s="62"/>
      <c r="P751" s="62"/>
      <c r="Q751" s="62"/>
      <c r="R751" s="62"/>
      <c r="S751" s="62"/>
      <c r="T751" s="62"/>
      <c r="U751" s="62"/>
      <c r="V751" s="62"/>
      <c r="W751" s="62"/>
      <c r="X751" s="62"/>
      <c r="Y751" s="62"/>
      <c r="Z751" s="62"/>
      <c r="AA751" s="62"/>
      <c r="AB751" s="62"/>
      <c r="AC751" s="62"/>
      <c r="AD751" s="62"/>
    </row>
    <row r="752">
      <c r="A752" s="6"/>
      <c r="B752" s="6"/>
      <c r="C752" s="6"/>
      <c r="D752" s="62"/>
      <c r="E752" s="62"/>
      <c r="F752" s="62"/>
      <c r="G752" s="62"/>
      <c r="H752" s="62"/>
      <c r="I752" s="62"/>
      <c r="J752" s="62"/>
      <c r="K752" s="62"/>
      <c r="L752" s="62"/>
      <c r="M752" s="62"/>
      <c r="N752" s="62"/>
      <c r="O752" s="62"/>
      <c r="P752" s="62"/>
      <c r="Q752" s="62"/>
      <c r="R752" s="62"/>
      <c r="S752" s="62"/>
      <c r="T752" s="62"/>
      <c r="U752" s="62"/>
      <c r="V752" s="62"/>
      <c r="W752" s="62"/>
      <c r="X752" s="62"/>
      <c r="Y752" s="62"/>
      <c r="Z752" s="62"/>
      <c r="AA752" s="62"/>
      <c r="AB752" s="62"/>
      <c r="AC752" s="62"/>
      <c r="AD752" s="62"/>
    </row>
    <row r="753">
      <c r="A753" s="6"/>
      <c r="B753" s="6"/>
      <c r="C753" s="6"/>
      <c r="D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c r="AB753" s="62"/>
      <c r="AC753" s="62"/>
      <c r="AD753" s="62"/>
    </row>
    <row r="754">
      <c r="A754" s="6"/>
      <c r="B754" s="6"/>
      <c r="C754" s="6"/>
      <c r="D754" s="62"/>
      <c r="E754" s="62"/>
      <c r="F754" s="62"/>
      <c r="G754" s="62"/>
      <c r="H754" s="62"/>
      <c r="I754" s="62"/>
      <c r="J754" s="62"/>
      <c r="K754" s="62"/>
      <c r="L754" s="62"/>
      <c r="M754" s="62"/>
      <c r="N754" s="62"/>
      <c r="O754" s="62"/>
      <c r="P754" s="62"/>
      <c r="Q754" s="62"/>
      <c r="R754" s="62"/>
      <c r="S754" s="62"/>
      <c r="T754" s="62"/>
      <c r="U754" s="62"/>
      <c r="V754" s="62"/>
      <c r="W754" s="62"/>
      <c r="X754" s="62"/>
      <c r="Y754" s="62"/>
      <c r="Z754" s="62"/>
      <c r="AA754" s="62"/>
      <c r="AB754" s="62"/>
      <c r="AC754" s="62"/>
      <c r="AD754" s="62"/>
    </row>
    <row r="755">
      <c r="A755" s="6"/>
      <c r="B755" s="6"/>
      <c r="C755" s="6"/>
      <c r="D755" s="62"/>
      <c r="E755" s="62"/>
      <c r="F755" s="62"/>
      <c r="G755" s="62"/>
      <c r="H755" s="62"/>
      <c r="I755" s="62"/>
      <c r="J755" s="62"/>
      <c r="K755" s="62"/>
      <c r="L755" s="62"/>
      <c r="M755" s="62"/>
      <c r="N755" s="62"/>
      <c r="O755" s="62"/>
      <c r="P755" s="62"/>
      <c r="Q755" s="62"/>
      <c r="R755" s="62"/>
      <c r="S755" s="62"/>
      <c r="T755" s="62"/>
      <c r="U755" s="62"/>
      <c r="V755" s="62"/>
      <c r="W755" s="62"/>
      <c r="X755" s="62"/>
      <c r="Y755" s="62"/>
      <c r="Z755" s="62"/>
      <c r="AA755" s="62"/>
      <c r="AB755" s="62"/>
      <c r="AC755" s="62"/>
      <c r="AD755" s="62"/>
    </row>
    <row r="756">
      <c r="A756" s="6"/>
      <c r="B756" s="6"/>
      <c r="C756" s="6"/>
      <c r="D756" s="62"/>
      <c r="E756" s="62"/>
      <c r="F756" s="62"/>
      <c r="G756" s="62"/>
      <c r="H756" s="62"/>
      <c r="I756" s="62"/>
      <c r="J756" s="62"/>
      <c r="K756" s="62"/>
      <c r="L756" s="62"/>
      <c r="M756" s="62"/>
      <c r="N756" s="62"/>
      <c r="O756" s="62"/>
      <c r="P756" s="62"/>
      <c r="Q756" s="62"/>
      <c r="R756" s="62"/>
      <c r="S756" s="62"/>
      <c r="T756" s="62"/>
      <c r="U756" s="62"/>
      <c r="V756" s="62"/>
      <c r="W756" s="62"/>
      <c r="X756" s="62"/>
      <c r="Y756" s="62"/>
      <c r="Z756" s="62"/>
      <c r="AA756" s="62"/>
      <c r="AB756" s="62"/>
      <c r="AC756" s="62"/>
      <c r="AD756" s="62"/>
    </row>
    <row r="757">
      <c r="A757" s="6"/>
      <c r="B757" s="6"/>
      <c r="C757" s="6"/>
      <c r="D757" s="62"/>
      <c r="E757" s="62"/>
      <c r="F757" s="62"/>
      <c r="G757" s="62"/>
      <c r="H757" s="62"/>
      <c r="I757" s="62"/>
      <c r="J757" s="62"/>
      <c r="K757" s="62"/>
      <c r="L757" s="62"/>
      <c r="M757" s="62"/>
      <c r="N757" s="62"/>
      <c r="O757" s="62"/>
      <c r="P757" s="62"/>
      <c r="Q757" s="62"/>
      <c r="R757" s="62"/>
      <c r="S757" s="62"/>
      <c r="T757" s="62"/>
      <c r="U757" s="62"/>
      <c r="V757" s="62"/>
      <c r="W757" s="62"/>
      <c r="X757" s="62"/>
      <c r="Y757" s="62"/>
      <c r="Z757" s="62"/>
      <c r="AA757" s="62"/>
      <c r="AB757" s="62"/>
      <c r="AC757" s="62"/>
      <c r="AD757" s="62"/>
    </row>
    <row r="758">
      <c r="A758" s="6"/>
      <c r="B758" s="6"/>
      <c r="C758" s="6"/>
      <c r="D758" s="62"/>
      <c r="E758" s="62"/>
      <c r="F758" s="62"/>
      <c r="G758" s="62"/>
      <c r="H758" s="62"/>
      <c r="I758" s="62"/>
      <c r="J758" s="62"/>
      <c r="K758" s="62"/>
      <c r="L758" s="62"/>
      <c r="M758" s="62"/>
      <c r="N758" s="62"/>
      <c r="O758" s="62"/>
      <c r="P758" s="62"/>
      <c r="Q758" s="62"/>
      <c r="R758" s="62"/>
      <c r="S758" s="62"/>
      <c r="T758" s="62"/>
      <c r="U758" s="62"/>
      <c r="V758" s="62"/>
      <c r="W758" s="62"/>
      <c r="X758" s="62"/>
      <c r="Y758" s="62"/>
      <c r="Z758" s="62"/>
      <c r="AA758" s="62"/>
      <c r="AB758" s="62"/>
      <c r="AC758" s="62"/>
      <c r="AD758" s="62"/>
    </row>
    <row r="759">
      <c r="A759" s="6"/>
      <c r="B759" s="6"/>
      <c r="C759" s="6"/>
      <c r="D759" s="62"/>
      <c r="E759" s="62"/>
      <c r="F759" s="62"/>
      <c r="G759" s="62"/>
      <c r="H759" s="62"/>
      <c r="I759" s="62"/>
      <c r="J759" s="62"/>
      <c r="K759" s="62"/>
      <c r="L759" s="62"/>
      <c r="M759" s="62"/>
      <c r="N759" s="62"/>
      <c r="O759" s="62"/>
      <c r="P759" s="62"/>
      <c r="Q759" s="62"/>
      <c r="R759" s="62"/>
      <c r="S759" s="62"/>
      <c r="T759" s="62"/>
      <c r="U759" s="62"/>
      <c r="V759" s="62"/>
      <c r="W759" s="62"/>
      <c r="X759" s="62"/>
      <c r="Y759" s="62"/>
      <c r="Z759" s="62"/>
      <c r="AA759" s="62"/>
      <c r="AB759" s="62"/>
      <c r="AC759" s="62"/>
      <c r="AD759" s="62"/>
    </row>
    <row r="760">
      <c r="A760" s="6"/>
      <c r="B760" s="6"/>
      <c r="C760" s="6"/>
      <c r="D760" s="62"/>
      <c r="E760" s="62"/>
      <c r="F760" s="62"/>
      <c r="G760" s="62"/>
      <c r="H760" s="62"/>
      <c r="I760" s="62"/>
      <c r="J760" s="62"/>
      <c r="K760" s="62"/>
      <c r="L760" s="62"/>
      <c r="M760" s="62"/>
      <c r="N760" s="62"/>
      <c r="O760" s="62"/>
      <c r="P760" s="62"/>
      <c r="Q760" s="62"/>
      <c r="R760" s="62"/>
      <c r="S760" s="62"/>
      <c r="T760" s="62"/>
      <c r="U760" s="62"/>
      <c r="V760" s="62"/>
      <c r="W760" s="62"/>
      <c r="X760" s="62"/>
      <c r="Y760" s="62"/>
      <c r="Z760" s="62"/>
      <c r="AA760" s="62"/>
      <c r="AB760" s="62"/>
      <c r="AC760" s="62"/>
      <c r="AD760" s="62"/>
    </row>
    <row r="761">
      <c r="A761" s="6"/>
      <c r="B761" s="6"/>
      <c r="C761" s="6"/>
      <c r="D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c r="AB761" s="62"/>
      <c r="AC761" s="62"/>
      <c r="AD761" s="62"/>
    </row>
    <row r="762">
      <c r="A762" s="6"/>
      <c r="B762" s="6"/>
      <c r="C762" s="6"/>
      <c r="D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c r="AB762" s="62"/>
      <c r="AC762" s="62"/>
      <c r="AD762" s="62"/>
    </row>
    <row r="763">
      <c r="A763" s="6"/>
      <c r="B763" s="6"/>
      <c r="C763" s="6"/>
      <c r="D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c r="AB763" s="62"/>
      <c r="AC763" s="62"/>
      <c r="AD763" s="62"/>
    </row>
    <row r="764">
      <c r="A764" s="6"/>
      <c r="B764" s="6"/>
      <c r="C764" s="6"/>
      <c r="D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c r="AB764" s="62"/>
      <c r="AC764" s="62"/>
      <c r="AD764" s="62"/>
    </row>
    <row r="765">
      <c r="A765" s="6"/>
      <c r="B765" s="6"/>
      <c r="C765" s="6"/>
      <c r="D765" s="62"/>
      <c r="E765" s="62"/>
      <c r="F765" s="62"/>
      <c r="G765" s="62"/>
      <c r="H765" s="62"/>
      <c r="I765" s="62"/>
      <c r="J765" s="62"/>
      <c r="K765" s="62"/>
      <c r="L765" s="62"/>
      <c r="M765" s="62"/>
      <c r="N765" s="62"/>
      <c r="O765" s="62"/>
      <c r="P765" s="62"/>
      <c r="Q765" s="62"/>
      <c r="R765" s="62"/>
      <c r="S765" s="62"/>
      <c r="T765" s="62"/>
      <c r="U765" s="62"/>
      <c r="V765" s="62"/>
      <c r="W765" s="62"/>
      <c r="X765" s="62"/>
      <c r="Y765" s="62"/>
      <c r="Z765" s="62"/>
      <c r="AA765" s="62"/>
      <c r="AB765" s="62"/>
      <c r="AC765" s="62"/>
      <c r="AD765" s="62"/>
    </row>
    <row r="766">
      <c r="A766" s="6"/>
      <c r="B766" s="6"/>
      <c r="C766" s="6"/>
      <c r="D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c r="AB766" s="62"/>
      <c r="AC766" s="62"/>
      <c r="AD766" s="62"/>
    </row>
    <row r="767">
      <c r="A767" s="6"/>
      <c r="B767" s="6"/>
      <c r="C767" s="6"/>
      <c r="D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c r="AB767" s="62"/>
      <c r="AC767" s="62"/>
      <c r="AD767" s="62"/>
    </row>
    <row r="768">
      <c r="A768" s="6"/>
      <c r="B768" s="6"/>
      <c r="C768" s="6"/>
      <c r="D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c r="AB768" s="62"/>
      <c r="AC768" s="62"/>
      <c r="AD768" s="62"/>
    </row>
    <row r="769">
      <c r="A769" s="6"/>
      <c r="B769" s="6"/>
      <c r="C769" s="6"/>
      <c r="D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c r="AB769" s="62"/>
      <c r="AC769" s="62"/>
      <c r="AD769" s="62"/>
    </row>
    <row r="770">
      <c r="A770" s="6"/>
      <c r="B770" s="6"/>
      <c r="C770" s="6"/>
      <c r="D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c r="AB770" s="62"/>
      <c r="AC770" s="62"/>
      <c r="AD770" s="62"/>
    </row>
    <row r="771">
      <c r="A771" s="6"/>
      <c r="B771" s="6"/>
      <c r="C771" s="6"/>
      <c r="D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c r="AB771" s="62"/>
      <c r="AC771" s="62"/>
      <c r="AD771" s="62"/>
    </row>
    <row r="772">
      <c r="A772" s="6"/>
      <c r="B772" s="6"/>
      <c r="C772" s="6"/>
      <c r="D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c r="AB772" s="62"/>
      <c r="AC772" s="62"/>
      <c r="AD772" s="62"/>
    </row>
    <row r="773">
      <c r="A773" s="6"/>
      <c r="B773" s="6"/>
      <c r="C773" s="6"/>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c r="AB773" s="62"/>
      <c r="AC773" s="62"/>
      <c r="AD773" s="62"/>
    </row>
    <row r="774">
      <c r="A774" s="6"/>
      <c r="B774" s="6"/>
      <c r="C774" s="6"/>
      <c r="D774" s="62"/>
      <c r="E774" s="62"/>
      <c r="F774" s="62"/>
      <c r="G774" s="62"/>
      <c r="H774" s="62"/>
      <c r="I774" s="62"/>
      <c r="J774" s="62"/>
      <c r="K774" s="62"/>
      <c r="L774" s="62"/>
      <c r="M774" s="62"/>
      <c r="N774" s="62"/>
      <c r="O774" s="62"/>
      <c r="P774" s="62"/>
      <c r="Q774" s="62"/>
      <c r="R774" s="62"/>
      <c r="S774" s="62"/>
      <c r="T774" s="62"/>
      <c r="U774" s="62"/>
      <c r="V774" s="62"/>
      <c r="W774" s="62"/>
      <c r="X774" s="62"/>
      <c r="Y774" s="62"/>
      <c r="Z774" s="62"/>
      <c r="AA774" s="62"/>
      <c r="AB774" s="62"/>
      <c r="AC774" s="62"/>
      <c r="AD774" s="62"/>
    </row>
    <row r="775">
      <c r="A775" s="6"/>
      <c r="B775" s="6"/>
      <c r="C775" s="6"/>
      <c r="D775" s="62"/>
      <c r="E775" s="62"/>
      <c r="F775" s="62"/>
      <c r="G775" s="62"/>
      <c r="H775" s="62"/>
      <c r="I775" s="62"/>
      <c r="J775" s="62"/>
      <c r="K775" s="62"/>
      <c r="L775" s="62"/>
      <c r="M775" s="62"/>
      <c r="N775" s="62"/>
      <c r="O775" s="62"/>
      <c r="P775" s="62"/>
      <c r="Q775" s="62"/>
      <c r="R775" s="62"/>
      <c r="S775" s="62"/>
      <c r="T775" s="62"/>
      <c r="U775" s="62"/>
      <c r="V775" s="62"/>
      <c r="W775" s="62"/>
      <c r="X775" s="62"/>
      <c r="Y775" s="62"/>
      <c r="Z775" s="62"/>
      <c r="AA775" s="62"/>
      <c r="AB775" s="62"/>
      <c r="AC775" s="62"/>
      <c r="AD775" s="62"/>
    </row>
    <row r="776">
      <c r="A776" s="6"/>
      <c r="B776" s="6"/>
      <c r="C776" s="6"/>
      <c r="D776" s="62"/>
      <c r="E776" s="62"/>
      <c r="F776" s="62"/>
      <c r="G776" s="62"/>
      <c r="H776" s="62"/>
      <c r="I776" s="62"/>
      <c r="J776" s="62"/>
      <c r="K776" s="62"/>
      <c r="L776" s="62"/>
      <c r="M776" s="62"/>
      <c r="N776" s="62"/>
      <c r="O776" s="62"/>
      <c r="P776" s="62"/>
      <c r="Q776" s="62"/>
      <c r="R776" s="62"/>
      <c r="S776" s="62"/>
      <c r="T776" s="62"/>
      <c r="U776" s="62"/>
      <c r="V776" s="62"/>
      <c r="W776" s="62"/>
      <c r="X776" s="62"/>
      <c r="Y776" s="62"/>
      <c r="Z776" s="62"/>
      <c r="AA776" s="62"/>
      <c r="AB776" s="62"/>
      <c r="AC776" s="62"/>
      <c r="AD776" s="62"/>
    </row>
    <row r="777">
      <c r="A777" s="6"/>
      <c r="B777" s="6"/>
      <c r="C777" s="6"/>
      <c r="D777" s="62"/>
      <c r="E777" s="62"/>
      <c r="F777" s="62"/>
      <c r="G777" s="62"/>
      <c r="H777" s="62"/>
      <c r="I777" s="62"/>
      <c r="J777" s="62"/>
      <c r="K777" s="62"/>
      <c r="L777" s="62"/>
      <c r="M777" s="62"/>
      <c r="N777" s="62"/>
      <c r="O777" s="62"/>
      <c r="P777" s="62"/>
      <c r="Q777" s="62"/>
      <c r="R777" s="62"/>
      <c r="S777" s="62"/>
      <c r="T777" s="62"/>
      <c r="U777" s="62"/>
      <c r="V777" s="62"/>
      <c r="W777" s="62"/>
      <c r="X777" s="62"/>
      <c r="Y777" s="62"/>
      <c r="Z777" s="62"/>
      <c r="AA777" s="62"/>
      <c r="AB777" s="62"/>
      <c r="AC777" s="62"/>
      <c r="AD777" s="62"/>
    </row>
    <row r="778">
      <c r="A778" s="6"/>
      <c r="B778" s="6"/>
      <c r="C778" s="6"/>
      <c r="D778" s="62"/>
      <c r="E778" s="62"/>
      <c r="F778" s="62"/>
      <c r="G778" s="62"/>
      <c r="H778" s="62"/>
      <c r="I778" s="62"/>
      <c r="J778" s="62"/>
      <c r="K778" s="62"/>
      <c r="L778" s="62"/>
      <c r="M778" s="62"/>
      <c r="N778" s="62"/>
      <c r="O778" s="62"/>
      <c r="P778" s="62"/>
      <c r="Q778" s="62"/>
      <c r="R778" s="62"/>
      <c r="S778" s="62"/>
      <c r="T778" s="62"/>
      <c r="U778" s="62"/>
      <c r="V778" s="62"/>
      <c r="W778" s="62"/>
      <c r="X778" s="62"/>
      <c r="Y778" s="62"/>
      <c r="Z778" s="62"/>
      <c r="AA778" s="62"/>
      <c r="AB778" s="62"/>
      <c r="AC778" s="62"/>
      <c r="AD778" s="62"/>
    </row>
    <row r="779">
      <c r="A779" s="6"/>
      <c r="B779" s="6"/>
      <c r="C779" s="6"/>
      <c r="D779" s="62"/>
      <c r="E779" s="62"/>
      <c r="F779" s="62"/>
      <c r="G779" s="62"/>
      <c r="H779" s="62"/>
      <c r="I779" s="62"/>
      <c r="J779" s="62"/>
      <c r="K779" s="62"/>
      <c r="L779" s="62"/>
      <c r="M779" s="62"/>
      <c r="N779" s="62"/>
      <c r="O779" s="62"/>
      <c r="P779" s="62"/>
      <c r="Q779" s="62"/>
      <c r="R779" s="62"/>
      <c r="S779" s="62"/>
      <c r="T779" s="62"/>
      <c r="U779" s="62"/>
      <c r="V779" s="62"/>
      <c r="W779" s="62"/>
      <c r="X779" s="62"/>
      <c r="Y779" s="62"/>
      <c r="Z779" s="62"/>
      <c r="AA779" s="62"/>
      <c r="AB779" s="62"/>
      <c r="AC779" s="62"/>
      <c r="AD779" s="62"/>
    </row>
    <row r="780">
      <c r="A780" s="6"/>
      <c r="B780" s="6"/>
      <c r="C780" s="6"/>
      <c r="D780" s="62"/>
      <c r="E780" s="62"/>
      <c r="F780" s="62"/>
      <c r="G780" s="62"/>
      <c r="H780" s="62"/>
      <c r="I780" s="62"/>
      <c r="J780" s="62"/>
      <c r="K780" s="62"/>
      <c r="L780" s="62"/>
      <c r="M780" s="62"/>
      <c r="N780" s="62"/>
      <c r="O780" s="62"/>
      <c r="P780" s="62"/>
      <c r="Q780" s="62"/>
      <c r="R780" s="62"/>
      <c r="S780" s="62"/>
      <c r="T780" s="62"/>
      <c r="U780" s="62"/>
      <c r="V780" s="62"/>
      <c r="W780" s="62"/>
      <c r="X780" s="62"/>
      <c r="Y780" s="62"/>
      <c r="Z780" s="62"/>
      <c r="AA780" s="62"/>
      <c r="AB780" s="62"/>
      <c r="AC780" s="62"/>
      <c r="AD780" s="62"/>
    </row>
    <row r="781">
      <c r="A781" s="6"/>
      <c r="B781" s="6"/>
      <c r="C781" s="6"/>
      <c r="D781" s="62"/>
      <c r="E781" s="62"/>
      <c r="F781" s="62"/>
      <c r="G781" s="62"/>
      <c r="H781" s="62"/>
      <c r="I781" s="62"/>
      <c r="J781" s="62"/>
      <c r="K781" s="62"/>
      <c r="L781" s="62"/>
      <c r="M781" s="62"/>
      <c r="N781" s="62"/>
      <c r="O781" s="62"/>
      <c r="P781" s="62"/>
      <c r="Q781" s="62"/>
      <c r="R781" s="62"/>
      <c r="S781" s="62"/>
      <c r="T781" s="62"/>
      <c r="U781" s="62"/>
      <c r="V781" s="62"/>
      <c r="W781" s="62"/>
      <c r="X781" s="62"/>
      <c r="Y781" s="62"/>
      <c r="Z781" s="62"/>
      <c r="AA781" s="62"/>
      <c r="AB781" s="62"/>
      <c r="AC781" s="62"/>
      <c r="AD781" s="62"/>
    </row>
    <row r="782">
      <c r="A782" s="6"/>
      <c r="B782" s="6"/>
      <c r="C782" s="6"/>
      <c r="D782" s="62"/>
      <c r="E782" s="62"/>
      <c r="F782" s="62"/>
      <c r="G782" s="62"/>
      <c r="H782" s="62"/>
      <c r="I782" s="62"/>
      <c r="J782" s="62"/>
      <c r="K782" s="62"/>
      <c r="L782" s="62"/>
      <c r="M782" s="62"/>
      <c r="N782" s="62"/>
      <c r="O782" s="62"/>
      <c r="P782" s="62"/>
      <c r="Q782" s="62"/>
      <c r="R782" s="62"/>
      <c r="S782" s="62"/>
      <c r="T782" s="62"/>
      <c r="U782" s="62"/>
      <c r="V782" s="62"/>
      <c r="W782" s="62"/>
      <c r="X782" s="62"/>
      <c r="Y782" s="62"/>
      <c r="Z782" s="62"/>
      <c r="AA782" s="62"/>
      <c r="AB782" s="62"/>
      <c r="AC782" s="62"/>
      <c r="AD782" s="62"/>
    </row>
    <row r="783">
      <c r="A783" s="6"/>
      <c r="B783" s="6"/>
      <c r="C783" s="6"/>
      <c r="D783" s="62"/>
      <c r="E783" s="62"/>
      <c r="F783" s="62"/>
      <c r="G783" s="62"/>
      <c r="H783" s="62"/>
      <c r="I783" s="62"/>
      <c r="J783" s="62"/>
      <c r="K783" s="62"/>
      <c r="L783" s="62"/>
      <c r="M783" s="62"/>
      <c r="N783" s="62"/>
      <c r="O783" s="62"/>
      <c r="P783" s="62"/>
      <c r="Q783" s="62"/>
      <c r="R783" s="62"/>
      <c r="S783" s="62"/>
      <c r="T783" s="62"/>
      <c r="U783" s="62"/>
      <c r="V783" s="62"/>
      <c r="W783" s="62"/>
      <c r="X783" s="62"/>
      <c r="Y783" s="62"/>
      <c r="Z783" s="62"/>
      <c r="AA783" s="62"/>
      <c r="AB783" s="62"/>
      <c r="AC783" s="62"/>
      <c r="AD783" s="62"/>
    </row>
    <row r="784">
      <c r="A784" s="6"/>
      <c r="B784" s="6"/>
      <c r="C784" s="6"/>
      <c r="D784" s="62"/>
      <c r="E784" s="62"/>
      <c r="F784" s="62"/>
      <c r="G784" s="62"/>
      <c r="H784" s="62"/>
      <c r="I784" s="62"/>
      <c r="J784" s="62"/>
      <c r="K784" s="62"/>
      <c r="L784" s="62"/>
      <c r="M784" s="62"/>
      <c r="N784" s="62"/>
      <c r="O784" s="62"/>
      <c r="P784" s="62"/>
      <c r="Q784" s="62"/>
      <c r="R784" s="62"/>
      <c r="S784" s="62"/>
      <c r="T784" s="62"/>
      <c r="U784" s="62"/>
      <c r="V784" s="62"/>
      <c r="W784" s="62"/>
      <c r="X784" s="62"/>
      <c r="Y784" s="62"/>
      <c r="Z784" s="62"/>
      <c r="AA784" s="62"/>
      <c r="AB784" s="62"/>
      <c r="AC784" s="62"/>
      <c r="AD784" s="62"/>
    </row>
    <row r="785">
      <c r="A785" s="6"/>
      <c r="B785" s="6"/>
      <c r="C785" s="6"/>
      <c r="D785" s="62"/>
      <c r="E785" s="62"/>
      <c r="F785" s="62"/>
      <c r="G785" s="62"/>
      <c r="H785" s="62"/>
      <c r="I785" s="62"/>
      <c r="J785" s="62"/>
      <c r="K785" s="62"/>
      <c r="L785" s="62"/>
      <c r="M785" s="62"/>
      <c r="N785" s="62"/>
      <c r="O785" s="62"/>
      <c r="P785" s="62"/>
      <c r="Q785" s="62"/>
      <c r="R785" s="62"/>
      <c r="S785" s="62"/>
      <c r="T785" s="62"/>
      <c r="U785" s="62"/>
      <c r="V785" s="62"/>
      <c r="W785" s="62"/>
      <c r="X785" s="62"/>
      <c r="Y785" s="62"/>
      <c r="Z785" s="62"/>
      <c r="AA785" s="62"/>
      <c r="AB785" s="62"/>
      <c r="AC785" s="62"/>
      <c r="AD785" s="62"/>
    </row>
    <row r="786">
      <c r="A786" s="6"/>
      <c r="B786" s="6"/>
      <c r="C786" s="6"/>
      <c r="D786" s="62"/>
      <c r="E786" s="62"/>
      <c r="F786" s="62"/>
      <c r="G786" s="62"/>
      <c r="H786" s="62"/>
      <c r="I786" s="62"/>
      <c r="J786" s="62"/>
      <c r="K786" s="62"/>
      <c r="L786" s="62"/>
      <c r="M786" s="62"/>
      <c r="N786" s="62"/>
      <c r="O786" s="62"/>
      <c r="P786" s="62"/>
      <c r="Q786" s="62"/>
      <c r="R786" s="62"/>
      <c r="S786" s="62"/>
      <c r="T786" s="62"/>
      <c r="U786" s="62"/>
      <c r="V786" s="62"/>
      <c r="W786" s="62"/>
      <c r="X786" s="62"/>
      <c r="Y786" s="62"/>
      <c r="Z786" s="62"/>
      <c r="AA786" s="62"/>
      <c r="AB786" s="62"/>
      <c r="AC786" s="62"/>
      <c r="AD786" s="62"/>
    </row>
    <row r="787">
      <c r="A787" s="6"/>
      <c r="B787" s="6"/>
      <c r="C787" s="6"/>
      <c r="D787" s="62"/>
      <c r="E787" s="62"/>
      <c r="F787" s="62"/>
      <c r="G787" s="62"/>
      <c r="H787" s="62"/>
      <c r="I787" s="62"/>
      <c r="J787" s="62"/>
      <c r="K787" s="62"/>
      <c r="L787" s="62"/>
      <c r="M787" s="62"/>
      <c r="N787" s="62"/>
      <c r="O787" s="62"/>
      <c r="P787" s="62"/>
      <c r="Q787" s="62"/>
      <c r="R787" s="62"/>
      <c r="S787" s="62"/>
      <c r="T787" s="62"/>
      <c r="U787" s="62"/>
      <c r="V787" s="62"/>
      <c r="W787" s="62"/>
      <c r="X787" s="62"/>
      <c r="Y787" s="62"/>
      <c r="Z787" s="62"/>
      <c r="AA787" s="62"/>
      <c r="AB787" s="62"/>
      <c r="AC787" s="62"/>
      <c r="AD787" s="62"/>
    </row>
    <row r="788">
      <c r="A788" s="6"/>
      <c r="B788" s="6"/>
      <c r="C788" s="6"/>
      <c r="D788" s="62"/>
      <c r="E788" s="62"/>
      <c r="F788" s="62"/>
      <c r="G788" s="62"/>
      <c r="H788" s="62"/>
      <c r="I788" s="62"/>
      <c r="J788" s="62"/>
      <c r="K788" s="62"/>
      <c r="L788" s="62"/>
      <c r="M788" s="62"/>
      <c r="N788" s="62"/>
      <c r="O788" s="62"/>
      <c r="P788" s="62"/>
      <c r="Q788" s="62"/>
      <c r="R788" s="62"/>
      <c r="S788" s="62"/>
      <c r="T788" s="62"/>
      <c r="U788" s="62"/>
      <c r="V788" s="62"/>
      <c r="W788" s="62"/>
      <c r="X788" s="62"/>
      <c r="Y788" s="62"/>
      <c r="Z788" s="62"/>
      <c r="AA788" s="62"/>
      <c r="AB788" s="62"/>
      <c r="AC788" s="62"/>
      <c r="AD788" s="62"/>
    </row>
    <row r="789">
      <c r="A789" s="6"/>
      <c r="B789" s="6"/>
      <c r="C789" s="6"/>
      <c r="D789" s="62"/>
      <c r="E789" s="62"/>
      <c r="F789" s="62"/>
      <c r="G789" s="62"/>
      <c r="H789" s="62"/>
      <c r="I789" s="62"/>
      <c r="J789" s="62"/>
      <c r="K789" s="62"/>
      <c r="L789" s="62"/>
      <c r="M789" s="62"/>
      <c r="N789" s="62"/>
      <c r="O789" s="62"/>
      <c r="P789" s="62"/>
      <c r="Q789" s="62"/>
      <c r="R789" s="62"/>
      <c r="S789" s="62"/>
      <c r="T789" s="62"/>
      <c r="U789" s="62"/>
      <c r="V789" s="62"/>
      <c r="W789" s="62"/>
      <c r="X789" s="62"/>
      <c r="Y789" s="62"/>
      <c r="Z789" s="62"/>
      <c r="AA789" s="62"/>
      <c r="AB789" s="62"/>
      <c r="AC789" s="62"/>
      <c r="AD789" s="62"/>
    </row>
    <row r="790">
      <c r="A790" s="6"/>
      <c r="B790" s="6"/>
      <c r="C790" s="6"/>
      <c r="D790" s="62"/>
      <c r="E790" s="62"/>
      <c r="F790" s="62"/>
      <c r="G790" s="62"/>
      <c r="H790" s="62"/>
      <c r="I790" s="62"/>
      <c r="J790" s="62"/>
      <c r="K790" s="62"/>
      <c r="L790" s="62"/>
      <c r="M790" s="62"/>
      <c r="N790" s="62"/>
      <c r="O790" s="62"/>
      <c r="P790" s="62"/>
      <c r="Q790" s="62"/>
      <c r="R790" s="62"/>
      <c r="S790" s="62"/>
      <c r="T790" s="62"/>
      <c r="U790" s="62"/>
      <c r="V790" s="62"/>
      <c r="W790" s="62"/>
      <c r="X790" s="62"/>
      <c r="Y790" s="62"/>
      <c r="Z790" s="62"/>
      <c r="AA790" s="62"/>
      <c r="AB790" s="62"/>
      <c r="AC790" s="62"/>
      <c r="AD790" s="62"/>
    </row>
    <row r="791">
      <c r="A791" s="6"/>
      <c r="B791" s="6"/>
      <c r="C791" s="6"/>
      <c r="D791" s="62"/>
      <c r="E791" s="62"/>
      <c r="F791" s="62"/>
      <c r="G791" s="62"/>
      <c r="H791" s="62"/>
      <c r="I791" s="62"/>
      <c r="J791" s="62"/>
      <c r="K791" s="62"/>
      <c r="L791" s="62"/>
      <c r="M791" s="62"/>
      <c r="N791" s="62"/>
      <c r="O791" s="62"/>
      <c r="P791" s="62"/>
      <c r="Q791" s="62"/>
      <c r="R791" s="62"/>
      <c r="S791" s="62"/>
      <c r="T791" s="62"/>
      <c r="U791" s="62"/>
      <c r="V791" s="62"/>
      <c r="W791" s="62"/>
      <c r="X791" s="62"/>
      <c r="Y791" s="62"/>
      <c r="Z791" s="62"/>
      <c r="AA791" s="62"/>
      <c r="AB791" s="62"/>
      <c r="AC791" s="62"/>
      <c r="AD791" s="62"/>
    </row>
    <row r="792">
      <c r="A792" s="6"/>
      <c r="B792" s="6"/>
      <c r="C792" s="6"/>
      <c r="D792" s="62"/>
      <c r="E792" s="62"/>
      <c r="F792" s="62"/>
      <c r="G792" s="62"/>
      <c r="H792" s="62"/>
      <c r="I792" s="62"/>
      <c r="J792" s="62"/>
      <c r="K792" s="62"/>
      <c r="L792" s="62"/>
      <c r="M792" s="62"/>
      <c r="N792" s="62"/>
      <c r="O792" s="62"/>
      <c r="P792" s="62"/>
      <c r="Q792" s="62"/>
      <c r="R792" s="62"/>
      <c r="S792" s="62"/>
      <c r="T792" s="62"/>
      <c r="U792" s="62"/>
      <c r="V792" s="62"/>
      <c r="W792" s="62"/>
      <c r="X792" s="62"/>
      <c r="Y792" s="62"/>
      <c r="Z792" s="62"/>
      <c r="AA792" s="62"/>
      <c r="AB792" s="62"/>
      <c r="AC792" s="62"/>
      <c r="AD792" s="62"/>
    </row>
    <row r="793">
      <c r="A793" s="6"/>
      <c r="B793" s="6"/>
      <c r="C793" s="6"/>
      <c r="D793" s="62"/>
      <c r="E793" s="62"/>
      <c r="F793" s="62"/>
      <c r="G793" s="62"/>
      <c r="H793" s="62"/>
      <c r="I793" s="62"/>
      <c r="J793" s="62"/>
      <c r="K793" s="62"/>
      <c r="L793" s="62"/>
      <c r="M793" s="62"/>
      <c r="N793" s="62"/>
      <c r="O793" s="62"/>
      <c r="P793" s="62"/>
      <c r="Q793" s="62"/>
      <c r="R793" s="62"/>
      <c r="S793" s="62"/>
      <c r="T793" s="62"/>
      <c r="U793" s="62"/>
      <c r="V793" s="62"/>
      <c r="W793" s="62"/>
      <c r="X793" s="62"/>
      <c r="Y793" s="62"/>
      <c r="Z793" s="62"/>
      <c r="AA793" s="62"/>
      <c r="AB793" s="62"/>
      <c r="AC793" s="62"/>
      <c r="AD793" s="62"/>
    </row>
    <row r="794">
      <c r="A794" s="6"/>
      <c r="B794" s="6"/>
      <c r="C794" s="6"/>
      <c r="D794" s="62"/>
      <c r="E794" s="62"/>
      <c r="F794" s="62"/>
      <c r="G794" s="62"/>
      <c r="H794" s="62"/>
      <c r="I794" s="62"/>
      <c r="J794" s="62"/>
      <c r="K794" s="62"/>
      <c r="L794" s="62"/>
      <c r="M794" s="62"/>
      <c r="N794" s="62"/>
      <c r="O794" s="62"/>
      <c r="P794" s="62"/>
      <c r="Q794" s="62"/>
      <c r="R794" s="62"/>
      <c r="S794" s="62"/>
      <c r="T794" s="62"/>
      <c r="U794" s="62"/>
      <c r="V794" s="62"/>
      <c r="W794" s="62"/>
      <c r="X794" s="62"/>
      <c r="Y794" s="62"/>
      <c r="Z794" s="62"/>
      <c r="AA794" s="62"/>
      <c r="AB794" s="62"/>
      <c r="AC794" s="62"/>
      <c r="AD794" s="62"/>
    </row>
    <row r="795">
      <c r="A795" s="6"/>
      <c r="B795" s="6"/>
      <c r="C795" s="6"/>
      <c r="D795" s="62"/>
      <c r="E795" s="62"/>
      <c r="F795" s="62"/>
      <c r="G795" s="62"/>
      <c r="H795" s="62"/>
      <c r="I795" s="62"/>
      <c r="J795" s="62"/>
      <c r="K795" s="62"/>
      <c r="L795" s="62"/>
      <c r="M795" s="62"/>
      <c r="N795" s="62"/>
      <c r="O795" s="62"/>
      <c r="P795" s="62"/>
      <c r="Q795" s="62"/>
      <c r="R795" s="62"/>
      <c r="S795" s="62"/>
      <c r="T795" s="62"/>
      <c r="U795" s="62"/>
      <c r="V795" s="62"/>
      <c r="W795" s="62"/>
      <c r="X795" s="62"/>
      <c r="Y795" s="62"/>
      <c r="Z795" s="62"/>
      <c r="AA795" s="62"/>
      <c r="AB795" s="62"/>
      <c r="AC795" s="62"/>
      <c r="AD795" s="62"/>
    </row>
    <row r="796">
      <c r="A796" s="6"/>
      <c r="B796" s="6"/>
      <c r="C796" s="6"/>
      <c r="D796" s="62"/>
      <c r="E796" s="62"/>
      <c r="F796" s="62"/>
      <c r="G796" s="62"/>
      <c r="H796" s="62"/>
      <c r="I796" s="62"/>
      <c r="J796" s="62"/>
      <c r="K796" s="62"/>
      <c r="L796" s="62"/>
      <c r="M796" s="62"/>
      <c r="N796" s="62"/>
      <c r="O796" s="62"/>
      <c r="P796" s="62"/>
      <c r="Q796" s="62"/>
      <c r="R796" s="62"/>
      <c r="S796" s="62"/>
      <c r="T796" s="62"/>
      <c r="U796" s="62"/>
      <c r="V796" s="62"/>
      <c r="W796" s="62"/>
      <c r="X796" s="62"/>
      <c r="Y796" s="62"/>
      <c r="Z796" s="62"/>
      <c r="AA796" s="62"/>
      <c r="AB796" s="62"/>
      <c r="AC796" s="62"/>
      <c r="AD796" s="62"/>
    </row>
    <row r="797">
      <c r="A797" s="6"/>
      <c r="B797" s="6"/>
      <c r="C797" s="6"/>
      <c r="D797" s="62"/>
      <c r="E797" s="62"/>
      <c r="F797" s="62"/>
      <c r="G797" s="62"/>
      <c r="H797" s="62"/>
      <c r="I797" s="62"/>
      <c r="J797" s="62"/>
      <c r="K797" s="62"/>
      <c r="L797" s="62"/>
      <c r="M797" s="62"/>
      <c r="N797" s="62"/>
      <c r="O797" s="62"/>
      <c r="P797" s="62"/>
      <c r="Q797" s="62"/>
      <c r="R797" s="62"/>
      <c r="S797" s="62"/>
      <c r="T797" s="62"/>
      <c r="U797" s="62"/>
      <c r="V797" s="62"/>
      <c r="W797" s="62"/>
      <c r="X797" s="62"/>
      <c r="Y797" s="62"/>
      <c r="Z797" s="62"/>
      <c r="AA797" s="62"/>
      <c r="AB797" s="62"/>
      <c r="AC797" s="62"/>
      <c r="AD797" s="62"/>
    </row>
    <row r="798">
      <c r="A798" s="6"/>
      <c r="B798" s="6"/>
      <c r="C798" s="6"/>
      <c r="D798" s="62"/>
      <c r="E798" s="62"/>
      <c r="F798" s="62"/>
      <c r="G798" s="62"/>
      <c r="H798" s="62"/>
      <c r="I798" s="62"/>
      <c r="J798" s="62"/>
      <c r="K798" s="62"/>
      <c r="L798" s="62"/>
      <c r="M798" s="62"/>
      <c r="N798" s="62"/>
      <c r="O798" s="62"/>
      <c r="P798" s="62"/>
      <c r="Q798" s="62"/>
      <c r="R798" s="62"/>
      <c r="S798" s="62"/>
      <c r="T798" s="62"/>
      <c r="U798" s="62"/>
      <c r="V798" s="62"/>
      <c r="W798" s="62"/>
      <c r="X798" s="62"/>
      <c r="Y798" s="62"/>
      <c r="Z798" s="62"/>
      <c r="AA798" s="62"/>
      <c r="AB798" s="62"/>
      <c r="AC798" s="62"/>
      <c r="AD798" s="62"/>
    </row>
    <row r="799">
      <c r="A799" s="6"/>
      <c r="B799" s="6"/>
      <c r="C799" s="6"/>
      <c r="D799" s="62"/>
      <c r="E799" s="62"/>
      <c r="F799" s="62"/>
      <c r="G799" s="62"/>
      <c r="H799" s="62"/>
      <c r="I799" s="62"/>
      <c r="J799" s="62"/>
      <c r="K799" s="62"/>
      <c r="L799" s="62"/>
      <c r="M799" s="62"/>
      <c r="N799" s="62"/>
      <c r="O799" s="62"/>
      <c r="P799" s="62"/>
      <c r="Q799" s="62"/>
      <c r="R799" s="62"/>
      <c r="S799" s="62"/>
      <c r="T799" s="62"/>
      <c r="U799" s="62"/>
      <c r="V799" s="62"/>
      <c r="W799" s="62"/>
      <c r="X799" s="62"/>
      <c r="Y799" s="62"/>
      <c r="Z799" s="62"/>
      <c r="AA799" s="62"/>
      <c r="AB799" s="62"/>
      <c r="AC799" s="62"/>
      <c r="AD799" s="62"/>
    </row>
    <row r="800">
      <c r="A800" s="6"/>
      <c r="B800" s="6"/>
      <c r="C800" s="6"/>
      <c r="D800" s="62"/>
      <c r="E800" s="62"/>
      <c r="F800" s="62"/>
      <c r="G800" s="62"/>
      <c r="H800" s="62"/>
      <c r="I800" s="62"/>
      <c r="J800" s="62"/>
      <c r="K800" s="62"/>
      <c r="L800" s="62"/>
      <c r="M800" s="62"/>
      <c r="N800" s="62"/>
      <c r="O800" s="62"/>
      <c r="P800" s="62"/>
      <c r="Q800" s="62"/>
      <c r="R800" s="62"/>
      <c r="S800" s="62"/>
      <c r="T800" s="62"/>
      <c r="U800" s="62"/>
      <c r="V800" s="62"/>
      <c r="W800" s="62"/>
      <c r="X800" s="62"/>
      <c r="Y800" s="62"/>
      <c r="Z800" s="62"/>
      <c r="AA800" s="62"/>
      <c r="AB800" s="62"/>
      <c r="AC800" s="62"/>
      <c r="AD800" s="62"/>
    </row>
    <row r="801">
      <c r="A801" s="6"/>
      <c r="B801" s="6"/>
      <c r="C801" s="6"/>
      <c r="D801" s="62"/>
      <c r="E801" s="62"/>
      <c r="F801" s="62"/>
      <c r="G801" s="62"/>
      <c r="H801" s="62"/>
      <c r="I801" s="62"/>
      <c r="J801" s="62"/>
      <c r="K801" s="62"/>
      <c r="L801" s="62"/>
      <c r="M801" s="62"/>
      <c r="N801" s="62"/>
      <c r="O801" s="62"/>
      <c r="P801" s="62"/>
      <c r="Q801" s="62"/>
      <c r="R801" s="62"/>
      <c r="S801" s="62"/>
      <c r="T801" s="62"/>
      <c r="U801" s="62"/>
      <c r="V801" s="62"/>
      <c r="W801" s="62"/>
      <c r="X801" s="62"/>
      <c r="Y801" s="62"/>
      <c r="Z801" s="62"/>
      <c r="AA801" s="62"/>
      <c r="AB801" s="62"/>
      <c r="AC801" s="62"/>
      <c r="AD801" s="62"/>
    </row>
    <row r="802">
      <c r="A802" s="6"/>
      <c r="B802" s="6"/>
      <c r="C802" s="6"/>
      <c r="D802" s="62"/>
      <c r="E802" s="62"/>
      <c r="F802" s="62"/>
      <c r="G802" s="62"/>
      <c r="H802" s="62"/>
      <c r="I802" s="62"/>
      <c r="J802" s="62"/>
      <c r="K802" s="62"/>
      <c r="L802" s="62"/>
      <c r="M802" s="62"/>
      <c r="N802" s="62"/>
      <c r="O802" s="62"/>
      <c r="P802" s="62"/>
      <c r="Q802" s="62"/>
      <c r="R802" s="62"/>
      <c r="S802" s="62"/>
      <c r="T802" s="62"/>
      <c r="U802" s="62"/>
      <c r="V802" s="62"/>
      <c r="W802" s="62"/>
      <c r="X802" s="62"/>
      <c r="Y802" s="62"/>
      <c r="Z802" s="62"/>
      <c r="AA802" s="62"/>
      <c r="AB802" s="62"/>
      <c r="AC802" s="62"/>
      <c r="AD802" s="62"/>
    </row>
    <row r="803">
      <c r="A803" s="6"/>
      <c r="B803" s="6"/>
      <c r="C803" s="6"/>
      <c r="D803" s="62"/>
      <c r="E803" s="62"/>
      <c r="F803" s="62"/>
      <c r="G803" s="62"/>
      <c r="H803" s="62"/>
      <c r="I803" s="62"/>
      <c r="J803" s="62"/>
      <c r="K803" s="62"/>
      <c r="L803" s="62"/>
      <c r="M803" s="62"/>
      <c r="N803" s="62"/>
      <c r="O803" s="62"/>
      <c r="P803" s="62"/>
      <c r="Q803" s="62"/>
      <c r="R803" s="62"/>
      <c r="S803" s="62"/>
      <c r="T803" s="62"/>
      <c r="U803" s="62"/>
      <c r="V803" s="62"/>
      <c r="W803" s="62"/>
      <c r="X803" s="62"/>
      <c r="Y803" s="62"/>
      <c r="Z803" s="62"/>
      <c r="AA803" s="62"/>
      <c r="AB803" s="62"/>
      <c r="AC803" s="62"/>
      <c r="AD803" s="62"/>
    </row>
    <row r="804">
      <c r="A804" s="6"/>
      <c r="B804" s="6"/>
      <c r="C804" s="6"/>
      <c r="D804" s="62"/>
      <c r="E804" s="62"/>
      <c r="F804" s="62"/>
      <c r="G804" s="62"/>
      <c r="H804" s="62"/>
      <c r="I804" s="62"/>
      <c r="J804" s="62"/>
      <c r="K804" s="62"/>
      <c r="L804" s="62"/>
      <c r="M804" s="62"/>
      <c r="N804" s="62"/>
      <c r="O804" s="62"/>
      <c r="P804" s="62"/>
      <c r="Q804" s="62"/>
      <c r="R804" s="62"/>
      <c r="S804" s="62"/>
      <c r="T804" s="62"/>
      <c r="U804" s="62"/>
      <c r="V804" s="62"/>
      <c r="W804" s="62"/>
      <c r="X804" s="62"/>
      <c r="Y804" s="62"/>
      <c r="Z804" s="62"/>
      <c r="AA804" s="62"/>
      <c r="AB804" s="62"/>
      <c r="AC804" s="62"/>
      <c r="AD804" s="62"/>
    </row>
    <row r="805">
      <c r="A805" s="6"/>
      <c r="B805" s="6"/>
      <c r="C805" s="6"/>
      <c r="D805" s="62"/>
      <c r="E805" s="62"/>
      <c r="F805" s="62"/>
      <c r="G805" s="62"/>
      <c r="H805" s="62"/>
      <c r="I805" s="62"/>
      <c r="J805" s="62"/>
      <c r="K805" s="62"/>
      <c r="L805" s="62"/>
      <c r="M805" s="62"/>
      <c r="N805" s="62"/>
      <c r="O805" s="62"/>
      <c r="P805" s="62"/>
      <c r="Q805" s="62"/>
      <c r="R805" s="62"/>
      <c r="S805" s="62"/>
      <c r="T805" s="62"/>
      <c r="U805" s="62"/>
      <c r="V805" s="62"/>
      <c r="W805" s="62"/>
      <c r="X805" s="62"/>
      <c r="Y805" s="62"/>
      <c r="Z805" s="62"/>
      <c r="AA805" s="62"/>
      <c r="AB805" s="62"/>
      <c r="AC805" s="62"/>
      <c r="AD805" s="62"/>
    </row>
    <row r="806">
      <c r="A806" s="6"/>
      <c r="B806" s="6"/>
      <c r="C806" s="6"/>
      <c r="D806" s="62"/>
      <c r="E806" s="62"/>
      <c r="F806" s="62"/>
      <c r="G806" s="62"/>
      <c r="H806" s="62"/>
      <c r="I806" s="62"/>
      <c r="J806" s="62"/>
      <c r="K806" s="62"/>
      <c r="L806" s="62"/>
      <c r="M806" s="62"/>
      <c r="N806" s="62"/>
      <c r="O806" s="62"/>
      <c r="P806" s="62"/>
      <c r="Q806" s="62"/>
      <c r="R806" s="62"/>
      <c r="S806" s="62"/>
      <c r="T806" s="62"/>
      <c r="U806" s="62"/>
      <c r="V806" s="62"/>
      <c r="W806" s="62"/>
      <c r="X806" s="62"/>
      <c r="Y806" s="62"/>
      <c r="Z806" s="62"/>
      <c r="AA806" s="62"/>
      <c r="AB806" s="62"/>
      <c r="AC806" s="62"/>
      <c r="AD806" s="62"/>
    </row>
    <row r="807">
      <c r="A807" s="6"/>
      <c r="B807" s="6"/>
      <c r="C807" s="6"/>
      <c r="D807" s="62"/>
      <c r="E807" s="62"/>
      <c r="F807" s="62"/>
      <c r="G807" s="62"/>
      <c r="H807" s="62"/>
      <c r="I807" s="62"/>
      <c r="J807" s="62"/>
      <c r="K807" s="62"/>
      <c r="L807" s="62"/>
      <c r="M807" s="62"/>
      <c r="N807" s="62"/>
      <c r="O807" s="62"/>
      <c r="P807" s="62"/>
      <c r="Q807" s="62"/>
      <c r="R807" s="62"/>
      <c r="S807" s="62"/>
      <c r="T807" s="62"/>
      <c r="U807" s="62"/>
      <c r="V807" s="62"/>
      <c r="W807" s="62"/>
      <c r="X807" s="62"/>
      <c r="Y807" s="62"/>
      <c r="Z807" s="62"/>
      <c r="AA807" s="62"/>
      <c r="AB807" s="62"/>
      <c r="AC807" s="62"/>
      <c r="AD807" s="62"/>
    </row>
    <row r="808">
      <c r="A808" s="6"/>
      <c r="B808" s="6"/>
      <c r="C808" s="6"/>
      <c r="D808" s="62"/>
      <c r="E808" s="62"/>
      <c r="F808" s="62"/>
      <c r="G808" s="62"/>
      <c r="H808" s="62"/>
      <c r="I808" s="62"/>
      <c r="J808" s="62"/>
      <c r="K808" s="62"/>
      <c r="L808" s="62"/>
      <c r="M808" s="62"/>
      <c r="N808" s="62"/>
      <c r="O808" s="62"/>
      <c r="P808" s="62"/>
      <c r="Q808" s="62"/>
      <c r="R808" s="62"/>
      <c r="S808" s="62"/>
      <c r="T808" s="62"/>
      <c r="U808" s="62"/>
      <c r="V808" s="62"/>
      <c r="W808" s="62"/>
      <c r="X808" s="62"/>
      <c r="Y808" s="62"/>
      <c r="Z808" s="62"/>
      <c r="AA808" s="62"/>
      <c r="AB808" s="62"/>
      <c r="AC808" s="62"/>
      <c r="AD808" s="62"/>
    </row>
    <row r="809">
      <c r="A809" s="6"/>
      <c r="B809" s="6"/>
      <c r="C809" s="6"/>
      <c r="D809" s="62"/>
      <c r="E809" s="62"/>
      <c r="F809" s="62"/>
      <c r="G809" s="62"/>
      <c r="H809" s="62"/>
      <c r="I809" s="62"/>
      <c r="J809" s="62"/>
      <c r="K809" s="62"/>
      <c r="L809" s="62"/>
      <c r="M809" s="62"/>
      <c r="N809" s="62"/>
      <c r="O809" s="62"/>
      <c r="P809" s="62"/>
      <c r="Q809" s="62"/>
      <c r="R809" s="62"/>
      <c r="S809" s="62"/>
      <c r="T809" s="62"/>
      <c r="U809" s="62"/>
      <c r="V809" s="62"/>
      <c r="W809" s="62"/>
      <c r="X809" s="62"/>
      <c r="Y809" s="62"/>
      <c r="Z809" s="62"/>
      <c r="AA809" s="62"/>
      <c r="AB809" s="62"/>
      <c r="AC809" s="62"/>
      <c r="AD809" s="62"/>
    </row>
    <row r="810">
      <c r="A810" s="6"/>
      <c r="B810" s="6"/>
      <c r="C810" s="6"/>
      <c r="D810" s="62"/>
      <c r="E810" s="62"/>
      <c r="F810" s="62"/>
      <c r="G810" s="62"/>
      <c r="H810" s="62"/>
      <c r="I810" s="62"/>
      <c r="J810" s="62"/>
      <c r="K810" s="62"/>
      <c r="L810" s="62"/>
      <c r="M810" s="62"/>
      <c r="N810" s="62"/>
      <c r="O810" s="62"/>
      <c r="P810" s="62"/>
      <c r="Q810" s="62"/>
      <c r="R810" s="62"/>
      <c r="S810" s="62"/>
      <c r="T810" s="62"/>
      <c r="U810" s="62"/>
      <c r="V810" s="62"/>
      <c r="W810" s="62"/>
      <c r="X810" s="62"/>
      <c r="Y810" s="62"/>
      <c r="Z810" s="62"/>
      <c r="AA810" s="62"/>
      <c r="AB810" s="62"/>
      <c r="AC810" s="62"/>
      <c r="AD810" s="62"/>
    </row>
    <row r="811">
      <c r="A811" s="6"/>
      <c r="B811" s="6"/>
      <c r="C811" s="6"/>
      <c r="D811" s="62"/>
      <c r="E811" s="62"/>
      <c r="F811" s="62"/>
      <c r="G811" s="62"/>
      <c r="H811" s="62"/>
      <c r="I811" s="62"/>
      <c r="J811" s="62"/>
      <c r="K811" s="62"/>
      <c r="L811" s="62"/>
      <c r="M811" s="62"/>
      <c r="N811" s="62"/>
      <c r="O811" s="62"/>
      <c r="P811" s="62"/>
      <c r="Q811" s="62"/>
      <c r="R811" s="62"/>
      <c r="S811" s="62"/>
      <c r="T811" s="62"/>
      <c r="U811" s="62"/>
      <c r="V811" s="62"/>
      <c r="W811" s="62"/>
      <c r="X811" s="62"/>
      <c r="Y811" s="62"/>
      <c r="Z811" s="62"/>
      <c r="AA811" s="62"/>
      <c r="AB811" s="62"/>
      <c r="AC811" s="62"/>
      <c r="AD811" s="62"/>
    </row>
    <row r="812">
      <c r="A812" s="6"/>
      <c r="B812" s="6"/>
      <c r="C812" s="6"/>
      <c r="D812" s="62"/>
      <c r="E812" s="62"/>
      <c r="F812" s="62"/>
      <c r="G812" s="62"/>
      <c r="H812" s="62"/>
      <c r="I812" s="62"/>
      <c r="J812" s="62"/>
      <c r="K812" s="62"/>
      <c r="L812" s="62"/>
      <c r="M812" s="62"/>
      <c r="N812" s="62"/>
      <c r="O812" s="62"/>
      <c r="P812" s="62"/>
      <c r="Q812" s="62"/>
      <c r="R812" s="62"/>
      <c r="S812" s="62"/>
      <c r="T812" s="62"/>
      <c r="U812" s="62"/>
      <c r="V812" s="62"/>
      <c r="W812" s="62"/>
      <c r="X812" s="62"/>
      <c r="Y812" s="62"/>
      <c r="Z812" s="62"/>
      <c r="AA812" s="62"/>
      <c r="AB812" s="62"/>
      <c r="AC812" s="62"/>
      <c r="AD812" s="62"/>
    </row>
    <row r="813">
      <c r="A813" s="6"/>
      <c r="B813" s="6"/>
      <c r="C813" s="6"/>
      <c r="D813" s="62"/>
      <c r="E813" s="62"/>
      <c r="F813" s="62"/>
      <c r="G813" s="62"/>
      <c r="H813" s="62"/>
      <c r="I813" s="62"/>
      <c r="J813" s="62"/>
      <c r="K813" s="62"/>
      <c r="L813" s="62"/>
      <c r="M813" s="62"/>
      <c r="N813" s="62"/>
      <c r="O813" s="62"/>
      <c r="P813" s="62"/>
      <c r="Q813" s="62"/>
      <c r="R813" s="62"/>
      <c r="S813" s="62"/>
      <c r="T813" s="62"/>
      <c r="U813" s="62"/>
      <c r="V813" s="62"/>
      <c r="W813" s="62"/>
      <c r="X813" s="62"/>
      <c r="Y813" s="62"/>
      <c r="Z813" s="62"/>
      <c r="AA813" s="62"/>
      <c r="AB813" s="62"/>
      <c r="AC813" s="62"/>
      <c r="AD813" s="62"/>
    </row>
    <row r="814">
      <c r="A814" s="6"/>
      <c r="B814" s="6"/>
      <c r="C814" s="6"/>
      <c r="D814" s="62"/>
      <c r="E814" s="62"/>
      <c r="F814" s="62"/>
      <c r="G814" s="62"/>
      <c r="H814" s="62"/>
      <c r="I814" s="62"/>
      <c r="J814" s="62"/>
      <c r="K814" s="62"/>
      <c r="L814" s="62"/>
      <c r="M814" s="62"/>
      <c r="N814" s="62"/>
      <c r="O814" s="62"/>
      <c r="P814" s="62"/>
      <c r="Q814" s="62"/>
      <c r="R814" s="62"/>
      <c r="S814" s="62"/>
      <c r="T814" s="62"/>
      <c r="U814" s="62"/>
      <c r="V814" s="62"/>
      <c r="W814" s="62"/>
      <c r="X814" s="62"/>
      <c r="Y814" s="62"/>
      <c r="Z814" s="62"/>
      <c r="AA814" s="62"/>
      <c r="AB814" s="62"/>
      <c r="AC814" s="62"/>
      <c r="AD814" s="62"/>
    </row>
    <row r="815">
      <c r="A815" s="6"/>
      <c r="B815" s="6"/>
      <c r="C815" s="6"/>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c r="AB815" s="62"/>
      <c r="AC815" s="62"/>
      <c r="AD815" s="62"/>
    </row>
    <row r="816">
      <c r="A816" s="6"/>
      <c r="B816" s="6"/>
      <c r="C816" s="6"/>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c r="AB816" s="62"/>
      <c r="AC816" s="62"/>
      <c r="AD816" s="62"/>
    </row>
    <row r="817">
      <c r="A817" s="6"/>
      <c r="B817" s="6"/>
      <c r="C817" s="6"/>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c r="AB817" s="62"/>
      <c r="AC817" s="62"/>
      <c r="AD817" s="62"/>
    </row>
    <row r="818">
      <c r="A818" s="6"/>
      <c r="B818" s="6"/>
      <c r="C818" s="6"/>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c r="AB818" s="62"/>
      <c r="AC818" s="62"/>
      <c r="AD818" s="62"/>
    </row>
    <row r="819">
      <c r="A819" s="6"/>
      <c r="B819" s="6"/>
      <c r="C819" s="6"/>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c r="AB819" s="62"/>
      <c r="AC819" s="62"/>
      <c r="AD819" s="62"/>
    </row>
    <row r="820">
      <c r="A820" s="6"/>
      <c r="B820" s="6"/>
      <c r="C820" s="6"/>
      <c r="D820" s="62"/>
      <c r="E820" s="62"/>
      <c r="F820" s="62"/>
      <c r="G820" s="62"/>
      <c r="H820" s="62"/>
      <c r="I820" s="62"/>
      <c r="J820" s="62"/>
      <c r="K820" s="62"/>
      <c r="L820" s="62"/>
      <c r="M820" s="62"/>
      <c r="N820" s="62"/>
      <c r="O820" s="62"/>
      <c r="P820" s="62"/>
      <c r="Q820" s="62"/>
      <c r="R820" s="62"/>
      <c r="S820" s="62"/>
      <c r="T820" s="62"/>
      <c r="U820" s="62"/>
      <c r="V820" s="62"/>
      <c r="W820" s="62"/>
      <c r="X820" s="62"/>
      <c r="Y820" s="62"/>
      <c r="Z820" s="62"/>
      <c r="AA820" s="62"/>
      <c r="AB820" s="62"/>
      <c r="AC820" s="62"/>
      <c r="AD820" s="62"/>
    </row>
    <row r="821">
      <c r="A821" s="6"/>
      <c r="B821" s="6"/>
      <c r="C821" s="6"/>
      <c r="D821" s="62"/>
      <c r="E821" s="62"/>
      <c r="F821" s="62"/>
      <c r="G821" s="62"/>
      <c r="H821" s="62"/>
      <c r="I821" s="62"/>
      <c r="J821" s="62"/>
      <c r="K821" s="62"/>
      <c r="L821" s="62"/>
      <c r="M821" s="62"/>
      <c r="N821" s="62"/>
      <c r="O821" s="62"/>
      <c r="P821" s="62"/>
      <c r="Q821" s="62"/>
      <c r="R821" s="62"/>
      <c r="S821" s="62"/>
      <c r="T821" s="62"/>
      <c r="U821" s="62"/>
      <c r="V821" s="62"/>
      <c r="W821" s="62"/>
      <c r="X821" s="62"/>
      <c r="Y821" s="62"/>
      <c r="Z821" s="62"/>
      <c r="AA821" s="62"/>
      <c r="AB821" s="62"/>
      <c r="AC821" s="62"/>
      <c r="AD821" s="62"/>
    </row>
    <row r="822">
      <c r="A822" s="6"/>
      <c r="B822" s="6"/>
      <c r="C822" s="6"/>
      <c r="D822" s="62"/>
      <c r="E822" s="62"/>
      <c r="F822" s="62"/>
      <c r="G822" s="62"/>
      <c r="H822" s="62"/>
      <c r="I822" s="62"/>
      <c r="J822" s="62"/>
      <c r="K822" s="62"/>
      <c r="L822" s="62"/>
      <c r="M822" s="62"/>
      <c r="N822" s="62"/>
      <c r="O822" s="62"/>
      <c r="P822" s="62"/>
      <c r="Q822" s="62"/>
      <c r="R822" s="62"/>
      <c r="S822" s="62"/>
      <c r="T822" s="62"/>
      <c r="U822" s="62"/>
      <c r="V822" s="62"/>
      <c r="W822" s="62"/>
      <c r="X822" s="62"/>
      <c r="Y822" s="62"/>
      <c r="Z822" s="62"/>
      <c r="AA822" s="62"/>
      <c r="AB822" s="62"/>
      <c r="AC822" s="62"/>
      <c r="AD822" s="62"/>
    </row>
    <row r="823">
      <c r="A823" s="6"/>
      <c r="B823" s="6"/>
      <c r="C823" s="6"/>
      <c r="D823" s="62"/>
      <c r="E823" s="62"/>
      <c r="F823" s="62"/>
      <c r="G823" s="62"/>
      <c r="H823" s="62"/>
      <c r="I823" s="62"/>
      <c r="J823" s="62"/>
      <c r="K823" s="62"/>
      <c r="L823" s="62"/>
      <c r="M823" s="62"/>
      <c r="N823" s="62"/>
      <c r="O823" s="62"/>
      <c r="P823" s="62"/>
      <c r="Q823" s="62"/>
      <c r="R823" s="62"/>
      <c r="S823" s="62"/>
      <c r="T823" s="62"/>
      <c r="U823" s="62"/>
      <c r="V823" s="62"/>
      <c r="W823" s="62"/>
      <c r="X823" s="62"/>
      <c r="Y823" s="62"/>
      <c r="Z823" s="62"/>
      <c r="AA823" s="62"/>
      <c r="AB823" s="62"/>
      <c r="AC823" s="62"/>
      <c r="AD823" s="62"/>
    </row>
    <row r="824">
      <c r="A824" s="6"/>
      <c r="B824" s="6"/>
      <c r="C824" s="6"/>
      <c r="D824" s="62"/>
      <c r="E824" s="62"/>
      <c r="F824" s="62"/>
      <c r="G824" s="62"/>
      <c r="H824" s="62"/>
      <c r="I824" s="62"/>
      <c r="J824" s="62"/>
      <c r="K824" s="62"/>
      <c r="L824" s="62"/>
      <c r="M824" s="62"/>
      <c r="N824" s="62"/>
      <c r="O824" s="62"/>
      <c r="P824" s="62"/>
      <c r="Q824" s="62"/>
      <c r="R824" s="62"/>
      <c r="S824" s="62"/>
      <c r="T824" s="62"/>
      <c r="U824" s="62"/>
      <c r="V824" s="62"/>
      <c r="W824" s="62"/>
      <c r="X824" s="62"/>
      <c r="Y824" s="62"/>
      <c r="Z824" s="62"/>
      <c r="AA824" s="62"/>
      <c r="AB824" s="62"/>
      <c r="AC824" s="62"/>
      <c r="AD824" s="62"/>
    </row>
    <row r="825">
      <c r="A825" s="6"/>
      <c r="B825" s="6"/>
      <c r="C825" s="6"/>
      <c r="D825" s="62"/>
      <c r="E825" s="62"/>
      <c r="F825" s="62"/>
      <c r="G825" s="62"/>
      <c r="H825" s="62"/>
      <c r="I825" s="62"/>
      <c r="J825" s="62"/>
      <c r="K825" s="62"/>
      <c r="L825" s="62"/>
      <c r="M825" s="62"/>
      <c r="N825" s="62"/>
      <c r="O825" s="62"/>
      <c r="P825" s="62"/>
      <c r="Q825" s="62"/>
      <c r="R825" s="62"/>
      <c r="S825" s="62"/>
      <c r="T825" s="62"/>
      <c r="U825" s="62"/>
      <c r="V825" s="62"/>
      <c r="W825" s="62"/>
      <c r="X825" s="62"/>
      <c r="Y825" s="62"/>
      <c r="Z825" s="62"/>
      <c r="AA825" s="62"/>
      <c r="AB825" s="62"/>
      <c r="AC825" s="62"/>
      <c r="AD825" s="62"/>
    </row>
    <row r="826">
      <c r="A826" s="6"/>
      <c r="B826" s="6"/>
      <c r="C826" s="6"/>
      <c r="D826" s="62"/>
      <c r="E826" s="62"/>
      <c r="F826" s="62"/>
      <c r="G826" s="62"/>
      <c r="H826" s="62"/>
      <c r="I826" s="62"/>
      <c r="J826" s="62"/>
      <c r="K826" s="62"/>
      <c r="L826" s="62"/>
      <c r="M826" s="62"/>
      <c r="N826" s="62"/>
      <c r="O826" s="62"/>
      <c r="P826" s="62"/>
      <c r="Q826" s="62"/>
      <c r="R826" s="62"/>
      <c r="S826" s="62"/>
      <c r="T826" s="62"/>
      <c r="U826" s="62"/>
      <c r="V826" s="62"/>
      <c r="W826" s="62"/>
      <c r="X826" s="62"/>
      <c r="Y826" s="62"/>
      <c r="Z826" s="62"/>
      <c r="AA826" s="62"/>
      <c r="AB826" s="62"/>
      <c r="AC826" s="62"/>
      <c r="AD826" s="62"/>
    </row>
    <row r="827">
      <c r="A827" s="6"/>
      <c r="B827" s="6"/>
      <c r="C827" s="6"/>
      <c r="D827" s="62"/>
      <c r="E827" s="62"/>
      <c r="F827" s="62"/>
      <c r="G827" s="62"/>
      <c r="H827" s="62"/>
      <c r="I827" s="62"/>
      <c r="J827" s="62"/>
      <c r="K827" s="62"/>
      <c r="L827" s="62"/>
      <c r="M827" s="62"/>
      <c r="N827" s="62"/>
      <c r="O827" s="62"/>
      <c r="P827" s="62"/>
      <c r="Q827" s="62"/>
      <c r="R827" s="62"/>
      <c r="S827" s="62"/>
      <c r="T827" s="62"/>
      <c r="U827" s="62"/>
      <c r="V827" s="62"/>
      <c r="W827" s="62"/>
      <c r="X827" s="62"/>
      <c r="Y827" s="62"/>
      <c r="Z827" s="62"/>
      <c r="AA827" s="62"/>
      <c r="AB827" s="62"/>
      <c r="AC827" s="62"/>
      <c r="AD827" s="62"/>
    </row>
    <row r="828">
      <c r="A828" s="6"/>
      <c r="B828" s="6"/>
      <c r="C828" s="6"/>
      <c r="D828" s="62"/>
      <c r="E828" s="62"/>
      <c r="F828" s="62"/>
      <c r="G828" s="62"/>
      <c r="H828" s="62"/>
      <c r="I828" s="62"/>
      <c r="J828" s="62"/>
      <c r="K828" s="62"/>
      <c r="L828" s="62"/>
      <c r="M828" s="62"/>
      <c r="N828" s="62"/>
      <c r="O828" s="62"/>
      <c r="P828" s="62"/>
      <c r="Q828" s="62"/>
      <c r="R828" s="62"/>
      <c r="S828" s="62"/>
      <c r="T828" s="62"/>
      <c r="U828" s="62"/>
      <c r="V828" s="62"/>
      <c r="W828" s="62"/>
      <c r="X828" s="62"/>
      <c r="Y828" s="62"/>
      <c r="Z828" s="62"/>
      <c r="AA828" s="62"/>
      <c r="AB828" s="62"/>
      <c r="AC828" s="62"/>
      <c r="AD828" s="62"/>
    </row>
    <row r="829">
      <c r="A829" s="6"/>
      <c r="B829" s="6"/>
      <c r="C829" s="6"/>
      <c r="D829" s="62"/>
      <c r="E829" s="62"/>
      <c r="F829" s="62"/>
      <c r="G829" s="62"/>
      <c r="H829" s="62"/>
      <c r="I829" s="62"/>
      <c r="J829" s="62"/>
      <c r="K829" s="62"/>
      <c r="L829" s="62"/>
      <c r="M829" s="62"/>
      <c r="N829" s="62"/>
      <c r="O829" s="62"/>
      <c r="P829" s="62"/>
      <c r="Q829" s="62"/>
      <c r="R829" s="62"/>
      <c r="S829" s="62"/>
      <c r="T829" s="62"/>
      <c r="U829" s="62"/>
      <c r="V829" s="62"/>
      <c r="W829" s="62"/>
      <c r="X829" s="62"/>
      <c r="Y829" s="62"/>
      <c r="Z829" s="62"/>
      <c r="AA829" s="62"/>
      <c r="AB829" s="62"/>
      <c r="AC829" s="62"/>
      <c r="AD829" s="62"/>
    </row>
    <row r="830">
      <c r="A830" s="6"/>
      <c r="B830" s="6"/>
      <c r="C830" s="6"/>
      <c r="D830" s="62"/>
      <c r="E830" s="62"/>
      <c r="F830" s="62"/>
      <c r="G830" s="62"/>
      <c r="H830" s="62"/>
      <c r="I830" s="62"/>
      <c r="J830" s="62"/>
      <c r="K830" s="62"/>
      <c r="L830" s="62"/>
      <c r="M830" s="62"/>
      <c r="N830" s="62"/>
      <c r="O830" s="62"/>
      <c r="P830" s="62"/>
      <c r="Q830" s="62"/>
      <c r="R830" s="62"/>
      <c r="S830" s="62"/>
      <c r="T830" s="62"/>
      <c r="U830" s="62"/>
      <c r="V830" s="62"/>
      <c r="W830" s="62"/>
      <c r="X830" s="62"/>
      <c r="Y830" s="62"/>
      <c r="Z830" s="62"/>
      <c r="AA830" s="62"/>
      <c r="AB830" s="62"/>
      <c r="AC830" s="62"/>
      <c r="AD830" s="62"/>
    </row>
    <row r="831">
      <c r="A831" s="6"/>
      <c r="B831" s="6"/>
      <c r="C831" s="6"/>
      <c r="D831" s="62"/>
      <c r="E831" s="62"/>
      <c r="F831" s="62"/>
      <c r="G831" s="62"/>
      <c r="H831" s="62"/>
      <c r="I831" s="62"/>
      <c r="J831" s="62"/>
      <c r="K831" s="62"/>
      <c r="L831" s="62"/>
      <c r="M831" s="62"/>
      <c r="N831" s="62"/>
      <c r="O831" s="62"/>
      <c r="P831" s="62"/>
      <c r="Q831" s="62"/>
      <c r="R831" s="62"/>
      <c r="S831" s="62"/>
      <c r="T831" s="62"/>
      <c r="U831" s="62"/>
      <c r="V831" s="62"/>
      <c r="W831" s="62"/>
      <c r="X831" s="62"/>
      <c r="Y831" s="62"/>
      <c r="Z831" s="62"/>
      <c r="AA831" s="62"/>
      <c r="AB831" s="62"/>
      <c r="AC831" s="62"/>
      <c r="AD831" s="62"/>
    </row>
    <row r="832">
      <c r="A832" s="6"/>
      <c r="B832" s="6"/>
      <c r="C832" s="6"/>
      <c r="D832" s="62"/>
      <c r="E832" s="62"/>
      <c r="F832" s="62"/>
      <c r="G832" s="62"/>
      <c r="H832" s="62"/>
      <c r="I832" s="62"/>
      <c r="J832" s="62"/>
      <c r="K832" s="62"/>
      <c r="L832" s="62"/>
      <c r="M832" s="62"/>
      <c r="N832" s="62"/>
      <c r="O832" s="62"/>
      <c r="P832" s="62"/>
      <c r="Q832" s="62"/>
      <c r="R832" s="62"/>
      <c r="S832" s="62"/>
      <c r="T832" s="62"/>
      <c r="U832" s="62"/>
      <c r="V832" s="62"/>
      <c r="W832" s="62"/>
      <c r="X832" s="62"/>
      <c r="Y832" s="62"/>
      <c r="Z832" s="62"/>
      <c r="AA832" s="62"/>
      <c r="AB832" s="62"/>
      <c r="AC832" s="62"/>
      <c r="AD832" s="62"/>
    </row>
    <row r="833">
      <c r="A833" s="6"/>
      <c r="B833" s="6"/>
      <c r="C833" s="6"/>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c r="AB833" s="62"/>
      <c r="AC833" s="62"/>
      <c r="AD833" s="62"/>
    </row>
    <row r="834">
      <c r="A834" s="6"/>
      <c r="B834" s="6"/>
      <c r="C834" s="6"/>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c r="AB834" s="62"/>
      <c r="AC834" s="62"/>
      <c r="AD834" s="62"/>
    </row>
    <row r="835">
      <c r="A835" s="6"/>
      <c r="B835" s="6"/>
      <c r="C835" s="6"/>
      <c r="D835" s="62"/>
      <c r="E835" s="62"/>
      <c r="F835" s="62"/>
      <c r="G835" s="62"/>
      <c r="H835" s="62"/>
      <c r="I835" s="62"/>
      <c r="J835" s="62"/>
      <c r="K835" s="62"/>
      <c r="L835" s="62"/>
      <c r="M835" s="62"/>
      <c r="N835" s="62"/>
      <c r="O835" s="62"/>
      <c r="P835" s="62"/>
      <c r="Q835" s="62"/>
      <c r="R835" s="62"/>
      <c r="S835" s="62"/>
      <c r="T835" s="62"/>
      <c r="U835" s="62"/>
      <c r="V835" s="62"/>
      <c r="W835" s="62"/>
      <c r="X835" s="62"/>
      <c r="Y835" s="62"/>
      <c r="Z835" s="62"/>
      <c r="AA835" s="62"/>
      <c r="AB835" s="62"/>
      <c r="AC835" s="62"/>
      <c r="AD835" s="62"/>
    </row>
    <row r="836">
      <c r="A836" s="6"/>
      <c r="B836" s="6"/>
      <c r="C836" s="6"/>
      <c r="D836" s="62"/>
      <c r="E836" s="62"/>
      <c r="F836" s="62"/>
      <c r="G836" s="62"/>
      <c r="H836" s="62"/>
      <c r="I836" s="62"/>
      <c r="J836" s="62"/>
      <c r="K836" s="62"/>
      <c r="L836" s="62"/>
      <c r="M836" s="62"/>
      <c r="N836" s="62"/>
      <c r="O836" s="62"/>
      <c r="P836" s="62"/>
      <c r="Q836" s="62"/>
      <c r="R836" s="62"/>
      <c r="S836" s="62"/>
      <c r="T836" s="62"/>
      <c r="U836" s="62"/>
      <c r="V836" s="62"/>
      <c r="W836" s="62"/>
      <c r="X836" s="62"/>
      <c r="Y836" s="62"/>
      <c r="Z836" s="62"/>
      <c r="AA836" s="62"/>
      <c r="AB836" s="62"/>
      <c r="AC836" s="62"/>
      <c r="AD836" s="62"/>
    </row>
    <row r="837">
      <c r="A837" s="6"/>
      <c r="B837" s="6"/>
      <c r="C837" s="6"/>
      <c r="D837" s="62"/>
      <c r="E837" s="62"/>
      <c r="F837" s="62"/>
      <c r="G837" s="62"/>
      <c r="H837" s="62"/>
      <c r="I837" s="62"/>
      <c r="J837" s="62"/>
      <c r="K837" s="62"/>
      <c r="L837" s="62"/>
      <c r="M837" s="62"/>
      <c r="N837" s="62"/>
      <c r="O837" s="62"/>
      <c r="P837" s="62"/>
      <c r="Q837" s="62"/>
      <c r="R837" s="62"/>
      <c r="S837" s="62"/>
      <c r="T837" s="62"/>
      <c r="U837" s="62"/>
      <c r="V837" s="62"/>
      <c r="W837" s="62"/>
      <c r="X837" s="62"/>
      <c r="Y837" s="62"/>
      <c r="Z837" s="62"/>
      <c r="AA837" s="62"/>
      <c r="AB837" s="62"/>
      <c r="AC837" s="62"/>
      <c r="AD837" s="62"/>
    </row>
    <row r="838">
      <c r="A838" s="6"/>
      <c r="B838" s="6"/>
      <c r="C838" s="6"/>
      <c r="D838" s="62"/>
      <c r="E838" s="62"/>
      <c r="F838" s="62"/>
      <c r="G838" s="62"/>
      <c r="H838" s="62"/>
      <c r="I838" s="62"/>
      <c r="J838" s="62"/>
      <c r="K838" s="62"/>
      <c r="L838" s="62"/>
      <c r="M838" s="62"/>
      <c r="N838" s="62"/>
      <c r="O838" s="62"/>
      <c r="P838" s="62"/>
      <c r="Q838" s="62"/>
      <c r="R838" s="62"/>
      <c r="S838" s="62"/>
      <c r="T838" s="62"/>
      <c r="U838" s="62"/>
      <c r="V838" s="62"/>
      <c r="W838" s="62"/>
      <c r="X838" s="62"/>
      <c r="Y838" s="62"/>
      <c r="Z838" s="62"/>
      <c r="AA838" s="62"/>
      <c r="AB838" s="62"/>
      <c r="AC838" s="62"/>
      <c r="AD838" s="62"/>
    </row>
    <row r="839">
      <c r="A839" s="6"/>
      <c r="B839" s="6"/>
      <c r="C839" s="6"/>
      <c r="D839" s="62"/>
      <c r="E839" s="62"/>
      <c r="F839" s="62"/>
      <c r="G839" s="62"/>
      <c r="H839" s="62"/>
      <c r="I839" s="62"/>
      <c r="J839" s="62"/>
      <c r="K839" s="62"/>
      <c r="L839" s="62"/>
      <c r="M839" s="62"/>
      <c r="N839" s="62"/>
      <c r="O839" s="62"/>
      <c r="P839" s="62"/>
      <c r="Q839" s="62"/>
      <c r="R839" s="62"/>
      <c r="S839" s="62"/>
      <c r="T839" s="62"/>
      <c r="U839" s="62"/>
      <c r="V839" s="62"/>
      <c r="W839" s="62"/>
      <c r="X839" s="62"/>
      <c r="Y839" s="62"/>
      <c r="Z839" s="62"/>
      <c r="AA839" s="62"/>
      <c r="AB839" s="62"/>
      <c r="AC839" s="62"/>
      <c r="AD839" s="62"/>
    </row>
    <row r="840">
      <c r="A840" s="6"/>
      <c r="B840" s="6"/>
      <c r="C840" s="6"/>
      <c r="D840" s="62"/>
      <c r="E840" s="62"/>
      <c r="F840" s="62"/>
      <c r="G840" s="62"/>
      <c r="H840" s="62"/>
      <c r="I840" s="62"/>
      <c r="J840" s="62"/>
      <c r="K840" s="62"/>
      <c r="L840" s="62"/>
      <c r="M840" s="62"/>
      <c r="N840" s="62"/>
      <c r="O840" s="62"/>
      <c r="P840" s="62"/>
      <c r="Q840" s="62"/>
      <c r="R840" s="62"/>
      <c r="S840" s="62"/>
      <c r="T840" s="62"/>
      <c r="U840" s="62"/>
      <c r="V840" s="62"/>
      <c r="W840" s="62"/>
      <c r="X840" s="62"/>
      <c r="Y840" s="62"/>
      <c r="Z840" s="62"/>
      <c r="AA840" s="62"/>
      <c r="AB840" s="62"/>
      <c r="AC840" s="62"/>
      <c r="AD840" s="62"/>
    </row>
    <row r="841">
      <c r="A841" s="6"/>
      <c r="B841" s="6"/>
      <c r="C841" s="6"/>
      <c r="D841" s="62"/>
      <c r="E841" s="62"/>
      <c r="F841" s="62"/>
      <c r="G841" s="62"/>
      <c r="H841" s="62"/>
      <c r="I841" s="62"/>
      <c r="J841" s="62"/>
      <c r="K841" s="62"/>
      <c r="L841" s="62"/>
      <c r="M841" s="62"/>
      <c r="N841" s="62"/>
      <c r="O841" s="62"/>
      <c r="P841" s="62"/>
      <c r="Q841" s="62"/>
      <c r="R841" s="62"/>
      <c r="S841" s="62"/>
      <c r="T841" s="62"/>
      <c r="U841" s="62"/>
      <c r="V841" s="62"/>
      <c r="W841" s="62"/>
      <c r="X841" s="62"/>
      <c r="Y841" s="62"/>
      <c r="Z841" s="62"/>
      <c r="AA841" s="62"/>
      <c r="AB841" s="62"/>
      <c r="AC841" s="62"/>
      <c r="AD841" s="62"/>
    </row>
    <row r="842">
      <c r="A842" s="6"/>
      <c r="B842" s="6"/>
      <c r="C842" s="6"/>
      <c r="D842" s="62"/>
      <c r="E842" s="62"/>
      <c r="F842" s="62"/>
      <c r="G842" s="62"/>
      <c r="H842" s="62"/>
      <c r="I842" s="62"/>
      <c r="J842" s="62"/>
      <c r="K842" s="62"/>
      <c r="L842" s="62"/>
      <c r="M842" s="62"/>
      <c r="N842" s="62"/>
      <c r="O842" s="62"/>
      <c r="P842" s="62"/>
      <c r="Q842" s="62"/>
      <c r="R842" s="62"/>
      <c r="S842" s="62"/>
      <c r="T842" s="62"/>
      <c r="U842" s="62"/>
      <c r="V842" s="62"/>
      <c r="W842" s="62"/>
      <c r="X842" s="62"/>
      <c r="Y842" s="62"/>
      <c r="Z842" s="62"/>
      <c r="AA842" s="62"/>
      <c r="AB842" s="62"/>
      <c r="AC842" s="62"/>
      <c r="AD842" s="62"/>
    </row>
    <row r="843">
      <c r="A843" s="6"/>
      <c r="B843" s="6"/>
      <c r="C843" s="6"/>
      <c r="D843" s="62"/>
      <c r="E843" s="62"/>
      <c r="F843" s="62"/>
      <c r="G843" s="62"/>
      <c r="H843" s="62"/>
      <c r="I843" s="62"/>
      <c r="J843" s="62"/>
      <c r="K843" s="62"/>
      <c r="L843" s="62"/>
      <c r="M843" s="62"/>
      <c r="N843" s="62"/>
      <c r="O843" s="62"/>
      <c r="P843" s="62"/>
      <c r="Q843" s="62"/>
      <c r="R843" s="62"/>
      <c r="S843" s="62"/>
      <c r="T843" s="62"/>
      <c r="U843" s="62"/>
      <c r="V843" s="62"/>
      <c r="W843" s="62"/>
      <c r="X843" s="62"/>
      <c r="Y843" s="62"/>
      <c r="Z843" s="62"/>
      <c r="AA843" s="62"/>
      <c r="AB843" s="62"/>
      <c r="AC843" s="62"/>
      <c r="AD843" s="62"/>
    </row>
    <row r="844">
      <c r="A844" s="6"/>
      <c r="B844" s="6"/>
      <c r="C844" s="6"/>
      <c r="D844" s="62"/>
      <c r="E844" s="62"/>
      <c r="F844" s="62"/>
      <c r="G844" s="62"/>
      <c r="H844" s="62"/>
      <c r="I844" s="62"/>
      <c r="J844" s="62"/>
      <c r="K844" s="62"/>
      <c r="L844" s="62"/>
      <c r="M844" s="62"/>
      <c r="N844" s="62"/>
      <c r="O844" s="62"/>
      <c r="P844" s="62"/>
      <c r="Q844" s="62"/>
      <c r="R844" s="62"/>
      <c r="S844" s="62"/>
      <c r="T844" s="62"/>
      <c r="U844" s="62"/>
      <c r="V844" s="62"/>
      <c r="W844" s="62"/>
      <c r="X844" s="62"/>
      <c r="Y844" s="62"/>
      <c r="Z844" s="62"/>
      <c r="AA844" s="62"/>
      <c r="AB844" s="62"/>
      <c r="AC844" s="62"/>
      <c r="AD844" s="62"/>
    </row>
    <row r="845">
      <c r="A845" s="6"/>
      <c r="B845" s="6"/>
      <c r="C845" s="6"/>
      <c r="D845" s="62"/>
      <c r="E845" s="62"/>
      <c r="F845" s="62"/>
      <c r="G845" s="62"/>
      <c r="H845" s="62"/>
      <c r="I845" s="62"/>
      <c r="J845" s="62"/>
      <c r="K845" s="62"/>
      <c r="L845" s="62"/>
      <c r="M845" s="62"/>
      <c r="N845" s="62"/>
      <c r="O845" s="62"/>
      <c r="P845" s="62"/>
      <c r="Q845" s="62"/>
      <c r="R845" s="62"/>
      <c r="S845" s="62"/>
      <c r="T845" s="62"/>
      <c r="U845" s="62"/>
      <c r="V845" s="62"/>
      <c r="W845" s="62"/>
      <c r="X845" s="62"/>
      <c r="Y845" s="62"/>
      <c r="Z845" s="62"/>
      <c r="AA845" s="62"/>
      <c r="AB845" s="62"/>
      <c r="AC845" s="62"/>
      <c r="AD845" s="62"/>
    </row>
    <row r="846">
      <c r="A846" s="6"/>
      <c r="B846" s="6"/>
      <c r="C846" s="6"/>
      <c r="D846" s="62"/>
      <c r="E846" s="62"/>
      <c r="F846" s="62"/>
      <c r="G846" s="62"/>
      <c r="H846" s="62"/>
      <c r="I846" s="62"/>
      <c r="J846" s="62"/>
      <c r="K846" s="62"/>
      <c r="L846" s="62"/>
      <c r="M846" s="62"/>
      <c r="N846" s="62"/>
      <c r="O846" s="62"/>
      <c r="P846" s="62"/>
      <c r="Q846" s="62"/>
      <c r="R846" s="62"/>
      <c r="S846" s="62"/>
      <c r="T846" s="62"/>
      <c r="U846" s="62"/>
      <c r="V846" s="62"/>
      <c r="W846" s="62"/>
      <c r="X846" s="62"/>
      <c r="Y846" s="62"/>
      <c r="Z846" s="62"/>
      <c r="AA846" s="62"/>
      <c r="AB846" s="62"/>
      <c r="AC846" s="62"/>
      <c r="AD846" s="62"/>
    </row>
    <row r="847">
      <c r="A847" s="6"/>
      <c r="B847" s="6"/>
      <c r="C847" s="6"/>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c r="AB847" s="62"/>
      <c r="AC847" s="62"/>
      <c r="AD847" s="62"/>
    </row>
    <row r="848">
      <c r="A848" s="6"/>
      <c r="B848" s="6"/>
      <c r="C848" s="6"/>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c r="AB848" s="62"/>
      <c r="AC848" s="62"/>
      <c r="AD848" s="62"/>
    </row>
    <row r="849">
      <c r="A849" s="6"/>
      <c r="B849" s="6"/>
      <c r="C849" s="6"/>
      <c r="D849" s="62"/>
      <c r="E849" s="62"/>
      <c r="F849" s="62"/>
      <c r="G849" s="62"/>
      <c r="H849" s="62"/>
      <c r="I849" s="62"/>
      <c r="J849" s="62"/>
      <c r="K849" s="62"/>
      <c r="L849" s="62"/>
      <c r="M849" s="62"/>
      <c r="N849" s="62"/>
      <c r="O849" s="62"/>
      <c r="P849" s="62"/>
      <c r="Q849" s="62"/>
      <c r="R849" s="62"/>
      <c r="S849" s="62"/>
      <c r="T849" s="62"/>
      <c r="U849" s="62"/>
      <c r="V849" s="62"/>
      <c r="W849" s="62"/>
      <c r="X849" s="62"/>
      <c r="Y849" s="62"/>
      <c r="Z849" s="62"/>
      <c r="AA849" s="62"/>
      <c r="AB849" s="62"/>
      <c r="AC849" s="62"/>
      <c r="AD849" s="62"/>
    </row>
    <row r="850">
      <c r="A850" s="6"/>
      <c r="B850" s="6"/>
      <c r="C850" s="6"/>
      <c r="D850" s="62"/>
      <c r="E850" s="62"/>
      <c r="F850" s="62"/>
      <c r="G850" s="62"/>
      <c r="H850" s="62"/>
      <c r="I850" s="62"/>
      <c r="J850" s="62"/>
      <c r="K850" s="62"/>
      <c r="L850" s="62"/>
      <c r="M850" s="62"/>
      <c r="N850" s="62"/>
      <c r="O850" s="62"/>
      <c r="P850" s="62"/>
      <c r="Q850" s="62"/>
      <c r="R850" s="62"/>
      <c r="S850" s="62"/>
      <c r="T850" s="62"/>
      <c r="U850" s="62"/>
      <c r="V850" s="62"/>
      <c r="W850" s="62"/>
      <c r="X850" s="62"/>
      <c r="Y850" s="62"/>
      <c r="Z850" s="62"/>
      <c r="AA850" s="62"/>
      <c r="AB850" s="62"/>
      <c r="AC850" s="62"/>
      <c r="AD850" s="62"/>
    </row>
    <row r="851">
      <c r="A851" s="6"/>
      <c r="B851" s="6"/>
      <c r="C851" s="6"/>
      <c r="D851" s="62"/>
      <c r="E851" s="62"/>
      <c r="F851" s="62"/>
      <c r="G851" s="62"/>
      <c r="H851" s="62"/>
      <c r="I851" s="62"/>
      <c r="J851" s="62"/>
      <c r="K851" s="62"/>
      <c r="L851" s="62"/>
      <c r="M851" s="62"/>
      <c r="N851" s="62"/>
      <c r="O851" s="62"/>
      <c r="P851" s="62"/>
      <c r="Q851" s="62"/>
      <c r="R851" s="62"/>
      <c r="S851" s="62"/>
      <c r="T851" s="62"/>
      <c r="U851" s="62"/>
      <c r="V851" s="62"/>
      <c r="W851" s="62"/>
      <c r="X851" s="62"/>
      <c r="Y851" s="62"/>
      <c r="Z851" s="62"/>
      <c r="AA851" s="62"/>
      <c r="AB851" s="62"/>
      <c r="AC851" s="62"/>
      <c r="AD851" s="62"/>
    </row>
    <row r="852">
      <c r="A852" s="6"/>
      <c r="B852" s="6"/>
      <c r="C852" s="6"/>
      <c r="D852" s="62"/>
      <c r="E852" s="62"/>
      <c r="F852" s="62"/>
      <c r="G852" s="62"/>
      <c r="H852" s="62"/>
      <c r="I852" s="62"/>
      <c r="J852" s="62"/>
      <c r="K852" s="62"/>
      <c r="L852" s="62"/>
      <c r="M852" s="62"/>
      <c r="N852" s="62"/>
      <c r="O852" s="62"/>
      <c r="P852" s="62"/>
      <c r="Q852" s="62"/>
      <c r="R852" s="62"/>
      <c r="S852" s="62"/>
      <c r="T852" s="62"/>
      <c r="U852" s="62"/>
      <c r="V852" s="62"/>
      <c r="W852" s="62"/>
      <c r="X852" s="62"/>
      <c r="Y852" s="62"/>
      <c r="Z852" s="62"/>
      <c r="AA852" s="62"/>
      <c r="AB852" s="62"/>
      <c r="AC852" s="62"/>
      <c r="AD852" s="62"/>
    </row>
    <row r="853">
      <c r="A853" s="6"/>
      <c r="B853" s="6"/>
      <c r="C853" s="6"/>
      <c r="D853" s="62"/>
      <c r="E853" s="62"/>
      <c r="F853" s="62"/>
      <c r="G853" s="62"/>
      <c r="H853" s="62"/>
      <c r="I853" s="62"/>
      <c r="J853" s="62"/>
      <c r="K853" s="62"/>
      <c r="L853" s="62"/>
      <c r="M853" s="62"/>
      <c r="N853" s="62"/>
      <c r="O853" s="62"/>
      <c r="P853" s="62"/>
      <c r="Q853" s="62"/>
      <c r="R853" s="62"/>
      <c r="S853" s="62"/>
      <c r="T853" s="62"/>
      <c r="U853" s="62"/>
      <c r="V853" s="62"/>
      <c r="W853" s="62"/>
      <c r="X853" s="62"/>
      <c r="Y853" s="62"/>
      <c r="Z853" s="62"/>
      <c r="AA853" s="62"/>
      <c r="AB853" s="62"/>
      <c r="AC853" s="62"/>
      <c r="AD853" s="62"/>
    </row>
    <row r="854">
      <c r="A854" s="6"/>
      <c r="B854" s="6"/>
      <c r="C854" s="6"/>
      <c r="D854" s="62"/>
      <c r="E854" s="62"/>
      <c r="F854" s="62"/>
      <c r="G854" s="62"/>
      <c r="H854" s="62"/>
      <c r="I854" s="62"/>
      <c r="J854" s="62"/>
      <c r="K854" s="62"/>
      <c r="L854" s="62"/>
      <c r="M854" s="62"/>
      <c r="N854" s="62"/>
      <c r="O854" s="62"/>
      <c r="P854" s="62"/>
      <c r="Q854" s="62"/>
      <c r="R854" s="62"/>
      <c r="S854" s="62"/>
      <c r="T854" s="62"/>
      <c r="U854" s="62"/>
      <c r="V854" s="62"/>
      <c r="W854" s="62"/>
      <c r="X854" s="62"/>
      <c r="Y854" s="62"/>
      <c r="Z854" s="62"/>
      <c r="AA854" s="62"/>
      <c r="AB854" s="62"/>
      <c r="AC854" s="62"/>
      <c r="AD854" s="62"/>
    </row>
    <row r="855">
      <c r="A855" s="6"/>
      <c r="B855" s="6"/>
      <c r="C855" s="6"/>
      <c r="D855" s="62"/>
      <c r="E855" s="62"/>
      <c r="F855" s="62"/>
      <c r="G855" s="62"/>
      <c r="H855" s="62"/>
      <c r="I855" s="62"/>
      <c r="J855" s="62"/>
      <c r="K855" s="62"/>
      <c r="L855" s="62"/>
      <c r="M855" s="62"/>
      <c r="N855" s="62"/>
      <c r="O855" s="62"/>
      <c r="P855" s="62"/>
      <c r="Q855" s="62"/>
      <c r="R855" s="62"/>
      <c r="S855" s="62"/>
      <c r="T855" s="62"/>
      <c r="U855" s="62"/>
      <c r="V855" s="62"/>
      <c r="W855" s="62"/>
      <c r="X855" s="62"/>
      <c r="Y855" s="62"/>
      <c r="Z855" s="62"/>
      <c r="AA855" s="62"/>
      <c r="AB855" s="62"/>
      <c r="AC855" s="62"/>
      <c r="AD855" s="62"/>
    </row>
    <row r="856">
      <c r="A856" s="6"/>
      <c r="B856" s="6"/>
      <c r="C856" s="6"/>
      <c r="D856" s="62"/>
      <c r="E856" s="62"/>
      <c r="F856" s="62"/>
      <c r="G856" s="62"/>
      <c r="H856" s="62"/>
      <c r="I856" s="62"/>
      <c r="J856" s="62"/>
      <c r="K856" s="62"/>
      <c r="L856" s="62"/>
      <c r="M856" s="62"/>
      <c r="N856" s="62"/>
      <c r="O856" s="62"/>
      <c r="P856" s="62"/>
      <c r="Q856" s="62"/>
      <c r="R856" s="62"/>
      <c r="S856" s="62"/>
      <c r="T856" s="62"/>
      <c r="U856" s="62"/>
      <c r="V856" s="62"/>
      <c r="W856" s="62"/>
      <c r="X856" s="62"/>
      <c r="Y856" s="62"/>
      <c r="Z856" s="62"/>
      <c r="AA856" s="62"/>
      <c r="AB856" s="62"/>
      <c r="AC856" s="62"/>
      <c r="AD856" s="62"/>
    </row>
    <row r="857">
      <c r="A857" s="6"/>
      <c r="B857" s="6"/>
      <c r="C857" s="6"/>
      <c r="D857" s="62"/>
      <c r="E857" s="62"/>
      <c r="F857" s="62"/>
      <c r="G857" s="62"/>
      <c r="H857" s="62"/>
      <c r="I857" s="62"/>
      <c r="J857" s="62"/>
      <c r="K857" s="62"/>
      <c r="L857" s="62"/>
      <c r="M857" s="62"/>
      <c r="N857" s="62"/>
      <c r="O857" s="62"/>
      <c r="P857" s="62"/>
      <c r="Q857" s="62"/>
      <c r="R857" s="62"/>
      <c r="S857" s="62"/>
      <c r="T857" s="62"/>
      <c r="U857" s="62"/>
      <c r="V857" s="62"/>
      <c r="W857" s="62"/>
      <c r="X857" s="62"/>
      <c r="Y857" s="62"/>
      <c r="Z857" s="62"/>
      <c r="AA857" s="62"/>
      <c r="AB857" s="62"/>
      <c r="AC857" s="62"/>
      <c r="AD857" s="62"/>
    </row>
    <row r="858">
      <c r="A858" s="6"/>
      <c r="B858" s="6"/>
      <c r="C858" s="6"/>
      <c r="D858" s="62"/>
      <c r="E858" s="62"/>
      <c r="F858" s="62"/>
      <c r="G858" s="62"/>
      <c r="H858" s="62"/>
      <c r="I858" s="62"/>
      <c r="J858" s="62"/>
      <c r="K858" s="62"/>
      <c r="L858" s="62"/>
      <c r="M858" s="62"/>
      <c r="N858" s="62"/>
      <c r="O858" s="62"/>
      <c r="P858" s="62"/>
      <c r="Q858" s="62"/>
      <c r="R858" s="62"/>
      <c r="S858" s="62"/>
      <c r="T858" s="62"/>
      <c r="U858" s="62"/>
      <c r="V858" s="62"/>
      <c r="W858" s="62"/>
      <c r="X858" s="62"/>
      <c r="Y858" s="62"/>
      <c r="Z858" s="62"/>
      <c r="AA858" s="62"/>
      <c r="AB858" s="62"/>
      <c r="AC858" s="62"/>
      <c r="AD858" s="62"/>
    </row>
    <row r="859">
      <c r="A859" s="6"/>
      <c r="B859" s="6"/>
      <c r="C859" s="6"/>
      <c r="D859" s="62"/>
      <c r="E859" s="62"/>
      <c r="F859" s="62"/>
      <c r="G859" s="62"/>
      <c r="H859" s="62"/>
      <c r="I859" s="62"/>
      <c r="J859" s="62"/>
      <c r="K859" s="62"/>
      <c r="L859" s="62"/>
      <c r="M859" s="62"/>
      <c r="N859" s="62"/>
      <c r="O859" s="62"/>
      <c r="P859" s="62"/>
      <c r="Q859" s="62"/>
      <c r="R859" s="62"/>
      <c r="S859" s="62"/>
      <c r="T859" s="62"/>
      <c r="U859" s="62"/>
      <c r="V859" s="62"/>
      <c r="W859" s="62"/>
      <c r="X859" s="62"/>
      <c r="Y859" s="62"/>
      <c r="Z859" s="62"/>
      <c r="AA859" s="62"/>
      <c r="AB859" s="62"/>
      <c r="AC859" s="62"/>
      <c r="AD859" s="62"/>
    </row>
    <row r="860">
      <c r="A860" s="6"/>
      <c r="B860" s="6"/>
      <c r="C860" s="6"/>
      <c r="D860" s="62"/>
      <c r="E860" s="62"/>
      <c r="F860" s="62"/>
      <c r="G860" s="62"/>
      <c r="H860" s="62"/>
      <c r="I860" s="62"/>
      <c r="J860" s="62"/>
      <c r="K860" s="62"/>
      <c r="L860" s="62"/>
      <c r="M860" s="62"/>
      <c r="N860" s="62"/>
      <c r="O860" s="62"/>
      <c r="P860" s="62"/>
      <c r="Q860" s="62"/>
      <c r="R860" s="62"/>
      <c r="S860" s="62"/>
      <c r="T860" s="62"/>
      <c r="U860" s="62"/>
      <c r="V860" s="62"/>
      <c r="W860" s="62"/>
      <c r="X860" s="62"/>
      <c r="Y860" s="62"/>
      <c r="Z860" s="62"/>
      <c r="AA860" s="62"/>
      <c r="AB860" s="62"/>
      <c r="AC860" s="62"/>
      <c r="AD860" s="62"/>
    </row>
    <row r="861">
      <c r="A861" s="6"/>
      <c r="B861" s="6"/>
      <c r="C861" s="6"/>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c r="AB861" s="62"/>
      <c r="AC861" s="62"/>
      <c r="AD861" s="62"/>
    </row>
    <row r="862">
      <c r="A862" s="6"/>
      <c r="B862" s="6"/>
      <c r="C862" s="6"/>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c r="AB862" s="62"/>
      <c r="AC862" s="62"/>
      <c r="AD862" s="62"/>
    </row>
    <row r="863">
      <c r="A863" s="6"/>
      <c r="B863" s="6"/>
      <c r="C863" s="6"/>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c r="AB863" s="62"/>
      <c r="AC863" s="62"/>
      <c r="AD863" s="62"/>
    </row>
    <row r="864">
      <c r="A864" s="6"/>
      <c r="B864" s="6"/>
      <c r="C864" s="6"/>
      <c r="D864" s="62"/>
      <c r="E864" s="62"/>
      <c r="F864" s="62"/>
      <c r="G864" s="62"/>
      <c r="H864" s="62"/>
      <c r="I864" s="62"/>
      <c r="J864" s="62"/>
      <c r="K864" s="62"/>
      <c r="L864" s="62"/>
      <c r="M864" s="62"/>
      <c r="N864" s="62"/>
      <c r="O864" s="62"/>
      <c r="P864" s="62"/>
      <c r="Q864" s="62"/>
      <c r="R864" s="62"/>
      <c r="S864" s="62"/>
      <c r="T864" s="62"/>
      <c r="U864" s="62"/>
      <c r="V864" s="62"/>
      <c r="W864" s="62"/>
      <c r="X864" s="62"/>
      <c r="Y864" s="62"/>
      <c r="Z864" s="62"/>
      <c r="AA864" s="62"/>
      <c r="AB864" s="62"/>
      <c r="AC864" s="62"/>
      <c r="AD864" s="62"/>
    </row>
    <row r="865">
      <c r="A865" s="6"/>
      <c r="B865" s="6"/>
      <c r="C865" s="6"/>
      <c r="D865" s="62"/>
      <c r="E865" s="62"/>
      <c r="F865" s="62"/>
      <c r="G865" s="62"/>
      <c r="H865" s="62"/>
      <c r="I865" s="62"/>
      <c r="J865" s="62"/>
      <c r="K865" s="62"/>
      <c r="L865" s="62"/>
      <c r="M865" s="62"/>
      <c r="N865" s="62"/>
      <c r="O865" s="62"/>
      <c r="P865" s="62"/>
      <c r="Q865" s="62"/>
      <c r="R865" s="62"/>
      <c r="S865" s="62"/>
      <c r="T865" s="62"/>
      <c r="U865" s="62"/>
      <c r="V865" s="62"/>
      <c r="W865" s="62"/>
      <c r="X865" s="62"/>
      <c r="Y865" s="62"/>
      <c r="Z865" s="62"/>
      <c r="AA865" s="62"/>
      <c r="AB865" s="62"/>
      <c r="AC865" s="62"/>
      <c r="AD865" s="62"/>
    </row>
    <row r="866">
      <c r="A866" s="6"/>
      <c r="B866" s="6"/>
      <c r="C866" s="6"/>
      <c r="D866" s="62"/>
      <c r="E866" s="62"/>
      <c r="F866" s="62"/>
      <c r="G866" s="62"/>
      <c r="H866" s="62"/>
      <c r="I866" s="62"/>
      <c r="J866" s="62"/>
      <c r="K866" s="62"/>
      <c r="L866" s="62"/>
      <c r="M866" s="62"/>
      <c r="N866" s="62"/>
      <c r="O866" s="62"/>
      <c r="P866" s="62"/>
      <c r="Q866" s="62"/>
      <c r="R866" s="62"/>
      <c r="S866" s="62"/>
      <c r="T866" s="62"/>
      <c r="U866" s="62"/>
      <c r="V866" s="62"/>
      <c r="W866" s="62"/>
      <c r="X866" s="62"/>
      <c r="Y866" s="62"/>
      <c r="Z866" s="62"/>
      <c r="AA866" s="62"/>
      <c r="AB866" s="62"/>
      <c r="AC866" s="62"/>
      <c r="AD866" s="62"/>
    </row>
    <row r="867">
      <c r="A867" s="6"/>
      <c r="B867" s="6"/>
      <c r="C867" s="6"/>
      <c r="D867" s="62"/>
      <c r="E867" s="62"/>
      <c r="F867" s="62"/>
      <c r="G867" s="62"/>
      <c r="H867" s="62"/>
      <c r="I867" s="62"/>
      <c r="J867" s="62"/>
      <c r="K867" s="62"/>
      <c r="L867" s="62"/>
      <c r="M867" s="62"/>
      <c r="N867" s="62"/>
      <c r="O867" s="62"/>
      <c r="P867" s="62"/>
      <c r="Q867" s="62"/>
      <c r="R867" s="62"/>
      <c r="S867" s="62"/>
      <c r="T867" s="62"/>
      <c r="U867" s="62"/>
      <c r="V867" s="62"/>
      <c r="W867" s="62"/>
      <c r="X867" s="62"/>
      <c r="Y867" s="62"/>
      <c r="Z867" s="62"/>
      <c r="AA867" s="62"/>
      <c r="AB867" s="62"/>
      <c r="AC867" s="62"/>
      <c r="AD867" s="62"/>
    </row>
    <row r="868">
      <c r="A868" s="6"/>
      <c r="B868" s="6"/>
      <c r="C868" s="6"/>
      <c r="D868" s="62"/>
      <c r="E868" s="62"/>
      <c r="F868" s="62"/>
      <c r="G868" s="62"/>
      <c r="H868" s="62"/>
      <c r="I868" s="62"/>
      <c r="J868" s="62"/>
      <c r="K868" s="62"/>
      <c r="L868" s="62"/>
      <c r="M868" s="62"/>
      <c r="N868" s="62"/>
      <c r="O868" s="62"/>
      <c r="P868" s="62"/>
      <c r="Q868" s="62"/>
      <c r="R868" s="62"/>
      <c r="S868" s="62"/>
      <c r="T868" s="62"/>
      <c r="U868" s="62"/>
      <c r="V868" s="62"/>
      <c r="W868" s="62"/>
      <c r="X868" s="62"/>
      <c r="Y868" s="62"/>
      <c r="Z868" s="62"/>
      <c r="AA868" s="62"/>
      <c r="AB868" s="62"/>
      <c r="AC868" s="62"/>
      <c r="AD868" s="62"/>
    </row>
    <row r="869">
      <c r="A869" s="6"/>
      <c r="B869" s="6"/>
      <c r="C869" s="6"/>
      <c r="D869" s="62"/>
      <c r="E869" s="62"/>
      <c r="F869" s="62"/>
      <c r="G869" s="62"/>
      <c r="H869" s="62"/>
      <c r="I869" s="62"/>
      <c r="J869" s="62"/>
      <c r="K869" s="62"/>
      <c r="L869" s="62"/>
      <c r="M869" s="62"/>
      <c r="N869" s="62"/>
      <c r="O869" s="62"/>
      <c r="P869" s="62"/>
      <c r="Q869" s="62"/>
      <c r="R869" s="62"/>
      <c r="S869" s="62"/>
      <c r="T869" s="62"/>
      <c r="U869" s="62"/>
      <c r="V869" s="62"/>
      <c r="W869" s="62"/>
      <c r="X869" s="62"/>
      <c r="Y869" s="62"/>
      <c r="Z869" s="62"/>
      <c r="AA869" s="62"/>
      <c r="AB869" s="62"/>
      <c r="AC869" s="62"/>
      <c r="AD869" s="62"/>
    </row>
    <row r="870">
      <c r="A870" s="6"/>
      <c r="B870" s="6"/>
      <c r="C870" s="6"/>
      <c r="D870" s="62"/>
      <c r="E870" s="62"/>
      <c r="F870" s="62"/>
      <c r="G870" s="62"/>
      <c r="H870" s="62"/>
      <c r="I870" s="62"/>
      <c r="J870" s="62"/>
      <c r="K870" s="62"/>
      <c r="L870" s="62"/>
      <c r="M870" s="62"/>
      <c r="N870" s="62"/>
      <c r="O870" s="62"/>
      <c r="P870" s="62"/>
      <c r="Q870" s="62"/>
      <c r="R870" s="62"/>
      <c r="S870" s="62"/>
      <c r="T870" s="62"/>
      <c r="U870" s="62"/>
      <c r="V870" s="62"/>
      <c r="W870" s="62"/>
      <c r="X870" s="62"/>
      <c r="Y870" s="62"/>
      <c r="Z870" s="62"/>
      <c r="AA870" s="62"/>
      <c r="AB870" s="62"/>
      <c r="AC870" s="62"/>
      <c r="AD870" s="62"/>
    </row>
    <row r="871">
      <c r="A871" s="6"/>
      <c r="B871" s="6"/>
      <c r="C871" s="6"/>
      <c r="D871" s="62"/>
      <c r="E871" s="62"/>
      <c r="F871" s="62"/>
      <c r="G871" s="62"/>
      <c r="H871" s="62"/>
      <c r="I871" s="62"/>
      <c r="J871" s="62"/>
      <c r="K871" s="62"/>
      <c r="L871" s="62"/>
      <c r="M871" s="62"/>
      <c r="N871" s="62"/>
      <c r="O871" s="62"/>
      <c r="P871" s="62"/>
      <c r="Q871" s="62"/>
      <c r="R871" s="62"/>
      <c r="S871" s="62"/>
      <c r="T871" s="62"/>
      <c r="U871" s="62"/>
      <c r="V871" s="62"/>
      <c r="W871" s="62"/>
      <c r="X871" s="62"/>
      <c r="Y871" s="62"/>
      <c r="Z871" s="62"/>
      <c r="AA871" s="62"/>
      <c r="AB871" s="62"/>
      <c r="AC871" s="62"/>
      <c r="AD871" s="62"/>
    </row>
    <row r="872">
      <c r="A872" s="6"/>
      <c r="B872" s="6"/>
      <c r="C872" s="6"/>
      <c r="D872" s="62"/>
      <c r="E872" s="62"/>
      <c r="F872" s="62"/>
      <c r="G872" s="62"/>
      <c r="H872" s="62"/>
      <c r="I872" s="62"/>
      <c r="J872" s="62"/>
      <c r="K872" s="62"/>
      <c r="L872" s="62"/>
      <c r="M872" s="62"/>
      <c r="N872" s="62"/>
      <c r="O872" s="62"/>
      <c r="P872" s="62"/>
      <c r="Q872" s="62"/>
      <c r="R872" s="62"/>
      <c r="S872" s="62"/>
      <c r="T872" s="62"/>
      <c r="U872" s="62"/>
      <c r="V872" s="62"/>
      <c r="W872" s="62"/>
      <c r="X872" s="62"/>
      <c r="Y872" s="62"/>
      <c r="Z872" s="62"/>
      <c r="AA872" s="62"/>
      <c r="AB872" s="62"/>
      <c r="AC872" s="62"/>
      <c r="AD872" s="62"/>
    </row>
    <row r="873">
      <c r="A873" s="6"/>
      <c r="B873" s="6"/>
      <c r="C873" s="6"/>
      <c r="D873" s="62"/>
      <c r="E873" s="62"/>
      <c r="F873" s="62"/>
      <c r="G873" s="62"/>
      <c r="H873" s="62"/>
      <c r="I873" s="62"/>
      <c r="J873" s="62"/>
      <c r="K873" s="62"/>
      <c r="L873" s="62"/>
      <c r="M873" s="62"/>
      <c r="N873" s="62"/>
      <c r="O873" s="62"/>
      <c r="P873" s="62"/>
      <c r="Q873" s="62"/>
      <c r="R873" s="62"/>
      <c r="S873" s="62"/>
      <c r="T873" s="62"/>
      <c r="U873" s="62"/>
      <c r="V873" s="62"/>
      <c r="W873" s="62"/>
      <c r="X873" s="62"/>
      <c r="Y873" s="62"/>
      <c r="Z873" s="62"/>
      <c r="AA873" s="62"/>
      <c r="AB873" s="62"/>
      <c r="AC873" s="62"/>
      <c r="AD873" s="62"/>
    </row>
    <row r="874">
      <c r="A874" s="6"/>
      <c r="B874" s="6"/>
      <c r="C874" s="6"/>
      <c r="D874" s="62"/>
      <c r="E874" s="62"/>
      <c r="F874" s="62"/>
      <c r="G874" s="62"/>
      <c r="H874" s="62"/>
      <c r="I874" s="62"/>
      <c r="J874" s="62"/>
      <c r="K874" s="62"/>
      <c r="L874" s="62"/>
      <c r="M874" s="62"/>
      <c r="N874" s="62"/>
      <c r="O874" s="62"/>
      <c r="P874" s="62"/>
      <c r="Q874" s="62"/>
      <c r="R874" s="62"/>
      <c r="S874" s="62"/>
      <c r="T874" s="62"/>
      <c r="U874" s="62"/>
      <c r="V874" s="62"/>
      <c r="W874" s="62"/>
      <c r="X874" s="62"/>
      <c r="Y874" s="62"/>
      <c r="Z874" s="62"/>
      <c r="AA874" s="62"/>
      <c r="AB874" s="62"/>
      <c r="AC874" s="62"/>
      <c r="AD874" s="62"/>
    </row>
    <row r="875">
      <c r="A875" s="6"/>
      <c r="B875" s="6"/>
      <c r="C875" s="6"/>
      <c r="D875" s="62"/>
      <c r="E875" s="62"/>
      <c r="F875" s="62"/>
      <c r="G875" s="62"/>
      <c r="H875" s="62"/>
      <c r="I875" s="62"/>
      <c r="J875" s="62"/>
      <c r="K875" s="62"/>
      <c r="L875" s="62"/>
      <c r="M875" s="62"/>
      <c r="N875" s="62"/>
      <c r="O875" s="62"/>
      <c r="P875" s="62"/>
      <c r="Q875" s="62"/>
      <c r="R875" s="62"/>
      <c r="S875" s="62"/>
      <c r="T875" s="62"/>
      <c r="U875" s="62"/>
      <c r="V875" s="62"/>
      <c r="W875" s="62"/>
      <c r="X875" s="62"/>
      <c r="Y875" s="62"/>
      <c r="Z875" s="62"/>
      <c r="AA875" s="62"/>
      <c r="AB875" s="62"/>
      <c r="AC875" s="62"/>
      <c r="AD875" s="62"/>
    </row>
    <row r="876">
      <c r="A876" s="6"/>
      <c r="B876" s="6"/>
      <c r="C876" s="6"/>
      <c r="D876" s="62"/>
      <c r="E876" s="62"/>
      <c r="F876" s="62"/>
      <c r="G876" s="62"/>
      <c r="H876" s="62"/>
      <c r="I876" s="62"/>
      <c r="J876" s="62"/>
      <c r="K876" s="62"/>
      <c r="L876" s="62"/>
      <c r="M876" s="62"/>
      <c r="N876" s="62"/>
      <c r="O876" s="62"/>
      <c r="P876" s="62"/>
      <c r="Q876" s="62"/>
      <c r="R876" s="62"/>
      <c r="S876" s="62"/>
      <c r="T876" s="62"/>
      <c r="U876" s="62"/>
      <c r="V876" s="62"/>
      <c r="W876" s="62"/>
      <c r="X876" s="62"/>
      <c r="Y876" s="62"/>
      <c r="Z876" s="62"/>
      <c r="AA876" s="62"/>
      <c r="AB876" s="62"/>
      <c r="AC876" s="62"/>
      <c r="AD876" s="62"/>
    </row>
    <row r="877">
      <c r="A877" s="6"/>
      <c r="B877" s="6"/>
      <c r="C877" s="6"/>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c r="AB877" s="62"/>
      <c r="AC877" s="62"/>
      <c r="AD877" s="62"/>
    </row>
    <row r="878">
      <c r="A878" s="6"/>
      <c r="B878" s="6"/>
      <c r="C878" s="6"/>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c r="AB878" s="62"/>
      <c r="AC878" s="62"/>
      <c r="AD878" s="62"/>
    </row>
    <row r="879">
      <c r="A879" s="6"/>
      <c r="B879" s="6"/>
      <c r="C879" s="6"/>
      <c r="D879" s="62"/>
      <c r="E879" s="62"/>
      <c r="F879" s="62"/>
      <c r="G879" s="62"/>
      <c r="H879" s="62"/>
      <c r="I879" s="62"/>
      <c r="J879" s="62"/>
      <c r="K879" s="62"/>
      <c r="L879" s="62"/>
      <c r="M879" s="62"/>
      <c r="N879" s="62"/>
      <c r="O879" s="62"/>
      <c r="P879" s="62"/>
      <c r="Q879" s="62"/>
      <c r="R879" s="62"/>
      <c r="S879" s="62"/>
      <c r="T879" s="62"/>
      <c r="U879" s="62"/>
      <c r="V879" s="62"/>
      <c r="W879" s="62"/>
      <c r="X879" s="62"/>
      <c r="Y879" s="62"/>
      <c r="Z879" s="62"/>
      <c r="AA879" s="62"/>
      <c r="AB879" s="62"/>
      <c r="AC879" s="62"/>
      <c r="AD879" s="62"/>
    </row>
    <row r="880">
      <c r="A880" s="6"/>
      <c r="B880" s="6"/>
      <c r="C880" s="6"/>
      <c r="D880" s="62"/>
      <c r="E880" s="62"/>
      <c r="F880" s="62"/>
      <c r="G880" s="62"/>
      <c r="H880" s="62"/>
      <c r="I880" s="62"/>
      <c r="J880" s="62"/>
      <c r="K880" s="62"/>
      <c r="L880" s="62"/>
      <c r="M880" s="62"/>
      <c r="N880" s="62"/>
      <c r="O880" s="62"/>
      <c r="P880" s="62"/>
      <c r="Q880" s="62"/>
      <c r="R880" s="62"/>
      <c r="S880" s="62"/>
      <c r="T880" s="62"/>
      <c r="U880" s="62"/>
      <c r="V880" s="62"/>
      <c r="W880" s="62"/>
      <c r="X880" s="62"/>
      <c r="Y880" s="62"/>
      <c r="Z880" s="62"/>
      <c r="AA880" s="62"/>
      <c r="AB880" s="62"/>
      <c r="AC880" s="62"/>
      <c r="AD880" s="62"/>
    </row>
    <row r="881">
      <c r="A881" s="6"/>
      <c r="B881" s="6"/>
      <c r="C881" s="6"/>
      <c r="D881" s="62"/>
      <c r="E881" s="62"/>
      <c r="F881" s="62"/>
      <c r="G881" s="62"/>
      <c r="H881" s="62"/>
      <c r="I881" s="62"/>
      <c r="J881" s="62"/>
      <c r="K881" s="62"/>
      <c r="L881" s="62"/>
      <c r="M881" s="62"/>
      <c r="N881" s="62"/>
      <c r="O881" s="62"/>
      <c r="P881" s="62"/>
      <c r="Q881" s="62"/>
      <c r="R881" s="62"/>
      <c r="S881" s="62"/>
      <c r="T881" s="62"/>
      <c r="U881" s="62"/>
      <c r="V881" s="62"/>
      <c r="W881" s="62"/>
      <c r="X881" s="62"/>
      <c r="Y881" s="62"/>
      <c r="Z881" s="62"/>
      <c r="AA881" s="62"/>
      <c r="AB881" s="62"/>
      <c r="AC881" s="62"/>
      <c r="AD881" s="62"/>
    </row>
    <row r="882">
      <c r="A882" s="6"/>
      <c r="B882" s="6"/>
      <c r="C882" s="6"/>
      <c r="D882" s="62"/>
      <c r="E882" s="62"/>
      <c r="F882" s="62"/>
      <c r="G882" s="62"/>
      <c r="H882" s="62"/>
      <c r="I882" s="62"/>
      <c r="J882" s="62"/>
      <c r="K882" s="62"/>
      <c r="L882" s="62"/>
      <c r="M882" s="62"/>
      <c r="N882" s="62"/>
      <c r="O882" s="62"/>
      <c r="P882" s="62"/>
      <c r="Q882" s="62"/>
      <c r="R882" s="62"/>
      <c r="S882" s="62"/>
      <c r="T882" s="62"/>
      <c r="U882" s="62"/>
      <c r="V882" s="62"/>
      <c r="W882" s="62"/>
      <c r="X882" s="62"/>
      <c r="Y882" s="62"/>
      <c r="Z882" s="62"/>
      <c r="AA882" s="62"/>
      <c r="AB882" s="62"/>
      <c r="AC882" s="62"/>
      <c r="AD882" s="62"/>
    </row>
    <row r="883">
      <c r="A883" s="6"/>
      <c r="B883" s="6"/>
      <c r="C883" s="6"/>
      <c r="D883" s="62"/>
      <c r="E883" s="62"/>
      <c r="F883" s="62"/>
      <c r="G883" s="62"/>
      <c r="H883" s="62"/>
      <c r="I883" s="62"/>
      <c r="J883" s="62"/>
      <c r="K883" s="62"/>
      <c r="L883" s="62"/>
      <c r="M883" s="62"/>
      <c r="N883" s="62"/>
      <c r="O883" s="62"/>
      <c r="P883" s="62"/>
      <c r="Q883" s="62"/>
      <c r="R883" s="62"/>
      <c r="S883" s="62"/>
      <c r="T883" s="62"/>
      <c r="U883" s="62"/>
      <c r="V883" s="62"/>
      <c r="W883" s="62"/>
      <c r="X883" s="62"/>
      <c r="Y883" s="62"/>
      <c r="Z883" s="62"/>
      <c r="AA883" s="62"/>
      <c r="AB883" s="62"/>
      <c r="AC883" s="62"/>
      <c r="AD883" s="62"/>
    </row>
    <row r="884">
      <c r="A884" s="6"/>
      <c r="B884" s="6"/>
      <c r="C884" s="6"/>
      <c r="D884" s="62"/>
      <c r="E884" s="62"/>
      <c r="F884" s="62"/>
      <c r="G884" s="62"/>
      <c r="H884" s="62"/>
      <c r="I884" s="62"/>
      <c r="J884" s="62"/>
      <c r="K884" s="62"/>
      <c r="L884" s="62"/>
      <c r="M884" s="62"/>
      <c r="N884" s="62"/>
      <c r="O884" s="62"/>
      <c r="P884" s="62"/>
      <c r="Q884" s="62"/>
      <c r="R884" s="62"/>
      <c r="S884" s="62"/>
      <c r="T884" s="62"/>
      <c r="U884" s="62"/>
      <c r="V884" s="62"/>
      <c r="W884" s="62"/>
      <c r="X884" s="62"/>
      <c r="Y884" s="62"/>
      <c r="Z884" s="62"/>
      <c r="AA884" s="62"/>
      <c r="AB884" s="62"/>
      <c r="AC884" s="62"/>
      <c r="AD884" s="62"/>
    </row>
    <row r="885">
      <c r="A885" s="6"/>
      <c r="B885" s="6"/>
      <c r="C885" s="6"/>
      <c r="D885" s="62"/>
      <c r="E885" s="62"/>
      <c r="F885" s="62"/>
      <c r="G885" s="62"/>
      <c r="H885" s="62"/>
      <c r="I885" s="62"/>
      <c r="J885" s="62"/>
      <c r="K885" s="62"/>
      <c r="L885" s="62"/>
      <c r="M885" s="62"/>
      <c r="N885" s="62"/>
      <c r="O885" s="62"/>
      <c r="P885" s="62"/>
      <c r="Q885" s="62"/>
      <c r="R885" s="62"/>
      <c r="S885" s="62"/>
      <c r="T885" s="62"/>
      <c r="U885" s="62"/>
      <c r="V885" s="62"/>
      <c r="W885" s="62"/>
      <c r="X885" s="62"/>
      <c r="Y885" s="62"/>
      <c r="Z885" s="62"/>
      <c r="AA885" s="62"/>
      <c r="AB885" s="62"/>
      <c r="AC885" s="62"/>
      <c r="AD885" s="62"/>
    </row>
    <row r="886">
      <c r="A886" s="6"/>
      <c r="B886" s="6"/>
      <c r="C886" s="6"/>
      <c r="D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c r="AB886" s="62"/>
      <c r="AC886" s="62"/>
      <c r="AD886" s="62"/>
    </row>
    <row r="887">
      <c r="A887" s="6"/>
      <c r="B887" s="6"/>
      <c r="C887" s="6"/>
      <c r="D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c r="AB887" s="62"/>
      <c r="AC887" s="62"/>
      <c r="AD887" s="62"/>
    </row>
    <row r="888">
      <c r="A888" s="6"/>
      <c r="B888" s="6"/>
      <c r="C888" s="6"/>
      <c r="D888" s="62"/>
      <c r="E888" s="62"/>
      <c r="F888" s="62"/>
      <c r="G888" s="62"/>
      <c r="H888" s="62"/>
      <c r="I888" s="62"/>
      <c r="J888" s="62"/>
      <c r="K888" s="62"/>
      <c r="L888" s="62"/>
      <c r="M888" s="62"/>
      <c r="N888" s="62"/>
      <c r="O888" s="62"/>
      <c r="P888" s="62"/>
      <c r="Q888" s="62"/>
      <c r="R888" s="62"/>
      <c r="S888" s="62"/>
      <c r="T888" s="62"/>
      <c r="U888" s="62"/>
      <c r="V888" s="62"/>
      <c r="W888" s="62"/>
      <c r="X888" s="62"/>
      <c r="Y888" s="62"/>
      <c r="Z888" s="62"/>
      <c r="AA888" s="62"/>
      <c r="AB888" s="62"/>
      <c r="AC888" s="62"/>
      <c r="AD888" s="62"/>
    </row>
    <row r="889">
      <c r="A889" s="6"/>
      <c r="B889" s="6"/>
      <c r="C889" s="6"/>
      <c r="D889" s="62"/>
      <c r="E889" s="62"/>
      <c r="F889" s="62"/>
      <c r="G889" s="62"/>
      <c r="H889" s="62"/>
      <c r="I889" s="62"/>
      <c r="J889" s="62"/>
      <c r="K889" s="62"/>
      <c r="L889" s="62"/>
      <c r="M889" s="62"/>
      <c r="N889" s="62"/>
      <c r="O889" s="62"/>
      <c r="P889" s="62"/>
      <c r="Q889" s="62"/>
      <c r="R889" s="62"/>
      <c r="S889" s="62"/>
      <c r="T889" s="62"/>
      <c r="U889" s="62"/>
      <c r="V889" s="62"/>
      <c r="W889" s="62"/>
      <c r="X889" s="62"/>
      <c r="Y889" s="62"/>
      <c r="Z889" s="62"/>
      <c r="AA889" s="62"/>
      <c r="AB889" s="62"/>
      <c r="AC889" s="62"/>
      <c r="AD889" s="62"/>
    </row>
    <row r="890">
      <c r="A890" s="6"/>
      <c r="B890" s="6"/>
      <c r="C890" s="6"/>
      <c r="D890" s="62"/>
      <c r="E890" s="62"/>
      <c r="F890" s="62"/>
      <c r="G890" s="62"/>
      <c r="H890" s="62"/>
      <c r="I890" s="62"/>
      <c r="J890" s="62"/>
      <c r="K890" s="62"/>
      <c r="L890" s="62"/>
      <c r="M890" s="62"/>
      <c r="N890" s="62"/>
      <c r="O890" s="62"/>
      <c r="P890" s="62"/>
      <c r="Q890" s="62"/>
      <c r="R890" s="62"/>
      <c r="S890" s="62"/>
      <c r="T890" s="62"/>
      <c r="U890" s="62"/>
      <c r="V890" s="62"/>
      <c r="W890" s="62"/>
      <c r="X890" s="62"/>
      <c r="Y890" s="62"/>
      <c r="Z890" s="62"/>
      <c r="AA890" s="62"/>
      <c r="AB890" s="62"/>
      <c r="AC890" s="62"/>
      <c r="AD890" s="62"/>
    </row>
    <row r="891">
      <c r="A891" s="6"/>
      <c r="B891" s="6"/>
      <c r="C891" s="6"/>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c r="AB891" s="62"/>
      <c r="AC891" s="62"/>
      <c r="AD891" s="62"/>
    </row>
    <row r="892">
      <c r="A892" s="6"/>
      <c r="B892" s="6"/>
      <c r="C892" s="6"/>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c r="AB892" s="62"/>
      <c r="AC892" s="62"/>
      <c r="AD892" s="62"/>
    </row>
    <row r="893">
      <c r="A893" s="6"/>
      <c r="B893" s="6"/>
      <c r="C893" s="6"/>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c r="AB893" s="62"/>
      <c r="AC893" s="62"/>
      <c r="AD893" s="62"/>
    </row>
    <row r="894">
      <c r="A894" s="6"/>
      <c r="B894" s="6"/>
      <c r="C894" s="6"/>
      <c r="D894" s="62"/>
      <c r="E894" s="62"/>
      <c r="F894" s="62"/>
      <c r="G894" s="62"/>
      <c r="H894" s="62"/>
      <c r="I894" s="62"/>
      <c r="J894" s="62"/>
      <c r="K894" s="62"/>
      <c r="L894" s="62"/>
      <c r="M894" s="62"/>
      <c r="N894" s="62"/>
      <c r="O894" s="62"/>
      <c r="P894" s="62"/>
      <c r="Q894" s="62"/>
      <c r="R894" s="62"/>
      <c r="S894" s="62"/>
      <c r="T894" s="62"/>
      <c r="U894" s="62"/>
      <c r="V894" s="62"/>
      <c r="W894" s="62"/>
      <c r="X894" s="62"/>
      <c r="Y894" s="62"/>
      <c r="Z894" s="62"/>
      <c r="AA894" s="62"/>
      <c r="AB894" s="62"/>
      <c r="AC894" s="62"/>
      <c r="AD894" s="62"/>
    </row>
    <row r="895">
      <c r="A895" s="6"/>
      <c r="B895" s="6"/>
      <c r="C895" s="6"/>
      <c r="D895" s="62"/>
      <c r="E895" s="62"/>
      <c r="F895" s="62"/>
      <c r="G895" s="62"/>
      <c r="H895" s="62"/>
      <c r="I895" s="62"/>
      <c r="J895" s="62"/>
      <c r="K895" s="62"/>
      <c r="L895" s="62"/>
      <c r="M895" s="62"/>
      <c r="N895" s="62"/>
      <c r="O895" s="62"/>
      <c r="P895" s="62"/>
      <c r="Q895" s="62"/>
      <c r="R895" s="62"/>
      <c r="S895" s="62"/>
      <c r="T895" s="62"/>
      <c r="U895" s="62"/>
      <c r="V895" s="62"/>
      <c r="W895" s="62"/>
      <c r="X895" s="62"/>
      <c r="Y895" s="62"/>
      <c r="Z895" s="62"/>
      <c r="AA895" s="62"/>
      <c r="AB895" s="62"/>
      <c r="AC895" s="62"/>
      <c r="AD895" s="62"/>
    </row>
    <row r="896">
      <c r="A896" s="6"/>
      <c r="B896" s="6"/>
      <c r="C896" s="6"/>
      <c r="D896" s="62"/>
      <c r="E896" s="62"/>
      <c r="F896" s="62"/>
      <c r="G896" s="62"/>
      <c r="H896" s="62"/>
      <c r="I896" s="62"/>
      <c r="J896" s="62"/>
      <c r="K896" s="62"/>
      <c r="L896" s="62"/>
      <c r="M896" s="62"/>
      <c r="N896" s="62"/>
      <c r="O896" s="62"/>
      <c r="P896" s="62"/>
      <c r="Q896" s="62"/>
      <c r="R896" s="62"/>
      <c r="S896" s="62"/>
      <c r="T896" s="62"/>
      <c r="U896" s="62"/>
      <c r="V896" s="62"/>
      <c r="W896" s="62"/>
      <c r="X896" s="62"/>
      <c r="Y896" s="62"/>
      <c r="Z896" s="62"/>
      <c r="AA896" s="62"/>
      <c r="AB896" s="62"/>
      <c r="AC896" s="62"/>
      <c r="AD896" s="62"/>
    </row>
    <row r="897">
      <c r="A897" s="6"/>
      <c r="B897" s="6"/>
      <c r="C897" s="6"/>
      <c r="D897" s="62"/>
      <c r="E897" s="62"/>
      <c r="F897" s="62"/>
      <c r="G897" s="62"/>
      <c r="H897" s="62"/>
      <c r="I897" s="62"/>
      <c r="J897" s="62"/>
      <c r="K897" s="62"/>
      <c r="L897" s="62"/>
      <c r="M897" s="62"/>
      <c r="N897" s="62"/>
      <c r="O897" s="62"/>
      <c r="P897" s="62"/>
      <c r="Q897" s="62"/>
      <c r="R897" s="62"/>
      <c r="S897" s="62"/>
      <c r="T897" s="62"/>
      <c r="U897" s="62"/>
      <c r="V897" s="62"/>
      <c r="W897" s="62"/>
      <c r="X897" s="62"/>
      <c r="Y897" s="62"/>
      <c r="Z897" s="62"/>
      <c r="AA897" s="62"/>
      <c r="AB897" s="62"/>
      <c r="AC897" s="62"/>
      <c r="AD897" s="62"/>
    </row>
    <row r="898">
      <c r="A898" s="6"/>
      <c r="B898" s="6"/>
      <c r="C898" s="6"/>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c r="AB898" s="62"/>
      <c r="AC898" s="62"/>
      <c r="AD898" s="62"/>
    </row>
    <row r="899">
      <c r="A899" s="6"/>
      <c r="B899" s="6"/>
      <c r="C899" s="6"/>
      <c r="D899" s="62"/>
      <c r="E899" s="62"/>
      <c r="F899" s="62"/>
      <c r="G899" s="62"/>
      <c r="H899" s="62"/>
      <c r="I899" s="62"/>
      <c r="J899" s="62"/>
      <c r="K899" s="62"/>
      <c r="L899" s="62"/>
      <c r="M899" s="62"/>
      <c r="N899" s="62"/>
      <c r="O899" s="62"/>
      <c r="P899" s="62"/>
      <c r="Q899" s="62"/>
      <c r="R899" s="62"/>
      <c r="S899" s="62"/>
      <c r="T899" s="62"/>
      <c r="U899" s="62"/>
      <c r="V899" s="62"/>
      <c r="W899" s="62"/>
      <c r="X899" s="62"/>
      <c r="Y899" s="62"/>
      <c r="Z899" s="62"/>
      <c r="AA899" s="62"/>
      <c r="AB899" s="62"/>
      <c r="AC899" s="62"/>
      <c r="AD899" s="62"/>
    </row>
    <row r="900">
      <c r="A900" s="6"/>
      <c r="B900" s="6"/>
      <c r="C900" s="6"/>
      <c r="D900" s="62"/>
      <c r="E900" s="62"/>
      <c r="F900" s="62"/>
      <c r="G900" s="62"/>
      <c r="H900" s="62"/>
      <c r="I900" s="62"/>
      <c r="J900" s="62"/>
      <c r="K900" s="62"/>
      <c r="L900" s="62"/>
      <c r="M900" s="62"/>
      <c r="N900" s="62"/>
      <c r="O900" s="62"/>
      <c r="P900" s="62"/>
      <c r="Q900" s="62"/>
      <c r="R900" s="62"/>
      <c r="S900" s="62"/>
      <c r="T900" s="62"/>
      <c r="U900" s="62"/>
      <c r="V900" s="62"/>
      <c r="W900" s="62"/>
      <c r="X900" s="62"/>
      <c r="Y900" s="62"/>
      <c r="Z900" s="62"/>
      <c r="AA900" s="62"/>
      <c r="AB900" s="62"/>
      <c r="AC900" s="62"/>
      <c r="AD900" s="62"/>
    </row>
    <row r="901">
      <c r="A901" s="6"/>
      <c r="B901" s="6"/>
      <c r="C901" s="6"/>
      <c r="D901" s="62"/>
      <c r="E901" s="62"/>
      <c r="F901" s="62"/>
      <c r="G901" s="62"/>
      <c r="H901" s="62"/>
      <c r="I901" s="62"/>
      <c r="J901" s="62"/>
      <c r="K901" s="62"/>
      <c r="L901" s="62"/>
      <c r="M901" s="62"/>
      <c r="N901" s="62"/>
      <c r="O901" s="62"/>
      <c r="P901" s="62"/>
      <c r="Q901" s="62"/>
      <c r="R901" s="62"/>
      <c r="S901" s="62"/>
      <c r="T901" s="62"/>
      <c r="U901" s="62"/>
      <c r="V901" s="62"/>
      <c r="W901" s="62"/>
      <c r="X901" s="62"/>
      <c r="Y901" s="62"/>
      <c r="Z901" s="62"/>
      <c r="AA901" s="62"/>
      <c r="AB901" s="62"/>
      <c r="AC901" s="62"/>
      <c r="AD901" s="62"/>
    </row>
    <row r="902">
      <c r="A902" s="6"/>
      <c r="B902" s="6"/>
      <c r="C902" s="6"/>
      <c r="D902" s="62"/>
      <c r="E902" s="62"/>
      <c r="F902" s="62"/>
      <c r="G902" s="62"/>
      <c r="H902" s="62"/>
      <c r="I902" s="62"/>
      <c r="J902" s="62"/>
      <c r="K902" s="62"/>
      <c r="L902" s="62"/>
      <c r="M902" s="62"/>
      <c r="N902" s="62"/>
      <c r="O902" s="62"/>
      <c r="P902" s="62"/>
      <c r="Q902" s="62"/>
      <c r="R902" s="62"/>
      <c r="S902" s="62"/>
      <c r="T902" s="62"/>
      <c r="U902" s="62"/>
      <c r="V902" s="62"/>
      <c r="W902" s="62"/>
      <c r="X902" s="62"/>
      <c r="Y902" s="62"/>
      <c r="Z902" s="62"/>
      <c r="AA902" s="62"/>
      <c r="AB902" s="62"/>
      <c r="AC902" s="62"/>
      <c r="AD902" s="62"/>
    </row>
    <row r="903">
      <c r="A903" s="6"/>
      <c r="B903" s="6"/>
      <c r="C903" s="6"/>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c r="AB903" s="62"/>
      <c r="AC903" s="62"/>
      <c r="AD903" s="62"/>
    </row>
    <row r="904">
      <c r="A904" s="6"/>
      <c r="B904" s="6"/>
      <c r="C904" s="6"/>
      <c r="D904" s="62"/>
      <c r="E904" s="62"/>
      <c r="F904" s="62"/>
      <c r="G904" s="62"/>
      <c r="H904" s="62"/>
      <c r="I904" s="62"/>
      <c r="J904" s="62"/>
      <c r="K904" s="62"/>
      <c r="L904" s="62"/>
      <c r="M904" s="62"/>
      <c r="N904" s="62"/>
      <c r="O904" s="62"/>
      <c r="P904" s="62"/>
      <c r="Q904" s="62"/>
      <c r="R904" s="62"/>
      <c r="S904" s="62"/>
      <c r="T904" s="62"/>
      <c r="U904" s="62"/>
      <c r="V904" s="62"/>
      <c r="W904" s="62"/>
      <c r="X904" s="62"/>
      <c r="Y904" s="62"/>
      <c r="Z904" s="62"/>
      <c r="AA904" s="62"/>
      <c r="AB904" s="62"/>
      <c r="AC904" s="62"/>
      <c r="AD904" s="62"/>
    </row>
    <row r="905">
      <c r="A905" s="6"/>
      <c r="B905" s="6"/>
      <c r="C905" s="6"/>
      <c r="D905" s="62"/>
      <c r="E905" s="62"/>
      <c r="F905" s="62"/>
      <c r="G905" s="62"/>
      <c r="H905" s="62"/>
      <c r="I905" s="62"/>
      <c r="J905" s="62"/>
      <c r="K905" s="62"/>
      <c r="L905" s="62"/>
      <c r="M905" s="62"/>
      <c r="N905" s="62"/>
      <c r="O905" s="62"/>
      <c r="P905" s="62"/>
      <c r="Q905" s="62"/>
      <c r="R905" s="62"/>
      <c r="S905" s="62"/>
      <c r="T905" s="62"/>
      <c r="U905" s="62"/>
      <c r="V905" s="62"/>
      <c r="W905" s="62"/>
      <c r="X905" s="62"/>
      <c r="Y905" s="62"/>
      <c r="Z905" s="62"/>
      <c r="AA905" s="62"/>
      <c r="AB905" s="62"/>
      <c r="AC905" s="62"/>
      <c r="AD905" s="62"/>
    </row>
    <row r="906">
      <c r="A906" s="6"/>
      <c r="B906" s="6"/>
      <c r="C906" s="6"/>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c r="AB906" s="62"/>
      <c r="AC906" s="62"/>
      <c r="AD906" s="62"/>
    </row>
    <row r="907">
      <c r="A907" s="6"/>
      <c r="B907" s="6"/>
      <c r="C907" s="6"/>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c r="AB907" s="62"/>
      <c r="AC907" s="62"/>
      <c r="AD907" s="62"/>
    </row>
    <row r="908">
      <c r="A908" s="6"/>
      <c r="B908" s="6"/>
      <c r="C908" s="6"/>
      <c r="D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c r="AB908" s="62"/>
      <c r="AC908" s="62"/>
      <c r="AD908" s="62"/>
    </row>
    <row r="909">
      <c r="A909" s="6"/>
      <c r="B909" s="6"/>
      <c r="C909" s="6"/>
      <c r="D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c r="AB909" s="62"/>
      <c r="AC909" s="62"/>
      <c r="AD909" s="62"/>
    </row>
    <row r="910">
      <c r="A910" s="6"/>
      <c r="B910" s="6"/>
      <c r="C910" s="6"/>
      <c r="D910" s="62"/>
      <c r="E910" s="62"/>
      <c r="F910" s="62"/>
      <c r="G910" s="62"/>
      <c r="H910" s="62"/>
      <c r="I910" s="62"/>
      <c r="J910" s="62"/>
      <c r="K910" s="62"/>
      <c r="L910" s="62"/>
      <c r="M910" s="62"/>
      <c r="N910" s="62"/>
      <c r="O910" s="62"/>
      <c r="P910" s="62"/>
      <c r="Q910" s="62"/>
      <c r="R910" s="62"/>
      <c r="S910" s="62"/>
      <c r="T910" s="62"/>
      <c r="U910" s="62"/>
      <c r="V910" s="62"/>
      <c r="W910" s="62"/>
      <c r="X910" s="62"/>
      <c r="Y910" s="62"/>
      <c r="Z910" s="62"/>
      <c r="AA910" s="62"/>
      <c r="AB910" s="62"/>
      <c r="AC910" s="62"/>
      <c r="AD910" s="62"/>
    </row>
    <row r="911">
      <c r="A911" s="6"/>
      <c r="B911" s="6"/>
      <c r="C911" s="6"/>
      <c r="D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c r="AB911" s="62"/>
      <c r="AC911" s="62"/>
      <c r="AD911" s="62"/>
    </row>
    <row r="912">
      <c r="A912" s="6"/>
      <c r="B912" s="6"/>
      <c r="C912" s="6"/>
      <c r="D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c r="AB912" s="62"/>
      <c r="AC912" s="62"/>
      <c r="AD912" s="62"/>
    </row>
    <row r="913">
      <c r="A913" s="6"/>
      <c r="B913" s="6"/>
      <c r="C913" s="6"/>
      <c r="D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c r="AB913" s="62"/>
      <c r="AC913" s="62"/>
      <c r="AD913" s="62"/>
    </row>
    <row r="914">
      <c r="A914" s="6"/>
      <c r="B914" s="6"/>
      <c r="C914" s="6"/>
      <c r="D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c r="AB914" s="62"/>
      <c r="AC914" s="62"/>
      <c r="AD914" s="62"/>
    </row>
    <row r="915">
      <c r="A915" s="6"/>
      <c r="B915" s="6"/>
      <c r="C915" s="6"/>
      <c r="D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c r="AB915" s="62"/>
      <c r="AC915" s="62"/>
      <c r="AD915" s="62"/>
    </row>
    <row r="916">
      <c r="A916" s="6"/>
      <c r="B916" s="6"/>
      <c r="C916" s="6"/>
      <c r="D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c r="AB916" s="62"/>
      <c r="AC916" s="62"/>
      <c r="AD916" s="62"/>
    </row>
    <row r="917">
      <c r="A917" s="6"/>
      <c r="B917" s="6"/>
      <c r="C917" s="6"/>
      <c r="D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c r="AB917" s="62"/>
      <c r="AC917" s="62"/>
      <c r="AD917" s="62"/>
    </row>
    <row r="918">
      <c r="A918" s="6"/>
      <c r="B918" s="6"/>
      <c r="C918" s="6"/>
      <c r="D918" s="62"/>
      <c r="E918" s="62"/>
      <c r="F918" s="62"/>
      <c r="G918" s="62"/>
      <c r="H918" s="62"/>
      <c r="I918" s="62"/>
      <c r="J918" s="62"/>
      <c r="K918" s="62"/>
      <c r="L918" s="62"/>
      <c r="M918" s="62"/>
      <c r="N918" s="62"/>
      <c r="O918" s="62"/>
      <c r="P918" s="62"/>
      <c r="Q918" s="62"/>
      <c r="R918" s="62"/>
      <c r="S918" s="62"/>
      <c r="T918" s="62"/>
      <c r="U918" s="62"/>
      <c r="V918" s="62"/>
      <c r="W918" s="62"/>
      <c r="X918" s="62"/>
      <c r="Y918" s="62"/>
      <c r="Z918" s="62"/>
      <c r="AA918" s="62"/>
      <c r="AB918" s="62"/>
      <c r="AC918" s="62"/>
      <c r="AD918" s="62"/>
    </row>
    <row r="919">
      <c r="A919" s="6"/>
      <c r="B919" s="6"/>
      <c r="C919" s="6"/>
      <c r="D919" s="62"/>
      <c r="E919" s="62"/>
      <c r="F919" s="62"/>
      <c r="G919" s="62"/>
      <c r="H919" s="62"/>
      <c r="I919" s="62"/>
      <c r="J919" s="62"/>
      <c r="K919" s="62"/>
      <c r="L919" s="62"/>
      <c r="M919" s="62"/>
      <c r="N919" s="62"/>
      <c r="O919" s="62"/>
      <c r="P919" s="62"/>
      <c r="Q919" s="62"/>
      <c r="R919" s="62"/>
      <c r="S919" s="62"/>
      <c r="T919" s="62"/>
      <c r="U919" s="62"/>
      <c r="V919" s="62"/>
      <c r="W919" s="62"/>
      <c r="X919" s="62"/>
      <c r="Y919" s="62"/>
      <c r="Z919" s="62"/>
      <c r="AA919" s="62"/>
      <c r="AB919" s="62"/>
      <c r="AC919" s="62"/>
      <c r="AD919" s="62"/>
    </row>
    <row r="920">
      <c r="A920" s="6"/>
      <c r="B920" s="6"/>
      <c r="C920" s="6"/>
      <c r="D920" s="62"/>
      <c r="E920" s="62"/>
      <c r="F920" s="62"/>
      <c r="G920" s="62"/>
      <c r="H920" s="62"/>
      <c r="I920" s="62"/>
      <c r="J920" s="62"/>
      <c r="K920" s="62"/>
      <c r="L920" s="62"/>
      <c r="M920" s="62"/>
      <c r="N920" s="62"/>
      <c r="O920" s="62"/>
      <c r="P920" s="62"/>
      <c r="Q920" s="62"/>
      <c r="R920" s="62"/>
      <c r="S920" s="62"/>
      <c r="T920" s="62"/>
      <c r="U920" s="62"/>
      <c r="V920" s="62"/>
      <c r="W920" s="62"/>
      <c r="X920" s="62"/>
      <c r="Y920" s="62"/>
      <c r="Z920" s="62"/>
      <c r="AA920" s="62"/>
      <c r="AB920" s="62"/>
      <c r="AC920" s="62"/>
      <c r="AD920" s="62"/>
    </row>
    <row r="921">
      <c r="A921" s="6"/>
      <c r="B921" s="6"/>
      <c r="C921" s="6"/>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c r="AB921" s="62"/>
      <c r="AC921" s="62"/>
      <c r="AD921" s="62"/>
    </row>
    <row r="922">
      <c r="A922" s="6"/>
      <c r="B922" s="6"/>
      <c r="C922" s="6"/>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c r="AB922" s="62"/>
      <c r="AC922" s="62"/>
      <c r="AD922" s="62"/>
    </row>
    <row r="923">
      <c r="A923" s="6"/>
      <c r="B923" s="6"/>
      <c r="C923" s="6"/>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c r="AB923" s="62"/>
      <c r="AC923" s="62"/>
      <c r="AD923" s="62"/>
    </row>
    <row r="924">
      <c r="A924" s="6"/>
      <c r="B924" s="6"/>
      <c r="C924" s="6"/>
      <c r="D924" s="62"/>
      <c r="E924" s="62"/>
      <c r="F924" s="62"/>
      <c r="G924" s="62"/>
      <c r="H924" s="62"/>
      <c r="I924" s="62"/>
      <c r="J924" s="62"/>
      <c r="K924" s="62"/>
      <c r="L924" s="62"/>
      <c r="M924" s="62"/>
      <c r="N924" s="62"/>
      <c r="O924" s="62"/>
      <c r="P924" s="62"/>
      <c r="Q924" s="62"/>
      <c r="R924" s="62"/>
      <c r="S924" s="62"/>
      <c r="T924" s="62"/>
      <c r="U924" s="62"/>
      <c r="V924" s="62"/>
      <c r="W924" s="62"/>
      <c r="X924" s="62"/>
      <c r="Y924" s="62"/>
      <c r="Z924" s="62"/>
      <c r="AA924" s="62"/>
      <c r="AB924" s="62"/>
      <c r="AC924" s="62"/>
      <c r="AD924" s="62"/>
    </row>
    <row r="925">
      <c r="A925" s="6"/>
      <c r="B925" s="6"/>
      <c r="C925" s="6"/>
      <c r="D925" s="62"/>
      <c r="E925" s="62"/>
      <c r="F925" s="62"/>
      <c r="G925" s="62"/>
      <c r="H925" s="62"/>
      <c r="I925" s="62"/>
      <c r="J925" s="62"/>
      <c r="K925" s="62"/>
      <c r="L925" s="62"/>
      <c r="M925" s="62"/>
      <c r="N925" s="62"/>
      <c r="O925" s="62"/>
      <c r="P925" s="62"/>
      <c r="Q925" s="62"/>
      <c r="R925" s="62"/>
      <c r="S925" s="62"/>
      <c r="T925" s="62"/>
      <c r="U925" s="62"/>
      <c r="V925" s="62"/>
      <c r="W925" s="62"/>
      <c r="X925" s="62"/>
      <c r="Y925" s="62"/>
      <c r="Z925" s="62"/>
      <c r="AA925" s="62"/>
      <c r="AB925" s="62"/>
      <c r="AC925" s="62"/>
      <c r="AD925" s="62"/>
    </row>
    <row r="926">
      <c r="A926" s="6"/>
      <c r="B926" s="6"/>
      <c r="C926" s="6"/>
      <c r="D926" s="62"/>
      <c r="E926" s="62"/>
      <c r="F926" s="62"/>
      <c r="G926" s="62"/>
      <c r="H926" s="62"/>
      <c r="I926" s="62"/>
      <c r="J926" s="62"/>
      <c r="K926" s="62"/>
      <c r="L926" s="62"/>
      <c r="M926" s="62"/>
      <c r="N926" s="62"/>
      <c r="O926" s="62"/>
      <c r="P926" s="62"/>
      <c r="Q926" s="62"/>
      <c r="R926" s="62"/>
      <c r="S926" s="62"/>
      <c r="T926" s="62"/>
      <c r="U926" s="62"/>
      <c r="V926" s="62"/>
      <c r="W926" s="62"/>
      <c r="X926" s="62"/>
      <c r="Y926" s="62"/>
      <c r="Z926" s="62"/>
      <c r="AA926" s="62"/>
      <c r="AB926" s="62"/>
      <c r="AC926" s="62"/>
      <c r="AD926" s="62"/>
    </row>
    <row r="927">
      <c r="A927" s="6"/>
      <c r="B927" s="6"/>
      <c r="C927" s="6"/>
      <c r="D927" s="62"/>
      <c r="E927" s="62"/>
      <c r="F927" s="62"/>
      <c r="G927" s="62"/>
      <c r="H927" s="62"/>
      <c r="I927" s="62"/>
      <c r="J927" s="62"/>
      <c r="K927" s="62"/>
      <c r="L927" s="62"/>
      <c r="M927" s="62"/>
      <c r="N927" s="62"/>
      <c r="O927" s="62"/>
      <c r="P927" s="62"/>
      <c r="Q927" s="62"/>
      <c r="R927" s="62"/>
      <c r="S927" s="62"/>
      <c r="T927" s="62"/>
      <c r="U927" s="62"/>
      <c r="V927" s="62"/>
      <c r="W927" s="62"/>
      <c r="X927" s="62"/>
      <c r="Y927" s="62"/>
      <c r="Z927" s="62"/>
      <c r="AA927" s="62"/>
      <c r="AB927" s="62"/>
      <c r="AC927" s="62"/>
      <c r="AD927" s="62"/>
    </row>
    <row r="928">
      <c r="A928" s="6"/>
      <c r="B928" s="6"/>
      <c r="C928" s="6"/>
      <c r="D928" s="62"/>
      <c r="E928" s="62"/>
      <c r="F928" s="62"/>
      <c r="G928" s="62"/>
      <c r="H928" s="62"/>
      <c r="I928" s="62"/>
      <c r="J928" s="62"/>
      <c r="K928" s="62"/>
      <c r="L928" s="62"/>
      <c r="M928" s="62"/>
      <c r="N928" s="62"/>
      <c r="O928" s="62"/>
      <c r="P928" s="62"/>
      <c r="Q928" s="62"/>
      <c r="R928" s="62"/>
      <c r="S928" s="62"/>
      <c r="T928" s="62"/>
      <c r="U928" s="62"/>
      <c r="V928" s="62"/>
      <c r="W928" s="62"/>
      <c r="X928" s="62"/>
      <c r="Y928" s="62"/>
      <c r="Z928" s="62"/>
      <c r="AA928" s="62"/>
      <c r="AB928" s="62"/>
      <c r="AC928" s="62"/>
      <c r="AD928" s="62"/>
    </row>
    <row r="929">
      <c r="A929" s="6"/>
      <c r="B929" s="6"/>
      <c r="C929" s="6"/>
      <c r="D929" s="62"/>
      <c r="E929" s="62"/>
      <c r="F929" s="62"/>
      <c r="G929" s="62"/>
      <c r="H929" s="62"/>
      <c r="I929" s="62"/>
      <c r="J929" s="62"/>
      <c r="K929" s="62"/>
      <c r="L929" s="62"/>
      <c r="M929" s="62"/>
      <c r="N929" s="62"/>
      <c r="O929" s="62"/>
      <c r="P929" s="62"/>
      <c r="Q929" s="62"/>
      <c r="R929" s="62"/>
      <c r="S929" s="62"/>
      <c r="T929" s="62"/>
      <c r="U929" s="62"/>
      <c r="V929" s="62"/>
      <c r="W929" s="62"/>
      <c r="X929" s="62"/>
      <c r="Y929" s="62"/>
      <c r="Z929" s="62"/>
      <c r="AA929" s="62"/>
      <c r="AB929" s="62"/>
      <c r="AC929" s="62"/>
      <c r="AD929" s="62"/>
    </row>
    <row r="930">
      <c r="A930" s="6"/>
      <c r="B930" s="6"/>
      <c r="C930" s="6"/>
      <c r="D930" s="62"/>
      <c r="E930" s="62"/>
      <c r="F930" s="62"/>
      <c r="G930" s="62"/>
      <c r="H930" s="62"/>
      <c r="I930" s="62"/>
      <c r="J930" s="62"/>
      <c r="K930" s="62"/>
      <c r="L930" s="62"/>
      <c r="M930" s="62"/>
      <c r="N930" s="62"/>
      <c r="O930" s="62"/>
      <c r="P930" s="62"/>
      <c r="Q930" s="62"/>
      <c r="R930" s="62"/>
      <c r="S930" s="62"/>
      <c r="T930" s="62"/>
      <c r="U930" s="62"/>
      <c r="V930" s="62"/>
      <c r="W930" s="62"/>
      <c r="X930" s="62"/>
      <c r="Y930" s="62"/>
      <c r="Z930" s="62"/>
      <c r="AA930" s="62"/>
      <c r="AB930" s="62"/>
      <c r="AC930" s="62"/>
      <c r="AD930" s="62"/>
    </row>
    <row r="931">
      <c r="A931" s="6"/>
      <c r="B931" s="6"/>
      <c r="C931" s="6"/>
      <c r="D931" s="62"/>
      <c r="E931" s="62"/>
      <c r="F931" s="62"/>
      <c r="G931" s="62"/>
      <c r="H931" s="62"/>
      <c r="I931" s="62"/>
      <c r="J931" s="62"/>
      <c r="K931" s="62"/>
      <c r="L931" s="62"/>
      <c r="M931" s="62"/>
      <c r="N931" s="62"/>
      <c r="O931" s="62"/>
      <c r="P931" s="62"/>
      <c r="Q931" s="62"/>
      <c r="R931" s="62"/>
      <c r="S931" s="62"/>
      <c r="T931" s="62"/>
      <c r="U931" s="62"/>
      <c r="V931" s="62"/>
      <c r="W931" s="62"/>
      <c r="X931" s="62"/>
      <c r="Y931" s="62"/>
      <c r="Z931" s="62"/>
      <c r="AA931" s="62"/>
      <c r="AB931" s="62"/>
      <c r="AC931" s="62"/>
      <c r="AD931" s="62"/>
    </row>
    <row r="932">
      <c r="A932" s="6"/>
      <c r="B932" s="6"/>
      <c r="C932" s="6"/>
      <c r="D932" s="62"/>
      <c r="E932" s="62"/>
      <c r="F932" s="62"/>
      <c r="G932" s="62"/>
      <c r="H932" s="62"/>
      <c r="I932" s="62"/>
      <c r="J932" s="62"/>
      <c r="K932" s="62"/>
      <c r="L932" s="62"/>
      <c r="M932" s="62"/>
      <c r="N932" s="62"/>
      <c r="O932" s="62"/>
      <c r="P932" s="62"/>
      <c r="Q932" s="62"/>
      <c r="R932" s="62"/>
      <c r="S932" s="62"/>
      <c r="T932" s="62"/>
      <c r="U932" s="62"/>
      <c r="V932" s="62"/>
      <c r="W932" s="62"/>
      <c r="X932" s="62"/>
      <c r="Y932" s="62"/>
      <c r="Z932" s="62"/>
      <c r="AA932" s="62"/>
      <c r="AB932" s="62"/>
      <c r="AC932" s="62"/>
      <c r="AD932" s="62"/>
    </row>
    <row r="933">
      <c r="A933" s="6"/>
      <c r="B933" s="6"/>
      <c r="C933" s="6"/>
      <c r="D933" s="62"/>
      <c r="E933" s="62"/>
      <c r="F933" s="62"/>
      <c r="G933" s="62"/>
      <c r="H933" s="62"/>
      <c r="I933" s="62"/>
      <c r="J933" s="62"/>
      <c r="K933" s="62"/>
      <c r="L933" s="62"/>
      <c r="M933" s="62"/>
      <c r="N933" s="62"/>
      <c r="O933" s="62"/>
      <c r="P933" s="62"/>
      <c r="Q933" s="62"/>
      <c r="R933" s="62"/>
      <c r="S933" s="62"/>
      <c r="T933" s="62"/>
      <c r="U933" s="62"/>
      <c r="V933" s="62"/>
      <c r="W933" s="62"/>
      <c r="X933" s="62"/>
      <c r="Y933" s="62"/>
      <c r="Z933" s="62"/>
      <c r="AA933" s="62"/>
      <c r="AB933" s="62"/>
      <c r="AC933" s="62"/>
      <c r="AD933" s="62"/>
    </row>
    <row r="934">
      <c r="A934" s="6"/>
      <c r="B934" s="6"/>
      <c r="C934" s="6"/>
      <c r="D934" s="62"/>
      <c r="E934" s="62"/>
      <c r="F934" s="62"/>
      <c r="G934" s="62"/>
      <c r="H934" s="62"/>
      <c r="I934" s="62"/>
      <c r="J934" s="62"/>
      <c r="K934" s="62"/>
      <c r="L934" s="62"/>
      <c r="M934" s="62"/>
      <c r="N934" s="62"/>
      <c r="O934" s="62"/>
      <c r="P934" s="62"/>
      <c r="Q934" s="62"/>
      <c r="R934" s="62"/>
      <c r="S934" s="62"/>
      <c r="T934" s="62"/>
      <c r="U934" s="62"/>
      <c r="V934" s="62"/>
      <c r="W934" s="62"/>
      <c r="X934" s="62"/>
      <c r="Y934" s="62"/>
      <c r="Z934" s="62"/>
      <c r="AA934" s="62"/>
      <c r="AB934" s="62"/>
      <c r="AC934" s="62"/>
      <c r="AD934" s="62"/>
    </row>
    <row r="935">
      <c r="A935" s="6"/>
      <c r="B935" s="6"/>
      <c r="C935" s="6"/>
      <c r="D935" s="62"/>
      <c r="E935" s="62"/>
      <c r="F935" s="62"/>
      <c r="G935" s="62"/>
      <c r="H935" s="62"/>
      <c r="I935" s="62"/>
      <c r="J935" s="62"/>
      <c r="K935" s="62"/>
      <c r="L935" s="62"/>
      <c r="M935" s="62"/>
      <c r="N935" s="62"/>
      <c r="O935" s="62"/>
      <c r="P935" s="62"/>
      <c r="Q935" s="62"/>
      <c r="R935" s="62"/>
      <c r="S935" s="62"/>
      <c r="T935" s="62"/>
      <c r="U935" s="62"/>
      <c r="V935" s="62"/>
      <c r="W935" s="62"/>
      <c r="X935" s="62"/>
      <c r="Y935" s="62"/>
      <c r="Z935" s="62"/>
      <c r="AA935" s="62"/>
      <c r="AB935" s="62"/>
      <c r="AC935" s="62"/>
      <c r="AD935" s="62"/>
    </row>
    <row r="936">
      <c r="A936" s="6"/>
      <c r="B936" s="6"/>
      <c r="C936" s="6"/>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c r="AB936" s="62"/>
      <c r="AC936" s="62"/>
      <c r="AD936" s="62"/>
    </row>
    <row r="937">
      <c r="A937" s="6"/>
      <c r="B937" s="6"/>
      <c r="C937" s="6"/>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c r="AB937" s="62"/>
      <c r="AC937" s="62"/>
      <c r="AD937" s="62"/>
    </row>
    <row r="938">
      <c r="A938" s="6"/>
      <c r="B938" s="6"/>
      <c r="C938" s="6"/>
      <c r="D938" s="62"/>
      <c r="E938" s="62"/>
      <c r="F938" s="62"/>
      <c r="G938" s="62"/>
      <c r="H938" s="62"/>
      <c r="I938" s="62"/>
      <c r="J938" s="62"/>
      <c r="K938" s="62"/>
      <c r="L938" s="62"/>
      <c r="M938" s="62"/>
      <c r="N938" s="62"/>
      <c r="O938" s="62"/>
      <c r="P938" s="62"/>
      <c r="Q938" s="62"/>
      <c r="R938" s="62"/>
      <c r="S938" s="62"/>
      <c r="T938" s="62"/>
      <c r="U938" s="62"/>
      <c r="V938" s="62"/>
      <c r="W938" s="62"/>
      <c r="X938" s="62"/>
      <c r="Y938" s="62"/>
      <c r="Z938" s="62"/>
      <c r="AA938" s="62"/>
      <c r="AB938" s="62"/>
      <c r="AC938" s="62"/>
      <c r="AD938" s="62"/>
    </row>
    <row r="939">
      <c r="A939" s="6"/>
      <c r="B939" s="6"/>
      <c r="C939" s="6"/>
      <c r="D939" s="62"/>
      <c r="E939" s="62"/>
      <c r="F939" s="62"/>
      <c r="G939" s="62"/>
      <c r="H939" s="62"/>
      <c r="I939" s="62"/>
      <c r="J939" s="62"/>
      <c r="K939" s="62"/>
      <c r="L939" s="62"/>
      <c r="M939" s="62"/>
      <c r="N939" s="62"/>
      <c r="O939" s="62"/>
      <c r="P939" s="62"/>
      <c r="Q939" s="62"/>
      <c r="R939" s="62"/>
      <c r="S939" s="62"/>
      <c r="T939" s="62"/>
      <c r="U939" s="62"/>
      <c r="V939" s="62"/>
      <c r="W939" s="62"/>
      <c r="X939" s="62"/>
      <c r="Y939" s="62"/>
      <c r="Z939" s="62"/>
      <c r="AA939" s="62"/>
      <c r="AB939" s="62"/>
      <c r="AC939" s="62"/>
      <c r="AD939" s="62"/>
    </row>
    <row r="940">
      <c r="A940" s="6"/>
      <c r="B940" s="6"/>
      <c r="C940" s="6"/>
      <c r="D940" s="62"/>
      <c r="E940" s="62"/>
      <c r="F940" s="62"/>
      <c r="G940" s="62"/>
      <c r="H940" s="62"/>
      <c r="I940" s="62"/>
      <c r="J940" s="62"/>
      <c r="K940" s="62"/>
      <c r="L940" s="62"/>
      <c r="M940" s="62"/>
      <c r="N940" s="62"/>
      <c r="O940" s="62"/>
      <c r="P940" s="62"/>
      <c r="Q940" s="62"/>
      <c r="R940" s="62"/>
      <c r="S940" s="62"/>
      <c r="T940" s="62"/>
      <c r="U940" s="62"/>
      <c r="V940" s="62"/>
      <c r="W940" s="62"/>
      <c r="X940" s="62"/>
      <c r="Y940" s="62"/>
      <c r="Z940" s="62"/>
      <c r="AA940" s="62"/>
      <c r="AB940" s="62"/>
      <c r="AC940" s="62"/>
      <c r="AD940" s="62"/>
    </row>
    <row r="941">
      <c r="A941" s="6"/>
      <c r="B941" s="6"/>
      <c r="C941" s="6"/>
      <c r="D941" s="62"/>
      <c r="E941" s="62"/>
      <c r="F941" s="62"/>
      <c r="G941" s="62"/>
      <c r="H941" s="62"/>
      <c r="I941" s="62"/>
      <c r="J941" s="62"/>
      <c r="K941" s="62"/>
      <c r="L941" s="62"/>
      <c r="M941" s="62"/>
      <c r="N941" s="62"/>
      <c r="O941" s="62"/>
      <c r="P941" s="62"/>
      <c r="Q941" s="62"/>
      <c r="R941" s="62"/>
      <c r="S941" s="62"/>
      <c r="T941" s="62"/>
      <c r="U941" s="62"/>
      <c r="V941" s="62"/>
      <c r="W941" s="62"/>
      <c r="X941" s="62"/>
      <c r="Y941" s="62"/>
      <c r="Z941" s="62"/>
      <c r="AA941" s="62"/>
      <c r="AB941" s="62"/>
      <c r="AC941" s="62"/>
      <c r="AD941" s="62"/>
    </row>
    <row r="942">
      <c r="A942" s="6"/>
      <c r="B942" s="6"/>
      <c r="C942" s="6"/>
      <c r="D942" s="62"/>
      <c r="E942" s="62"/>
      <c r="F942" s="62"/>
      <c r="G942" s="62"/>
      <c r="H942" s="62"/>
      <c r="I942" s="62"/>
      <c r="J942" s="62"/>
      <c r="K942" s="62"/>
      <c r="L942" s="62"/>
      <c r="M942" s="62"/>
      <c r="N942" s="62"/>
      <c r="O942" s="62"/>
      <c r="P942" s="62"/>
      <c r="Q942" s="62"/>
      <c r="R942" s="62"/>
      <c r="S942" s="62"/>
      <c r="T942" s="62"/>
      <c r="U942" s="62"/>
      <c r="V942" s="62"/>
      <c r="W942" s="62"/>
      <c r="X942" s="62"/>
      <c r="Y942" s="62"/>
      <c r="Z942" s="62"/>
      <c r="AA942" s="62"/>
      <c r="AB942" s="62"/>
      <c r="AC942" s="62"/>
      <c r="AD942" s="62"/>
    </row>
    <row r="943">
      <c r="A943" s="6"/>
      <c r="B943" s="6"/>
      <c r="C943" s="6"/>
      <c r="D943" s="62"/>
      <c r="E943" s="62"/>
      <c r="F943" s="62"/>
      <c r="G943" s="62"/>
      <c r="H943" s="62"/>
      <c r="I943" s="62"/>
      <c r="J943" s="62"/>
      <c r="K943" s="62"/>
      <c r="L943" s="62"/>
      <c r="M943" s="62"/>
      <c r="N943" s="62"/>
      <c r="O943" s="62"/>
      <c r="P943" s="62"/>
      <c r="Q943" s="62"/>
      <c r="R943" s="62"/>
      <c r="S943" s="62"/>
      <c r="T943" s="62"/>
      <c r="U943" s="62"/>
      <c r="V943" s="62"/>
      <c r="W943" s="62"/>
      <c r="X943" s="62"/>
      <c r="Y943" s="62"/>
      <c r="Z943" s="62"/>
      <c r="AA943" s="62"/>
      <c r="AB943" s="62"/>
      <c r="AC943" s="62"/>
      <c r="AD943" s="62"/>
    </row>
    <row r="944">
      <c r="A944" s="6"/>
      <c r="B944" s="6"/>
      <c r="C944" s="6"/>
      <c r="D944" s="62"/>
      <c r="E944" s="62"/>
      <c r="F944" s="62"/>
      <c r="G944" s="62"/>
      <c r="H944" s="62"/>
      <c r="I944" s="62"/>
      <c r="J944" s="62"/>
      <c r="K944" s="62"/>
      <c r="L944" s="62"/>
      <c r="M944" s="62"/>
      <c r="N944" s="62"/>
      <c r="O944" s="62"/>
      <c r="P944" s="62"/>
      <c r="Q944" s="62"/>
      <c r="R944" s="62"/>
      <c r="S944" s="62"/>
      <c r="T944" s="62"/>
      <c r="U944" s="62"/>
      <c r="V944" s="62"/>
      <c r="W944" s="62"/>
      <c r="X944" s="62"/>
      <c r="Y944" s="62"/>
      <c r="Z944" s="62"/>
      <c r="AA944" s="62"/>
      <c r="AB944" s="62"/>
      <c r="AC944" s="62"/>
      <c r="AD944" s="62"/>
    </row>
    <row r="945">
      <c r="A945" s="6"/>
      <c r="B945" s="6"/>
      <c r="C945" s="6"/>
      <c r="D945" s="62"/>
      <c r="E945" s="62"/>
      <c r="F945" s="62"/>
      <c r="G945" s="62"/>
      <c r="H945" s="62"/>
      <c r="I945" s="62"/>
      <c r="J945" s="62"/>
      <c r="K945" s="62"/>
      <c r="L945" s="62"/>
      <c r="M945" s="62"/>
      <c r="N945" s="62"/>
      <c r="O945" s="62"/>
      <c r="P945" s="62"/>
      <c r="Q945" s="62"/>
      <c r="R945" s="62"/>
      <c r="S945" s="62"/>
      <c r="T945" s="62"/>
      <c r="U945" s="62"/>
      <c r="V945" s="62"/>
      <c r="W945" s="62"/>
      <c r="X945" s="62"/>
      <c r="Y945" s="62"/>
      <c r="Z945" s="62"/>
      <c r="AA945" s="62"/>
      <c r="AB945" s="62"/>
      <c r="AC945" s="62"/>
      <c r="AD945" s="62"/>
    </row>
    <row r="946">
      <c r="A946" s="6"/>
      <c r="B946" s="6"/>
      <c r="C946" s="6"/>
      <c r="D946" s="62"/>
      <c r="E946" s="62"/>
      <c r="F946" s="62"/>
      <c r="G946" s="62"/>
      <c r="H946" s="62"/>
      <c r="I946" s="62"/>
      <c r="J946" s="62"/>
      <c r="K946" s="62"/>
      <c r="L946" s="62"/>
      <c r="M946" s="62"/>
      <c r="N946" s="62"/>
      <c r="O946" s="62"/>
      <c r="P946" s="62"/>
      <c r="Q946" s="62"/>
      <c r="R946" s="62"/>
      <c r="S946" s="62"/>
      <c r="T946" s="62"/>
      <c r="U946" s="62"/>
      <c r="V946" s="62"/>
      <c r="W946" s="62"/>
      <c r="X946" s="62"/>
      <c r="Y946" s="62"/>
      <c r="Z946" s="62"/>
      <c r="AA946" s="62"/>
      <c r="AB946" s="62"/>
      <c r="AC946" s="62"/>
      <c r="AD946" s="62"/>
    </row>
    <row r="947">
      <c r="A947" s="6"/>
      <c r="B947" s="6"/>
      <c r="C947" s="6"/>
      <c r="D947" s="62"/>
      <c r="E947" s="62"/>
      <c r="F947" s="62"/>
      <c r="G947" s="62"/>
      <c r="H947" s="62"/>
      <c r="I947" s="62"/>
      <c r="J947" s="62"/>
      <c r="K947" s="62"/>
      <c r="L947" s="62"/>
      <c r="M947" s="62"/>
      <c r="N947" s="62"/>
      <c r="O947" s="62"/>
      <c r="P947" s="62"/>
      <c r="Q947" s="62"/>
      <c r="R947" s="62"/>
      <c r="S947" s="62"/>
      <c r="T947" s="62"/>
      <c r="U947" s="62"/>
      <c r="V947" s="62"/>
      <c r="W947" s="62"/>
      <c r="X947" s="62"/>
      <c r="Y947" s="62"/>
      <c r="Z947" s="62"/>
      <c r="AA947" s="62"/>
      <c r="AB947" s="62"/>
      <c r="AC947" s="62"/>
      <c r="AD947" s="62"/>
    </row>
    <row r="948">
      <c r="A948" s="6"/>
      <c r="B948" s="6"/>
      <c r="C948" s="6"/>
      <c r="D948" s="62"/>
      <c r="E948" s="62"/>
      <c r="F948" s="62"/>
      <c r="G948" s="62"/>
      <c r="H948" s="62"/>
      <c r="I948" s="62"/>
      <c r="J948" s="62"/>
      <c r="K948" s="62"/>
      <c r="L948" s="62"/>
      <c r="M948" s="62"/>
      <c r="N948" s="62"/>
      <c r="O948" s="62"/>
      <c r="P948" s="62"/>
      <c r="Q948" s="62"/>
      <c r="R948" s="62"/>
      <c r="S948" s="62"/>
      <c r="T948" s="62"/>
      <c r="U948" s="62"/>
      <c r="V948" s="62"/>
      <c r="W948" s="62"/>
      <c r="X948" s="62"/>
      <c r="Y948" s="62"/>
      <c r="Z948" s="62"/>
      <c r="AA948" s="62"/>
      <c r="AB948" s="62"/>
      <c r="AC948" s="62"/>
      <c r="AD948" s="62"/>
    </row>
    <row r="949">
      <c r="A949" s="6"/>
      <c r="B949" s="6"/>
      <c r="C949" s="6"/>
      <c r="D949" s="62"/>
      <c r="E949" s="62"/>
      <c r="F949" s="62"/>
      <c r="G949" s="62"/>
      <c r="H949" s="62"/>
      <c r="I949" s="62"/>
      <c r="J949" s="62"/>
      <c r="K949" s="62"/>
      <c r="L949" s="62"/>
      <c r="M949" s="62"/>
      <c r="N949" s="62"/>
      <c r="O949" s="62"/>
      <c r="P949" s="62"/>
      <c r="Q949" s="62"/>
      <c r="R949" s="62"/>
      <c r="S949" s="62"/>
      <c r="T949" s="62"/>
      <c r="U949" s="62"/>
      <c r="V949" s="62"/>
      <c r="W949" s="62"/>
      <c r="X949" s="62"/>
      <c r="Y949" s="62"/>
      <c r="Z949" s="62"/>
      <c r="AA949" s="62"/>
      <c r="AB949" s="62"/>
      <c r="AC949" s="62"/>
      <c r="AD949" s="62"/>
    </row>
    <row r="950">
      <c r="A950" s="6"/>
      <c r="B950" s="6"/>
      <c r="C950" s="6"/>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c r="AB950" s="62"/>
      <c r="AC950" s="62"/>
      <c r="AD950" s="62"/>
    </row>
    <row r="951">
      <c r="A951" s="6"/>
      <c r="B951" s="6"/>
      <c r="C951" s="6"/>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c r="AB951" s="62"/>
      <c r="AC951" s="62"/>
      <c r="AD951" s="62"/>
    </row>
    <row r="952">
      <c r="A952" s="6"/>
      <c r="B952" s="6"/>
      <c r="C952" s="6"/>
      <c r="D952" s="62"/>
      <c r="E952" s="62"/>
      <c r="F952" s="62"/>
      <c r="G952" s="62"/>
      <c r="H952" s="62"/>
      <c r="I952" s="62"/>
      <c r="J952" s="62"/>
      <c r="K952" s="62"/>
      <c r="L952" s="62"/>
      <c r="M952" s="62"/>
      <c r="N952" s="62"/>
      <c r="O952" s="62"/>
      <c r="P952" s="62"/>
      <c r="Q952" s="62"/>
      <c r="R952" s="62"/>
      <c r="S952" s="62"/>
      <c r="T952" s="62"/>
      <c r="U952" s="62"/>
      <c r="V952" s="62"/>
      <c r="W952" s="62"/>
      <c r="X952" s="62"/>
      <c r="Y952" s="62"/>
      <c r="Z952" s="62"/>
      <c r="AA952" s="62"/>
      <c r="AB952" s="62"/>
      <c r="AC952" s="62"/>
      <c r="AD952" s="62"/>
    </row>
    <row r="953">
      <c r="A953" s="6"/>
      <c r="B953" s="6"/>
      <c r="C953" s="6"/>
      <c r="D953" s="62"/>
      <c r="E953" s="62"/>
      <c r="F953" s="62"/>
      <c r="G953" s="62"/>
      <c r="H953" s="62"/>
      <c r="I953" s="62"/>
      <c r="J953" s="62"/>
      <c r="K953" s="62"/>
      <c r="L953" s="62"/>
      <c r="M953" s="62"/>
      <c r="N953" s="62"/>
      <c r="O953" s="62"/>
      <c r="P953" s="62"/>
      <c r="Q953" s="62"/>
      <c r="R953" s="62"/>
      <c r="S953" s="62"/>
      <c r="T953" s="62"/>
      <c r="U953" s="62"/>
      <c r="V953" s="62"/>
      <c r="W953" s="62"/>
      <c r="X953" s="62"/>
      <c r="Y953" s="62"/>
      <c r="Z953" s="62"/>
      <c r="AA953" s="62"/>
      <c r="AB953" s="62"/>
      <c r="AC953" s="62"/>
      <c r="AD953" s="62"/>
    </row>
    <row r="954">
      <c r="A954" s="6"/>
      <c r="B954" s="6"/>
      <c r="C954" s="6"/>
      <c r="D954" s="62"/>
      <c r="E954" s="62"/>
      <c r="F954" s="62"/>
      <c r="G954" s="62"/>
      <c r="H954" s="62"/>
      <c r="I954" s="62"/>
      <c r="J954" s="62"/>
      <c r="K954" s="62"/>
      <c r="L954" s="62"/>
      <c r="M954" s="62"/>
      <c r="N954" s="62"/>
      <c r="O954" s="62"/>
      <c r="P954" s="62"/>
      <c r="Q954" s="62"/>
      <c r="R954" s="62"/>
      <c r="S954" s="62"/>
      <c r="T954" s="62"/>
      <c r="U954" s="62"/>
      <c r="V954" s="62"/>
      <c r="W954" s="62"/>
      <c r="X954" s="62"/>
      <c r="Y954" s="62"/>
      <c r="Z954" s="62"/>
      <c r="AA954" s="62"/>
      <c r="AB954" s="62"/>
      <c r="AC954" s="62"/>
      <c r="AD954" s="62"/>
    </row>
    <row r="955">
      <c r="A955" s="6"/>
      <c r="B955" s="6"/>
      <c r="C955" s="6"/>
      <c r="D955" s="62"/>
      <c r="E955" s="62"/>
      <c r="F955" s="62"/>
      <c r="G955" s="62"/>
      <c r="H955" s="62"/>
      <c r="I955" s="62"/>
      <c r="J955" s="62"/>
      <c r="K955" s="62"/>
      <c r="L955" s="62"/>
      <c r="M955" s="62"/>
      <c r="N955" s="62"/>
      <c r="O955" s="62"/>
      <c r="P955" s="62"/>
      <c r="Q955" s="62"/>
      <c r="R955" s="62"/>
      <c r="S955" s="62"/>
      <c r="T955" s="62"/>
      <c r="U955" s="62"/>
      <c r="V955" s="62"/>
      <c r="W955" s="62"/>
      <c r="X955" s="62"/>
      <c r="Y955" s="62"/>
      <c r="Z955" s="62"/>
      <c r="AA955" s="62"/>
      <c r="AB955" s="62"/>
      <c r="AC955" s="62"/>
      <c r="AD955" s="62"/>
    </row>
    <row r="956">
      <c r="A956" s="6"/>
      <c r="B956" s="6"/>
      <c r="C956" s="6"/>
      <c r="D956" s="62"/>
      <c r="E956" s="62"/>
      <c r="F956" s="62"/>
      <c r="G956" s="62"/>
      <c r="H956" s="62"/>
      <c r="I956" s="62"/>
      <c r="J956" s="62"/>
      <c r="K956" s="62"/>
      <c r="L956" s="62"/>
      <c r="M956" s="62"/>
      <c r="N956" s="62"/>
      <c r="O956" s="62"/>
      <c r="P956" s="62"/>
      <c r="Q956" s="62"/>
      <c r="R956" s="62"/>
      <c r="S956" s="62"/>
      <c r="T956" s="62"/>
      <c r="U956" s="62"/>
      <c r="V956" s="62"/>
      <c r="W956" s="62"/>
      <c r="X956" s="62"/>
      <c r="Y956" s="62"/>
      <c r="Z956" s="62"/>
      <c r="AA956" s="62"/>
      <c r="AB956" s="62"/>
      <c r="AC956" s="62"/>
      <c r="AD956" s="62"/>
    </row>
    <row r="957">
      <c r="A957" s="6"/>
      <c r="B957" s="6"/>
      <c r="C957" s="6"/>
      <c r="D957" s="62"/>
      <c r="E957" s="62"/>
      <c r="F957" s="62"/>
      <c r="G957" s="62"/>
      <c r="H957" s="62"/>
      <c r="I957" s="62"/>
      <c r="J957" s="62"/>
      <c r="K957" s="62"/>
      <c r="L957" s="62"/>
      <c r="M957" s="62"/>
      <c r="N957" s="62"/>
      <c r="O957" s="62"/>
      <c r="P957" s="62"/>
      <c r="Q957" s="62"/>
      <c r="R957" s="62"/>
      <c r="S957" s="62"/>
      <c r="T957" s="62"/>
      <c r="U957" s="62"/>
      <c r="V957" s="62"/>
      <c r="W957" s="62"/>
      <c r="X957" s="62"/>
      <c r="Y957" s="62"/>
      <c r="Z957" s="62"/>
      <c r="AA957" s="62"/>
      <c r="AB957" s="62"/>
      <c r="AC957" s="62"/>
      <c r="AD957" s="62"/>
    </row>
    <row r="958">
      <c r="A958" s="6"/>
      <c r="B958" s="6"/>
      <c r="C958" s="6"/>
      <c r="D958" s="62"/>
      <c r="E958" s="62"/>
      <c r="F958" s="62"/>
      <c r="G958" s="62"/>
      <c r="H958" s="62"/>
      <c r="I958" s="62"/>
      <c r="J958" s="62"/>
      <c r="K958" s="62"/>
      <c r="L958" s="62"/>
      <c r="M958" s="62"/>
      <c r="N958" s="62"/>
      <c r="O958" s="62"/>
      <c r="P958" s="62"/>
      <c r="Q958" s="62"/>
      <c r="R958" s="62"/>
      <c r="S958" s="62"/>
      <c r="T958" s="62"/>
      <c r="U958" s="62"/>
      <c r="V958" s="62"/>
      <c r="W958" s="62"/>
      <c r="X958" s="62"/>
      <c r="Y958" s="62"/>
      <c r="Z958" s="62"/>
      <c r="AA958" s="62"/>
      <c r="AB958" s="62"/>
      <c r="AC958" s="62"/>
      <c r="AD958" s="62"/>
    </row>
    <row r="959">
      <c r="A959" s="6"/>
      <c r="B959" s="6"/>
      <c r="C959" s="6"/>
      <c r="D959" s="62"/>
      <c r="E959" s="62"/>
      <c r="F959" s="62"/>
      <c r="G959" s="62"/>
      <c r="H959" s="62"/>
      <c r="I959" s="62"/>
      <c r="J959" s="62"/>
      <c r="K959" s="62"/>
      <c r="L959" s="62"/>
      <c r="M959" s="62"/>
      <c r="N959" s="62"/>
      <c r="O959" s="62"/>
      <c r="P959" s="62"/>
      <c r="Q959" s="62"/>
      <c r="R959" s="62"/>
      <c r="S959" s="62"/>
      <c r="T959" s="62"/>
      <c r="U959" s="62"/>
      <c r="V959" s="62"/>
      <c r="W959" s="62"/>
      <c r="X959" s="62"/>
      <c r="Y959" s="62"/>
      <c r="Z959" s="62"/>
      <c r="AA959" s="62"/>
      <c r="AB959" s="62"/>
      <c r="AC959" s="62"/>
      <c r="AD959" s="62"/>
    </row>
    <row r="960">
      <c r="A960" s="6"/>
      <c r="B960" s="6"/>
      <c r="C960" s="6"/>
      <c r="D960" s="62"/>
      <c r="E960" s="62"/>
      <c r="F960" s="62"/>
      <c r="G960" s="62"/>
      <c r="H960" s="62"/>
      <c r="I960" s="62"/>
      <c r="J960" s="62"/>
      <c r="K960" s="62"/>
      <c r="L960" s="62"/>
      <c r="M960" s="62"/>
      <c r="N960" s="62"/>
      <c r="O960" s="62"/>
      <c r="P960" s="62"/>
      <c r="Q960" s="62"/>
      <c r="R960" s="62"/>
      <c r="S960" s="62"/>
      <c r="T960" s="62"/>
      <c r="U960" s="62"/>
      <c r="V960" s="62"/>
      <c r="W960" s="62"/>
      <c r="X960" s="62"/>
      <c r="Y960" s="62"/>
      <c r="Z960" s="62"/>
      <c r="AA960" s="62"/>
      <c r="AB960" s="62"/>
      <c r="AC960" s="62"/>
      <c r="AD960" s="62"/>
    </row>
    <row r="961">
      <c r="A961" s="6"/>
      <c r="B961" s="6"/>
      <c r="C961" s="6"/>
      <c r="D961" s="62"/>
      <c r="E961" s="62"/>
      <c r="F961" s="62"/>
      <c r="G961" s="62"/>
      <c r="H961" s="62"/>
      <c r="I961" s="62"/>
      <c r="J961" s="62"/>
      <c r="K961" s="62"/>
      <c r="L961" s="62"/>
      <c r="M961" s="62"/>
      <c r="N961" s="62"/>
      <c r="O961" s="62"/>
      <c r="P961" s="62"/>
      <c r="Q961" s="62"/>
      <c r="R961" s="62"/>
      <c r="S961" s="62"/>
      <c r="T961" s="62"/>
      <c r="U961" s="62"/>
      <c r="V961" s="62"/>
      <c r="W961" s="62"/>
      <c r="X961" s="62"/>
      <c r="Y961" s="62"/>
      <c r="Z961" s="62"/>
      <c r="AA961" s="62"/>
      <c r="AB961" s="62"/>
      <c r="AC961" s="62"/>
      <c r="AD961" s="62"/>
    </row>
    <row r="962">
      <c r="A962" s="6"/>
      <c r="B962" s="6"/>
      <c r="C962" s="6"/>
      <c r="D962" s="62"/>
      <c r="E962" s="62"/>
      <c r="F962" s="62"/>
      <c r="G962" s="62"/>
      <c r="H962" s="62"/>
      <c r="I962" s="62"/>
      <c r="J962" s="62"/>
      <c r="K962" s="62"/>
      <c r="L962" s="62"/>
      <c r="M962" s="62"/>
      <c r="N962" s="62"/>
      <c r="O962" s="62"/>
      <c r="P962" s="62"/>
      <c r="Q962" s="62"/>
      <c r="R962" s="62"/>
      <c r="S962" s="62"/>
      <c r="T962" s="62"/>
      <c r="U962" s="62"/>
      <c r="V962" s="62"/>
      <c r="W962" s="62"/>
      <c r="X962" s="62"/>
      <c r="Y962" s="62"/>
      <c r="Z962" s="62"/>
      <c r="AA962" s="62"/>
      <c r="AB962" s="62"/>
      <c r="AC962" s="62"/>
      <c r="AD962" s="62"/>
    </row>
    <row r="963">
      <c r="A963" s="6"/>
      <c r="B963" s="6"/>
      <c r="C963" s="6"/>
      <c r="D963" s="62"/>
      <c r="E963" s="62"/>
      <c r="F963" s="62"/>
      <c r="G963" s="62"/>
      <c r="H963" s="62"/>
      <c r="I963" s="62"/>
      <c r="J963" s="62"/>
      <c r="K963" s="62"/>
      <c r="L963" s="62"/>
      <c r="M963" s="62"/>
      <c r="N963" s="62"/>
      <c r="O963" s="62"/>
      <c r="P963" s="62"/>
      <c r="Q963" s="62"/>
      <c r="R963" s="62"/>
      <c r="S963" s="62"/>
      <c r="T963" s="62"/>
      <c r="U963" s="62"/>
      <c r="V963" s="62"/>
      <c r="W963" s="62"/>
      <c r="X963" s="62"/>
      <c r="Y963" s="62"/>
      <c r="Z963" s="62"/>
      <c r="AA963" s="62"/>
      <c r="AB963" s="62"/>
      <c r="AC963" s="62"/>
      <c r="AD963" s="62"/>
    </row>
    <row r="964">
      <c r="A964" s="6"/>
      <c r="B964" s="6"/>
      <c r="C964" s="6"/>
      <c r="D964" s="62"/>
      <c r="E964" s="62"/>
      <c r="F964" s="62"/>
      <c r="G964" s="62"/>
      <c r="H964" s="62"/>
      <c r="I964" s="62"/>
      <c r="J964" s="62"/>
      <c r="K964" s="62"/>
      <c r="L964" s="62"/>
      <c r="M964" s="62"/>
      <c r="N964" s="62"/>
      <c r="O964" s="62"/>
      <c r="P964" s="62"/>
      <c r="Q964" s="62"/>
      <c r="R964" s="62"/>
      <c r="S964" s="62"/>
      <c r="T964" s="62"/>
      <c r="U964" s="62"/>
      <c r="V964" s="62"/>
      <c r="W964" s="62"/>
      <c r="X964" s="62"/>
      <c r="Y964" s="62"/>
      <c r="Z964" s="62"/>
      <c r="AA964" s="62"/>
      <c r="AB964" s="62"/>
      <c r="AC964" s="62"/>
      <c r="AD964" s="62"/>
    </row>
    <row r="965">
      <c r="A965" s="6"/>
      <c r="B965" s="6"/>
      <c r="C965" s="6"/>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c r="AB965" s="62"/>
      <c r="AC965" s="62"/>
      <c r="AD965" s="62"/>
    </row>
    <row r="966">
      <c r="A966" s="6"/>
      <c r="B966" s="6"/>
      <c r="C966" s="6"/>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c r="AB966" s="62"/>
      <c r="AC966" s="62"/>
      <c r="AD966" s="62"/>
    </row>
    <row r="967">
      <c r="A967" s="6"/>
      <c r="B967" s="6"/>
      <c r="C967" s="6"/>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c r="AB967" s="62"/>
      <c r="AC967" s="62"/>
      <c r="AD967" s="62"/>
    </row>
    <row r="968">
      <c r="A968" s="6"/>
      <c r="B968" s="6"/>
      <c r="C968" s="6"/>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c r="AB968" s="62"/>
      <c r="AC968" s="62"/>
      <c r="AD968" s="62"/>
    </row>
    <row r="969">
      <c r="A969" s="6"/>
      <c r="B969" s="6"/>
      <c r="C969" s="6"/>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c r="AB969" s="62"/>
      <c r="AC969" s="62"/>
      <c r="AD969" s="62"/>
    </row>
    <row r="970">
      <c r="A970" s="6"/>
      <c r="B970" s="6"/>
      <c r="C970" s="6"/>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c r="AB970" s="62"/>
      <c r="AC970" s="62"/>
      <c r="AD970" s="62"/>
    </row>
    <row r="971">
      <c r="A971" s="6"/>
      <c r="B971" s="6"/>
      <c r="C971" s="6"/>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c r="AB971" s="62"/>
      <c r="AC971" s="62"/>
      <c r="AD971" s="62"/>
    </row>
    <row r="972">
      <c r="A972" s="6"/>
      <c r="B972" s="6"/>
      <c r="C972" s="6"/>
      <c r="D972" s="62"/>
      <c r="E972" s="62"/>
      <c r="F972" s="62"/>
      <c r="G972" s="62"/>
      <c r="H972" s="62"/>
      <c r="I972" s="62"/>
      <c r="J972" s="62"/>
      <c r="K972" s="62"/>
      <c r="L972" s="62"/>
      <c r="M972" s="62"/>
      <c r="N972" s="62"/>
      <c r="O972" s="62"/>
      <c r="P972" s="62"/>
      <c r="Q972" s="62"/>
      <c r="R972" s="62"/>
      <c r="S972" s="62"/>
      <c r="T972" s="62"/>
      <c r="U972" s="62"/>
      <c r="V972" s="62"/>
      <c r="W972" s="62"/>
      <c r="X972" s="62"/>
      <c r="Y972" s="62"/>
      <c r="Z972" s="62"/>
      <c r="AA972" s="62"/>
      <c r="AB972" s="62"/>
      <c r="AC972" s="62"/>
      <c r="AD972" s="62"/>
    </row>
    <row r="973">
      <c r="A973" s="6"/>
      <c r="B973" s="6"/>
      <c r="C973" s="6"/>
      <c r="D973" s="62"/>
      <c r="E973" s="62"/>
      <c r="F973" s="62"/>
      <c r="G973" s="62"/>
      <c r="H973" s="62"/>
      <c r="I973" s="62"/>
      <c r="J973" s="62"/>
      <c r="K973" s="62"/>
      <c r="L973" s="62"/>
      <c r="M973" s="62"/>
      <c r="N973" s="62"/>
      <c r="O973" s="62"/>
      <c r="P973" s="62"/>
      <c r="Q973" s="62"/>
      <c r="R973" s="62"/>
      <c r="S973" s="62"/>
      <c r="T973" s="62"/>
      <c r="U973" s="62"/>
      <c r="V973" s="62"/>
      <c r="W973" s="62"/>
      <c r="X973" s="62"/>
      <c r="Y973" s="62"/>
      <c r="Z973" s="62"/>
      <c r="AA973" s="62"/>
      <c r="AB973" s="62"/>
      <c r="AC973" s="62"/>
      <c r="AD973" s="62"/>
    </row>
    <row r="974">
      <c r="A974" s="6"/>
      <c r="B974" s="6"/>
      <c r="C974" s="6"/>
      <c r="D974" s="62"/>
      <c r="E974" s="62"/>
      <c r="F974" s="62"/>
      <c r="G974" s="62"/>
      <c r="H974" s="62"/>
      <c r="I974" s="62"/>
      <c r="J974" s="62"/>
      <c r="K974" s="62"/>
      <c r="L974" s="62"/>
      <c r="M974" s="62"/>
      <c r="N974" s="62"/>
      <c r="O974" s="62"/>
      <c r="P974" s="62"/>
      <c r="Q974" s="62"/>
      <c r="R974" s="62"/>
      <c r="S974" s="62"/>
      <c r="T974" s="62"/>
      <c r="U974" s="62"/>
      <c r="V974" s="62"/>
      <c r="W974" s="62"/>
      <c r="X974" s="62"/>
      <c r="Y974" s="62"/>
      <c r="Z974" s="62"/>
      <c r="AA974" s="62"/>
      <c r="AB974" s="62"/>
      <c r="AC974" s="62"/>
      <c r="AD974" s="62"/>
    </row>
    <row r="975">
      <c r="A975" s="6"/>
      <c r="B975" s="6"/>
      <c r="C975" s="6"/>
      <c r="D975" s="62"/>
      <c r="E975" s="62"/>
      <c r="F975" s="62"/>
      <c r="G975" s="62"/>
      <c r="H975" s="62"/>
      <c r="I975" s="62"/>
      <c r="J975" s="62"/>
      <c r="K975" s="62"/>
      <c r="L975" s="62"/>
      <c r="M975" s="62"/>
      <c r="N975" s="62"/>
      <c r="O975" s="62"/>
      <c r="P975" s="62"/>
      <c r="Q975" s="62"/>
      <c r="R975" s="62"/>
      <c r="S975" s="62"/>
      <c r="T975" s="62"/>
      <c r="U975" s="62"/>
      <c r="V975" s="62"/>
      <c r="W975" s="62"/>
      <c r="X975" s="62"/>
      <c r="Y975" s="62"/>
      <c r="Z975" s="62"/>
      <c r="AA975" s="62"/>
      <c r="AB975" s="62"/>
      <c r="AC975" s="62"/>
      <c r="AD975" s="62"/>
    </row>
    <row r="976">
      <c r="A976" s="6"/>
      <c r="B976" s="6"/>
      <c r="C976" s="6"/>
      <c r="D976" s="62"/>
      <c r="E976" s="62"/>
      <c r="F976" s="62"/>
      <c r="G976" s="62"/>
      <c r="H976" s="62"/>
      <c r="I976" s="62"/>
      <c r="J976" s="62"/>
      <c r="K976" s="62"/>
      <c r="L976" s="62"/>
      <c r="M976" s="62"/>
      <c r="N976" s="62"/>
      <c r="O976" s="62"/>
      <c r="P976" s="62"/>
      <c r="Q976" s="62"/>
      <c r="R976" s="62"/>
      <c r="S976" s="62"/>
      <c r="T976" s="62"/>
      <c r="U976" s="62"/>
      <c r="V976" s="62"/>
      <c r="W976" s="62"/>
      <c r="X976" s="62"/>
      <c r="Y976" s="62"/>
      <c r="Z976" s="62"/>
      <c r="AA976" s="62"/>
      <c r="AB976" s="62"/>
      <c r="AC976" s="62"/>
      <c r="AD976" s="62"/>
    </row>
    <row r="977">
      <c r="A977" s="6"/>
      <c r="B977" s="6"/>
      <c r="C977" s="6"/>
      <c r="D977" s="62"/>
      <c r="E977" s="62"/>
      <c r="F977" s="62"/>
      <c r="G977" s="62"/>
      <c r="H977" s="62"/>
      <c r="I977" s="62"/>
      <c r="J977" s="62"/>
      <c r="K977" s="62"/>
      <c r="L977" s="62"/>
      <c r="M977" s="62"/>
      <c r="N977" s="62"/>
      <c r="O977" s="62"/>
      <c r="P977" s="62"/>
      <c r="Q977" s="62"/>
      <c r="R977" s="62"/>
      <c r="S977" s="62"/>
      <c r="T977" s="62"/>
      <c r="U977" s="62"/>
      <c r="V977" s="62"/>
      <c r="W977" s="62"/>
      <c r="X977" s="62"/>
      <c r="Y977" s="62"/>
      <c r="Z977" s="62"/>
      <c r="AA977" s="62"/>
      <c r="AB977" s="62"/>
      <c r="AC977" s="62"/>
      <c r="AD977" s="62"/>
    </row>
    <row r="978">
      <c r="A978" s="6"/>
      <c r="B978" s="6"/>
      <c r="C978" s="6"/>
      <c r="D978" s="62"/>
      <c r="E978" s="62"/>
      <c r="F978" s="62"/>
      <c r="G978" s="62"/>
      <c r="H978" s="62"/>
      <c r="I978" s="62"/>
      <c r="J978" s="62"/>
      <c r="K978" s="62"/>
      <c r="L978" s="62"/>
      <c r="M978" s="62"/>
      <c r="N978" s="62"/>
      <c r="O978" s="62"/>
      <c r="P978" s="62"/>
      <c r="Q978" s="62"/>
      <c r="R978" s="62"/>
      <c r="S978" s="62"/>
      <c r="T978" s="62"/>
      <c r="U978" s="62"/>
      <c r="V978" s="62"/>
      <c r="W978" s="62"/>
      <c r="X978" s="62"/>
      <c r="Y978" s="62"/>
      <c r="Z978" s="62"/>
      <c r="AA978" s="62"/>
      <c r="AB978" s="62"/>
      <c r="AC978" s="62"/>
      <c r="AD978" s="62"/>
    </row>
    <row r="979">
      <c r="A979" s="6"/>
      <c r="B979" s="6"/>
      <c r="C979" s="6"/>
      <c r="D979" s="62"/>
      <c r="E979" s="62"/>
      <c r="F979" s="62"/>
      <c r="G979" s="62"/>
      <c r="H979" s="62"/>
      <c r="I979" s="62"/>
      <c r="J979" s="62"/>
      <c r="K979" s="62"/>
      <c r="L979" s="62"/>
      <c r="M979" s="62"/>
      <c r="N979" s="62"/>
      <c r="O979" s="62"/>
      <c r="P979" s="62"/>
      <c r="Q979" s="62"/>
      <c r="R979" s="62"/>
      <c r="S979" s="62"/>
      <c r="T979" s="62"/>
      <c r="U979" s="62"/>
      <c r="V979" s="62"/>
      <c r="W979" s="62"/>
      <c r="X979" s="62"/>
      <c r="Y979" s="62"/>
      <c r="Z979" s="62"/>
      <c r="AA979" s="62"/>
      <c r="AB979" s="62"/>
      <c r="AC979" s="62"/>
      <c r="AD979" s="62"/>
    </row>
    <row r="980">
      <c r="A980" s="6"/>
      <c r="B980" s="6"/>
      <c r="C980" s="6"/>
      <c r="D980" s="62"/>
      <c r="E980" s="62"/>
      <c r="F980" s="62"/>
      <c r="G980" s="62"/>
      <c r="H980" s="62"/>
      <c r="I980" s="62"/>
      <c r="J980" s="62"/>
      <c r="K980" s="62"/>
      <c r="L980" s="62"/>
      <c r="M980" s="62"/>
      <c r="N980" s="62"/>
      <c r="O980" s="62"/>
      <c r="P980" s="62"/>
      <c r="Q980" s="62"/>
      <c r="R980" s="62"/>
      <c r="S980" s="62"/>
      <c r="T980" s="62"/>
      <c r="U980" s="62"/>
      <c r="V980" s="62"/>
      <c r="W980" s="62"/>
      <c r="X980" s="62"/>
      <c r="Y980" s="62"/>
      <c r="Z980" s="62"/>
      <c r="AA980" s="62"/>
      <c r="AB980" s="62"/>
      <c r="AC980" s="62"/>
      <c r="AD980" s="62"/>
    </row>
    <row r="981">
      <c r="A981" s="6"/>
      <c r="B981" s="6"/>
      <c r="C981" s="6"/>
      <c r="D981" s="62"/>
      <c r="E981" s="62"/>
      <c r="F981" s="62"/>
      <c r="G981" s="62"/>
      <c r="H981" s="62"/>
      <c r="I981" s="62"/>
      <c r="J981" s="62"/>
      <c r="K981" s="62"/>
      <c r="L981" s="62"/>
      <c r="M981" s="62"/>
      <c r="N981" s="62"/>
      <c r="O981" s="62"/>
      <c r="P981" s="62"/>
      <c r="Q981" s="62"/>
      <c r="R981" s="62"/>
      <c r="S981" s="62"/>
      <c r="T981" s="62"/>
      <c r="U981" s="62"/>
      <c r="V981" s="62"/>
      <c r="W981" s="62"/>
      <c r="X981" s="62"/>
      <c r="Y981" s="62"/>
      <c r="Z981" s="62"/>
      <c r="AA981" s="62"/>
      <c r="AB981" s="62"/>
      <c r="AC981" s="62"/>
      <c r="AD981" s="62"/>
    </row>
    <row r="982">
      <c r="A982" s="6"/>
      <c r="B982" s="6"/>
      <c r="C982" s="6"/>
      <c r="D982" s="62"/>
      <c r="E982" s="62"/>
      <c r="F982" s="62"/>
      <c r="G982" s="62"/>
      <c r="H982" s="62"/>
      <c r="I982" s="62"/>
      <c r="J982" s="62"/>
      <c r="K982" s="62"/>
      <c r="L982" s="62"/>
      <c r="M982" s="62"/>
      <c r="N982" s="62"/>
      <c r="O982" s="62"/>
      <c r="P982" s="62"/>
      <c r="Q982" s="62"/>
      <c r="R982" s="62"/>
      <c r="S982" s="62"/>
      <c r="T982" s="62"/>
      <c r="U982" s="62"/>
      <c r="V982" s="62"/>
      <c r="W982" s="62"/>
      <c r="X982" s="62"/>
      <c r="Y982" s="62"/>
      <c r="Z982" s="62"/>
      <c r="AA982" s="62"/>
      <c r="AB982" s="62"/>
      <c r="AC982" s="62"/>
      <c r="AD982" s="62"/>
    </row>
    <row r="983">
      <c r="A983" s="6"/>
      <c r="B983" s="6"/>
      <c r="C983" s="6"/>
      <c r="D983" s="62"/>
      <c r="E983" s="62"/>
      <c r="F983" s="62"/>
      <c r="G983" s="62"/>
      <c r="H983" s="62"/>
      <c r="I983" s="62"/>
      <c r="J983" s="62"/>
      <c r="K983" s="62"/>
      <c r="L983" s="62"/>
      <c r="M983" s="62"/>
      <c r="N983" s="62"/>
      <c r="O983" s="62"/>
      <c r="P983" s="62"/>
      <c r="Q983" s="62"/>
      <c r="R983" s="62"/>
      <c r="S983" s="62"/>
      <c r="T983" s="62"/>
      <c r="U983" s="62"/>
      <c r="V983" s="62"/>
      <c r="W983" s="62"/>
      <c r="X983" s="62"/>
      <c r="Y983" s="62"/>
      <c r="Z983" s="62"/>
      <c r="AA983" s="62"/>
      <c r="AB983" s="62"/>
      <c r="AC983" s="62"/>
      <c r="AD983" s="62"/>
    </row>
    <row r="984">
      <c r="A984" s="6"/>
      <c r="B984" s="6"/>
      <c r="C984" s="6"/>
      <c r="D984" s="62"/>
      <c r="E984" s="62"/>
      <c r="F984" s="62"/>
      <c r="G984" s="62"/>
      <c r="H984" s="62"/>
      <c r="I984" s="62"/>
      <c r="J984" s="62"/>
      <c r="K984" s="62"/>
      <c r="L984" s="62"/>
      <c r="M984" s="62"/>
      <c r="N984" s="62"/>
      <c r="O984" s="62"/>
      <c r="P984" s="62"/>
      <c r="Q984" s="62"/>
      <c r="R984" s="62"/>
      <c r="S984" s="62"/>
      <c r="T984" s="62"/>
      <c r="U984" s="62"/>
      <c r="V984" s="62"/>
      <c r="W984" s="62"/>
      <c r="X984" s="62"/>
      <c r="Y984" s="62"/>
      <c r="Z984" s="62"/>
      <c r="AA984" s="62"/>
      <c r="AB984" s="62"/>
      <c r="AC984" s="62"/>
      <c r="AD984" s="62"/>
    </row>
    <row r="985">
      <c r="A985" s="6"/>
      <c r="B985" s="6"/>
      <c r="C985" s="6"/>
      <c r="D985" s="62"/>
      <c r="E985" s="62"/>
      <c r="F985" s="62"/>
      <c r="G985" s="62"/>
      <c r="H985" s="62"/>
      <c r="I985" s="62"/>
      <c r="J985" s="62"/>
      <c r="K985" s="62"/>
      <c r="L985" s="62"/>
      <c r="M985" s="62"/>
      <c r="N985" s="62"/>
      <c r="O985" s="62"/>
      <c r="P985" s="62"/>
      <c r="Q985" s="62"/>
      <c r="R985" s="62"/>
      <c r="S985" s="62"/>
      <c r="T985" s="62"/>
      <c r="U985" s="62"/>
      <c r="V985" s="62"/>
      <c r="W985" s="62"/>
      <c r="X985" s="62"/>
      <c r="Y985" s="62"/>
      <c r="Z985" s="62"/>
      <c r="AA985" s="62"/>
      <c r="AB985" s="62"/>
      <c r="AC985" s="62"/>
      <c r="AD985" s="62"/>
    </row>
    <row r="986">
      <c r="A986" s="6"/>
      <c r="B986" s="6"/>
      <c r="C986" s="6"/>
      <c r="D986" s="62"/>
      <c r="E986" s="62"/>
      <c r="F986" s="62"/>
      <c r="G986" s="62"/>
      <c r="H986" s="62"/>
      <c r="I986" s="62"/>
      <c r="J986" s="62"/>
      <c r="K986" s="62"/>
      <c r="L986" s="62"/>
      <c r="M986" s="62"/>
      <c r="N986" s="62"/>
      <c r="O986" s="62"/>
      <c r="P986" s="62"/>
      <c r="Q986" s="62"/>
      <c r="R986" s="62"/>
      <c r="S986" s="62"/>
      <c r="T986" s="62"/>
      <c r="U986" s="62"/>
      <c r="V986" s="62"/>
      <c r="W986" s="62"/>
      <c r="X986" s="62"/>
      <c r="Y986" s="62"/>
      <c r="Z986" s="62"/>
      <c r="AA986" s="62"/>
      <c r="AB986" s="62"/>
      <c r="AC986" s="62"/>
      <c r="AD986" s="62"/>
    </row>
    <row r="987">
      <c r="A987" s="6"/>
      <c r="B987" s="6"/>
      <c r="C987" s="6"/>
      <c r="D987" s="62"/>
      <c r="E987" s="62"/>
      <c r="F987" s="62"/>
      <c r="G987" s="62"/>
      <c r="H987" s="62"/>
      <c r="I987" s="62"/>
      <c r="J987" s="62"/>
      <c r="K987" s="62"/>
      <c r="L987" s="62"/>
      <c r="M987" s="62"/>
      <c r="N987" s="62"/>
      <c r="O987" s="62"/>
      <c r="P987" s="62"/>
      <c r="Q987" s="62"/>
      <c r="R987" s="62"/>
      <c r="S987" s="62"/>
      <c r="T987" s="62"/>
      <c r="U987" s="62"/>
      <c r="V987" s="62"/>
      <c r="W987" s="62"/>
      <c r="X987" s="62"/>
      <c r="Y987" s="62"/>
      <c r="Z987" s="62"/>
      <c r="AA987" s="62"/>
      <c r="AB987" s="62"/>
      <c r="AC987" s="62"/>
      <c r="AD987" s="62"/>
    </row>
    <row r="988">
      <c r="A988" s="6"/>
      <c r="B988" s="6"/>
      <c r="C988" s="6"/>
      <c r="D988" s="62"/>
      <c r="E988" s="62"/>
      <c r="F988" s="62"/>
      <c r="G988" s="62"/>
      <c r="H988" s="62"/>
      <c r="I988" s="62"/>
      <c r="J988" s="62"/>
      <c r="K988" s="62"/>
      <c r="L988" s="62"/>
      <c r="M988" s="62"/>
      <c r="N988" s="62"/>
      <c r="O988" s="62"/>
      <c r="P988" s="62"/>
      <c r="Q988" s="62"/>
      <c r="R988" s="62"/>
      <c r="S988" s="62"/>
      <c r="T988" s="62"/>
      <c r="U988" s="62"/>
      <c r="V988" s="62"/>
      <c r="W988" s="62"/>
      <c r="X988" s="62"/>
      <c r="Y988" s="62"/>
      <c r="Z988" s="62"/>
      <c r="AA988" s="62"/>
      <c r="AB988" s="62"/>
      <c r="AC988" s="62"/>
      <c r="AD988" s="62"/>
    </row>
    <row r="989">
      <c r="A989" s="6"/>
      <c r="B989" s="6"/>
      <c r="C989" s="6"/>
      <c r="D989" s="62"/>
      <c r="E989" s="62"/>
      <c r="F989" s="62"/>
      <c r="G989" s="62"/>
      <c r="H989" s="62"/>
      <c r="I989" s="62"/>
      <c r="J989" s="62"/>
      <c r="K989" s="62"/>
      <c r="L989" s="62"/>
      <c r="M989" s="62"/>
      <c r="N989" s="62"/>
      <c r="O989" s="62"/>
      <c r="P989" s="62"/>
      <c r="Q989" s="62"/>
      <c r="R989" s="62"/>
      <c r="S989" s="62"/>
      <c r="T989" s="62"/>
      <c r="U989" s="62"/>
      <c r="V989" s="62"/>
      <c r="W989" s="62"/>
      <c r="X989" s="62"/>
      <c r="Y989" s="62"/>
      <c r="Z989" s="62"/>
      <c r="AA989" s="62"/>
      <c r="AB989" s="62"/>
      <c r="AC989" s="62"/>
      <c r="AD989" s="62"/>
    </row>
    <row r="990">
      <c r="A990" s="6"/>
      <c r="B990" s="6"/>
      <c r="C990" s="6"/>
      <c r="D990" s="62"/>
      <c r="E990" s="62"/>
      <c r="F990" s="62"/>
      <c r="G990" s="62"/>
      <c r="H990" s="62"/>
      <c r="I990" s="62"/>
      <c r="J990" s="62"/>
      <c r="K990" s="62"/>
      <c r="L990" s="62"/>
      <c r="M990" s="62"/>
      <c r="N990" s="62"/>
      <c r="O990" s="62"/>
      <c r="P990" s="62"/>
      <c r="Q990" s="62"/>
      <c r="R990" s="62"/>
      <c r="S990" s="62"/>
      <c r="T990" s="62"/>
      <c r="U990" s="62"/>
      <c r="V990" s="62"/>
      <c r="W990" s="62"/>
      <c r="X990" s="62"/>
      <c r="Y990" s="62"/>
      <c r="Z990" s="62"/>
      <c r="AA990" s="62"/>
      <c r="AB990" s="62"/>
      <c r="AC990" s="62"/>
      <c r="AD990" s="62"/>
    </row>
    <row r="991">
      <c r="A991" s="6"/>
      <c r="B991" s="6"/>
      <c r="C991" s="6"/>
      <c r="D991" s="62"/>
      <c r="E991" s="62"/>
      <c r="F991" s="62"/>
      <c r="G991" s="62"/>
      <c r="H991" s="62"/>
      <c r="I991" s="62"/>
      <c r="J991" s="62"/>
      <c r="K991" s="62"/>
      <c r="L991" s="62"/>
      <c r="M991" s="62"/>
      <c r="N991" s="62"/>
      <c r="O991" s="62"/>
      <c r="P991" s="62"/>
      <c r="Q991" s="62"/>
      <c r="R991" s="62"/>
      <c r="S991" s="62"/>
      <c r="T991" s="62"/>
      <c r="U991" s="62"/>
      <c r="V991" s="62"/>
      <c r="W991" s="62"/>
      <c r="X991" s="62"/>
      <c r="Y991" s="62"/>
      <c r="Z991" s="62"/>
      <c r="AA991" s="62"/>
      <c r="AB991" s="62"/>
      <c r="AC991" s="62"/>
      <c r="AD991" s="62"/>
    </row>
    <row r="992">
      <c r="A992" s="6"/>
      <c r="B992" s="6"/>
      <c r="C992" s="6"/>
      <c r="D992" s="62"/>
      <c r="E992" s="62"/>
      <c r="F992" s="62"/>
      <c r="G992" s="62"/>
      <c r="H992" s="62"/>
      <c r="I992" s="62"/>
      <c r="J992" s="62"/>
      <c r="K992" s="62"/>
      <c r="L992" s="62"/>
      <c r="M992" s="62"/>
      <c r="N992" s="62"/>
      <c r="O992" s="62"/>
      <c r="P992" s="62"/>
      <c r="Q992" s="62"/>
      <c r="R992" s="62"/>
      <c r="S992" s="62"/>
      <c r="T992" s="62"/>
      <c r="U992" s="62"/>
      <c r="V992" s="62"/>
      <c r="W992" s="62"/>
      <c r="X992" s="62"/>
      <c r="Y992" s="62"/>
      <c r="Z992" s="62"/>
      <c r="AA992" s="62"/>
      <c r="AB992" s="62"/>
      <c r="AC992" s="62"/>
      <c r="AD992" s="62"/>
    </row>
    <row r="993">
      <c r="A993" s="6"/>
      <c r="B993" s="6"/>
      <c r="C993" s="6"/>
      <c r="D993" s="62"/>
      <c r="E993" s="62"/>
      <c r="F993" s="62"/>
      <c r="G993" s="62"/>
      <c r="H993" s="62"/>
      <c r="I993" s="62"/>
      <c r="J993" s="62"/>
      <c r="K993" s="62"/>
      <c r="L993" s="62"/>
      <c r="M993" s="62"/>
      <c r="N993" s="62"/>
      <c r="O993" s="62"/>
      <c r="P993" s="62"/>
      <c r="Q993" s="62"/>
      <c r="R993" s="62"/>
      <c r="S993" s="62"/>
      <c r="T993" s="62"/>
      <c r="U993" s="62"/>
      <c r="V993" s="62"/>
      <c r="W993" s="62"/>
      <c r="X993" s="62"/>
      <c r="Y993" s="62"/>
      <c r="Z993" s="62"/>
      <c r="AA993" s="62"/>
      <c r="AB993" s="62"/>
      <c r="AC993" s="62"/>
      <c r="AD993" s="62"/>
    </row>
    <row r="994">
      <c r="A994" s="6"/>
      <c r="B994" s="6"/>
      <c r="C994" s="6"/>
      <c r="D994" s="62"/>
      <c r="E994" s="62"/>
      <c r="F994" s="62"/>
      <c r="G994" s="62"/>
      <c r="H994" s="62"/>
      <c r="I994" s="62"/>
      <c r="J994" s="62"/>
      <c r="K994" s="62"/>
      <c r="L994" s="62"/>
      <c r="M994" s="62"/>
      <c r="N994" s="62"/>
      <c r="O994" s="62"/>
      <c r="P994" s="62"/>
      <c r="Q994" s="62"/>
      <c r="R994" s="62"/>
      <c r="S994" s="62"/>
      <c r="T994" s="62"/>
      <c r="U994" s="62"/>
      <c r="V994" s="62"/>
      <c r="W994" s="62"/>
      <c r="X994" s="62"/>
      <c r="Y994" s="62"/>
      <c r="Z994" s="62"/>
      <c r="AA994" s="62"/>
      <c r="AB994" s="62"/>
      <c r="AC994" s="62"/>
      <c r="AD994" s="62"/>
    </row>
    <row r="995">
      <c r="A995" s="6"/>
      <c r="B995" s="6"/>
      <c r="C995" s="6"/>
      <c r="D995" s="62"/>
      <c r="E995" s="62"/>
      <c r="F995" s="62"/>
      <c r="G995" s="62"/>
      <c r="H995" s="62"/>
      <c r="I995" s="62"/>
      <c r="J995" s="62"/>
      <c r="K995" s="62"/>
      <c r="L995" s="62"/>
      <c r="M995" s="62"/>
      <c r="N995" s="62"/>
      <c r="O995" s="62"/>
      <c r="P995" s="62"/>
      <c r="Q995" s="62"/>
      <c r="R995" s="62"/>
      <c r="S995" s="62"/>
      <c r="T995" s="62"/>
      <c r="U995" s="62"/>
      <c r="V995" s="62"/>
      <c r="W995" s="62"/>
      <c r="X995" s="62"/>
      <c r="Y995" s="62"/>
      <c r="Z995" s="62"/>
      <c r="AA995" s="62"/>
      <c r="AB995" s="62"/>
      <c r="AC995" s="62"/>
      <c r="AD995" s="62"/>
    </row>
    <row r="996">
      <c r="A996" s="6"/>
      <c r="B996" s="6"/>
      <c r="C996" s="6"/>
      <c r="D996" s="62"/>
      <c r="E996" s="62"/>
      <c r="F996" s="62"/>
      <c r="G996" s="62"/>
      <c r="H996" s="62"/>
      <c r="I996" s="62"/>
      <c r="J996" s="62"/>
      <c r="K996" s="62"/>
      <c r="L996" s="62"/>
      <c r="M996" s="62"/>
      <c r="N996" s="62"/>
      <c r="O996" s="62"/>
      <c r="P996" s="62"/>
      <c r="Q996" s="62"/>
      <c r="R996" s="62"/>
      <c r="S996" s="62"/>
      <c r="T996" s="62"/>
      <c r="U996" s="62"/>
      <c r="V996" s="62"/>
      <c r="W996" s="62"/>
      <c r="X996" s="62"/>
      <c r="Y996" s="62"/>
      <c r="Z996" s="62"/>
      <c r="AA996" s="62"/>
      <c r="AB996" s="62"/>
      <c r="AC996" s="62"/>
      <c r="AD996" s="62"/>
    </row>
    <row r="997">
      <c r="A997" s="6"/>
      <c r="B997" s="6"/>
      <c r="C997" s="6"/>
      <c r="D997" s="62"/>
      <c r="E997" s="62"/>
      <c r="F997" s="62"/>
      <c r="G997" s="62"/>
      <c r="H997" s="62"/>
      <c r="I997" s="62"/>
      <c r="J997" s="62"/>
      <c r="K997" s="62"/>
      <c r="L997" s="62"/>
      <c r="M997" s="62"/>
      <c r="N997" s="62"/>
      <c r="O997" s="62"/>
      <c r="P997" s="62"/>
      <c r="Q997" s="62"/>
      <c r="R997" s="62"/>
      <c r="S997" s="62"/>
      <c r="T997" s="62"/>
      <c r="U997" s="62"/>
      <c r="V997" s="62"/>
      <c r="W997" s="62"/>
      <c r="X997" s="62"/>
      <c r="Y997" s="62"/>
      <c r="Z997" s="62"/>
      <c r="AA997" s="62"/>
      <c r="AB997" s="62"/>
      <c r="AC997" s="62"/>
      <c r="AD997" s="62"/>
    </row>
    <row r="998">
      <c r="A998" s="6"/>
      <c r="B998" s="6"/>
      <c r="C998" s="6"/>
      <c r="D998" s="62"/>
      <c r="E998" s="62"/>
      <c r="F998" s="62"/>
      <c r="G998" s="62"/>
      <c r="H998" s="62"/>
      <c r="I998" s="62"/>
      <c r="J998" s="62"/>
      <c r="K998" s="62"/>
      <c r="L998" s="62"/>
      <c r="M998" s="62"/>
      <c r="N998" s="62"/>
      <c r="O998" s="62"/>
      <c r="P998" s="62"/>
      <c r="Q998" s="62"/>
      <c r="R998" s="62"/>
      <c r="S998" s="62"/>
      <c r="T998" s="62"/>
      <c r="U998" s="62"/>
      <c r="V998" s="62"/>
      <c r="W998" s="62"/>
      <c r="X998" s="62"/>
      <c r="Y998" s="62"/>
      <c r="Z998" s="62"/>
      <c r="AA998" s="62"/>
      <c r="AB998" s="62"/>
      <c r="AC998" s="62"/>
      <c r="AD998" s="62"/>
    </row>
    <row r="999">
      <c r="A999" s="6"/>
      <c r="B999" s="6"/>
      <c r="C999" s="6"/>
      <c r="D999" s="62"/>
      <c r="E999" s="62"/>
      <c r="F999" s="62"/>
      <c r="G999" s="62"/>
      <c r="H999" s="62"/>
      <c r="I999" s="62"/>
      <c r="J999" s="62"/>
      <c r="K999" s="62"/>
      <c r="L999" s="62"/>
      <c r="M999" s="62"/>
      <c r="N999" s="62"/>
      <c r="O999" s="62"/>
      <c r="P999" s="62"/>
      <c r="Q999" s="62"/>
      <c r="R999" s="62"/>
      <c r="S999" s="62"/>
      <c r="T999" s="62"/>
      <c r="U999" s="62"/>
      <c r="V999" s="62"/>
      <c r="W999" s="62"/>
      <c r="X999" s="62"/>
      <c r="Y999" s="62"/>
      <c r="Z999" s="62"/>
      <c r="AA999" s="62"/>
      <c r="AB999" s="62"/>
      <c r="AC999" s="62"/>
      <c r="AD999" s="62"/>
    </row>
    <row r="1000">
      <c r="A1000" s="6"/>
      <c r="B1000" s="6"/>
      <c r="C1000" s="6"/>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c r="AA1000" s="62"/>
      <c r="AB1000" s="62"/>
      <c r="AC1000" s="62"/>
      <c r="AD1000" s="62"/>
    </row>
    <row r="1001">
      <c r="A1001" s="6"/>
      <c r="B1001" s="6"/>
      <c r="C1001" s="6"/>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c r="Z1001" s="62"/>
      <c r="AA1001" s="62"/>
      <c r="AB1001" s="62"/>
      <c r="AC1001" s="62"/>
      <c r="AD1001" s="62"/>
    </row>
    <row r="1002">
      <c r="A1002" s="6"/>
      <c r="B1002" s="6"/>
      <c r="C1002" s="6"/>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c r="Z1002" s="62"/>
      <c r="AA1002" s="62"/>
      <c r="AB1002" s="62"/>
      <c r="AC1002" s="62"/>
      <c r="AD1002" s="62"/>
    </row>
    <row r="1003">
      <c r="A1003" s="6"/>
      <c r="B1003" s="6"/>
      <c r="C1003" s="6"/>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c r="Z1003" s="62"/>
      <c r="AA1003" s="62"/>
      <c r="AB1003" s="62"/>
      <c r="AC1003" s="62"/>
      <c r="AD1003" s="62"/>
    </row>
    <row r="1004">
      <c r="A1004" s="6"/>
      <c r="B1004" s="6"/>
      <c r="C1004" s="6"/>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c r="Z1004" s="62"/>
      <c r="AA1004" s="62"/>
      <c r="AB1004" s="62"/>
      <c r="AC1004" s="62"/>
      <c r="AD1004" s="62"/>
    </row>
    <row r="1005">
      <c r="A1005" s="6"/>
      <c r="B1005" s="6"/>
      <c r="C1005" s="6"/>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c r="Z1005" s="62"/>
      <c r="AA1005" s="62"/>
      <c r="AB1005" s="62"/>
      <c r="AC1005" s="62"/>
      <c r="AD1005" s="62"/>
    </row>
    <row r="1006">
      <c r="A1006" s="6"/>
      <c r="B1006" s="6"/>
      <c r="C1006" s="6"/>
      <c r="D1006" s="62"/>
      <c r="E1006" s="62"/>
      <c r="F1006" s="62"/>
      <c r="G1006" s="62"/>
      <c r="H1006" s="62"/>
      <c r="I1006" s="62"/>
      <c r="J1006" s="62"/>
      <c r="K1006" s="62"/>
      <c r="L1006" s="62"/>
      <c r="M1006" s="62"/>
      <c r="N1006" s="62"/>
      <c r="O1006" s="62"/>
      <c r="P1006" s="62"/>
      <c r="Q1006" s="62"/>
      <c r="R1006" s="62"/>
      <c r="S1006" s="62"/>
      <c r="T1006" s="62"/>
      <c r="U1006" s="62"/>
      <c r="V1006" s="62"/>
      <c r="W1006" s="62"/>
      <c r="X1006" s="62"/>
      <c r="Y1006" s="62"/>
      <c r="Z1006" s="62"/>
      <c r="AA1006" s="62"/>
      <c r="AB1006" s="62"/>
      <c r="AC1006" s="62"/>
      <c r="AD1006" s="62"/>
    </row>
    <row r="1007">
      <c r="A1007" s="6"/>
      <c r="B1007" s="6"/>
      <c r="C1007" s="6"/>
      <c r="D1007" s="62"/>
      <c r="E1007" s="62"/>
      <c r="F1007" s="62"/>
      <c r="G1007" s="62"/>
      <c r="H1007" s="62"/>
      <c r="I1007" s="62"/>
      <c r="J1007" s="62"/>
      <c r="K1007" s="62"/>
      <c r="L1007" s="62"/>
      <c r="M1007" s="62"/>
      <c r="N1007" s="62"/>
      <c r="O1007" s="62"/>
      <c r="P1007" s="62"/>
      <c r="Q1007" s="62"/>
      <c r="R1007" s="62"/>
      <c r="S1007" s="62"/>
      <c r="T1007" s="62"/>
      <c r="U1007" s="62"/>
      <c r="V1007" s="62"/>
      <c r="W1007" s="62"/>
      <c r="X1007" s="62"/>
      <c r="Y1007" s="62"/>
      <c r="Z1007" s="62"/>
      <c r="AA1007" s="62"/>
      <c r="AB1007" s="62"/>
      <c r="AC1007" s="62"/>
      <c r="AD1007" s="62"/>
    </row>
    <row r="1008">
      <c r="A1008" s="6"/>
      <c r="B1008" s="6"/>
      <c r="C1008" s="6"/>
      <c r="D1008" s="62"/>
      <c r="E1008" s="62"/>
      <c r="F1008" s="62"/>
      <c r="G1008" s="62"/>
      <c r="H1008" s="62"/>
      <c r="I1008" s="62"/>
      <c r="J1008" s="62"/>
      <c r="K1008" s="62"/>
      <c r="L1008" s="62"/>
      <c r="M1008" s="62"/>
      <c r="N1008" s="62"/>
      <c r="O1008" s="62"/>
      <c r="P1008" s="62"/>
      <c r="Q1008" s="62"/>
      <c r="R1008" s="62"/>
      <c r="S1008" s="62"/>
      <c r="T1008" s="62"/>
      <c r="U1008" s="62"/>
      <c r="V1008" s="62"/>
      <c r="W1008" s="62"/>
      <c r="X1008" s="62"/>
      <c r="Y1008" s="62"/>
      <c r="Z1008" s="62"/>
      <c r="AA1008" s="62"/>
      <c r="AB1008" s="62"/>
      <c r="AC1008" s="62"/>
      <c r="AD1008" s="62"/>
    </row>
    <row r="1009">
      <c r="A1009" s="6"/>
      <c r="B1009" s="6"/>
      <c r="C1009" s="6"/>
      <c r="D1009" s="62"/>
      <c r="E1009" s="62"/>
      <c r="F1009" s="62"/>
      <c r="G1009" s="62"/>
      <c r="H1009" s="62"/>
      <c r="I1009" s="62"/>
      <c r="J1009" s="62"/>
      <c r="K1009" s="62"/>
      <c r="L1009" s="62"/>
      <c r="M1009" s="62"/>
      <c r="N1009" s="62"/>
      <c r="O1009" s="62"/>
      <c r="P1009" s="62"/>
      <c r="Q1009" s="62"/>
      <c r="R1009" s="62"/>
      <c r="S1009" s="62"/>
      <c r="T1009" s="62"/>
      <c r="U1009" s="62"/>
      <c r="V1009" s="62"/>
      <c r="W1009" s="62"/>
      <c r="X1009" s="62"/>
      <c r="Y1009" s="62"/>
      <c r="Z1009" s="62"/>
      <c r="AA1009" s="62"/>
      <c r="AB1009" s="62"/>
      <c r="AC1009" s="62"/>
      <c r="AD1009" s="62"/>
    </row>
    <row r="1010">
      <c r="A1010" s="6"/>
      <c r="B1010" s="6"/>
      <c r="C1010" s="6"/>
      <c r="D1010" s="62"/>
      <c r="E1010" s="62"/>
      <c r="F1010" s="62"/>
      <c r="G1010" s="62"/>
      <c r="H1010" s="62"/>
      <c r="I1010" s="62"/>
      <c r="J1010" s="62"/>
      <c r="K1010" s="62"/>
      <c r="L1010" s="62"/>
      <c r="M1010" s="62"/>
      <c r="N1010" s="62"/>
      <c r="O1010" s="62"/>
      <c r="P1010" s="62"/>
      <c r="Q1010" s="62"/>
      <c r="R1010" s="62"/>
      <c r="S1010" s="62"/>
      <c r="T1010" s="62"/>
      <c r="U1010" s="62"/>
      <c r="V1010" s="62"/>
      <c r="W1010" s="62"/>
      <c r="X1010" s="62"/>
      <c r="Y1010" s="62"/>
      <c r="Z1010" s="62"/>
      <c r="AA1010" s="62"/>
      <c r="AB1010" s="62"/>
      <c r="AC1010" s="62"/>
      <c r="AD1010" s="62"/>
    </row>
    <row r="1011">
      <c r="A1011" s="6"/>
      <c r="B1011" s="6"/>
      <c r="C1011" s="6"/>
      <c r="D1011" s="62"/>
      <c r="E1011" s="62"/>
      <c r="F1011" s="62"/>
      <c r="G1011" s="62"/>
      <c r="H1011" s="62"/>
      <c r="I1011" s="62"/>
      <c r="J1011" s="62"/>
      <c r="K1011" s="62"/>
      <c r="L1011" s="62"/>
      <c r="M1011" s="62"/>
      <c r="N1011" s="62"/>
      <c r="O1011" s="62"/>
      <c r="P1011" s="62"/>
      <c r="Q1011" s="62"/>
      <c r="R1011" s="62"/>
      <c r="S1011" s="62"/>
      <c r="T1011" s="62"/>
      <c r="U1011" s="62"/>
      <c r="V1011" s="62"/>
      <c r="W1011" s="62"/>
      <c r="X1011" s="62"/>
      <c r="Y1011" s="62"/>
      <c r="Z1011" s="62"/>
      <c r="AA1011" s="62"/>
      <c r="AB1011" s="62"/>
      <c r="AC1011" s="62"/>
      <c r="AD1011" s="62"/>
    </row>
    <row r="1012">
      <c r="A1012" s="6"/>
      <c r="B1012" s="6"/>
      <c r="C1012" s="6"/>
      <c r="D1012" s="62"/>
      <c r="E1012" s="62"/>
      <c r="F1012" s="62"/>
      <c r="G1012" s="62"/>
      <c r="H1012" s="62"/>
      <c r="I1012" s="62"/>
      <c r="J1012" s="62"/>
      <c r="K1012" s="62"/>
      <c r="L1012" s="62"/>
      <c r="M1012" s="62"/>
      <c r="N1012" s="62"/>
      <c r="O1012" s="62"/>
      <c r="P1012" s="62"/>
      <c r="Q1012" s="62"/>
      <c r="R1012" s="62"/>
      <c r="S1012" s="62"/>
      <c r="T1012" s="62"/>
      <c r="U1012" s="62"/>
      <c r="V1012" s="62"/>
      <c r="W1012" s="62"/>
      <c r="X1012" s="62"/>
      <c r="Y1012" s="62"/>
      <c r="Z1012" s="62"/>
      <c r="AA1012" s="62"/>
      <c r="AB1012" s="62"/>
      <c r="AC1012" s="62"/>
      <c r="AD1012" s="62"/>
    </row>
    <row r="1013">
      <c r="A1013" s="6"/>
      <c r="B1013" s="6"/>
      <c r="C1013" s="6"/>
      <c r="D1013" s="62"/>
      <c r="E1013" s="62"/>
      <c r="F1013" s="62"/>
      <c r="G1013" s="62"/>
      <c r="H1013" s="62"/>
      <c r="I1013" s="62"/>
      <c r="J1013" s="62"/>
      <c r="K1013" s="62"/>
      <c r="L1013" s="62"/>
      <c r="M1013" s="62"/>
      <c r="N1013" s="62"/>
      <c r="O1013" s="62"/>
      <c r="P1013" s="62"/>
      <c r="Q1013" s="62"/>
      <c r="R1013" s="62"/>
      <c r="S1013" s="62"/>
      <c r="T1013" s="62"/>
      <c r="U1013" s="62"/>
      <c r="V1013" s="62"/>
      <c r="W1013" s="62"/>
      <c r="X1013" s="62"/>
      <c r="Y1013" s="62"/>
      <c r="Z1013" s="62"/>
      <c r="AA1013" s="62"/>
      <c r="AB1013" s="62"/>
      <c r="AC1013" s="62"/>
      <c r="AD1013" s="62"/>
    </row>
    <row r="1014">
      <c r="A1014" s="6"/>
      <c r="B1014" s="6"/>
      <c r="C1014" s="6"/>
      <c r="D1014" s="62"/>
      <c r="E1014" s="62"/>
      <c r="F1014" s="62"/>
      <c r="G1014" s="62"/>
      <c r="H1014" s="62"/>
      <c r="I1014" s="62"/>
      <c r="J1014" s="62"/>
      <c r="K1014" s="62"/>
      <c r="L1014" s="62"/>
      <c r="M1014" s="62"/>
      <c r="N1014" s="62"/>
      <c r="O1014" s="62"/>
      <c r="P1014" s="62"/>
      <c r="Q1014" s="62"/>
      <c r="R1014" s="62"/>
      <c r="S1014" s="62"/>
      <c r="T1014" s="62"/>
      <c r="U1014" s="62"/>
      <c r="V1014" s="62"/>
      <c r="W1014" s="62"/>
      <c r="X1014" s="62"/>
      <c r="Y1014" s="62"/>
      <c r="Z1014" s="62"/>
      <c r="AA1014" s="62"/>
      <c r="AB1014" s="62"/>
      <c r="AC1014" s="62"/>
      <c r="AD1014" s="62"/>
    </row>
    <row r="1015">
      <c r="A1015" s="6"/>
      <c r="B1015" s="6"/>
      <c r="C1015" s="6"/>
      <c r="D1015" s="62"/>
      <c r="E1015" s="62"/>
      <c r="F1015" s="62"/>
      <c r="G1015" s="62"/>
      <c r="H1015" s="62"/>
      <c r="I1015" s="62"/>
      <c r="J1015" s="62"/>
      <c r="K1015" s="62"/>
      <c r="L1015" s="62"/>
      <c r="M1015" s="62"/>
      <c r="N1015" s="62"/>
      <c r="O1015" s="62"/>
      <c r="P1015" s="62"/>
      <c r="Q1015" s="62"/>
      <c r="R1015" s="62"/>
      <c r="S1015" s="62"/>
      <c r="T1015" s="62"/>
      <c r="U1015" s="62"/>
      <c r="V1015" s="62"/>
      <c r="W1015" s="62"/>
      <c r="X1015" s="62"/>
      <c r="Y1015" s="62"/>
      <c r="Z1015" s="62"/>
      <c r="AA1015" s="62"/>
      <c r="AB1015" s="62"/>
      <c r="AC1015" s="62"/>
      <c r="AD1015" s="62"/>
    </row>
    <row r="1016">
      <c r="A1016" s="6"/>
      <c r="B1016" s="6"/>
      <c r="C1016" s="6"/>
      <c r="D1016" s="62"/>
      <c r="E1016" s="62"/>
      <c r="F1016" s="62"/>
      <c r="G1016" s="62"/>
      <c r="H1016" s="62"/>
      <c r="I1016" s="62"/>
      <c r="J1016" s="62"/>
      <c r="K1016" s="62"/>
      <c r="L1016" s="62"/>
      <c r="M1016" s="62"/>
      <c r="N1016" s="62"/>
      <c r="O1016" s="62"/>
      <c r="P1016" s="62"/>
      <c r="Q1016" s="62"/>
      <c r="R1016" s="62"/>
      <c r="S1016" s="62"/>
      <c r="T1016" s="62"/>
      <c r="U1016" s="62"/>
      <c r="V1016" s="62"/>
      <c r="W1016" s="62"/>
      <c r="X1016" s="62"/>
      <c r="Y1016" s="62"/>
      <c r="Z1016" s="62"/>
      <c r="AA1016" s="62"/>
      <c r="AB1016" s="62"/>
      <c r="AC1016" s="62"/>
      <c r="AD1016" s="62"/>
    </row>
    <row r="1017">
      <c r="A1017" s="6"/>
      <c r="B1017" s="6"/>
      <c r="C1017" s="6"/>
      <c r="D1017" s="62"/>
      <c r="E1017" s="62"/>
      <c r="F1017" s="62"/>
      <c r="G1017" s="62"/>
      <c r="H1017" s="62"/>
      <c r="I1017" s="62"/>
      <c r="J1017" s="62"/>
      <c r="K1017" s="62"/>
      <c r="L1017" s="62"/>
      <c r="M1017" s="62"/>
      <c r="N1017" s="62"/>
      <c r="O1017" s="62"/>
      <c r="P1017" s="62"/>
      <c r="Q1017" s="62"/>
      <c r="R1017" s="62"/>
      <c r="S1017" s="62"/>
      <c r="T1017" s="62"/>
      <c r="U1017" s="62"/>
      <c r="V1017" s="62"/>
      <c r="W1017" s="62"/>
      <c r="X1017" s="62"/>
      <c r="Y1017" s="62"/>
      <c r="Z1017" s="62"/>
      <c r="AA1017" s="62"/>
      <c r="AB1017" s="62"/>
      <c r="AC1017" s="62"/>
      <c r="AD1017" s="62"/>
    </row>
    <row r="1018">
      <c r="A1018" s="6"/>
      <c r="B1018" s="6"/>
      <c r="C1018" s="6"/>
      <c r="D1018" s="62"/>
      <c r="E1018" s="62"/>
      <c r="F1018" s="62"/>
      <c r="G1018" s="62"/>
      <c r="H1018" s="62"/>
      <c r="I1018" s="62"/>
      <c r="J1018" s="62"/>
      <c r="K1018" s="62"/>
      <c r="L1018" s="62"/>
      <c r="M1018" s="62"/>
      <c r="N1018" s="62"/>
      <c r="O1018" s="62"/>
      <c r="P1018" s="62"/>
      <c r="Q1018" s="62"/>
      <c r="R1018" s="62"/>
      <c r="S1018" s="62"/>
      <c r="T1018" s="62"/>
      <c r="U1018" s="62"/>
      <c r="V1018" s="62"/>
      <c r="W1018" s="62"/>
      <c r="X1018" s="62"/>
      <c r="Y1018" s="62"/>
      <c r="Z1018" s="62"/>
      <c r="AA1018" s="62"/>
      <c r="AB1018" s="62"/>
      <c r="AC1018" s="62"/>
      <c r="AD1018" s="62"/>
    </row>
    <row r="1019">
      <c r="A1019" s="6"/>
      <c r="B1019" s="6"/>
      <c r="C1019" s="6"/>
      <c r="D1019" s="62"/>
      <c r="E1019" s="62"/>
      <c r="F1019" s="62"/>
      <c r="G1019" s="62"/>
      <c r="H1019" s="62"/>
      <c r="I1019" s="62"/>
      <c r="J1019" s="62"/>
      <c r="K1019" s="62"/>
      <c r="L1019" s="62"/>
      <c r="M1019" s="62"/>
      <c r="N1019" s="62"/>
      <c r="O1019" s="62"/>
      <c r="P1019" s="62"/>
      <c r="Q1019" s="62"/>
      <c r="R1019" s="62"/>
      <c r="S1019" s="62"/>
      <c r="T1019" s="62"/>
      <c r="U1019" s="62"/>
      <c r="V1019" s="62"/>
      <c r="W1019" s="62"/>
      <c r="X1019" s="62"/>
      <c r="Y1019" s="62"/>
      <c r="Z1019" s="62"/>
      <c r="AA1019" s="62"/>
      <c r="AB1019" s="62"/>
      <c r="AC1019" s="62"/>
      <c r="AD1019" s="62"/>
    </row>
    <row r="1020">
      <c r="A1020" s="6"/>
      <c r="B1020" s="6"/>
      <c r="C1020" s="6"/>
      <c r="D1020" s="62"/>
      <c r="E1020" s="62"/>
      <c r="F1020" s="62"/>
      <c r="G1020" s="62"/>
      <c r="H1020" s="62"/>
      <c r="I1020" s="62"/>
      <c r="J1020" s="62"/>
      <c r="K1020" s="62"/>
      <c r="L1020" s="62"/>
      <c r="M1020" s="62"/>
      <c r="N1020" s="62"/>
      <c r="O1020" s="62"/>
      <c r="P1020" s="62"/>
      <c r="Q1020" s="62"/>
      <c r="R1020" s="62"/>
      <c r="S1020" s="62"/>
      <c r="T1020" s="62"/>
      <c r="U1020" s="62"/>
      <c r="V1020" s="62"/>
      <c r="W1020" s="62"/>
      <c r="X1020" s="62"/>
      <c r="Y1020" s="62"/>
      <c r="Z1020" s="62"/>
      <c r="AA1020" s="62"/>
      <c r="AB1020" s="62"/>
      <c r="AC1020" s="62"/>
      <c r="AD1020" s="62"/>
    </row>
    <row r="1021">
      <c r="A1021" s="6"/>
      <c r="B1021" s="6"/>
      <c r="C1021" s="6"/>
      <c r="D1021" s="62"/>
      <c r="E1021" s="62"/>
      <c r="F1021" s="62"/>
      <c r="G1021" s="62"/>
      <c r="H1021" s="62"/>
      <c r="I1021" s="62"/>
      <c r="J1021" s="62"/>
      <c r="K1021" s="62"/>
      <c r="L1021" s="62"/>
      <c r="M1021" s="62"/>
      <c r="N1021" s="62"/>
      <c r="O1021" s="62"/>
      <c r="P1021" s="62"/>
      <c r="Q1021" s="62"/>
      <c r="R1021" s="62"/>
      <c r="S1021" s="62"/>
      <c r="T1021" s="62"/>
      <c r="U1021" s="62"/>
      <c r="V1021" s="62"/>
      <c r="W1021" s="62"/>
      <c r="X1021" s="62"/>
      <c r="Y1021" s="62"/>
      <c r="Z1021" s="62"/>
      <c r="AA1021" s="62"/>
      <c r="AB1021" s="62"/>
      <c r="AC1021" s="62"/>
      <c r="AD1021" s="62"/>
    </row>
    <row r="1022">
      <c r="A1022" s="6"/>
      <c r="B1022" s="6"/>
      <c r="C1022" s="6"/>
      <c r="D1022" s="62"/>
      <c r="E1022" s="62"/>
      <c r="F1022" s="62"/>
      <c r="G1022" s="62"/>
      <c r="H1022" s="62"/>
      <c r="I1022" s="62"/>
      <c r="J1022" s="62"/>
      <c r="K1022" s="62"/>
      <c r="L1022" s="62"/>
      <c r="M1022" s="62"/>
      <c r="N1022" s="62"/>
      <c r="O1022" s="62"/>
      <c r="P1022" s="62"/>
      <c r="Q1022" s="62"/>
      <c r="R1022" s="62"/>
      <c r="S1022" s="62"/>
      <c r="T1022" s="62"/>
      <c r="U1022" s="62"/>
      <c r="V1022" s="62"/>
      <c r="W1022" s="62"/>
      <c r="X1022" s="62"/>
      <c r="Y1022" s="62"/>
      <c r="Z1022" s="62"/>
      <c r="AA1022" s="62"/>
      <c r="AB1022" s="62"/>
      <c r="AC1022" s="62"/>
      <c r="AD1022" s="62"/>
    </row>
    <row r="1023">
      <c r="A1023" s="6"/>
      <c r="B1023" s="6"/>
      <c r="C1023" s="6"/>
      <c r="D1023" s="62"/>
      <c r="E1023" s="62"/>
      <c r="F1023" s="62"/>
      <c r="G1023" s="62"/>
      <c r="H1023" s="62"/>
      <c r="I1023" s="62"/>
      <c r="J1023" s="62"/>
      <c r="K1023" s="62"/>
      <c r="L1023" s="62"/>
      <c r="M1023" s="62"/>
      <c r="N1023" s="62"/>
      <c r="O1023" s="62"/>
      <c r="P1023" s="62"/>
      <c r="Q1023" s="62"/>
      <c r="R1023" s="62"/>
      <c r="S1023" s="62"/>
      <c r="T1023" s="62"/>
      <c r="U1023" s="62"/>
      <c r="V1023" s="62"/>
      <c r="W1023" s="62"/>
      <c r="X1023" s="62"/>
      <c r="Y1023" s="62"/>
      <c r="Z1023" s="62"/>
      <c r="AA1023" s="62"/>
      <c r="AB1023" s="62"/>
      <c r="AC1023" s="62"/>
      <c r="AD1023" s="62"/>
    </row>
    <row r="1024">
      <c r="A1024" s="6"/>
      <c r="B1024" s="6"/>
      <c r="C1024" s="6"/>
      <c r="D1024" s="62"/>
      <c r="E1024" s="62"/>
      <c r="F1024" s="62"/>
      <c r="G1024" s="62"/>
      <c r="H1024" s="62"/>
      <c r="I1024" s="62"/>
      <c r="J1024" s="62"/>
      <c r="K1024" s="62"/>
      <c r="L1024" s="62"/>
      <c r="M1024" s="62"/>
      <c r="N1024" s="62"/>
      <c r="O1024" s="62"/>
      <c r="P1024" s="62"/>
      <c r="Q1024" s="62"/>
      <c r="R1024" s="62"/>
      <c r="S1024" s="62"/>
      <c r="T1024" s="62"/>
      <c r="U1024" s="62"/>
      <c r="V1024" s="62"/>
      <c r="W1024" s="62"/>
      <c r="X1024" s="62"/>
      <c r="Y1024" s="62"/>
      <c r="Z1024" s="62"/>
      <c r="AA1024" s="62"/>
      <c r="AB1024" s="62"/>
      <c r="AC1024" s="62"/>
      <c r="AD1024" s="62"/>
    </row>
    <row r="1025">
      <c r="A1025" s="6"/>
      <c r="B1025" s="6"/>
      <c r="C1025" s="6"/>
      <c r="D1025" s="62"/>
      <c r="E1025" s="62"/>
      <c r="F1025" s="62"/>
      <c r="G1025" s="62"/>
      <c r="H1025" s="62"/>
      <c r="I1025" s="62"/>
      <c r="J1025" s="62"/>
      <c r="K1025" s="62"/>
      <c r="L1025" s="62"/>
      <c r="M1025" s="62"/>
      <c r="N1025" s="62"/>
      <c r="O1025" s="62"/>
      <c r="P1025" s="62"/>
      <c r="Q1025" s="62"/>
      <c r="R1025" s="62"/>
      <c r="S1025" s="62"/>
      <c r="T1025" s="62"/>
      <c r="U1025" s="62"/>
      <c r="V1025" s="62"/>
      <c r="W1025" s="62"/>
      <c r="X1025" s="62"/>
      <c r="Y1025" s="62"/>
      <c r="Z1025" s="62"/>
      <c r="AA1025" s="62"/>
      <c r="AB1025" s="62"/>
      <c r="AC1025" s="62"/>
      <c r="AD1025" s="62"/>
    </row>
    <row r="1026">
      <c r="A1026" s="6"/>
      <c r="B1026" s="6"/>
      <c r="C1026" s="6"/>
      <c r="D1026" s="62"/>
      <c r="E1026" s="62"/>
      <c r="F1026" s="62"/>
      <c r="G1026" s="62"/>
      <c r="H1026" s="62"/>
      <c r="I1026" s="62"/>
      <c r="J1026" s="62"/>
      <c r="K1026" s="62"/>
      <c r="L1026" s="62"/>
      <c r="M1026" s="62"/>
      <c r="N1026" s="62"/>
      <c r="O1026" s="62"/>
      <c r="P1026" s="62"/>
      <c r="Q1026" s="62"/>
      <c r="R1026" s="62"/>
      <c r="S1026" s="62"/>
      <c r="T1026" s="62"/>
      <c r="U1026" s="62"/>
      <c r="V1026" s="62"/>
      <c r="W1026" s="62"/>
      <c r="X1026" s="62"/>
      <c r="Y1026" s="62"/>
      <c r="Z1026" s="62"/>
      <c r="AA1026" s="62"/>
      <c r="AB1026" s="62"/>
      <c r="AC1026" s="62"/>
      <c r="AD1026" s="62"/>
    </row>
    <row r="1027">
      <c r="A1027" s="6"/>
      <c r="B1027" s="6"/>
      <c r="C1027" s="6"/>
      <c r="D1027" s="62"/>
      <c r="E1027" s="62"/>
      <c r="F1027" s="62"/>
      <c r="G1027" s="62"/>
      <c r="H1027" s="62"/>
      <c r="I1027" s="62"/>
      <c r="J1027" s="62"/>
      <c r="K1027" s="62"/>
      <c r="L1027" s="62"/>
      <c r="M1027" s="62"/>
      <c r="N1027" s="62"/>
      <c r="O1027" s="62"/>
      <c r="P1027" s="62"/>
      <c r="Q1027" s="62"/>
      <c r="R1027" s="62"/>
      <c r="S1027" s="62"/>
      <c r="T1027" s="62"/>
      <c r="U1027" s="62"/>
      <c r="V1027" s="62"/>
      <c r="W1027" s="62"/>
      <c r="X1027" s="62"/>
      <c r="Y1027" s="62"/>
      <c r="Z1027" s="62"/>
      <c r="AA1027" s="62"/>
      <c r="AB1027" s="62"/>
      <c r="AC1027" s="62"/>
      <c r="AD1027" s="62"/>
    </row>
    <row r="1028">
      <c r="A1028" s="6"/>
      <c r="B1028" s="6"/>
      <c r="C1028" s="6"/>
      <c r="D1028" s="62"/>
      <c r="E1028" s="62"/>
      <c r="F1028" s="62"/>
      <c r="G1028" s="62"/>
      <c r="H1028" s="62"/>
      <c r="I1028" s="62"/>
      <c r="J1028" s="62"/>
      <c r="K1028" s="62"/>
      <c r="L1028" s="62"/>
      <c r="M1028" s="62"/>
      <c r="N1028" s="62"/>
      <c r="O1028" s="62"/>
      <c r="P1028" s="62"/>
      <c r="Q1028" s="62"/>
      <c r="R1028" s="62"/>
      <c r="S1028" s="62"/>
      <c r="T1028" s="62"/>
      <c r="U1028" s="62"/>
      <c r="V1028" s="62"/>
      <c r="W1028" s="62"/>
      <c r="X1028" s="62"/>
      <c r="Y1028" s="62"/>
      <c r="Z1028" s="62"/>
      <c r="AA1028" s="62"/>
      <c r="AB1028" s="62"/>
      <c r="AC1028" s="62"/>
      <c r="AD1028" s="62"/>
    </row>
    <row r="1029">
      <c r="A1029" s="6"/>
      <c r="B1029" s="6"/>
      <c r="C1029" s="6"/>
      <c r="D1029" s="62"/>
      <c r="E1029" s="62"/>
      <c r="F1029" s="62"/>
      <c r="G1029" s="62"/>
      <c r="H1029" s="62"/>
      <c r="I1029" s="62"/>
      <c r="J1029" s="62"/>
      <c r="K1029" s="62"/>
      <c r="L1029" s="62"/>
      <c r="M1029" s="62"/>
      <c r="N1029" s="62"/>
      <c r="O1029" s="62"/>
      <c r="P1029" s="62"/>
      <c r="Q1029" s="62"/>
      <c r="R1029" s="62"/>
      <c r="S1029" s="62"/>
      <c r="T1029" s="62"/>
      <c r="U1029" s="62"/>
      <c r="V1029" s="62"/>
      <c r="W1029" s="62"/>
      <c r="X1029" s="62"/>
      <c r="Y1029" s="62"/>
      <c r="Z1029" s="62"/>
      <c r="AA1029" s="62"/>
      <c r="AB1029" s="62"/>
      <c r="AC1029" s="62"/>
      <c r="AD1029" s="62"/>
    </row>
    <row r="1030">
      <c r="A1030" s="6"/>
      <c r="B1030" s="6"/>
      <c r="C1030" s="6"/>
      <c r="D1030" s="62"/>
      <c r="E1030" s="62"/>
      <c r="F1030" s="62"/>
      <c r="G1030" s="62"/>
      <c r="H1030" s="62"/>
      <c r="I1030" s="62"/>
      <c r="J1030" s="62"/>
      <c r="K1030" s="62"/>
      <c r="L1030" s="62"/>
      <c r="M1030" s="62"/>
      <c r="N1030" s="62"/>
      <c r="O1030" s="62"/>
      <c r="P1030" s="62"/>
      <c r="Q1030" s="62"/>
      <c r="R1030" s="62"/>
      <c r="S1030" s="62"/>
      <c r="T1030" s="62"/>
      <c r="U1030" s="62"/>
      <c r="V1030" s="62"/>
      <c r="W1030" s="62"/>
      <c r="X1030" s="62"/>
      <c r="Y1030" s="62"/>
      <c r="Z1030" s="62"/>
      <c r="AA1030" s="62"/>
      <c r="AB1030" s="62"/>
      <c r="AC1030" s="62"/>
      <c r="AD1030" s="62"/>
    </row>
    <row r="1031">
      <c r="A1031" s="6"/>
      <c r="B1031" s="6"/>
      <c r="C1031" s="6"/>
      <c r="D1031" s="62"/>
      <c r="E1031" s="62"/>
      <c r="F1031" s="62"/>
      <c r="G1031" s="62"/>
      <c r="H1031" s="62"/>
      <c r="I1031" s="62"/>
      <c r="J1031" s="62"/>
      <c r="K1031" s="62"/>
      <c r="L1031" s="62"/>
      <c r="M1031" s="62"/>
      <c r="N1031" s="62"/>
      <c r="O1031" s="62"/>
      <c r="P1031" s="62"/>
      <c r="Q1031" s="62"/>
      <c r="R1031" s="62"/>
      <c r="S1031" s="62"/>
      <c r="T1031" s="62"/>
      <c r="U1031" s="62"/>
      <c r="V1031" s="62"/>
      <c r="W1031" s="62"/>
      <c r="X1031" s="62"/>
      <c r="Y1031" s="62"/>
      <c r="Z1031" s="62"/>
      <c r="AA1031" s="62"/>
      <c r="AB1031" s="62"/>
      <c r="AC1031" s="62"/>
      <c r="AD1031" s="62"/>
    </row>
    <row r="1032">
      <c r="A1032" s="6"/>
      <c r="B1032" s="6"/>
      <c r="C1032" s="6"/>
      <c r="D1032" s="62"/>
      <c r="E1032" s="62"/>
      <c r="F1032" s="62"/>
      <c r="G1032" s="62"/>
      <c r="H1032" s="62"/>
      <c r="I1032" s="62"/>
      <c r="J1032" s="62"/>
      <c r="K1032" s="62"/>
      <c r="L1032" s="62"/>
      <c r="M1032" s="62"/>
      <c r="N1032" s="62"/>
      <c r="O1032" s="62"/>
      <c r="P1032" s="62"/>
      <c r="Q1032" s="62"/>
      <c r="R1032" s="62"/>
      <c r="S1032" s="62"/>
      <c r="T1032" s="62"/>
      <c r="U1032" s="62"/>
      <c r="V1032" s="62"/>
      <c r="W1032" s="62"/>
      <c r="X1032" s="62"/>
      <c r="Y1032" s="62"/>
      <c r="Z1032" s="62"/>
      <c r="AA1032" s="62"/>
      <c r="AB1032" s="62"/>
      <c r="AC1032" s="62"/>
      <c r="AD1032" s="62"/>
    </row>
    <row r="1033">
      <c r="A1033" s="6"/>
      <c r="B1033" s="6"/>
      <c r="C1033" s="6"/>
      <c r="D1033" s="62"/>
      <c r="E1033" s="62"/>
      <c r="F1033" s="62"/>
      <c r="G1033" s="62"/>
      <c r="H1033" s="62"/>
      <c r="I1033" s="62"/>
      <c r="J1033" s="62"/>
      <c r="K1033" s="62"/>
      <c r="L1033" s="62"/>
      <c r="M1033" s="62"/>
      <c r="N1033" s="62"/>
      <c r="O1033" s="62"/>
      <c r="P1033" s="62"/>
      <c r="Q1033" s="62"/>
      <c r="R1033" s="62"/>
      <c r="S1033" s="62"/>
      <c r="T1033" s="62"/>
      <c r="U1033" s="62"/>
      <c r="V1033" s="62"/>
      <c r="W1033" s="62"/>
      <c r="X1033" s="62"/>
      <c r="Y1033" s="62"/>
      <c r="Z1033" s="62"/>
      <c r="AA1033" s="62"/>
      <c r="AB1033" s="62"/>
      <c r="AC1033" s="62"/>
      <c r="AD1033" s="62"/>
    </row>
    <row r="1034">
      <c r="A1034" s="6"/>
      <c r="B1034" s="6"/>
      <c r="C1034" s="6"/>
      <c r="D1034" s="62"/>
      <c r="E1034" s="62"/>
      <c r="F1034" s="62"/>
      <c r="G1034" s="62"/>
      <c r="H1034" s="62"/>
      <c r="I1034" s="62"/>
      <c r="J1034" s="62"/>
      <c r="K1034" s="62"/>
      <c r="L1034" s="62"/>
      <c r="M1034" s="62"/>
      <c r="N1034" s="62"/>
      <c r="O1034" s="62"/>
      <c r="P1034" s="62"/>
      <c r="Q1034" s="62"/>
      <c r="R1034" s="62"/>
      <c r="S1034" s="62"/>
      <c r="T1034" s="62"/>
      <c r="U1034" s="62"/>
      <c r="V1034" s="62"/>
      <c r="W1034" s="62"/>
      <c r="X1034" s="62"/>
      <c r="Y1034" s="62"/>
      <c r="Z1034" s="62"/>
      <c r="AA1034" s="62"/>
      <c r="AB1034" s="62"/>
      <c r="AC1034" s="62"/>
      <c r="AD1034" s="62"/>
    </row>
    <row r="1035">
      <c r="A1035" s="6"/>
      <c r="B1035" s="6"/>
      <c r="C1035" s="6"/>
      <c r="D1035" s="62"/>
      <c r="E1035" s="62"/>
      <c r="F1035" s="62"/>
      <c r="G1035" s="62"/>
      <c r="H1035" s="62"/>
      <c r="I1035" s="62"/>
      <c r="J1035" s="62"/>
      <c r="K1035" s="62"/>
      <c r="L1035" s="62"/>
      <c r="M1035" s="62"/>
      <c r="N1035" s="62"/>
      <c r="O1035" s="62"/>
      <c r="P1035" s="62"/>
      <c r="Q1035" s="62"/>
      <c r="R1035" s="62"/>
      <c r="S1035" s="62"/>
      <c r="T1035" s="62"/>
      <c r="U1035" s="62"/>
      <c r="V1035" s="62"/>
      <c r="W1035" s="62"/>
      <c r="X1035" s="62"/>
      <c r="Y1035" s="62"/>
      <c r="Z1035" s="62"/>
      <c r="AA1035" s="62"/>
      <c r="AB1035" s="62"/>
      <c r="AC1035" s="62"/>
      <c r="AD1035" s="62"/>
    </row>
    <row r="1036">
      <c r="A1036" s="6"/>
      <c r="B1036" s="6"/>
      <c r="C1036" s="6"/>
      <c r="D1036" s="62"/>
      <c r="E1036" s="62"/>
      <c r="F1036" s="62"/>
      <c r="G1036" s="62"/>
      <c r="H1036" s="62"/>
      <c r="I1036" s="62"/>
      <c r="J1036" s="62"/>
      <c r="K1036" s="62"/>
      <c r="L1036" s="62"/>
      <c r="M1036" s="62"/>
      <c r="N1036" s="62"/>
      <c r="O1036" s="62"/>
      <c r="P1036" s="62"/>
      <c r="Q1036" s="62"/>
      <c r="R1036" s="62"/>
      <c r="S1036" s="62"/>
      <c r="T1036" s="62"/>
      <c r="U1036" s="62"/>
      <c r="V1036" s="62"/>
      <c r="W1036" s="62"/>
      <c r="X1036" s="62"/>
      <c r="Y1036" s="62"/>
      <c r="Z1036" s="62"/>
      <c r="AA1036" s="62"/>
      <c r="AB1036" s="62"/>
      <c r="AC1036" s="62"/>
      <c r="AD1036" s="62"/>
    </row>
    <row r="1037">
      <c r="A1037" s="6"/>
      <c r="B1037" s="6"/>
      <c r="C1037" s="6"/>
      <c r="D1037" s="62"/>
      <c r="E1037" s="62"/>
      <c r="F1037" s="62"/>
      <c r="G1037" s="62"/>
      <c r="H1037" s="62"/>
      <c r="I1037" s="62"/>
      <c r="J1037" s="62"/>
      <c r="K1037" s="62"/>
      <c r="L1037" s="62"/>
      <c r="M1037" s="62"/>
      <c r="N1037" s="62"/>
      <c r="O1037" s="62"/>
      <c r="P1037" s="62"/>
      <c r="Q1037" s="62"/>
      <c r="R1037" s="62"/>
      <c r="S1037" s="62"/>
      <c r="T1037" s="62"/>
      <c r="U1037" s="62"/>
      <c r="V1037" s="62"/>
      <c r="W1037" s="62"/>
      <c r="X1037" s="62"/>
      <c r="Y1037" s="62"/>
      <c r="Z1037" s="62"/>
      <c r="AA1037" s="62"/>
      <c r="AB1037" s="62"/>
      <c r="AC1037" s="62"/>
      <c r="AD1037" s="62"/>
    </row>
    <row r="1038">
      <c r="A1038" s="6"/>
      <c r="B1038" s="6"/>
      <c r="C1038" s="6"/>
      <c r="D1038" s="62"/>
      <c r="E1038" s="62"/>
      <c r="F1038" s="62"/>
      <c r="G1038" s="62"/>
      <c r="H1038" s="62"/>
      <c r="I1038" s="62"/>
      <c r="J1038" s="62"/>
      <c r="K1038" s="62"/>
      <c r="L1038" s="62"/>
      <c r="M1038" s="62"/>
      <c r="N1038" s="62"/>
      <c r="O1038" s="62"/>
      <c r="P1038" s="62"/>
      <c r="Q1038" s="62"/>
      <c r="R1038" s="62"/>
      <c r="S1038" s="62"/>
      <c r="T1038" s="62"/>
      <c r="U1038" s="62"/>
      <c r="V1038" s="62"/>
      <c r="W1038" s="62"/>
      <c r="X1038" s="62"/>
      <c r="Y1038" s="62"/>
      <c r="Z1038" s="62"/>
      <c r="AA1038" s="62"/>
      <c r="AB1038" s="62"/>
      <c r="AC1038" s="62"/>
      <c r="AD1038" s="62"/>
    </row>
    <row r="1039">
      <c r="A1039" s="6"/>
      <c r="B1039" s="6"/>
      <c r="C1039" s="6"/>
      <c r="D1039" s="62"/>
      <c r="E1039" s="62"/>
      <c r="F1039" s="62"/>
      <c r="G1039" s="62"/>
      <c r="H1039" s="62"/>
      <c r="I1039" s="62"/>
      <c r="J1039" s="62"/>
      <c r="K1039" s="62"/>
      <c r="L1039" s="62"/>
      <c r="M1039" s="62"/>
      <c r="N1039" s="62"/>
      <c r="O1039" s="62"/>
      <c r="P1039" s="62"/>
      <c r="Q1039" s="62"/>
      <c r="R1039" s="62"/>
      <c r="S1039" s="62"/>
      <c r="T1039" s="62"/>
      <c r="U1039" s="62"/>
      <c r="V1039" s="62"/>
      <c r="W1039" s="62"/>
      <c r="X1039" s="62"/>
      <c r="Y1039" s="62"/>
      <c r="Z1039" s="62"/>
      <c r="AA1039" s="62"/>
      <c r="AB1039" s="62"/>
      <c r="AC1039" s="62"/>
      <c r="AD1039" s="62"/>
    </row>
    <row r="1040">
      <c r="A1040" s="6"/>
      <c r="B1040" s="6"/>
      <c r="C1040" s="6"/>
      <c r="D1040" s="62"/>
      <c r="E1040" s="62"/>
      <c r="F1040" s="62"/>
      <c r="G1040" s="62"/>
      <c r="H1040" s="62"/>
      <c r="I1040" s="62"/>
      <c r="J1040" s="62"/>
      <c r="K1040" s="62"/>
      <c r="L1040" s="62"/>
      <c r="M1040" s="62"/>
      <c r="N1040" s="62"/>
      <c r="O1040" s="62"/>
      <c r="P1040" s="62"/>
      <c r="Q1040" s="62"/>
      <c r="R1040" s="62"/>
      <c r="S1040" s="62"/>
      <c r="T1040" s="62"/>
      <c r="U1040" s="62"/>
      <c r="V1040" s="62"/>
      <c r="W1040" s="62"/>
      <c r="X1040" s="62"/>
      <c r="Y1040" s="62"/>
      <c r="Z1040" s="62"/>
      <c r="AA1040" s="62"/>
      <c r="AB1040" s="62"/>
      <c r="AC1040" s="62"/>
      <c r="AD1040" s="62"/>
    </row>
    <row r="1041">
      <c r="A1041" s="6"/>
      <c r="B1041" s="6"/>
      <c r="C1041" s="6"/>
      <c r="D1041" s="62"/>
      <c r="E1041" s="62"/>
      <c r="F1041" s="62"/>
      <c r="G1041" s="62"/>
      <c r="H1041" s="62"/>
      <c r="I1041" s="62"/>
      <c r="J1041" s="62"/>
      <c r="K1041" s="62"/>
      <c r="L1041" s="62"/>
      <c r="M1041" s="62"/>
      <c r="N1041" s="62"/>
      <c r="O1041" s="62"/>
      <c r="P1041" s="62"/>
      <c r="Q1041" s="62"/>
      <c r="R1041" s="62"/>
      <c r="S1041" s="62"/>
      <c r="T1041" s="62"/>
      <c r="U1041" s="62"/>
      <c r="V1041" s="62"/>
      <c r="W1041" s="62"/>
      <c r="X1041" s="62"/>
      <c r="Y1041" s="62"/>
      <c r="Z1041" s="62"/>
      <c r="AA1041" s="62"/>
      <c r="AB1041" s="62"/>
      <c r="AC1041" s="62"/>
      <c r="AD1041" s="62"/>
    </row>
    <row r="1042">
      <c r="A1042" s="6"/>
      <c r="B1042" s="6"/>
      <c r="C1042" s="6"/>
      <c r="D1042" s="62"/>
      <c r="E1042" s="62"/>
      <c r="F1042" s="62"/>
      <c r="G1042" s="62"/>
      <c r="H1042" s="62"/>
      <c r="I1042" s="62"/>
      <c r="J1042" s="62"/>
      <c r="K1042" s="62"/>
      <c r="L1042" s="62"/>
      <c r="M1042" s="62"/>
      <c r="N1042" s="62"/>
      <c r="O1042" s="62"/>
      <c r="P1042" s="62"/>
      <c r="Q1042" s="62"/>
      <c r="R1042" s="62"/>
      <c r="S1042" s="62"/>
      <c r="T1042" s="62"/>
      <c r="U1042" s="62"/>
      <c r="V1042" s="62"/>
      <c r="W1042" s="62"/>
      <c r="X1042" s="62"/>
      <c r="Y1042" s="62"/>
      <c r="Z1042" s="62"/>
      <c r="AA1042" s="62"/>
      <c r="AB1042" s="62"/>
      <c r="AC1042" s="62"/>
      <c r="AD1042" s="62"/>
    </row>
    <row r="1043">
      <c r="A1043" s="6"/>
      <c r="B1043" s="6"/>
      <c r="C1043" s="6"/>
      <c r="D1043" s="62"/>
      <c r="E1043" s="62"/>
      <c r="F1043" s="62"/>
      <c r="G1043" s="62"/>
      <c r="H1043" s="62"/>
      <c r="I1043" s="62"/>
      <c r="J1043" s="62"/>
      <c r="K1043" s="62"/>
      <c r="L1043" s="62"/>
      <c r="M1043" s="62"/>
      <c r="N1043" s="62"/>
      <c r="O1043" s="62"/>
      <c r="P1043" s="62"/>
      <c r="Q1043" s="62"/>
      <c r="R1043" s="62"/>
      <c r="S1043" s="62"/>
      <c r="T1043" s="62"/>
      <c r="U1043" s="62"/>
      <c r="V1043" s="62"/>
      <c r="W1043" s="62"/>
      <c r="X1043" s="62"/>
      <c r="Y1043" s="62"/>
      <c r="Z1043" s="62"/>
      <c r="AA1043" s="62"/>
      <c r="AB1043" s="62"/>
      <c r="AC1043" s="62"/>
      <c r="AD1043" s="62"/>
    </row>
    <row r="1044">
      <c r="A1044" s="6"/>
      <c r="B1044" s="6"/>
      <c r="C1044" s="6"/>
      <c r="D1044" s="62"/>
      <c r="E1044" s="62"/>
      <c r="F1044" s="62"/>
      <c r="G1044" s="62"/>
      <c r="H1044" s="62"/>
      <c r="I1044" s="62"/>
      <c r="J1044" s="62"/>
      <c r="K1044" s="62"/>
      <c r="L1044" s="62"/>
      <c r="M1044" s="62"/>
      <c r="N1044" s="62"/>
      <c r="O1044" s="62"/>
      <c r="P1044" s="62"/>
      <c r="Q1044" s="62"/>
      <c r="R1044" s="62"/>
      <c r="S1044" s="62"/>
      <c r="T1044" s="62"/>
      <c r="U1044" s="62"/>
      <c r="V1044" s="62"/>
      <c r="W1044" s="62"/>
      <c r="X1044" s="62"/>
      <c r="Y1044" s="62"/>
      <c r="Z1044" s="62"/>
      <c r="AA1044" s="62"/>
      <c r="AB1044" s="62"/>
      <c r="AC1044" s="62"/>
      <c r="AD1044" s="62"/>
    </row>
    <row r="1045">
      <c r="A1045" s="6"/>
      <c r="B1045" s="6"/>
      <c r="C1045" s="6"/>
      <c r="D1045" s="62"/>
      <c r="E1045" s="62"/>
      <c r="F1045" s="62"/>
      <c r="G1045" s="62"/>
      <c r="H1045" s="62"/>
      <c r="I1045" s="62"/>
      <c r="J1045" s="62"/>
      <c r="K1045" s="62"/>
      <c r="L1045" s="62"/>
      <c r="M1045" s="62"/>
      <c r="N1045" s="62"/>
      <c r="O1045" s="62"/>
      <c r="P1045" s="62"/>
      <c r="Q1045" s="62"/>
      <c r="R1045" s="62"/>
      <c r="S1045" s="62"/>
      <c r="T1045" s="62"/>
      <c r="U1045" s="62"/>
      <c r="V1045" s="62"/>
      <c r="W1045" s="62"/>
      <c r="X1045" s="62"/>
      <c r="Y1045" s="62"/>
      <c r="Z1045" s="62"/>
      <c r="AA1045" s="62"/>
      <c r="AB1045" s="62"/>
      <c r="AC1045" s="62"/>
      <c r="AD1045" s="62"/>
    </row>
    <row r="1046">
      <c r="A1046" s="6"/>
      <c r="B1046" s="6"/>
      <c r="C1046" s="6"/>
      <c r="D1046" s="62"/>
      <c r="E1046" s="62"/>
      <c r="F1046" s="62"/>
      <c r="G1046" s="62"/>
      <c r="H1046" s="62"/>
      <c r="I1046" s="62"/>
      <c r="J1046" s="62"/>
      <c r="K1046" s="62"/>
      <c r="L1046" s="62"/>
      <c r="M1046" s="62"/>
      <c r="N1046" s="62"/>
      <c r="O1046" s="62"/>
      <c r="P1046" s="62"/>
      <c r="Q1046" s="62"/>
      <c r="R1046" s="62"/>
      <c r="S1046" s="62"/>
      <c r="T1046" s="62"/>
      <c r="U1046" s="62"/>
      <c r="V1046" s="62"/>
      <c r="W1046" s="62"/>
      <c r="X1046" s="62"/>
      <c r="Y1046" s="62"/>
      <c r="Z1046" s="62"/>
      <c r="AA1046" s="62"/>
      <c r="AB1046" s="62"/>
      <c r="AC1046" s="62"/>
      <c r="AD1046" s="62"/>
    </row>
    <row r="1047">
      <c r="A1047" s="6"/>
      <c r="B1047" s="6"/>
      <c r="C1047" s="6"/>
      <c r="D1047" s="62"/>
      <c r="E1047" s="62"/>
      <c r="F1047" s="62"/>
      <c r="G1047" s="62"/>
      <c r="H1047" s="62"/>
      <c r="I1047" s="62"/>
      <c r="J1047" s="62"/>
      <c r="K1047" s="62"/>
      <c r="L1047" s="62"/>
      <c r="M1047" s="62"/>
      <c r="N1047" s="62"/>
      <c r="O1047" s="62"/>
      <c r="P1047" s="62"/>
      <c r="Q1047" s="62"/>
      <c r="R1047" s="62"/>
      <c r="S1047" s="62"/>
      <c r="T1047" s="62"/>
      <c r="U1047" s="62"/>
      <c r="V1047" s="62"/>
      <c r="W1047" s="62"/>
      <c r="X1047" s="62"/>
      <c r="Y1047" s="62"/>
      <c r="Z1047" s="62"/>
      <c r="AA1047" s="62"/>
      <c r="AB1047" s="62"/>
      <c r="AC1047" s="62"/>
      <c r="AD1047" s="62"/>
    </row>
    <row r="1048">
      <c r="A1048" s="6"/>
      <c r="B1048" s="6"/>
      <c r="C1048" s="6"/>
      <c r="D1048" s="62"/>
      <c r="E1048" s="62"/>
      <c r="F1048" s="62"/>
      <c r="G1048" s="62"/>
      <c r="H1048" s="62"/>
      <c r="I1048" s="62"/>
      <c r="J1048" s="62"/>
      <c r="K1048" s="62"/>
      <c r="L1048" s="62"/>
      <c r="M1048" s="62"/>
      <c r="N1048" s="62"/>
      <c r="O1048" s="62"/>
      <c r="P1048" s="62"/>
      <c r="Q1048" s="62"/>
      <c r="R1048" s="62"/>
      <c r="S1048" s="62"/>
      <c r="T1048" s="62"/>
      <c r="U1048" s="62"/>
      <c r="V1048" s="62"/>
      <c r="W1048" s="62"/>
      <c r="X1048" s="62"/>
      <c r="Y1048" s="62"/>
      <c r="Z1048" s="62"/>
      <c r="AA1048" s="62"/>
      <c r="AB1048" s="62"/>
      <c r="AC1048" s="62"/>
      <c r="AD1048" s="62"/>
    </row>
    <row r="1049">
      <c r="A1049" s="6"/>
      <c r="B1049" s="6"/>
      <c r="C1049" s="6"/>
      <c r="D1049" s="62"/>
      <c r="E1049" s="62"/>
      <c r="F1049" s="62"/>
      <c r="G1049" s="62"/>
      <c r="H1049" s="62"/>
      <c r="I1049" s="62"/>
      <c r="J1049" s="62"/>
      <c r="K1049" s="62"/>
      <c r="L1049" s="62"/>
      <c r="M1049" s="62"/>
      <c r="N1049" s="62"/>
      <c r="O1049" s="62"/>
      <c r="P1049" s="62"/>
      <c r="Q1049" s="62"/>
      <c r="R1049" s="62"/>
      <c r="S1049" s="62"/>
      <c r="T1049" s="62"/>
      <c r="U1049" s="62"/>
      <c r="V1049" s="62"/>
      <c r="W1049" s="62"/>
      <c r="X1049" s="62"/>
      <c r="Y1049" s="62"/>
      <c r="Z1049" s="62"/>
      <c r="AA1049" s="62"/>
      <c r="AB1049" s="62"/>
      <c r="AC1049" s="62"/>
      <c r="AD1049" s="62"/>
    </row>
    <row r="1050">
      <c r="A1050" s="6"/>
      <c r="B1050" s="6"/>
      <c r="C1050" s="6"/>
      <c r="D1050" s="62"/>
      <c r="E1050" s="62"/>
      <c r="F1050" s="62"/>
      <c r="G1050" s="62"/>
      <c r="H1050" s="62"/>
      <c r="I1050" s="62"/>
      <c r="J1050" s="62"/>
      <c r="K1050" s="62"/>
      <c r="L1050" s="62"/>
      <c r="M1050" s="62"/>
      <c r="N1050" s="62"/>
      <c r="O1050" s="62"/>
      <c r="P1050" s="62"/>
      <c r="Q1050" s="62"/>
      <c r="R1050" s="62"/>
      <c r="S1050" s="62"/>
      <c r="T1050" s="62"/>
      <c r="U1050" s="62"/>
      <c r="V1050" s="62"/>
      <c r="W1050" s="62"/>
      <c r="X1050" s="62"/>
      <c r="Y1050" s="62"/>
      <c r="Z1050" s="62"/>
      <c r="AA1050" s="62"/>
      <c r="AB1050" s="62"/>
      <c r="AC1050" s="62"/>
      <c r="AD1050" s="62"/>
    </row>
    <row r="1051">
      <c r="A1051" s="6"/>
      <c r="B1051" s="6"/>
      <c r="C1051" s="6"/>
      <c r="D1051" s="62"/>
      <c r="E1051" s="62"/>
      <c r="F1051" s="62"/>
      <c r="G1051" s="62"/>
      <c r="H1051" s="62"/>
      <c r="I1051" s="62"/>
      <c r="J1051" s="62"/>
      <c r="K1051" s="62"/>
      <c r="L1051" s="62"/>
      <c r="M1051" s="62"/>
      <c r="N1051" s="62"/>
      <c r="O1051" s="62"/>
      <c r="P1051" s="62"/>
      <c r="Q1051" s="62"/>
      <c r="R1051" s="62"/>
      <c r="S1051" s="62"/>
      <c r="T1051" s="62"/>
      <c r="U1051" s="62"/>
      <c r="V1051" s="62"/>
      <c r="W1051" s="62"/>
      <c r="X1051" s="62"/>
      <c r="Y1051" s="62"/>
      <c r="Z1051" s="62"/>
      <c r="AA1051" s="62"/>
      <c r="AB1051" s="62"/>
      <c r="AC1051" s="62"/>
      <c r="AD1051" s="62"/>
    </row>
    <row r="1052">
      <c r="A1052" s="6"/>
      <c r="B1052" s="6"/>
      <c r="C1052" s="6"/>
      <c r="D1052" s="62"/>
      <c r="E1052" s="62"/>
      <c r="F1052" s="62"/>
      <c r="G1052" s="62"/>
      <c r="H1052" s="62"/>
      <c r="I1052" s="62"/>
      <c r="J1052" s="62"/>
      <c r="K1052" s="62"/>
      <c r="L1052" s="62"/>
      <c r="M1052" s="62"/>
      <c r="N1052" s="62"/>
      <c r="O1052" s="62"/>
      <c r="P1052" s="62"/>
      <c r="Q1052" s="62"/>
      <c r="R1052" s="62"/>
      <c r="S1052" s="62"/>
      <c r="T1052" s="62"/>
      <c r="U1052" s="62"/>
      <c r="V1052" s="62"/>
      <c r="W1052" s="62"/>
      <c r="X1052" s="62"/>
      <c r="Y1052" s="62"/>
      <c r="Z1052" s="62"/>
      <c r="AA1052" s="62"/>
      <c r="AB1052" s="62"/>
      <c r="AC1052" s="62"/>
      <c r="AD1052" s="62"/>
    </row>
    <row r="1053">
      <c r="A1053" s="6"/>
      <c r="B1053" s="6"/>
      <c r="C1053" s="6"/>
      <c r="D1053" s="62"/>
      <c r="E1053" s="62"/>
      <c r="F1053" s="62"/>
      <c r="G1053" s="62"/>
      <c r="H1053" s="62"/>
      <c r="I1053" s="62"/>
      <c r="J1053" s="62"/>
      <c r="K1053" s="62"/>
      <c r="L1053" s="62"/>
      <c r="M1053" s="62"/>
      <c r="N1053" s="62"/>
      <c r="O1053" s="62"/>
      <c r="P1053" s="62"/>
      <c r="Q1053" s="62"/>
      <c r="R1053" s="62"/>
      <c r="S1053" s="62"/>
      <c r="T1053" s="62"/>
      <c r="U1053" s="62"/>
      <c r="V1053" s="62"/>
      <c r="W1053" s="62"/>
      <c r="X1053" s="62"/>
      <c r="Y1053" s="62"/>
      <c r="Z1053" s="62"/>
      <c r="AA1053" s="62"/>
      <c r="AB1053" s="62"/>
      <c r="AC1053" s="62"/>
      <c r="AD1053" s="62"/>
    </row>
    <row r="1054">
      <c r="A1054" s="6"/>
      <c r="B1054" s="6"/>
      <c r="C1054" s="6"/>
      <c r="D1054" s="62"/>
      <c r="E1054" s="62"/>
      <c r="F1054" s="62"/>
      <c r="G1054" s="62"/>
      <c r="H1054" s="62"/>
      <c r="I1054" s="62"/>
      <c r="J1054" s="62"/>
      <c r="K1054" s="62"/>
      <c r="L1054" s="62"/>
      <c r="M1054" s="62"/>
      <c r="N1054" s="62"/>
      <c r="O1054" s="62"/>
      <c r="P1054" s="62"/>
      <c r="Q1054" s="62"/>
      <c r="R1054" s="62"/>
      <c r="S1054" s="62"/>
      <c r="T1054" s="62"/>
      <c r="U1054" s="62"/>
      <c r="V1054" s="62"/>
      <c r="W1054" s="62"/>
      <c r="X1054" s="62"/>
      <c r="Y1054" s="62"/>
      <c r="Z1054" s="62"/>
      <c r="AA1054" s="62"/>
      <c r="AB1054" s="62"/>
      <c r="AC1054" s="62"/>
      <c r="AD1054" s="62"/>
    </row>
    <row r="1055">
      <c r="A1055" s="6"/>
      <c r="B1055" s="6"/>
      <c r="C1055" s="6"/>
      <c r="D1055" s="62"/>
      <c r="E1055" s="62"/>
      <c r="F1055" s="62"/>
      <c r="G1055" s="62"/>
      <c r="H1055" s="62"/>
      <c r="I1055" s="62"/>
      <c r="J1055" s="62"/>
      <c r="K1055" s="62"/>
      <c r="L1055" s="62"/>
      <c r="M1055" s="62"/>
      <c r="N1055" s="62"/>
      <c r="O1055" s="62"/>
      <c r="P1055" s="62"/>
      <c r="Q1055" s="62"/>
      <c r="R1055" s="62"/>
      <c r="S1055" s="62"/>
      <c r="T1055" s="62"/>
      <c r="U1055" s="62"/>
      <c r="V1055" s="62"/>
      <c r="W1055" s="62"/>
      <c r="X1055" s="62"/>
      <c r="Y1055" s="62"/>
      <c r="Z1055" s="62"/>
      <c r="AA1055" s="62"/>
      <c r="AB1055" s="62"/>
      <c r="AC1055" s="62"/>
      <c r="AD1055" s="62"/>
    </row>
    <row r="1056">
      <c r="A1056" s="6"/>
      <c r="B1056" s="6"/>
      <c r="C1056" s="6"/>
      <c r="D1056" s="62"/>
      <c r="E1056" s="62"/>
      <c r="F1056" s="62"/>
      <c r="G1056" s="62"/>
      <c r="H1056" s="62"/>
      <c r="I1056" s="62"/>
      <c r="J1056" s="62"/>
      <c r="K1056" s="62"/>
      <c r="L1056" s="62"/>
      <c r="M1056" s="62"/>
      <c r="N1056" s="62"/>
      <c r="O1056" s="62"/>
      <c r="P1056" s="62"/>
      <c r="Q1056" s="62"/>
      <c r="R1056" s="62"/>
      <c r="S1056" s="62"/>
      <c r="T1056" s="62"/>
      <c r="U1056" s="62"/>
      <c r="V1056" s="62"/>
      <c r="W1056" s="62"/>
      <c r="X1056" s="62"/>
      <c r="Y1056" s="62"/>
      <c r="Z1056" s="62"/>
      <c r="AA1056" s="62"/>
      <c r="AB1056" s="62"/>
      <c r="AC1056" s="62"/>
      <c r="AD1056" s="62"/>
    </row>
    <row r="1057">
      <c r="A1057" s="6"/>
      <c r="B1057" s="6"/>
      <c r="C1057" s="6"/>
      <c r="D1057" s="62"/>
      <c r="E1057" s="62"/>
      <c r="F1057" s="62"/>
      <c r="G1057" s="62"/>
      <c r="H1057" s="62"/>
      <c r="I1057" s="62"/>
      <c r="J1057" s="62"/>
      <c r="K1057" s="62"/>
      <c r="L1057" s="62"/>
      <c r="M1057" s="62"/>
      <c r="N1057" s="62"/>
      <c r="O1057" s="62"/>
      <c r="P1057" s="62"/>
      <c r="Q1057" s="62"/>
      <c r="R1057" s="62"/>
      <c r="S1057" s="62"/>
      <c r="T1057" s="62"/>
      <c r="U1057" s="62"/>
      <c r="V1057" s="62"/>
      <c r="W1057" s="62"/>
      <c r="X1057" s="62"/>
      <c r="Y1057" s="62"/>
      <c r="Z1057" s="62"/>
      <c r="AA1057" s="62"/>
      <c r="AB1057" s="62"/>
      <c r="AC1057" s="62"/>
      <c r="AD1057" s="62"/>
    </row>
    <row r="1058">
      <c r="A1058" s="6"/>
      <c r="B1058" s="6"/>
      <c r="C1058" s="6"/>
      <c r="D1058" s="62"/>
      <c r="E1058" s="62"/>
      <c r="F1058" s="62"/>
      <c r="G1058" s="62"/>
      <c r="H1058" s="62"/>
      <c r="I1058" s="62"/>
      <c r="J1058" s="62"/>
      <c r="K1058" s="62"/>
      <c r="L1058" s="62"/>
      <c r="M1058" s="62"/>
      <c r="N1058" s="62"/>
      <c r="O1058" s="62"/>
      <c r="P1058" s="62"/>
      <c r="Q1058" s="62"/>
      <c r="R1058" s="62"/>
      <c r="S1058" s="62"/>
      <c r="T1058" s="62"/>
      <c r="U1058" s="62"/>
      <c r="V1058" s="62"/>
      <c r="W1058" s="62"/>
      <c r="X1058" s="62"/>
      <c r="Y1058" s="62"/>
      <c r="Z1058" s="62"/>
      <c r="AA1058" s="62"/>
      <c r="AB1058" s="62"/>
      <c r="AC1058" s="62"/>
      <c r="AD1058" s="62"/>
    </row>
    <row r="1059">
      <c r="A1059" s="6"/>
      <c r="B1059" s="6"/>
      <c r="C1059" s="6"/>
      <c r="D1059" s="62"/>
      <c r="E1059" s="62"/>
      <c r="F1059" s="62"/>
      <c r="G1059" s="62"/>
      <c r="H1059" s="62"/>
      <c r="I1059" s="62"/>
      <c r="J1059" s="62"/>
      <c r="K1059" s="62"/>
      <c r="L1059" s="62"/>
      <c r="M1059" s="62"/>
      <c r="N1059" s="62"/>
      <c r="O1059" s="62"/>
      <c r="P1059" s="62"/>
      <c r="Q1059" s="62"/>
      <c r="R1059" s="62"/>
      <c r="S1059" s="62"/>
      <c r="T1059" s="62"/>
      <c r="U1059" s="62"/>
      <c r="V1059" s="62"/>
      <c r="W1059" s="62"/>
      <c r="X1059" s="62"/>
      <c r="Y1059" s="62"/>
      <c r="Z1059" s="62"/>
      <c r="AA1059" s="62"/>
      <c r="AB1059" s="62"/>
      <c r="AC1059" s="62"/>
      <c r="AD1059" s="62"/>
    </row>
    <row r="1060">
      <c r="A1060" s="6"/>
      <c r="B1060" s="6"/>
      <c r="C1060" s="6"/>
      <c r="D1060" s="62"/>
      <c r="E1060" s="62"/>
      <c r="F1060" s="62"/>
      <c r="G1060" s="62"/>
      <c r="H1060" s="62"/>
      <c r="I1060" s="62"/>
      <c r="J1060" s="62"/>
      <c r="K1060" s="62"/>
      <c r="L1060" s="62"/>
      <c r="M1060" s="62"/>
      <c r="N1060" s="62"/>
      <c r="O1060" s="62"/>
      <c r="P1060" s="62"/>
      <c r="Q1060" s="62"/>
      <c r="R1060" s="62"/>
      <c r="S1060" s="62"/>
      <c r="T1060" s="62"/>
      <c r="U1060" s="62"/>
      <c r="V1060" s="62"/>
      <c r="W1060" s="62"/>
      <c r="X1060" s="62"/>
      <c r="Y1060" s="62"/>
      <c r="Z1060" s="62"/>
      <c r="AA1060" s="62"/>
      <c r="AB1060" s="62"/>
      <c r="AC1060" s="62"/>
      <c r="AD1060" s="62"/>
    </row>
    <row r="1061">
      <c r="A1061" s="6"/>
      <c r="B1061" s="6"/>
      <c r="C1061" s="6"/>
      <c r="D1061" s="62"/>
      <c r="E1061" s="62"/>
      <c r="F1061" s="62"/>
      <c r="G1061" s="62"/>
      <c r="H1061" s="62"/>
      <c r="I1061" s="62"/>
      <c r="J1061" s="62"/>
      <c r="K1061" s="62"/>
      <c r="L1061" s="62"/>
      <c r="M1061" s="62"/>
      <c r="N1061" s="62"/>
      <c r="O1061" s="62"/>
      <c r="P1061" s="62"/>
      <c r="Q1061" s="62"/>
      <c r="R1061" s="62"/>
      <c r="S1061" s="62"/>
      <c r="T1061" s="62"/>
      <c r="U1061" s="62"/>
      <c r="V1061" s="62"/>
      <c r="W1061" s="62"/>
      <c r="X1061" s="62"/>
      <c r="Y1061" s="62"/>
      <c r="Z1061" s="62"/>
      <c r="AA1061" s="62"/>
      <c r="AB1061" s="62"/>
      <c r="AC1061" s="62"/>
      <c r="AD1061" s="62"/>
    </row>
    <row r="1062">
      <c r="A1062" s="6"/>
      <c r="B1062" s="6"/>
      <c r="C1062" s="6"/>
      <c r="D1062" s="62"/>
      <c r="E1062" s="62"/>
      <c r="F1062" s="62"/>
      <c r="G1062" s="62"/>
      <c r="H1062" s="62"/>
      <c r="I1062" s="62"/>
      <c r="J1062" s="62"/>
      <c r="K1062" s="62"/>
      <c r="L1062" s="62"/>
      <c r="M1062" s="62"/>
      <c r="N1062" s="62"/>
      <c r="O1062" s="62"/>
      <c r="P1062" s="62"/>
      <c r="Q1062" s="62"/>
      <c r="R1062" s="62"/>
      <c r="S1062" s="62"/>
      <c r="T1062" s="62"/>
      <c r="U1062" s="62"/>
      <c r="V1062" s="62"/>
      <c r="W1062" s="62"/>
      <c r="X1062" s="62"/>
      <c r="Y1062" s="62"/>
      <c r="Z1062" s="62"/>
      <c r="AA1062" s="62"/>
      <c r="AB1062" s="62"/>
      <c r="AC1062" s="62"/>
      <c r="AD1062" s="62"/>
    </row>
    <row r="1063">
      <c r="A1063" s="6"/>
      <c r="B1063" s="6"/>
      <c r="C1063" s="6"/>
      <c r="D1063" s="62"/>
      <c r="E1063" s="62"/>
      <c r="F1063" s="62"/>
      <c r="G1063" s="62"/>
      <c r="H1063" s="62"/>
      <c r="I1063" s="62"/>
      <c r="J1063" s="62"/>
      <c r="K1063" s="62"/>
      <c r="L1063" s="62"/>
      <c r="M1063" s="62"/>
      <c r="N1063" s="62"/>
      <c r="O1063" s="62"/>
      <c r="P1063" s="62"/>
      <c r="Q1063" s="62"/>
      <c r="R1063" s="62"/>
      <c r="S1063" s="62"/>
      <c r="T1063" s="62"/>
      <c r="U1063" s="62"/>
      <c r="V1063" s="62"/>
      <c r="W1063" s="62"/>
      <c r="X1063" s="62"/>
      <c r="Y1063" s="62"/>
      <c r="Z1063" s="62"/>
      <c r="AA1063" s="62"/>
      <c r="AB1063" s="62"/>
      <c r="AC1063" s="62"/>
      <c r="AD1063" s="62"/>
    </row>
    <row r="1064">
      <c r="A1064" s="6"/>
      <c r="B1064" s="6"/>
      <c r="C1064" s="6"/>
      <c r="D1064" s="62"/>
      <c r="E1064" s="62"/>
      <c r="F1064" s="62"/>
      <c r="G1064" s="62"/>
      <c r="H1064" s="62"/>
      <c r="I1064" s="62"/>
      <c r="J1064" s="62"/>
      <c r="K1064" s="62"/>
      <c r="L1064" s="62"/>
      <c r="M1064" s="62"/>
      <c r="N1064" s="62"/>
      <c r="O1064" s="62"/>
      <c r="P1064" s="62"/>
      <c r="Q1064" s="62"/>
      <c r="R1064" s="62"/>
      <c r="S1064" s="62"/>
      <c r="T1064" s="62"/>
      <c r="U1064" s="62"/>
      <c r="V1064" s="62"/>
      <c r="W1064" s="62"/>
      <c r="X1064" s="62"/>
      <c r="Y1064" s="62"/>
      <c r="Z1064" s="62"/>
      <c r="AA1064" s="62"/>
      <c r="AB1064" s="62"/>
      <c r="AC1064" s="62"/>
      <c r="AD1064" s="62"/>
    </row>
    <row r="1065">
      <c r="A1065" s="6"/>
      <c r="B1065" s="6"/>
      <c r="C1065" s="6"/>
      <c r="D1065" s="62"/>
      <c r="E1065" s="62"/>
      <c r="F1065" s="62"/>
      <c r="G1065" s="62"/>
      <c r="H1065" s="62"/>
      <c r="I1065" s="62"/>
      <c r="J1065" s="62"/>
      <c r="K1065" s="62"/>
      <c r="L1065" s="62"/>
      <c r="M1065" s="62"/>
      <c r="N1065" s="62"/>
      <c r="O1065" s="62"/>
      <c r="P1065" s="62"/>
      <c r="Q1065" s="62"/>
      <c r="R1065" s="62"/>
      <c r="S1065" s="62"/>
      <c r="T1065" s="62"/>
      <c r="U1065" s="62"/>
      <c r="V1065" s="62"/>
      <c r="W1065" s="62"/>
      <c r="X1065" s="62"/>
      <c r="Y1065" s="62"/>
      <c r="Z1065" s="62"/>
      <c r="AA1065" s="62"/>
      <c r="AB1065" s="62"/>
      <c r="AC1065" s="62"/>
      <c r="AD1065" s="62"/>
    </row>
    <row r="1066">
      <c r="A1066" s="6"/>
      <c r="B1066" s="6"/>
      <c r="C1066" s="6"/>
      <c r="D1066" s="62"/>
      <c r="E1066" s="62"/>
      <c r="F1066" s="62"/>
      <c r="G1066" s="62"/>
      <c r="H1066" s="62"/>
      <c r="I1066" s="62"/>
      <c r="J1066" s="62"/>
      <c r="K1066" s="62"/>
      <c r="L1066" s="62"/>
      <c r="M1066" s="62"/>
      <c r="N1066" s="62"/>
      <c r="O1066" s="62"/>
      <c r="P1066" s="62"/>
      <c r="Q1066" s="62"/>
      <c r="R1066" s="62"/>
      <c r="S1066" s="62"/>
      <c r="T1066" s="62"/>
      <c r="U1066" s="62"/>
      <c r="V1066" s="62"/>
      <c r="W1066" s="62"/>
      <c r="X1066" s="62"/>
      <c r="Y1066" s="62"/>
      <c r="Z1066" s="62"/>
      <c r="AA1066" s="62"/>
      <c r="AB1066" s="62"/>
      <c r="AC1066" s="62"/>
      <c r="AD1066" s="62"/>
    </row>
    <row r="1067">
      <c r="A1067" s="6"/>
      <c r="B1067" s="6"/>
      <c r="C1067" s="6"/>
      <c r="D1067" s="62"/>
      <c r="E1067" s="62"/>
      <c r="F1067" s="62"/>
      <c r="G1067" s="62"/>
      <c r="H1067" s="62"/>
      <c r="I1067" s="62"/>
      <c r="J1067" s="62"/>
      <c r="K1067" s="62"/>
      <c r="L1067" s="62"/>
      <c r="M1067" s="62"/>
      <c r="N1067" s="62"/>
      <c r="O1067" s="62"/>
      <c r="P1067" s="62"/>
      <c r="Q1067" s="62"/>
      <c r="R1067" s="62"/>
      <c r="S1067" s="62"/>
      <c r="T1067" s="62"/>
      <c r="U1067" s="62"/>
      <c r="V1067" s="62"/>
      <c r="W1067" s="62"/>
      <c r="X1067" s="62"/>
      <c r="Y1067" s="62"/>
      <c r="Z1067" s="62"/>
      <c r="AA1067" s="62"/>
      <c r="AB1067" s="62"/>
      <c r="AC1067" s="62"/>
      <c r="AD1067" s="62"/>
    </row>
    <row r="1068">
      <c r="A1068" s="6"/>
      <c r="B1068" s="6"/>
      <c r="C1068" s="6"/>
      <c r="D1068" s="62"/>
      <c r="E1068" s="62"/>
      <c r="F1068" s="62"/>
      <c r="G1068" s="62"/>
      <c r="H1068" s="62"/>
      <c r="I1068" s="62"/>
      <c r="J1068" s="62"/>
      <c r="K1068" s="62"/>
      <c r="L1068" s="62"/>
      <c r="M1068" s="62"/>
      <c r="N1068" s="62"/>
      <c r="O1068" s="62"/>
      <c r="P1068" s="62"/>
      <c r="Q1068" s="62"/>
      <c r="R1068" s="62"/>
      <c r="S1068" s="62"/>
      <c r="T1068" s="62"/>
      <c r="U1068" s="62"/>
      <c r="V1068" s="62"/>
      <c r="W1068" s="62"/>
      <c r="X1068" s="62"/>
      <c r="Y1068" s="62"/>
      <c r="Z1068" s="62"/>
      <c r="AA1068" s="62"/>
      <c r="AB1068" s="62"/>
      <c r="AC1068" s="62"/>
      <c r="AD1068" s="62"/>
    </row>
    <row r="1069">
      <c r="A1069" s="6"/>
      <c r="B1069" s="6"/>
      <c r="C1069" s="6"/>
      <c r="D1069" s="62"/>
      <c r="E1069" s="62"/>
      <c r="F1069" s="62"/>
      <c r="G1069" s="62"/>
      <c r="H1069" s="62"/>
      <c r="I1069" s="62"/>
      <c r="J1069" s="62"/>
      <c r="K1069" s="62"/>
      <c r="L1069" s="62"/>
      <c r="M1069" s="62"/>
      <c r="N1069" s="62"/>
      <c r="O1069" s="62"/>
      <c r="P1069" s="62"/>
      <c r="Q1069" s="62"/>
      <c r="R1069" s="62"/>
      <c r="S1069" s="62"/>
      <c r="T1069" s="62"/>
      <c r="U1069" s="62"/>
      <c r="V1069" s="62"/>
      <c r="W1069" s="62"/>
      <c r="X1069" s="62"/>
      <c r="Y1069" s="62"/>
      <c r="Z1069" s="62"/>
      <c r="AA1069" s="62"/>
      <c r="AB1069" s="62"/>
      <c r="AC1069" s="62"/>
      <c r="AD1069" s="62"/>
    </row>
    <row r="1070">
      <c r="A1070" s="6"/>
      <c r="B1070" s="6"/>
      <c r="C1070" s="6"/>
      <c r="D1070" s="62"/>
      <c r="E1070" s="62"/>
      <c r="F1070" s="62"/>
      <c r="G1070" s="62"/>
      <c r="H1070" s="62"/>
      <c r="I1070" s="62"/>
      <c r="J1070" s="62"/>
      <c r="K1070" s="62"/>
      <c r="L1070" s="62"/>
      <c r="M1070" s="62"/>
      <c r="N1070" s="62"/>
      <c r="O1070" s="62"/>
      <c r="P1070" s="62"/>
      <c r="Q1070" s="62"/>
      <c r="R1070" s="62"/>
      <c r="S1070" s="62"/>
      <c r="T1070" s="62"/>
      <c r="U1070" s="62"/>
      <c r="V1070" s="62"/>
      <c r="W1070" s="62"/>
      <c r="X1070" s="62"/>
      <c r="Y1070" s="62"/>
      <c r="Z1070" s="62"/>
      <c r="AA1070" s="62"/>
      <c r="AB1070" s="62"/>
      <c r="AC1070" s="62"/>
      <c r="AD1070" s="62"/>
    </row>
    <row r="1071">
      <c r="A1071" s="6"/>
      <c r="B1071" s="6"/>
      <c r="C1071" s="6"/>
      <c r="D1071" s="62"/>
      <c r="E1071" s="62"/>
      <c r="F1071" s="62"/>
      <c r="G1071" s="62"/>
      <c r="H1071" s="62"/>
      <c r="I1071" s="62"/>
      <c r="J1071" s="62"/>
      <c r="K1071" s="62"/>
      <c r="L1071" s="62"/>
      <c r="M1071" s="62"/>
      <c r="N1071" s="62"/>
      <c r="O1071" s="62"/>
      <c r="P1071" s="62"/>
      <c r="Q1071" s="62"/>
      <c r="R1071" s="62"/>
      <c r="S1071" s="62"/>
      <c r="T1071" s="62"/>
      <c r="U1071" s="62"/>
      <c r="V1071" s="62"/>
      <c r="W1071" s="62"/>
      <c r="X1071" s="62"/>
      <c r="Y1071" s="62"/>
      <c r="Z1071" s="62"/>
      <c r="AA1071" s="62"/>
      <c r="AB1071" s="62"/>
      <c r="AC1071" s="62"/>
      <c r="AD1071" s="62"/>
    </row>
    <row r="1072">
      <c r="A1072" s="6"/>
      <c r="B1072" s="6"/>
      <c r="C1072" s="6"/>
      <c r="D1072" s="62"/>
      <c r="E1072" s="62"/>
      <c r="F1072" s="62"/>
      <c r="G1072" s="62"/>
      <c r="H1072" s="62"/>
      <c r="I1072" s="62"/>
      <c r="J1072" s="62"/>
      <c r="K1072" s="62"/>
      <c r="L1072" s="62"/>
      <c r="M1072" s="62"/>
      <c r="N1072" s="62"/>
      <c r="O1072" s="62"/>
      <c r="P1072" s="62"/>
      <c r="Q1072" s="62"/>
      <c r="R1072" s="62"/>
      <c r="S1072" s="62"/>
      <c r="T1072" s="62"/>
      <c r="U1072" s="62"/>
      <c r="V1072" s="62"/>
      <c r="W1072" s="62"/>
      <c r="X1072" s="62"/>
      <c r="Y1072" s="62"/>
      <c r="Z1072" s="62"/>
      <c r="AA1072" s="62"/>
      <c r="AB1072" s="62"/>
      <c r="AC1072" s="62"/>
      <c r="AD1072" s="62"/>
    </row>
    <row r="1073">
      <c r="A1073" s="6"/>
      <c r="B1073" s="6"/>
      <c r="C1073" s="6"/>
      <c r="D1073" s="62"/>
      <c r="E1073" s="62"/>
      <c r="F1073" s="62"/>
      <c r="G1073" s="62"/>
      <c r="H1073" s="62"/>
      <c r="I1073" s="62"/>
      <c r="J1073" s="62"/>
      <c r="K1073" s="62"/>
      <c r="L1073" s="62"/>
      <c r="M1073" s="62"/>
      <c r="N1073" s="62"/>
      <c r="O1073" s="62"/>
      <c r="P1073" s="62"/>
      <c r="Q1073" s="62"/>
      <c r="R1073" s="62"/>
      <c r="S1073" s="62"/>
      <c r="T1073" s="62"/>
      <c r="U1073" s="62"/>
      <c r="V1073" s="62"/>
      <c r="W1073" s="62"/>
      <c r="X1073" s="62"/>
      <c r="Y1073" s="62"/>
      <c r="Z1073" s="62"/>
      <c r="AA1073" s="62"/>
      <c r="AB1073" s="62"/>
      <c r="AC1073" s="62"/>
      <c r="AD1073" s="62"/>
    </row>
    <row r="1074">
      <c r="A1074" s="6"/>
      <c r="B1074" s="6"/>
      <c r="C1074" s="6"/>
      <c r="D1074" s="62"/>
      <c r="E1074" s="62"/>
      <c r="F1074" s="62"/>
      <c r="G1074" s="62"/>
      <c r="H1074" s="62"/>
      <c r="I1074" s="62"/>
      <c r="J1074" s="62"/>
      <c r="K1074" s="62"/>
      <c r="L1074" s="62"/>
      <c r="M1074" s="62"/>
      <c r="N1074" s="62"/>
      <c r="O1074" s="62"/>
      <c r="P1074" s="62"/>
      <c r="Q1074" s="62"/>
      <c r="R1074" s="62"/>
      <c r="S1074" s="62"/>
      <c r="T1074" s="62"/>
      <c r="U1074" s="62"/>
      <c r="V1074" s="62"/>
      <c r="W1074" s="62"/>
      <c r="X1074" s="62"/>
      <c r="Y1074" s="62"/>
      <c r="Z1074" s="62"/>
      <c r="AA1074" s="62"/>
      <c r="AB1074" s="62"/>
      <c r="AC1074" s="62"/>
      <c r="AD1074" s="62"/>
    </row>
    <row r="1075">
      <c r="A1075" s="6"/>
      <c r="B1075" s="6"/>
      <c r="C1075" s="6"/>
      <c r="D1075" s="62"/>
      <c r="E1075" s="62"/>
      <c r="F1075" s="62"/>
      <c r="G1075" s="62"/>
      <c r="H1075" s="62"/>
      <c r="I1075" s="62"/>
      <c r="J1075" s="62"/>
      <c r="K1075" s="62"/>
      <c r="L1075" s="62"/>
      <c r="M1075" s="62"/>
      <c r="N1075" s="62"/>
      <c r="O1075" s="62"/>
      <c r="P1075" s="62"/>
      <c r="Q1075" s="62"/>
      <c r="R1075" s="62"/>
      <c r="S1075" s="62"/>
      <c r="T1075" s="62"/>
      <c r="U1075" s="62"/>
      <c r="V1075" s="62"/>
      <c r="W1075" s="62"/>
      <c r="X1075" s="62"/>
      <c r="Y1075" s="62"/>
      <c r="Z1075" s="62"/>
      <c r="AA1075" s="62"/>
      <c r="AB1075" s="62"/>
      <c r="AC1075" s="62"/>
      <c r="AD1075" s="62"/>
    </row>
    <row r="1076">
      <c r="A1076" s="6"/>
      <c r="B1076" s="6"/>
      <c r="C1076" s="6"/>
      <c r="D1076" s="62"/>
      <c r="E1076" s="62"/>
      <c r="F1076" s="62"/>
      <c r="G1076" s="62"/>
      <c r="H1076" s="62"/>
      <c r="I1076" s="62"/>
      <c r="J1076" s="62"/>
      <c r="K1076" s="62"/>
      <c r="L1076" s="62"/>
      <c r="M1076" s="62"/>
      <c r="N1076" s="62"/>
      <c r="O1076" s="62"/>
      <c r="P1076" s="62"/>
      <c r="Q1076" s="62"/>
      <c r="R1076" s="62"/>
      <c r="S1076" s="62"/>
      <c r="T1076" s="62"/>
      <c r="U1076" s="62"/>
      <c r="V1076" s="62"/>
      <c r="W1076" s="62"/>
      <c r="X1076" s="62"/>
      <c r="Y1076" s="62"/>
      <c r="Z1076" s="62"/>
      <c r="AA1076" s="62"/>
      <c r="AB1076" s="62"/>
      <c r="AC1076" s="62"/>
      <c r="AD1076" s="62"/>
    </row>
    <row r="1077">
      <c r="A1077" s="6"/>
      <c r="B1077" s="6"/>
      <c r="C1077" s="6"/>
      <c r="D1077" s="62"/>
      <c r="E1077" s="62"/>
      <c r="F1077" s="62"/>
      <c r="G1077" s="62"/>
      <c r="H1077" s="62"/>
      <c r="I1077" s="62"/>
      <c r="J1077" s="62"/>
      <c r="K1077" s="62"/>
      <c r="L1077" s="62"/>
      <c r="M1077" s="62"/>
      <c r="N1077" s="62"/>
      <c r="O1077" s="62"/>
      <c r="P1077" s="62"/>
      <c r="Q1077" s="62"/>
      <c r="R1077" s="62"/>
      <c r="S1077" s="62"/>
      <c r="T1077" s="62"/>
      <c r="U1077" s="62"/>
      <c r="V1077" s="62"/>
      <c r="W1077" s="62"/>
      <c r="X1077" s="62"/>
      <c r="Y1077" s="62"/>
      <c r="Z1077" s="62"/>
      <c r="AA1077" s="62"/>
      <c r="AB1077" s="62"/>
      <c r="AC1077" s="62"/>
      <c r="AD1077" s="62"/>
    </row>
    <row r="1078">
      <c r="A1078" s="6"/>
      <c r="B1078" s="6"/>
      <c r="C1078" s="6"/>
      <c r="D1078" s="62"/>
      <c r="E1078" s="62"/>
      <c r="F1078" s="62"/>
      <c r="G1078" s="62"/>
      <c r="H1078" s="62"/>
      <c r="I1078" s="62"/>
      <c r="J1078" s="62"/>
      <c r="K1078" s="62"/>
      <c r="L1078" s="62"/>
      <c r="M1078" s="62"/>
      <c r="N1078" s="62"/>
      <c r="O1078" s="62"/>
      <c r="P1078" s="62"/>
      <c r="Q1078" s="62"/>
      <c r="R1078" s="62"/>
      <c r="S1078" s="62"/>
      <c r="T1078" s="62"/>
      <c r="U1078" s="62"/>
      <c r="V1078" s="62"/>
      <c r="W1078" s="62"/>
      <c r="X1078" s="62"/>
      <c r="Y1078" s="62"/>
      <c r="Z1078" s="62"/>
      <c r="AA1078" s="62"/>
      <c r="AB1078" s="62"/>
      <c r="AC1078" s="62"/>
      <c r="AD1078" s="62"/>
    </row>
    <row r="1079">
      <c r="A1079" s="6"/>
      <c r="B1079" s="6"/>
      <c r="C1079" s="6"/>
      <c r="D1079" s="62"/>
      <c r="E1079" s="62"/>
      <c r="F1079" s="62"/>
      <c r="G1079" s="62"/>
      <c r="H1079" s="62"/>
      <c r="I1079" s="62"/>
      <c r="J1079" s="62"/>
      <c r="K1079" s="62"/>
      <c r="L1079" s="62"/>
      <c r="M1079" s="62"/>
      <c r="N1079" s="62"/>
      <c r="O1079" s="62"/>
      <c r="P1079" s="62"/>
      <c r="Q1079" s="62"/>
      <c r="R1079" s="62"/>
      <c r="S1079" s="62"/>
      <c r="T1079" s="62"/>
      <c r="U1079" s="62"/>
      <c r="V1079" s="62"/>
      <c r="W1079" s="62"/>
      <c r="X1079" s="62"/>
      <c r="Y1079" s="62"/>
      <c r="Z1079" s="62"/>
      <c r="AA1079" s="62"/>
      <c r="AB1079" s="62"/>
      <c r="AC1079" s="62"/>
      <c r="AD1079" s="62"/>
    </row>
    <row r="1080">
      <c r="A1080" s="6"/>
      <c r="B1080" s="6"/>
      <c r="C1080" s="6"/>
      <c r="D1080" s="62"/>
      <c r="E1080" s="62"/>
      <c r="F1080" s="62"/>
      <c r="G1080" s="62"/>
      <c r="H1080" s="62"/>
      <c r="I1080" s="62"/>
      <c r="J1080" s="62"/>
      <c r="K1080" s="62"/>
      <c r="L1080" s="62"/>
      <c r="M1080" s="62"/>
      <c r="N1080" s="62"/>
      <c r="O1080" s="62"/>
      <c r="P1080" s="62"/>
      <c r="Q1080" s="62"/>
      <c r="R1080" s="62"/>
      <c r="S1080" s="62"/>
      <c r="T1080" s="62"/>
      <c r="U1080" s="62"/>
      <c r="V1080" s="62"/>
      <c r="W1080" s="62"/>
      <c r="X1080" s="62"/>
      <c r="Y1080" s="62"/>
      <c r="Z1080" s="62"/>
      <c r="AA1080" s="62"/>
      <c r="AB1080" s="62"/>
      <c r="AC1080" s="62"/>
      <c r="AD1080" s="62"/>
    </row>
    <row r="1081">
      <c r="A1081" s="6"/>
      <c r="B1081" s="6"/>
      <c r="C1081" s="6"/>
      <c r="D1081" s="62"/>
      <c r="E1081" s="62"/>
      <c r="F1081" s="62"/>
      <c r="G1081" s="62"/>
      <c r="H1081" s="62"/>
      <c r="I1081" s="62"/>
      <c r="J1081" s="62"/>
      <c r="K1081" s="62"/>
      <c r="L1081" s="62"/>
      <c r="M1081" s="62"/>
      <c r="N1081" s="62"/>
      <c r="O1081" s="62"/>
      <c r="P1081" s="62"/>
      <c r="Q1081" s="62"/>
      <c r="R1081" s="62"/>
      <c r="S1081" s="62"/>
      <c r="T1081" s="62"/>
      <c r="U1081" s="62"/>
      <c r="V1081" s="62"/>
      <c r="W1081" s="62"/>
      <c r="X1081" s="62"/>
      <c r="Y1081" s="62"/>
      <c r="Z1081" s="62"/>
      <c r="AA1081" s="62"/>
      <c r="AB1081" s="62"/>
      <c r="AC1081" s="62"/>
      <c r="AD1081" s="62"/>
    </row>
    <row r="1082">
      <c r="A1082" s="6"/>
      <c r="B1082" s="6"/>
      <c r="C1082" s="6"/>
      <c r="D1082" s="62"/>
      <c r="E1082" s="62"/>
      <c r="F1082" s="62"/>
      <c r="G1082" s="62"/>
      <c r="H1082" s="62"/>
      <c r="I1082" s="62"/>
      <c r="J1082" s="62"/>
      <c r="K1082" s="62"/>
      <c r="L1082" s="62"/>
      <c r="M1082" s="62"/>
      <c r="N1082" s="62"/>
      <c r="O1082" s="62"/>
      <c r="P1082" s="62"/>
      <c r="Q1082" s="62"/>
      <c r="R1082" s="62"/>
      <c r="S1082" s="62"/>
      <c r="T1082" s="62"/>
      <c r="U1082" s="62"/>
      <c r="V1082" s="62"/>
      <c r="W1082" s="62"/>
      <c r="X1082" s="62"/>
      <c r="Y1082" s="62"/>
      <c r="Z1082" s="62"/>
      <c r="AA1082" s="62"/>
      <c r="AB1082" s="62"/>
      <c r="AC1082" s="62"/>
      <c r="AD1082" s="62"/>
    </row>
    <row r="1083">
      <c r="A1083" s="6"/>
      <c r="B1083" s="6"/>
      <c r="C1083" s="6"/>
      <c r="D1083" s="62"/>
      <c r="E1083" s="62"/>
      <c r="F1083" s="62"/>
      <c r="G1083" s="62"/>
      <c r="H1083" s="62"/>
      <c r="I1083" s="62"/>
      <c r="J1083" s="62"/>
      <c r="K1083" s="62"/>
      <c r="L1083" s="62"/>
      <c r="M1083" s="62"/>
      <c r="N1083" s="62"/>
      <c r="O1083" s="62"/>
      <c r="P1083" s="62"/>
      <c r="Q1083" s="62"/>
      <c r="R1083" s="62"/>
      <c r="S1083" s="62"/>
      <c r="T1083" s="62"/>
      <c r="U1083" s="62"/>
      <c r="V1083" s="62"/>
      <c r="W1083" s="62"/>
      <c r="X1083" s="62"/>
      <c r="Y1083" s="62"/>
      <c r="Z1083" s="62"/>
      <c r="AA1083" s="62"/>
      <c r="AB1083" s="62"/>
      <c r="AC1083" s="62"/>
      <c r="AD1083" s="62"/>
    </row>
    <row r="1084">
      <c r="A1084" s="6"/>
      <c r="B1084" s="6"/>
      <c r="C1084" s="6"/>
      <c r="D1084" s="62"/>
      <c r="E1084" s="62"/>
      <c r="F1084" s="62"/>
      <c r="G1084" s="62"/>
      <c r="H1084" s="62"/>
      <c r="I1084" s="62"/>
      <c r="J1084" s="62"/>
      <c r="K1084" s="62"/>
      <c r="L1084" s="62"/>
      <c r="M1084" s="62"/>
      <c r="N1084" s="62"/>
      <c r="O1084" s="62"/>
      <c r="P1084" s="62"/>
      <c r="Q1084" s="62"/>
      <c r="R1084" s="62"/>
      <c r="S1084" s="62"/>
      <c r="T1084" s="62"/>
      <c r="U1084" s="62"/>
      <c r="V1084" s="62"/>
      <c r="W1084" s="62"/>
      <c r="X1084" s="62"/>
      <c r="Y1084" s="62"/>
      <c r="Z1084" s="62"/>
      <c r="AA1084" s="62"/>
      <c r="AB1084" s="62"/>
      <c r="AC1084" s="62"/>
      <c r="AD1084" s="62"/>
    </row>
    <row r="1085">
      <c r="A1085" s="6"/>
      <c r="B1085" s="6"/>
      <c r="C1085" s="6"/>
      <c r="D1085" s="62"/>
      <c r="E1085" s="62"/>
      <c r="F1085" s="62"/>
      <c r="G1085" s="62"/>
      <c r="H1085" s="62"/>
      <c r="I1085" s="62"/>
      <c r="J1085" s="62"/>
      <c r="K1085" s="62"/>
      <c r="L1085" s="62"/>
      <c r="M1085" s="62"/>
      <c r="N1085" s="62"/>
      <c r="O1085" s="62"/>
      <c r="P1085" s="62"/>
      <c r="Q1085" s="62"/>
      <c r="R1085" s="62"/>
      <c r="S1085" s="62"/>
      <c r="T1085" s="62"/>
      <c r="U1085" s="62"/>
      <c r="V1085" s="62"/>
      <c r="W1085" s="62"/>
      <c r="X1085" s="62"/>
      <c r="Y1085" s="62"/>
      <c r="Z1085" s="62"/>
      <c r="AA1085" s="62"/>
      <c r="AB1085" s="62"/>
      <c r="AC1085" s="62"/>
      <c r="AD1085" s="62"/>
    </row>
    <row r="1086">
      <c r="A1086" s="6"/>
      <c r="B1086" s="6"/>
      <c r="C1086" s="6"/>
      <c r="D1086" s="62"/>
      <c r="E1086" s="62"/>
      <c r="F1086" s="62"/>
      <c r="G1086" s="62"/>
      <c r="H1086" s="62"/>
      <c r="I1086" s="62"/>
      <c r="J1086" s="62"/>
      <c r="K1086" s="62"/>
      <c r="L1086" s="62"/>
      <c r="M1086" s="62"/>
      <c r="N1086" s="62"/>
      <c r="O1086" s="62"/>
      <c r="P1086" s="62"/>
      <c r="Q1086" s="62"/>
      <c r="R1086" s="62"/>
      <c r="S1086" s="62"/>
      <c r="T1086" s="62"/>
      <c r="U1086" s="62"/>
      <c r="V1086" s="62"/>
      <c r="W1086" s="62"/>
      <c r="X1086" s="62"/>
      <c r="Y1086" s="62"/>
      <c r="Z1086" s="62"/>
      <c r="AA1086" s="62"/>
      <c r="AB1086" s="62"/>
      <c r="AC1086" s="62"/>
      <c r="AD1086" s="62"/>
    </row>
    <row r="1087">
      <c r="A1087" s="6"/>
      <c r="B1087" s="6"/>
      <c r="C1087" s="6"/>
      <c r="D1087" s="62"/>
      <c r="E1087" s="62"/>
      <c r="F1087" s="62"/>
      <c r="G1087" s="62"/>
      <c r="H1087" s="62"/>
      <c r="I1087" s="62"/>
      <c r="J1087" s="62"/>
      <c r="K1087" s="62"/>
      <c r="L1087" s="62"/>
      <c r="M1087" s="62"/>
      <c r="N1087" s="62"/>
      <c r="O1087" s="62"/>
      <c r="P1087" s="62"/>
      <c r="Q1087" s="62"/>
      <c r="R1087" s="62"/>
      <c r="S1087" s="62"/>
      <c r="T1087" s="62"/>
      <c r="U1087" s="62"/>
      <c r="V1087" s="62"/>
      <c r="W1087" s="62"/>
      <c r="X1087" s="62"/>
      <c r="Y1087" s="62"/>
      <c r="Z1087" s="62"/>
      <c r="AA1087" s="62"/>
      <c r="AB1087" s="62"/>
      <c r="AC1087" s="62"/>
      <c r="AD1087" s="62"/>
    </row>
    <row r="1088">
      <c r="A1088" s="6"/>
      <c r="B1088" s="6"/>
      <c r="C1088" s="6"/>
      <c r="D1088" s="62"/>
      <c r="E1088" s="62"/>
      <c r="F1088" s="62"/>
      <c r="G1088" s="62"/>
      <c r="H1088" s="62"/>
      <c r="I1088" s="62"/>
      <c r="J1088" s="62"/>
      <c r="K1088" s="62"/>
      <c r="L1088" s="62"/>
      <c r="M1088" s="62"/>
      <c r="N1088" s="62"/>
      <c r="O1088" s="62"/>
      <c r="P1088" s="62"/>
      <c r="Q1088" s="62"/>
      <c r="R1088" s="62"/>
      <c r="S1088" s="62"/>
      <c r="T1088" s="62"/>
      <c r="U1088" s="62"/>
      <c r="V1088" s="62"/>
      <c r="W1088" s="62"/>
      <c r="X1088" s="62"/>
      <c r="Y1088" s="62"/>
      <c r="Z1088" s="62"/>
      <c r="AA1088" s="62"/>
      <c r="AB1088" s="62"/>
      <c r="AC1088" s="62"/>
      <c r="AD1088" s="62"/>
    </row>
    <row r="1089">
      <c r="A1089" s="6"/>
      <c r="B1089" s="6"/>
      <c r="C1089" s="6"/>
      <c r="D1089" s="62"/>
      <c r="E1089" s="62"/>
      <c r="F1089" s="62"/>
      <c r="G1089" s="62"/>
      <c r="H1089" s="62"/>
      <c r="I1089" s="62"/>
      <c r="J1089" s="62"/>
      <c r="K1089" s="62"/>
      <c r="L1089" s="62"/>
      <c r="M1089" s="62"/>
      <c r="N1089" s="62"/>
      <c r="O1089" s="62"/>
      <c r="P1089" s="62"/>
      <c r="Q1089" s="62"/>
      <c r="R1089" s="62"/>
      <c r="S1089" s="62"/>
      <c r="T1089" s="62"/>
      <c r="U1089" s="62"/>
      <c r="V1089" s="62"/>
      <c r="W1089" s="62"/>
      <c r="X1089" s="62"/>
      <c r="Y1089" s="62"/>
      <c r="Z1089" s="62"/>
      <c r="AA1089" s="62"/>
      <c r="AB1089" s="62"/>
      <c r="AC1089" s="62"/>
      <c r="AD1089" s="62"/>
    </row>
    <row r="1090">
      <c r="A1090" s="6"/>
      <c r="B1090" s="6"/>
      <c r="C1090" s="6"/>
      <c r="D1090" s="62"/>
      <c r="E1090" s="62"/>
      <c r="F1090" s="62"/>
      <c r="G1090" s="62"/>
      <c r="H1090" s="62"/>
      <c r="I1090" s="62"/>
      <c r="J1090" s="62"/>
      <c r="K1090" s="62"/>
      <c r="L1090" s="62"/>
      <c r="M1090" s="62"/>
      <c r="N1090" s="62"/>
      <c r="O1090" s="62"/>
      <c r="P1090" s="62"/>
      <c r="Q1090" s="62"/>
      <c r="R1090" s="62"/>
      <c r="S1090" s="62"/>
      <c r="T1090" s="62"/>
      <c r="U1090" s="62"/>
      <c r="V1090" s="62"/>
      <c r="W1090" s="62"/>
      <c r="X1090" s="62"/>
      <c r="Y1090" s="62"/>
      <c r="Z1090" s="62"/>
      <c r="AA1090" s="62"/>
      <c r="AB1090" s="62"/>
      <c r="AC1090" s="62"/>
      <c r="AD1090" s="62"/>
    </row>
    <row r="1091">
      <c r="A1091" s="6"/>
      <c r="B1091" s="6"/>
      <c r="C1091" s="6"/>
      <c r="D1091" s="62"/>
      <c r="E1091" s="62"/>
      <c r="F1091" s="62"/>
      <c r="G1091" s="62"/>
      <c r="H1091" s="62"/>
      <c r="I1091" s="62"/>
      <c r="J1091" s="62"/>
      <c r="K1091" s="62"/>
      <c r="L1091" s="62"/>
      <c r="M1091" s="62"/>
      <c r="N1091" s="62"/>
      <c r="O1091" s="62"/>
      <c r="P1091" s="62"/>
      <c r="Q1091" s="62"/>
      <c r="R1091" s="62"/>
      <c r="S1091" s="62"/>
      <c r="T1091" s="62"/>
      <c r="U1091" s="62"/>
      <c r="V1091" s="62"/>
      <c r="W1091" s="62"/>
      <c r="X1091" s="62"/>
      <c r="Y1091" s="62"/>
      <c r="Z1091" s="62"/>
      <c r="AA1091" s="62"/>
      <c r="AB1091" s="62"/>
      <c r="AC1091" s="62"/>
      <c r="AD1091" s="62"/>
    </row>
    <row r="1092">
      <c r="A1092" s="6"/>
      <c r="B1092" s="6"/>
      <c r="C1092" s="6"/>
      <c r="D1092" s="62"/>
      <c r="E1092" s="62"/>
      <c r="F1092" s="62"/>
      <c r="G1092" s="62"/>
      <c r="H1092" s="62"/>
      <c r="I1092" s="62"/>
      <c r="J1092" s="62"/>
      <c r="K1092" s="62"/>
      <c r="L1092" s="62"/>
      <c r="M1092" s="62"/>
      <c r="N1092" s="62"/>
      <c r="O1092" s="62"/>
      <c r="P1092" s="62"/>
      <c r="Q1092" s="62"/>
      <c r="R1092" s="62"/>
      <c r="S1092" s="62"/>
      <c r="T1092" s="62"/>
      <c r="U1092" s="62"/>
      <c r="V1092" s="62"/>
      <c r="W1092" s="62"/>
      <c r="X1092" s="62"/>
      <c r="Y1092" s="62"/>
      <c r="Z1092" s="62"/>
      <c r="AA1092" s="62"/>
      <c r="AB1092" s="62"/>
      <c r="AC1092" s="62"/>
      <c r="AD1092" s="62"/>
    </row>
    <row r="1093">
      <c r="A1093" s="6"/>
      <c r="B1093" s="6"/>
      <c r="C1093" s="6"/>
      <c r="D1093" s="62"/>
      <c r="E1093" s="62"/>
      <c r="F1093" s="62"/>
      <c r="G1093" s="62"/>
      <c r="H1093" s="62"/>
      <c r="I1093" s="62"/>
      <c r="J1093" s="62"/>
      <c r="K1093" s="62"/>
      <c r="L1093" s="62"/>
      <c r="M1093" s="62"/>
      <c r="N1093" s="62"/>
      <c r="O1093" s="62"/>
      <c r="P1093" s="62"/>
      <c r="Q1093" s="62"/>
      <c r="R1093" s="62"/>
      <c r="S1093" s="62"/>
      <c r="T1093" s="62"/>
      <c r="U1093" s="62"/>
      <c r="V1093" s="62"/>
      <c r="W1093" s="62"/>
      <c r="X1093" s="62"/>
      <c r="Y1093" s="62"/>
      <c r="Z1093" s="62"/>
      <c r="AA1093" s="62"/>
      <c r="AB1093" s="62"/>
      <c r="AC1093" s="62"/>
      <c r="AD1093" s="62"/>
    </row>
    <row r="1094">
      <c r="A1094" s="6"/>
      <c r="B1094" s="6"/>
      <c r="C1094" s="6"/>
      <c r="D1094" s="62"/>
      <c r="E1094" s="62"/>
      <c r="F1094" s="62"/>
      <c r="G1094" s="62"/>
      <c r="H1094" s="62"/>
      <c r="I1094" s="62"/>
      <c r="J1094" s="62"/>
      <c r="K1094" s="62"/>
      <c r="L1094" s="62"/>
      <c r="M1094" s="62"/>
      <c r="N1094" s="62"/>
      <c r="O1094" s="62"/>
      <c r="P1094" s="62"/>
      <c r="Q1094" s="62"/>
      <c r="R1094" s="62"/>
      <c r="S1094" s="62"/>
      <c r="T1094" s="62"/>
      <c r="U1094" s="62"/>
      <c r="V1094" s="62"/>
      <c r="W1094" s="62"/>
      <c r="X1094" s="62"/>
      <c r="Y1094" s="62"/>
      <c r="Z1094" s="62"/>
      <c r="AA1094" s="62"/>
      <c r="AB1094" s="62"/>
      <c r="AC1094" s="62"/>
      <c r="AD1094" s="62"/>
    </row>
    <row r="1095">
      <c r="A1095" s="6"/>
      <c r="B1095" s="6"/>
      <c r="C1095" s="6"/>
      <c r="D1095" s="62"/>
      <c r="E1095" s="62"/>
      <c r="F1095" s="62"/>
      <c r="G1095" s="62"/>
      <c r="H1095" s="62"/>
      <c r="I1095" s="62"/>
      <c r="J1095" s="62"/>
      <c r="K1095" s="62"/>
      <c r="L1095" s="62"/>
      <c r="M1095" s="62"/>
      <c r="N1095" s="62"/>
      <c r="O1095" s="62"/>
      <c r="P1095" s="62"/>
      <c r="Q1095" s="62"/>
      <c r="R1095" s="62"/>
      <c r="S1095" s="62"/>
      <c r="T1095" s="62"/>
      <c r="U1095" s="62"/>
      <c r="V1095" s="62"/>
      <c r="W1095" s="62"/>
      <c r="X1095" s="62"/>
      <c r="Y1095" s="62"/>
      <c r="Z1095" s="62"/>
      <c r="AA1095" s="62"/>
      <c r="AB1095" s="62"/>
      <c r="AC1095" s="62"/>
      <c r="AD1095" s="62"/>
    </row>
    <row r="1096">
      <c r="A1096" s="6"/>
      <c r="B1096" s="6"/>
      <c r="C1096" s="6"/>
      <c r="D1096" s="62"/>
      <c r="E1096" s="62"/>
      <c r="F1096" s="62"/>
      <c r="G1096" s="62"/>
      <c r="H1096" s="62"/>
      <c r="I1096" s="62"/>
      <c r="J1096" s="62"/>
      <c r="K1096" s="62"/>
      <c r="L1096" s="62"/>
      <c r="M1096" s="62"/>
      <c r="N1096" s="62"/>
      <c r="O1096" s="62"/>
      <c r="P1096" s="62"/>
      <c r="Q1096" s="62"/>
      <c r="R1096" s="62"/>
      <c r="S1096" s="62"/>
      <c r="T1096" s="62"/>
      <c r="U1096" s="62"/>
      <c r="V1096" s="62"/>
      <c r="W1096" s="62"/>
      <c r="X1096" s="62"/>
      <c r="Y1096" s="62"/>
      <c r="Z1096" s="62"/>
      <c r="AA1096" s="62"/>
      <c r="AB1096" s="62"/>
      <c r="AC1096" s="62"/>
      <c r="AD1096" s="62"/>
    </row>
    <row r="1097">
      <c r="A1097" s="6"/>
      <c r="B1097" s="6"/>
      <c r="C1097" s="6"/>
      <c r="D1097" s="62"/>
      <c r="E1097" s="62"/>
      <c r="F1097" s="62"/>
      <c r="G1097" s="62"/>
      <c r="H1097" s="62"/>
      <c r="I1097" s="62"/>
      <c r="J1097" s="62"/>
      <c r="K1097" s="62"/>
      <c r="L1097" s="62"/>
      <c r="M1097" s="62"/>
      <c r="N1097" s="62"/>
      <c r="O1097" s="62"/>
      <c r="P1097" s="62"/>
      <c r="Q1097" s="62"/>
      <c r="R1097" s="62"/>
      <c r="S1097" s="62"/>
      <c r="T1097" s="62"/>
      <c r="U1097" s="62"/>
      <c r="V1097" s="62"/>
      <c r="W1097" s="62"/>
      <c r="X1097" s="62"/>
      <c r="Y1097" s="62"/>
      <c r="Z1097" s="62"/>
      <c r="AA1097" s="62"/>
      <c r="AB1097" s="62"/>
      <c r="AC1097" s="62"/>
      <c r="AD1097" s="62"/>
    </row>
    <row r="1098">
      <c r="A1098" s="6"/>
      <c r="B1098" s="6"/>
      <c r="C1098" s="6"/>
      <c r="D1098" s="62"/>
      <c r="E1098" s="62"/>
      <c r="F1098" s="62"/>
      <c r="G1098" s="62"/>
      <c r="H1098" s="62"/>
      <c r="I1098" s="62"/>
      <c r="J1098" s="62"/>
      <c r="K1098" s="62"/>
      <c r="L1098" s="62"/>
      <c r="M1098" s="62"/>
      <c r="N1098" s="62"/>
      <c r="O1098" s="62"/>
      <c r="P1098" s="62"/>
      <c r="Q1098" s="62"/>
      <c r="R1098" s="62"/>
      <c r="S1098" s="62"/>
      <c r="T1098" s="62"/>
      <c r="U1098" s="62"/>
      <c r="V1098" s="62"/>
      <c r="W1098" s="62"/>
      <c r="X1098" s="62"/>
      <c r="Y1098" s="62"/>
      <c r="Z1098" s="62"/>
      <c r="AA1098" s="62"/>
      <c r="AB1098" s="62"/>
      <c r="AC1098" s="62"/>
      <c r="AD1098" s="62"/>
    </row>
    <row r="1099">
      <c r="A1099" s="6"/>
      <c r="B1099" s="6"/>
      <c r="C1099" s="6"/>
      <c r="D1099" s="62"/>
      <c r="E1099" s="62"/>
      <c r="F1099" s="62"/>
      <c r="G1099" s="62"/>
      <c r="H1099" s="62"/>
      <c r="I1099" s="62"/>
      <c r="J1099" s="62"/>
      <c r="K1099" s="62"/>
      <c r="L1099" s="62"/>
      <c r="M1099" s="62"/>
      <c r="N1099" s="62"/>
      <c r="O1099" s="62"/>
      <c r="P1099" s="62"/>
      <c r="Q1099" s="62"/>
      <c r="R1099" s="62"/>
      <c r="S1099" s="62"/>
      <c r="T1099" s="62"/>
      <c r="U1099" s="62"/>
      <c r="V1099" s="62"/>
      <c r="W1099" s="62"/>
      <c r="X1099" s="62"/>
      <c r="Y1099" s="62"/>
      <c r="Z1099" s="62"/>
      <c r="AA1099" s="62"/>
      <c r="AB1099" s="62"/>
      <c r="AC1099" s="62"/>
      <c r="AD1099" s="62"/>
    </row>
    <row r="1100">
      <c r="A1100" s="6"/>
      <c r="B1100" s="6"/>
      <c r="C1100" s="6"/>
      <c r="D1100" s="62"/>
      <c r="E1100" s="62"/>
      <c r="F1100" s="62"/>
      <c r="G1100" s="62"/>
      <c r="H1100" s="62"/>
      <c r="I1100" s="62"/>
      <c r="J1100" s="62"/>
      <c r="K1100" s="62"/>
      <c r="L1100" s="62"/>
      <c r="M1100" s="62"/>
      <c r="N1100" s="62"/>
      <c r="O1100" s="62"/>
      <c r="P1100" s="62"/>
      <c r="Q1100" s="62"/>
      <c r="R1100" s="62"/>
      <c r="S1100" s="62"/>
      <c r="T1100" s="62"/>
      <c r="U1100" s="62"/>
      <c r="V1100" s="62"/>
      <c r="W1100" s="62"/>
      <c r="X1100" s="62"/>
      <c r="Y1100" s="62"/>
      <c r="Z1100" s="62"/>
      <c r="AA1100" s="62"/>
      <c r="AB1100" s="62"/>
      <c r="AC1100" s="62"/>
      <c r="AD1100" s="62"/>
    </row>
    <row r="1101">
      <c r="A1101" s="6"/>
      <c r="B1101" s="6"/>
      <c r="C1101" s="6"/>
      <c r="D1101" s="62"/>
      <c r="E1101" s="62"/>
      <c r="F1101" s="62"/>
      <c r="G1101" s="62"/>
      <c r="H1101" s="62"/>
      <c r="I1101" s="62"/>
      <c r="J1101" s="62"/>
      <c r="K1101" s="62"/>
      <c r="L1101" s="62"/>
      <c r="M1101" s="62"/>
      <c r="N1101" s="62"/>
      <c r="O1101" s="62"/>
      <c r="P1101" s="62"/>
      <c r="Q1101" s="62"/>
      <c r="R1101" s="62"/>
      <c r="S1101" s="62"/>
      <c r="T1101" s="62"/>
      <c r="U1101" s="62"/>
      <c r="V1101" s="62"/>
      <c r="W1101" s="62"/>
      <c r="X1101" s="62"/>
      <c r="Y1101" s="62"/>
      <c r="Z1101" s="62"/>
      <c r="AA1101" s="62"/>
      <c r="AB1101" s="62"/>
      <c r="AC1101" s="62"/>
      <c r="AD1101" s="62"/>
    </row>
    <row r="1102">
      <c r="A1102" s="6"/>
      <c r="B1102" s="6"/>
      <c r="C1102" s="6"/>
      <c r="D1102" s="62"/>
      <c r="E1102" s="62"/>
      <c r="F1102" s="62"/>
      <c r="G1102" s="62"/>
      <c r="H1102" s="62"/>
      <c r="I1102" s="62"/>
      <c r="J1102" s="62"/>
      <c r="K1102" s="62"/>
      <c r="L1102" s="62"/>
      <c r="M1102" s="62"/>
      <c r="N1102" s="62"/>
      <c r="O1102" s="62"/>
      <c r="P1102" s="62"/>
      <c r="Q1102" s="62"/>
      <c r="R1102" s="62"/>
      <c r="S1102" s="62"/>
      <c r="T1102" s="62"/>
      <c r="U1102" s="62"/>
      <c r="V1102" s="62"/>
      <c r="W1102" s="62"/>
      <c r="X1102" s="62"/>
      <c r="Y1102" s="62"/>
      <c r="Z1102" s="62"/>
      <c r="AA1102" s="62"/>
      <c r="AB1102" s="62"/>
      <c r="AC1102" s="62"/>
      <c r="AD1102" s="62"/>
    </row>
    <row r="1103">
      <c r="A1103" s="6"/>
      <c r="B1103" s="6"/>
      <c r="C1103" s="6"/>
      <c r="D1103" s="62"/>
      <c r="E1103" s="62"/>
      <c r="F1103" s="62"/>
      <c r="G1103" s="62"/>
      <c r="H1103" s="62"/>
      <c r="I1103" s="62"/>
      <c r="J1103" s="62"/>
      <c r="K1103" s="62"/>
      <c r="L1103" s="62"/>
      <c r="M1103" s="62"/>
      <c r="N1103" s="62"/>
      <c r="O1103" s="62"/>
      <c r="P1103" s="62"/>
      <c r="Q1103" s="62"/>
      <c r="R1103" s="62"/>
      <c r="S1103" s="62"/>
      <c r="T1103" s="62"/>
      <c r="U1103" s="62"/>
      <c r="V1103" s="62"/>
      <c r="W1103" s="62"/>
      <c r="X1103" s="62"/>
      <c r="Y1103" s="62"/>
      <c r="Z1103" s="62"/>
      <c r="AA1103" s="62"/>
      <c r="AB1103" s="62"/>
      <c r="AC1103" s="62"/>
      <c r="AD1103" s="62"/>
    </row>
    <row r="1104">
      <c r="A1104" s="6"/>
      <c r="B1104" s="6"/>
      <c r="C1104" s="6"/>
      <c r="D1104" s="62"/>
      <c r="E1104" s="62"/>
      <c r="F1104" s="62"/>
      <c r="G1104" s="62"/>
      <c r="H1104" s="62"/>
      <c r="I1104" s="62"/>
      <c r="J1104" s="62"/>
      <c r="K1104" s="62"/>
      <c r="L1104" s="62"/>
      <c r="M1104" s="62"/>
      <c r="N1104" s="62"/>
      <c r="O1104" s="62"/>
      <c r="P1104" s="62"/>
      <c r="Q1104" s="62"/>
      <c r="R1104" s="62"/>
      <c r="S1104" s="62"/>
      <c r="T1104" s="62"/>
      <c r="U1104" s="62"/>
      <c r="V1104" s="62"/>
      <c r="W1104" s="62"/>
      <c r="X1104" s="62"/>
      <c r="Y1104" s="62"/>
      <c r="Z1104" s="62"/>
      <c r="AA1104" s="62"/>
      <c r="AB1104" s="62"/>
      <c r="AC1104" s="62"/>
      <c r="AD1104" s="62"/>
    </row>
    <row r="1105">
      <c r="A1105" s="6"/>
      <c r="B1105" s="6"/>
      <c r="C1105" s="6"/>
      <c r="D1105" s="62"/>
      <c r="E1105" s="62"/>
      <c r="F1105" s="62"/>
      <c r="G1105" s="62"/>
      <c r="H1105" s="62"/>
      <c r="I1105" s="62"/>
      <c r="J1105" s="62"/>
      <c r="K1105" s="62"/>
      <c r="L1105" s="62"/>
      <c r="M1105" s="62"/>
      <c r="N1105" s="62"/>
      <c r="O1105" s="62"/>
      <c r="P1105" s="62"/>
      <c r="Q1105" s="62"/>
      <c r="R1105" s="62"/>
      <c r="S1105" s="62"/>
      <c r="T1105" s="62"/>
      <c r="U1105" s="62"/>
      <c r="V1105" s="62"/>
      <c r="W1105" s="62"/>
      <c r="X1105" s="62"/>
      <c r="Y1105" s="62"/>
      <c r="Z1105" s="62"/>
      <c r="AA1105" s="62"/>
      <c r="AB1105" s="62"/>
      <c r="AC1105" s="62"/>
      <c r="AD1105" s="62"/>
    </row>
    <row r="1106">
      <c r="A1106" s="6"/>
      <c r="B1106" s="6"/>
      <c r="C1106" s="6"/>
      <c r="D1106" s="62"/>
      <c r="E1106" s="62"/>
      <c r="F1106" s="62"/>
      <c r="G1106" s="62"/>
      <c r="H1106" s="62"/>
      <c r="I1106" s="62"/>
      <c r="J1106" s="62"/>
      <c r="K1106" s="62"/>
      <c r="L1106" s="62"/>
      <c r="M1106" s="62"/>
      <c r="N1106" s="62"/>
      <c r="O1106" s="62"/>
      <c r="P1106" s="62"/>
      <c r="Q1106" s="62"/>
      <c r="R1106" s="62"/>
      <c r="S1106" s="62"/>
      <c r="T1106" s="62"/>
      <c r="U1106" s="62"/>
      <c r="V1106" s="62"/>
      <c r="W1106" s="62"/>
      <c r="X1106" s="62"/>
      <c r="Y1106" s="62"/>
      <c r="Z1106" s="62"/>
      <c r="AA1106" s="62"/>
      <c r="AB1106" s="62"/>
      <c r="AC1106" s="62"/>
      <c r="AD1106" s="62"/>
    </row>
    <row r="1107">
      <c r="A1107" s="6"/>
      <c r="B1107" s="6"/>
      <c r="C1107" s="6"/>
      <c r="D1107" s="62"/>
      <c r="E1107" s="62"/>
      <c r="F1107" s="62"/>
      <c r="G1107" s="62"/>
      <c r="H1107" s="62"/>
      <c r="I1107" s="62"/>
      <c r="J1107" s="62"/>
      <c r="K1107" s="62"/>
      <c r="L1107" s="62"/>
      <c r="M1107" s="62"/>
      <c r="N1107" s="62"/>
      <c r="O1107" s="62"/>
      <c r="P1107" s="62"/>
      <c r="Q1107" s="62"/>
      <c r="R1107" s="62"/>
      <c r="S1107" s="62"/>
      <c r="T1107" s="62"/>
      <c r="U1107" s="62"/>
      <c r="V1107" s="62"/>
      <c r="W1107" s="62"/>
      <c r="X1107" s="62"/>
      <c r="Y1107" s="62"/>
      <c r="Z1107" s="62"/>
      <c r="AA1107" s="62"/>
      <c r="AB1107" s="62"/>
      <c r="AC1107" s="62"/>
      <c r="AD1107" s="62"/>
    </row>
    <row r="1108">
      <c r="A1108" s="6"/>
      <c r="B1108" s="6"/>
      <c r="C1108" s="6"/>
      <c r="D1108" s="62"/>
      <c r="E1108" s="62"/>
      <c r="F1108" s="62"/>
      <c r="G1108" s="62"/>
      <c r="H1108" s="62"/>
      <c r="I1108" s="62"/>
      <c r="J1108" s="62"/>
      <c r="K1108" s="62"/>
      <c r="L1108" s="62"/>
      <c r="M1108" s="62"/>
      <c r="N1108" s="62"/>
      <c r="O1108" s="62"/>
      <c r="P1108" s="62"/>
      <c r="Q1108" s="62"/>
      <c r="R1108" s="62"/>
      <c r="S1108" s="62"/>
      <c r="T1108" s="62"/>
      <c r="U1108" s="62"/>
      <c r="V1108" s="62"/>
      <c r="W1108" s="62"/>
      <c r="X1108" s="62"/>
      <c r="Y1108" s="62"/>
      <c r="Z1108" s="62"/>
      <c r="AA1108" s="62"/>
      <c r="AB1108" s="62"/>
      <c r="AC1108" s="62"/>
      <c r="AD1108" s="62"/>
    </row>
    <row r="1109">
      <c r="A1109" s="6"/>
      <c r="B1109" s="6"/>
      <c r="C1109" s="6"/>
      <c r="D1109" s="62"/>
      <c r="E1109" s="62"/>
      <c r="F1109" s="62"/>
      <c r="G1109" s="62"/>
      <c r="H1109" s="62"/>
      <c r="I1109" s="62"/>
      <c r="J1109" s="62"/>
      <c r="K1109" s="62"/>
      <c r="L1109" s="62"/>
      <c r="M1109" s="62"/>
      <c r="N1109" s="62"/>
      <c r="O1109" s="62"/>
      <c r="P1109" s="62"/>
      <c r="Q1109" s="62"/>
      <c r="R1109" s="62"/>
      <c r="S1109" s="62"/>
      <c r="T1109" s="62"/>
      <c r="U1109" s="62"/>
      <c r="V1109" s="62"/>
      <c r="W1109" s="62"/>
      <c r="X1109" s="62"/>
      <c r="Y1109" s="62"/>
      <c r="Z1109" s="62"/>
      <c r="AA1109" s="62"/>
      <c r="AB1109" s="62"/>
      <c r="AC1109" s="62"/>
      <c r="AD1109" s="62"/>
    </row>
    <row r="1110">
      <c r="A1110" s="6"/>
      <c r="B1110" s="6"/>
      <c r="C1110" s="6"/>
      <c r="D1110" s="62"/>
      <c r="E1110" s="62"/>
      <c r="F1110" s="62"/>
      <c r="G1110" s="62"/>
      <c r="H1110" s="62"/>
      <c r="I1110" s="62"/>
      <c r="J1110" s="62"/>
      <c r="K1110" s="62"/>
      <c r="L1110" s="62"/>
      <c r="M1110" s="62"/>
      <c r="N1110" s="62"/>
      <c r="O1110" s="62"/>
      <c r="P1110" s="62"/>
      <c r="Q1110" s="62"/>
      <c r="R1110" s="62"/>
      <c r="S1110" s="62"/>
      <c r="T1110" s="62"/>
      <c r="U1110" s="62"/>
      <c r="V1110" s="62"/>
      <c r="W1110" s="62"/>
      <c r="X1110" s="62"/>
      <c r="Y1110" s="62"/>
      <c r="Z1110" s="62"/>
      <c r="AA1110" s="62"/>
      <c r="AB1110" s="62"/>
      <c r="AC1110" s="62"/>
      <c r="AD1110" s="62"/>
    </row>
    <row r="1111">
      <c r="A1111" s="6"/>
      <c r="B1111" s="6"/>
      <c r="C1111" s="6"/>
      <c r="D1111" s="62"/>
      <c r="E1111" s="62"/>
      <c r="F1111" s="62"/>
      <c r="G1111" s="62"/>
      <c r="H1111" s="62"/>
      <c r="I1111" s="62"/>
      <c r="J1111" s="62"/>
      <c r="K1111" s="62"/>
      <c r="L1111" s="62"/>
      <c r="M1111" s="62"/>
      <c r="N1111" s="62"/>
      <c r="O1111" s="62"/>
      <c r="P1111" s="62"/>
      <c r="Q1111" s="62"/>
      <c r="R1111" s="62"/>
      <c r="S1111" s="62"/>
      <c r="T1111" s="62"/>
      <c r="U1111" s="62"/>
      <c r="V1111" s="62"/>
      <c r="W1111" s="62"/>
      <c r="X1111" s="62"/>
      <c r="Y1111" s="62"/>
      <c r="Z1111" s="62"/>
      <c r="AA1111" s="62"/>
      <c r="AB1111" s="62"/>
      <c r="AC1111" s="62"/>
      <c r="AD1111" s="62"/>
    </row>
    <row r="1112">
      <c r="A1112" s="6"/>
      <c r="B1112" s="6"/>
      <c r="C1112" s="6"/>
      <c r="D1112" s="62"/>
      <c r="E1112" s="62"/>
      <c r="F1112" s="62"/>
      <c r="G1112" s="62"/>
      <c r="H1112" s="62"/>
      <c r="I1112" s="62"/>
      <c r="J1112" s="62"/>
      <c r="K1112" s="62"/>
      <c r="L1112" s="62"/>
      <c r="M1112" s="62"/>
      <c r="N1112" s="62"/>
      <c r="O1112" s="62"/>
      <c r="P1112" s="62"/>
      <c r="Q1112" s="62"/>
      <c r="R1112" s="62"/>
      <c r="S1112" s="62"/>
      <c r="T1112" s="62"/>
      <c r="U1112" s="62"/>
      <c r="V1112" s="62"/>
      <c r="W1112" s="62"/>
      <c r="X1112" s="62"/>
      <c r="Y1112" s="62"/>
      <c r="Z1112" s="62"/>
      <c r="AA1112" s="62"/>
      <c r="AB1112" s="62"/>
      <c r="AC1112" s="62"/>
      <c r="AD1112" s="62"/>
    </row>
    <row r="1113">
      <c r="A1113" s="6"/>
      <c r="B1113" s="6"/>
      <c r="C1113" s="6"/>
      <c r="D1113" s="62"/>
      <c r="E1113" s="62"/>
      <c r="F1113" s="62"/>
      <c r="G1113" s="62"/>
      <c r="H1113" s="62"/>
      <c r="I1113" s="62"/>
      <c r="J1113" s="62"/>
      <c r="K1113" s="62"/>
      <c r="L1113" s="62"/>
      <c r="M1113" s="62"/>
      <c r="N1113" s="62"/>
      <c r="O1113" s="62"/>
      <c r="P1113" s="62"/>
      <c r="Q1113" s="62"/>
      <c r="R1113" s="62"/>
      <c r="S1113" s="62"/>
      <c r="T1113" s="62"/>
      <c r="U1113" s="62"/>
      <c r="V1113" s="62"/>
      <c r="W1113" s="62"/>
      <c r="X1113" s="62"/>
      <c r="Y1113" s="62"/>
      <c r="Z1113" s="62"/>
      <c r="AA1113" s="62"/>
      <c r="AB1113" s="62"/>
      <c r="AC1113" s="62"/>
      <c r="AD1113" s="62"/>
    </row>
    <row r="1114">
      <c r="A1114" s="6"/>
      <c r="B1114" s="6"/>
      <c r="C1114" s="6"/>
      <c r="D1114" s="62"/>
      <c r="E1114" s="62"/>
      <c r="F1114" s="62"/>
      <c r="G1114" s="62"/>
      <c r="H1114" s="62"/>
      <c r="I1114" s="62"/>
      <c r="J1114" s="62"/>
      <c r="K1114" s="62"/>
      <c r="L1114" s="62"/>
      <c r="M1114" s="62"/>
      <c r="N1114" s="62"/>
      <c r="O1114" s="62"/>
      <c r="P1114" s="62"/>
      <c r="Q1114" s="62"/>
      <c r="R1114" s="62"/>
      <c r="S1114" s="62"/>
      <c r="T1114" s="62"/>
      <c r="U1114" s="62"/>
      <c r="V1114" s="62"/>
      <c r="W1114" s="62"/>
      <c r="X1114" s="62"/>
      <c r="Y1114" s="62"/>
      <c r="Z1114" s="62"/>
      <c r="AA1114" s="62"/>
      <c r="AB1114" s="62"/>
      <c r="AC1114" s="62"/>
      <c r="AD1114" s="62"/>
    </row>
    <row r="1115">
      <c r="A1115" s="6"/>
      <c r="B1115" s="6"/>
      <c r="C1115" s="6"/>
      <c r="D1115" s="62"/>
      <c r="E1115" s="62"/>
      <c r="F1115" s="62"/>
      <c r="G1115" s="62"/>
      <c r="H1115" s="62"/>
      <c r="I1115" s="62"/>
      <c r="J1115" s="62"/>
      <c r="K1115" s="62"/>
      <c r="L1115" s="62"/>
      <c r="M1115" s="62"/>
      <c r="N1115" s="62"/>
      <c r="O1115" s="62"/>
      <c r="P1115" s="62"/>
      <c r="Q1115" s="62"/>
      <c r="R1115" s="62"/>
      <c r="S1115" s="62"/>
      <c r="T1115" s="62"/>
      <c r="U1115" s="62"/>
      <c r="V1115" s="62"/>
      <c r="W1115" s="62"/>
      <c r="X1115" s="62"/>
      <c r="Y1115" s="62"/>
      <c r="Z1115" s="62"/>
      <c r="AA1115" s="62"/>
      <c r="AB1115" s="62"/>
      <c r="AC1115" s="62"/>
      <c r="AD1115" s="62"/>
    </row>
    <row r="1116">
      <c r="A1116" s="6"/>
      <c r="B1116" s="6"/>
      <c r="C1116" s="6"/>
      <c r="D1116" s="62"/>
      <c r="E1116" s="62"/>
      <c r="F1116" s="62"/>
      <c r="G1116" s="62"/>
      <c r="H1116" s="62"/>
      <c r="I1116" s="62"/>
      <c r="J1116" s="62"/>
      <c r="K1116" s="62"/>
      <c r="L1116" s="62"/>
      <c r="M1116" s="62"/>
      <c r="N1116" s="62"/>
      <c r="O1116" s="62"/>
      <c r="P1116" s="62"/>
      <c r="Q1116" s="62"/>
      <c r="R1116" s="62"/>
      <c r="S1116" s="62"/>
      <c r="T1116" s="62"/>
      <c r="U1116" s="62"/>
      <c r="V1116" s="62"/>
      <c r="W1116" s="62"/>
      <c r="X1116" s="62"/>
      <c r="Y1116" s="62"/>
      <c r="Z1116" s="62"/>
      <c r="AA1116" s="62"/>
      <c r="AB1116" s="62"/>
      <c r="AC1116" s="62"/>
      <c r="AD1116" s="62"/>
    </row>
    <row r="1117">
      <c r="A1117" s="6"/>
      <c r="B1117" s="6"/>
      <c r="C1117" s="6"/>
      <c r="D1117" s="62"/>
      <c r="E1117" s="62"/>
      <c r="F1117" s="62"/>
      <c r="G1117" s="62"/>
      <c r="H1117" s="62"/>
      <c r="I1117" s="62"/>
      <c r="J1117" s="62"/>
      <c r="K1117" s="62"/>
      <c r="L1117" s="62"/>
      <c r="M1117" s="62"/>
      <c r="N1117" s="62"/>
      <c r="O1117" s="62"/>
      <c r="P1117" s="62"/>
      <c r="Q1117" s="62"/>
      <c r="R1117" s="62"/>
      <c r="S1117" s="62"/>
      <c r="T1117" s="62"/>
      <c r="U1117" s="62"/>
      <c r="V1117" s="62"/>
      <c r="W1117" s="62"/>
      <c r="X1117" s="62"/>
      <c r="Y1117" s="62"/>
      <c r="Z1117" s="62"/>
      <c r="AA1117" s="62"/>
      <c r="AB1117" s="62"/>
      <c r="AC1117" s="62"/>
      <c r="AD1117" s="62"/>
    </row>
    <row r="1118">
      <c r="A1118" s="6"/>
      <c r="B1118" s="6"/>
      <c r="C1118" s="6"/>
      <c r="D1118" s="62"/>
      <c r="E1118" s="62"/>
      <c r="F1118" s="62"/>
      <c r="G1118" s="62"/>
      <c r="H1118" s="62"/>
      <c r="I1118" s="62"/>
      <c r="J1118" s="62"/>
      <c r="K1118" s="62"/>
      <c r="L1118" s="62"/>
      <c r="M1118" s="62"/>
      <c r="N1118" s="62"/>
      <c r="O1118" s="62"/>
      <c r="P1118" s="62"/>
      <c r="Q1118" s="62"/>
      <c r="R1118" s="62"/>
      <c r="S1118" s="62"/>
      <c r="T1118" s="62"/>
      <c r="U1118" s="62"/>
      <c r="V1118" s="62"/>
      <c r="W1118" s="62"/>
      <c r="X1118" s="62"/>
      <c r="Y1118" s="62"/>
      <c r="Z1118" s="62"/>
      <c r="AA1118" s="62"/>
      <c r="AB1118" s="62"/>
      <c r="AC1118" s="62"/>
      <c r="AD1118" s="62"/>
    </row>
    <row r="1119">
      <c r="A1119" s="6"/>
      <c r="B1119" s="6"/>
      <c r="C1119" s="6"/>
      <c r="D1119" s="62"/>
      <c r="E1119" s="62"/>
      <c r="F1119" s="62"/>
      <c r="G1119" s="62"/>
      <c r="H1119" s="62"/>
      <c r="I1119" s="62"/>
      <c r="J1119" s="62"/>
      <c r="K1119" s="62"/>
      <c r="L1119" s="62"/>
      <c r="M1119" s="62"/>
      <c r="N1119" s="62"/>
      <c r="O1119" s="62"/>
      <c r="P1119" s="62"/>
      <c r="Q1119" s="62"/>
      <c r="R1119" s="62"/>
      <c r="S1119" s="62"/>
      <c r="T1119" s="62"/>
      <c r="U1119" s="62"/>
      <c r="V1119" s="62"/>
      <c r="W1119" s="62"/>
      <c r="X1119" s="62"/>
      <c r="Y1119" s="62"/>
      <c r="Z1119" s="62"/>
      <c r="AA1119" s="62"/>
      <c r="AB1119" s="62"/>
      <c r="AC1119" s="62"/>
      <c r="AD1119" s="62"/>
    </row>
    <row r="1120">
      <c r="A1120" s="6"/>
      <c r="B1120" s="6"/>
      <c r="C1120" s="6"/>
      <c r="D1120" s="62"/>
      <c r="E1120" s="62"/>
      <c r="F1120" s="62"/>
      <c r="G1120" s="62"/>
      <c r="H1120" s="62"/>
      <c r="I1120" s="62"/>
      <c r="J1120" s="62"/>
      <c r="K1120" s="62"/>
      <c r="L1120" s="62"/>
      <c r="M1120" s="62"/>
      <c r="N1120" s="62"/>
      <c r="O1120" s="62"/>
      <c r="P1120" s="62"/>
      <c r="Q1120" s="62"/>
      <c r="R1120" s="62"/>
      <c r="S1120" s="62"/>
      <c r="T1120" s="62"/>
      <c r="U1120" s="62"/>
      <c r="V1120" s="62"/>
      <c r="W1120" s="62"/>
      <c r="X1120" s="62"/>
      <c r="Y1120" s="62"/>
      <c r="Z1120" s="62"/>
      <c r="AA1120" s="62"/>
      <c r="AB1120" s="62"/>
      <c r="AC1120" s="62"/>
      <c r="AD1120" s="62"/>
    </row>
    <row r="1121">
      <c r="A1121" s="6"/>
      <c r="B1121" s="6"/>
      <c r="C1121" s="6"/>
      <c r="D1121" s="62"/>
      <c r="E1121" s="62"/>
      <c r="F1121" s="62"/>
      <c r="G1121" s="62"/>
      <c r="H1121" s="62"/>
      <c r="I1121" s="62"/>
      <c r="J1121" s="62"/>
      <c r="K1121" s="62"/>
      <c r="L1121" s="62"/>
      <c r="M1121" s="62"/>
      <c r="N1121" s="62"/>
      <c r="O1121" s="62"/>
      <c r="P1121" s="62"/>
      <c r="Q1121" s="62"/>
      <c r="R1121" s="62"/>
      <c r="S1121" s="62"/>
      <c r="T1121" s="62"/>
      <c r="U1121" s="62"/>
      <c r="V1121" s="62"/>
      <c r="W1121" s="62"/>
      <c r="X1121" s="62"/>
      <c r="Y1121" s="62"/>
      <c r="Z1121" s="62"/>
      <c r="AA1121" s="62"/>
      <c r="AB1121" s="62"/>
      <c r="AC1121" s="62"/>
      <c r="AD1121" s="62"/>
    </row>
    <row r="1122">
      <c r="A1122" s="6"/>
      <c r="B1122" s="6"/>
      <c r="C1122" s="6"/>
      <c r="D1122" s="62"/>
      <c r="E1122" s="62"/>
      <c r="F1122" s="62"/>
      <c r="G1122" s="62"/>
      <c r="H1122" s="62"/>
      <c r="I1122" s="62"/>
      <c r="J1122" s="62"/>
      <c r="K1122" s="62"/>
      <c r="L1122" s="62"/>
      <c r="M1122" s="62"/>
      <c r="N1122" s="62"/>
      <c r="O1122" s="62"/>
      <c r="P1122" s="62"/>
      <c r="Q1122" s="62"/>
      <c r="R1122" s="62"/>
      <c r="S1122" s="62"/>
      <c r="T1122" s="62"/>
      <c r="U1122" s="62"/>
      <c r="V1122" s="62"/>
      <c r="W1122" s="62"/>
      <c r="X1122" s="62"/>
      <c r="Y1122" s="62"/>
      <c r="Z1122" s="62"/>
      <c r="AA1122" s="62"/>
      <c r="AB1122" s="62"/>
      <c r="AC1122" s="62"/>
      <c r="AD1122" s="62"/>
    </row>
    <row r="1123">
      <c r="A1123" s="6"/>
      <c r="B1123" s="6"/>
      <c r="C1123" s="6"/>
      <c r="D1123" s="62"/>
      <c r="E1123" s="62"/>
      <c r="F1123" s="62"/>
      <c r="G1123" s="62"/>
      <c r="H1123" s="62"/>
      <c r="I1123" s="62"/>
      <c r="J1123" s="62"/>
      <c r="K1123" s="62"/>
      <c r="L1123" s="62"/>
      <c r="M1123" s="62"/>
      <c r="N1123" s="62"/>
      <c r="O1123" s="62"/>
      <c r="P1123" s="62"/>
      <c r="Q1123" s="62"/>
      <c r="R1123" s="62"/>
      <c r="S1123" s="62"/>
      <c r="T1123" s="62"/>
      <c r="U1123" s="62"/>
      <c r="V1123" s="62"/>
      <c r="W1123" s="62"/>
      <c r="X1123" s="62"/>
      <c r="Y1123" s="62"/>
      <c r="Z1123" s="62"/>
      <c r="AA1123" s="62"/>
      <c r="AB1123" s="62"/>
      <c r="AC1123" s="62"/>
      <c r="AD1123" s="62"/>
    </row>
    <row r="1124">
      <c r="A1124" s="6"/>
      <c r="B1124" s="6"/>
      <c r="C1124" s="6"/>
      <c r="D1124" s="62"/>
      <c r="E1124" s="62"/>
      <c r="F1124" s="62"/>
      <c r="G1124" s="62"/>
      <c r="H1124" s="62"/>
      <c r="I1124" s="62"/>
      <c r="J1124" s="62"/>
      <c r="K1124" s="62"/>
      <c r="L1124" s="62"/>
      <c r="M1124" s="62"/>
      <c r="N1124" s="62"/>
      <c r="O1124" s="62"/>
      <c r="P1124" s="62"/>
      <c r="Q1124" s="62"/>
      <c r="R1124" s="62"/>
      <c r="S1124" s="62"/>
      <c r="T1124" s="62"/>
      <c r="U1124" s="62"/>
      <c r="V1124" s="62"/>
      <c r="W1124" s="62"/>
      <c r="X1124" s="62"/>
      <c r="Y1124" s="62"/>
      <c r="Z1124" s="62"/>
      <c r="AA1124" s="62"/>
      <c r="AB1124" s="62"/>
      <c r="AC1124" s="62"/>
      <c r="AD1124" s="62"/>
    </row>
    <row r="1125">
      <c r="A1125" s="6"/>
      <c r="B1125" s="6"/>
      <c r="C1125" s="6"/>
      <c r="D1125" s="62"/>
      <c r="E1125" s="62"/>
      <c r="F1125" s="62"/>
      <c r="G1125" s="62"/>
      <c r="H1125" s="62"/>
      <c r="I1125" s="62"/>
      <c r="J1125" s="62"/>
      <c r="K1125" s="62"/>
      <c r="L1125" s="62"/>
      <c r="M1125" s="62"/>
      <c r="N1125" s="62"/>
      <c r="O1125" s="62"/>
      <c r="P1125" s="62"/>
      <c r="Q1125" s="62"/>
      <c r="R1125" s="62"/>
      <c r="S1125" s="62"/>
      <c r="T1125" s="62"/>
      <c r="U1125" s="62"/>
      <c r="V1125" s="62"/>
      <c r="W1125" s="62"/>
      <c r="X1125" s="62"/>
      <c r="Y1125" s="62"/>
      <c r="Z1125" s="62"/>
      <c r="AA1125" s="62"/>
      <c r="AB1125" s="62"/>
      <c r="AC1125" s="62"/>
      <c r="AD1125" s="62"/>
    </row>
    <row r="1126">
      <c r="A1126" s="6"/>
      <c r="B1126" s="6"/>
      <c r="C1126" s="6"/>
      <c r="D1126" s="62"/>
      <c r="E1126" s="62"/>
      <c r="F1126" s="62"/>
      <c r="G1126" s="62"/>
      <c r="H1126" s="62"/>
      <c r="I1126" s="62"/>
      <c r="J1126" s="62"/>
      <c r="K1126" s="62"/>
      <c r="L1126" s="62"/>
      <c r="M1126" s="62"/>
      <c r="N1126" s="62"/>
      <c r="O1126" s="62"/>
      <c r="P1126" s="62"/>
      <c r="Q1126" s="62"/>
      <c r="R1126" s="62"/>
      <c r="S1126" s="62"/>
      <c r="T1126" s="62"/>
      <c r="U1126" s="62"/>
      <c r="V1126" s="62"/>
      <c r="W1126" s="62"/>
      <c r="X1126" s="62"/>
      <c r="Y1126" s="62"/>
      <c r="Z1126" s="62"/>
      <c r="AA1126" s="62"/>
      <c r="AB1126" s="62"/>
      <c r="AC1126" s="62"/>
      <c r="AD1126" s="62"/>
    </row>
    <row r="1127">
      <c r="A1127" s="6"/>
      <c r="B1127" s="6"/>
      <c r="C1127" s="6"/>
      <c r="D1127" s="62"/>
      <c r="E1127" s="62"/>
      <c r="F1127" s="62"/>
      <c r="G1127" s="62"/>
      <c r="H1127" s="62"/>
      <c r="I1127" s="62"/>
      <c r="J1127" s="62"/>
      <c r="K1127" s="62"/>
      <c r="L1127" s="62"/>
      <c r="M1127" s="62"/>
      <c r="N1127" s="62"/>
      <c r="O1127" s="62"/>
      <c r="P1127" s="62"/>
      <c r="Q1127" s="62"/>
      <c r="R1127" s="62"/>
      <c r="S1127" s="62"/>
      <c r="T1127" s="62"/>
      <c r="U1127" s="62"/>
      <c r="V1127" s="62"/>
      <c r="W1127" s="62"/>
      <c r="X1127" s="62"/>
      <c r="Y1127" s="62"/>
      <c r="Z1127" s="62"/>
      <c r="AA1127" s="62"/>
      <c r="AB1127" s="62"/>
      <c r="AC1127" s="62"/>
      <c r="AD1127" s="62"/>
    </row>
    <row r="1128">
      <c r="A1128" s="6"/>
      <c r="B1128" s="6"/>
      <c r="C1128" s="6"/>
      <c r="D1128" s="62"/>
      <c r="E1128" s="62"/>
      <c r="F1128" s="62"/>
      <c r="G1128" s="62"/>
      <c r="H1128" s="62"/>
      <c r="I1128" s="62"/>
      <c r="J1128" s="62"/>
      <c r="K1128" s="62"/>
      <c r="L1128" s="62"/>
      <c r="M1128" s="62"/>
      <c r="N1128" s="62"/>
      <c r="O1128" s="62"/>
      <c r="P1128" s="62"/>
      <c r="Q1128" s="62"/>
      <c r="R1128" s="62"/>
      <c r="S1128" s="62"/>
      <c r="T1128" s="62"/>
      <c r="U1128" s="62"/>
      <c r="V1128" s="62"/>
      <c r="W1128" s="62"/>
      <c r="X1128" s="62"/>
      <c r="Y1128" s="62"/>
      <c r="Z1128" s="62"/>
      <c r="AA1128" s="62"/>
      <c r="AB1128" s="62"/>
      <c r="AC1128" s="62"/>
      <c r="AD1128" s="62"/>
    </row>
    <row r="1129">
      <c r="A1129" s="6"/>
      <c r="B1129" s="6"/>
      <c r="C1129" s="6"/>
      <c r="D1129" s="62"/>
      <c r="E1129" s="62"/>
      <c r="F1129" s="62"/>
      <c r="G1129" s="62"/>
      <c r="H1129" s="62"/>
      <c r="I1129" s="62"/>
      <c r="J1129" s="62"/>
      <c r="K1129" s="62"/>
      <c r="L1129" s="62"/>
      <c r="M1129" s="62"/>
      <c r="N1129" s="62"/>
      <c r="O1129" s="62"/>
      <c r="P1129" s="62"/>
      <c r="Q1129" s="62"/>
      <c r="R1129" s="62"/>
      <c r="S1129" s="62"/>
      <c r="T1129" s="62"/>
      <c r="U1129" s="62"/>
      <c r="V1129" s="62"/>
      <c r="W1129" s="62"/>
      <c r="X1129" s="62"/>
      <c r="Y1129" s="62"/>
      <c r="Z1129" s="62"/>
      <c r="AA1129" s="62"/>
      <c r="AB1129" s="62"/>
      <c r="AC1129" s="62"/>
      <c r="AD1129" s="62"/>
    </row>
    <row r="1130">
      <c r="A1130" s="6"/>
      <c r="B1130" s="6"/>
      <c r="C1130" s="6"/>
      <c r="D1130" s="62"/>
      <c r="E1130" s="62"/>
      <c r="F1130" s="62"/>
      <c r="G1130" s="62"/>
      <c r="H1130" s="62"/>
      <c r="I1130" s="62"/>
      <c r="J1130" s="62"/>
      <c r="K1130" s="62"/>
      <c r="L1130" s="62"/>
      <c r="M1130" s="62"/>
      <c r="N1130" s="62"/>
      <c r="O1130" s="62"/>
      <c r="P1130" s="62"/>
      <c r="Q1130" s="62"/>
      <c r="R1130" s="62"/>
      <c r="S1130" s="62"/>
      <c r="T1130" s="62"/>
      <c r="U1130" s="62"/>
      <c r="V1130" s="62"/>
      <c r="W1130" s="62"/>
      <c r="X1130" s="62"/>
      <c r="Y1130" s="62"/>
      <c r="Z1130" s="62"/>
      <c r="AA1130" s="62"/>
      <c r="AB1130" s="62"/>
      <c r="AC1130" s="62"/>
      <c r="AD1130" s="62"/>
    </row>
    <row r="1131">
      <c r="A1131" s="6"/>
      <c r="B1131" s="6"/>
      <c r="C1131" s="6"/>
      <c r="D1131" s="62"/>
      <c r="E1131" s="62"/>
      <c r="F1131" s="62"/>
      <c r="G1131" s="62"/>
      <c r="H1131" s="62"/>
      <c r="I1131" s="62"/>
      <c r="J1131" s="62"/>
      <c r="K1131" s="62"/>
      <c r="L1131" s="62"/>
      <c r="M1131" s="62"/>
      <c r="N1131" s="62"/>
      <c r="O1131" s="62"/>
      <c r="P1131" s="62"/>
      <c r="Q1131" s="62"/>
      <c r="R1131" s="62"/>
      <c r="S1131" s="62"/>
      <c r="T1131" s="62"/>
      <c r="U1131" s="62"/>
      <c r="V1131" s="62"/>
      <c r="W1131" s="62"/>
      <c r="X1131" s="62"/>
      <c r="Y1131" s="62"/>
      <c r="Z1131" s="62"/>
      <c r="AA1131" s="62"/>
      <c r="AB1131" s="62"/>
      <c r="AC1131" s="62"/>
      <c r="AD1131" s="62"/>
    </row>
    <row r="1132">
      <c r="A1132" s="6"/>
      <c r="B1132" s="6"/>
      <c r="C1132" s="6"/>
      <c r="D1132" s="62"/>
      <c r="E1132" s="62"/>
      <c r="F1132" s="62"/>
      <c r="G1132" s="62"/>
      <c r="H1132" s="62"/>
      <c r="I1132" s="62"/>
      <c r="J1132" s="62"/>
      <c r="K1132" s="62"/>
      <c r="L1132" s="62"/>
      <c r="M1132" s="62"/>
      <c r="N1132" s="62"/>
      <c r="O1132" s="62"/>
      <c r="P1132" s="62"/>
      <c r="Q1132" s="62"/>
      <c r="R1132" s="62"/>
      <c r="S1132" s="62"/>
      <c r="T1132" s="62"/>
      <c r="U1132" s="62"/>
      <c r="V1132" s="62"/>
      <c r="W1132" s="62"/>
      <c r="X1132" s="62"/>
      <c r="Y1132" s="62"/>
      <c r="Z1132" s="62"/>
      <c r="AA1132" s="62"/>
      <c r="AB1132" s="62"/>
      <c r="AC1132" s="62"/>
      <c r="AD1132" s="62"/>
    </row>
    <row r="1133">
      <c r="A1133" s="6"/>
      <c r="B1133" s="6"/>
      <c r="C1133" s="6"/>
      <c r="D1133" s="62"/>
      <c r="E1133" s="62"/>
      <c r="F1133" s="62"/>
      <c r="G1133" s="62"/>
      <c r="H1133" s="62"/>
      <c r="I1133" s="62"/>
      <c r="J1133" s="62"/>
      <c r="K1133" s="62"/>
      <c r="L1133" s="62"/>
      <c r="M1133" s="62"/>
      <c r="N1133" s="62"/>
      <c r="O1133" s="62"/>
      <c r="P1133" s="62"/>
      <c r="Q1133" s="62"/>
      <c r="R1133" s="62"/>
      <c r="S1133" s="62"/>
      <c r="T1133" s="62"/>
      <c r="U1133" s="62"/>
      <c r="V1133" s="62"/>
      <c r="W1133" s="62"/>
      <c r="X1133" s="62"/>
      <c r="Y1133" s="62"/>
      <c r="Z1133" s="62"/>
      <c r="AA1133" s="62"/>
      <c r="AB1133" s="62"/>
      <c r="AC1133" s="62"/>
      <c r="AD1133" s="62"/>
    </row>
    <row r="1134">
      <c r="A1134" s="6"/>
      <c r="B1134" s="6"/>
      <c r="C1134" s="6"/>
      <c r="D1134" s="62"/>
      <c r="E1134" s="62"/>
      <c r="F1134" s="62"/>
      <c r="G1134" s="62"/>
      <c r="H1134" s="62"/>
      <c r="I1134" s="62"/>
      <c r="J1134" s="62"/>
      <c r="K1134" s="62"/>
      <c r="L1134" s="62"/>
      <c r="M1134" s="62"/>
      <c r="N1134" s="62"/>
      <c r="O1134" s="62"/>
      <c r="P1134" s="62"/>
      <c r="Q1134" s="62"/>
      <c r="R1134" s="62"/>
      <c r="S1134" s="62"/>
      <c r="T1134" s="62"/>
      <c r="U1134" s="62"/>
      <c r="V1134" s="62"/>
      <c r="W1134" s="62"/>
      <c r="X1134" s="62"/>
      <c r="Y1134" s="62"/>
      <c r="Z1134" s="62"/>
      <c r="AA1134" s="62"/>
      <c r="AB1134" s="62"/>
      <c r="AC1134" s="62"/>
      <c r="AD1134" s="62"/>
    </row>
    <row r="1135">
      <c r="A1135" s="6"/>
      <c r="B1135" s="6"/>
      <c r="C1135" s="6"/>
      <c r="D1135" s="62"/>
      <c r="E1135" s="62"/>
      <c r="F1135" s="62"/>
      <c r="G1135" s="62"/>
      <c r="H1135" s="62"/>
      <c r="I1135" s="62"/>
      <c r="J1135" s="62"/>
      <c r="K1135" s="62"/>
      <c r="L1135" s="62"/>
      <c r="M1135" s="62"/>
      <c r="N1135" s="62"/>
      <c r="O1135" s="62"/>
      <c r="P1135" s="62"/>
      <c r="Q1135" s="62"/>
      <c r="R1135" s="62"/>
      <c r="S1135" s="62"/>
      <c r="T1135" s="62"/>
      <c r="U1135" s="62"/>
      <c r="V1135" s="62"/>
      <c r="W1135" s="62"/>
      <c r="X1135" s="62"/>
      <c r="Y1135" s="62"/>
      <c r="Z1135" s="62"/>
      <c r="AA1135" s="62"/>
      <c r="AB1135" s="62"/>
      <c r="AC1135" s="62"/>
      <c r="AD1135" s="62"/>
    </row>
    <row r="1136">
      <c r="A1136" s="6"/>
      <c r="B1136" s="6"/>
      <c r="C1136" s="6"/>
      <c r="D1136" s="62"/>
      <c r="E1136" s="62"/>
      <c r="F1136" s="62"/>
      <c r="G1136" s="62"/>
      <c r="H1136" s="62"/>
      <c r="I1136" s="62"/>
      <c r="J1136" s="62"/>
      <c r="K1136" s="62"/>
      <c r="L1136" s="62"/>
      <c r="M1136" s="62"/>
      <c r="N1136" s="62"/>
      <c r="O1136" s="62"/>
      <c r="P1136" s="62"/>
      <c r="Q1136" s="62"/>
      <c r="R1136" s="62"/>
      <c r="S1136" s="62"/>
      <c r="T1136" s="62"/>
      <c r="U1136" s="62"/>
      <c r="V1136" s="62"/>
      <c r="W1136" s="62"/>
      <c r="X1136" s="62"/>
      <c r="Y1136" s="62"/>
      <c r="Z1136" s="62"/>
      <c r="AA1136" s="62"/>
      <c r="AB1136" s="62"/>
      <c r="AC1136" s="62"/>
      <c r="AD1136" s="62"/>
    </row>
    <row r="1137">
      <c r="A1137" s="6"/>
      <c r="B1137" s="6"/>
      <c r="C1137" s="6"/>
      <c r="D1137" s="62"/>
      <c r="E1137" s="62"/>
      <c r="F1137" s="62"/>
      <c r="G1137" s="62"/>
      <c r="H1137" s="62"/>
      <c r="I1137" s="62"/>
      <c r="J1137" s="62"/>
      <c r="K1137" s="62"/>
      <c r="L1137" s="62"/>
      <c r="M1137" s="62"/>
      <c r="N1137" s="62"/>
      <c r="O1137" s="62"/>
      <c r="P1137" s="62"/>
      <c r="Q1137" s="62"/>
      <c r="R1137" s="62"/>
      <c r="S1137" s="62"/>
      <c r="T1137" s="62"/>
      <c r="U1137" s="62"/>
      <c r="V1137" s="62"/>
      <c r="W1137" s="62"/>
      <c r="X1137" s="62"/>
      <c r="Y1137" s="62"/>
      <c r="Z1137" s="62"/>
      <c r="AA1137" s="62"/>
      <c r="AB1137" s="62"/>
      <c r="AC1137" s="62"/>
      <c r="AD1137" s="62"/>
    </row>
    <row r="1138">
      <c r="A1138" s="6"/>
      <c r="B1138" s="6"/>
      <c r="C1138" s="6"/>
      <c r="D1138" s="62"/>
      <c r="E1138" s="62"/>
      <c r="F1138" s="62"/>
      <c r="G1138" s="62"/>
      <c r="H1138" s="62"/>
      <c r="I1138" s="62"/>
      <c r="J1138" s="62"/>
      <c r="K1138" s="62"/>
      <c r="L1138" s="62"/>
      <c r="M1138" s="62"/>
      <c r="N1138" s="62"/>
      <c r="O1138" s="62"/>
      <c r="P1138" s="62"/>
      <c r="Q1138" s="62"/>
      <c r="R1138" s="62"/>
      <c r="S1138" s="62"/>
      <c r="T1138" s="62"/>
      <c r="U1138" s="62"/>
      <c r="V1138" s="62"/>
      <c r="W1138" s="62"/>
      <c r="X1138" s="62"/>
      <c r="Y1138" s="62"/>
      <c r="Z1138" s="62"/>
      <c r="AA1138" s="62"/>
      <c r="AB1138" s="62"/>
      <c r="AC1138" s="62"/>
      <c r="AD1138" s="62"/>
    </row>
    <row r="1139">
      <c r="A1139" s="6"/>
      <c r="B1139" s="6"/>
      <c r="C1139" s="6"/>
      <c r="D1139" s="62"/>
      <c r="E1139" s="62"/>
      <c r="F1139" s="62"/>
      <c r="G1139" s="62"/>
      <c r="H1139" s="62"/>
      <c r="I1139" s="62"/>
      <c r="J1139" s="62"/>
      <c r="K1139" s="62"/>
      <c r="L1139" s="62"/>
      <c r="M1139" s="62"/>
      <c r="N1139" s="62"/>
      <c r="O1139" s="62"/>
      <c r="P1139" s="62"/>
      <c r="Q1139" s="62"/>
      <c r="R1139" s="62"/>
      <c r="S1139" s="62"/>
      <c r="T1139" s="62"/>
      <c r="U1139" s="62"/>
      <c r="V1139" s="62"/>
      <c r="W1139" s="62"/>
      <c r="X1139" s="62"/>
      <c r="Y1139" s="62"/>
      <c r="Z1139" s="62"/>
      <c r="AA1139" s="62"/>
      <c r="AB1139" s="62"/>
      <c r="AC1139" s="62"/>
      <c r="AD1139" s="62"/>
    </row>
    <row r="1140">
      <c r="A1140" s="6"/>
      <c r="B1140" s="6"/>
      <c r="C1140" s="6"/>
      <c r="D1140" s="62"/>
      <c r="E1140" s="62"/>
      <c r="F1140" s="62"/>
      <c r="G1140" s="62"/>
      <c r="H1140" s="62"/>
      <c r="I1140" s="62"/>
      <c r="J1140" s="62"/>
      <c r="K1140" s="62"/>
      <c r="L1140" s="62"/>
      <c r="M1140" s="62"/>
      <c r="N1140" s="62"/>
      <c r="O1140" s="62"/>
      <c r="P1140" s="62"/>
      <c r="Q1140" s="62"/>
      <c r="R1140" s="62"/>
      <c r="S1140" s="62"/>
      <c r="T1140" s="62"/>
      <c r="U1140" s="62"/>
      <c r="V1140" s="62"/>
      <c r="W1140" s="62"/>
      <c r="X1140" s="62"/>
      <c r="Y1140" s="62"/>
      <c r="Z1140" s="62"/>
      <c r="AA1140" s="62"/>
      <c r="AB1140" s="62"/>
      <c r="AC1140" s="62"/>
      <c r="AD1140" s="62"/>
    </row>
    <row r="1141">
      <c r="A1141" s="6"/>
      <c r="B1141" s="6"/>
      <c r="C1141" s="6"/>
      <c r="D1141" s="62"/>
      <c r="E1141" s="62"/>
      <c r="F1141" s="62"/>
      <c r="G1141" s="62"/>
      <c r="H1141" s="62"/>
      <c r="I1141" s="62"/>
      <c r="J1141" s="62"/>
      <c r="K1141" s="62"/>
      <c r="L1141" s="62"/>
      <c r="M1141" s="62"/>
      <c r="N1141" s="62"/>
      <c r="O1141" s="62"/>
      <c r="P1141" s="62"/>
      <c r="Q1141" s="62"/>
      <c r="R1141" s="62"/>
      <c r="S1141" s="62"/>
      <c r="T1141" s="62"/>
      <c r="U1141" s="62"/>
      <c r="V1141" s="62"/>
      <c r="W1141" s="62"/>
      <c r="X1141" s="62"/>
      <c r="Y1141" s="62"/>
      <c r="Z1141" s="62"/>
      <c r="AA1141" s="62"/>
      <c r="AB1141" s="62"/>
      <c r="AC1141" s="62"/>
      <c r="AD1141" s="62"/>
    </row>
    <row r="1142">
      <c r="A1142" s="6"/>
      <c r="B1142" s="6"/>
      <c r="C1142" s="6"/>
      <c r="D1142" s="62"/>
      <c r="E1142" s="62"/>
      <c r="F1142" s="62"/>
      <c r="G1142" s="62"/>
      <c r="H1142" s="62"/>
      <c r="I1142" s="62"/>
      <c r="J1142" s="62"/>
      <c r="K1142" s="62"/>
      <c r="L1142" s="62"/>
      <c r="M1142" s="62"/>
      <c r="N1142" s="62"/>
      <c r="O1142" s="62"/>
      <c r="P1142" s="62"/>
      <c r="Q1142" s="62"/>
      <c r="R1142" s="62"/>
      <c r="S1142" s="62"/>
      <c r="T1142" s="62"/>
      <c r="U1142" s="62"/>
      <c r="V1142" s="62"/>
      <c r="W1142" s="62"/>
      <c r="X1142" s="62"/>
      <c r="Y1142" s="62"/>
      <c r="Z1142" s="62"/>
      <c r="AA1142" s="62"/>
      <c r="AB1142" s="62"/>
      <c r="AC1142" s="62"/>
      <c r="AD1142" s="62"/>
    </row>
    <row r="1143">
      <c r="A1143" s="6"/>
      <c r="B1143" s="6"/>
      <c r="C1143" s="6"/>
      <c r="D1143" s="62"/>
      <c r="E1143" s="62"/>
      <c r="F1143" s="62"/>
      <c r="G1143" s="62"/>
      <c r="H1143" s="62"/>
      <c r="I1143" s="62"/>
      <c r="J1143" s="62"/>
      <c r="K1143" s="62"/>
      <c r="L1143" s="62"/>
      <c r="M1143" s="62"/>
      <c r="N1143" s="62"/>
      <c r="O1143" s="62"/>
      <c r="P1143" s="62"/>
      <c r="Q1143" s="62"/>
      <c r="R1143" s="62"/>
      <c r="S1143" s="62"/>
      <c r="T1143" s="62"/>
      <c r="U1143" s="62"/>
      <c r="V1143" s="62"/>
      <c r="W1143" s="62"/>
      <c r="X1143" s="62"/>
      <c r="Y1143" s="62"/>
      <c r="Z1143" s="62"/>
      <c r="AA1143" s="62"/>
      <c r="AB1143" s="62"/>
      <c r="AC1143" s="62"/>
      <c r="AD1143" s="62"/>
    </row>
    <row r="1144">
      <c r="A1144" s="6"/>
      <c r="B1144" s="6"/>
      <c r="C1144" s="6"/>
      <c r="D1144" s="62"/>
      <c r="E1144" s="62"/>
      <c r="F1144" s="62"/>
      <c r="G1144" s="62"/>
      <c r="H1144" s="62"/>
      <c r="I1144" s="62"/>
      <c r="J1144" s="62"/>
      <c r="K1144" s="62"/>
      <c r="L1144" s="62"/>
      <c r="M1144" s="62"/>
      <c r="N1144" s="62"/>
      <c r="O1144" s="62"/>
      <c r="P1144" s="62"/>
      <c r="Q1144" s="62"/>
      <c r="R1144" s="62"/>
      <c r="S1144" s="62"/>
      <c r="T1144" s="62"/>
      <c r="U1144" s="62"/>
      <c r="V1144" s="62"/>
      <c r="W1144" s="62"/>
      <c r="X1144" s="62"/>
      <c r="Y1144" s="62"/>
      <c r="Z1144" s="62"/>
      <c r="AA1144" s="62"/>
      <c r="AB1144" s="62"/>
      <c r="AC1144" s="62"/>
      <c r="AD1144" s="62"/>
    </row>
    <row r="1145">
      <c r="A1145" s="6"/>
      <c r="B1145" s="6"/>
      <c r="C1145" s="6"/>
      <c r="D1145" s="62"/>
      <c r="E1145" s="62"/>
      <c r="F1145" s="62"/>
      <c r="G1145" s="62"/>
      <c r="H1145" s="62"/>
      <c r="I1145" s="62"/>
      <c r="J1145" s="62"/>
      <c r="K1145" s="62"/>
      <c r="L1145" s="62"/>
      <c r="M1145" s="62"/>
      <c r="N1145" s="62"/>
      <c r="O1145" s="62"/>
      <c r="P1145" s="62"/>
      <c r="Q1145" s="62"/>
      <c r="R1145" s="62"/>
      <c r="S1145" s="62"/>
      <c r="T1145" s="62"/>
      <c r="U1145" s="62"/>
      <c r="V1145" s="62"/>
      <c r="W1145" s="62"/>
      <c r="X1145" s="62"/>
      <c r="Y1145" s="62"/>
      <c r="Z1145" s="62"/>
      <c r="AA1145" s="62"/>
      <c r="AB1145" s="62"/>
      <c r="AC1145" s="62"/>
      <c r="AD1145" s="62"/>
    </row>
    <row r="1146">
      <c r="A1146" s="6"/>
      <c r="B1146" s="6"/>
      <c r="C1146" s="6"/>
      <c r="D1146" s="62"/>
      <c r="E1146" s="62"/>
      <c r="F1146" s="62"/>
      <c r="G1146" s="62"/>
      <c r="H1146" s="62"/>
      <c r="I1146" s="62"/>
      <c r="J1146" s="62"/>
      <c r="K1146" s="62"/>
      <c r="L1146" s="62"/>
      <c r="M1146" s="62"/>
      <c r="N1146" s="62"/>
      <c r="O1146" s="62"/>
      <c r="P1146" s="62"/>
      <c r="Q1146" s="62"/>
      <c r="R1146" s="62"/>
      <c r="S1146" s="62"/>
      <c r="T1146" s="62"/>
      <c r="U1146" s="62"/>
      <c r="V1146" s="62"/>
      <c r="W1146" s="62"/>
      <c r="X1146" s="62"/>
      <c r="Y1146" s="62"/>
      <c r="Z1146" s="62"/>
      <c r="AA1146" s="62"/>
      <c r="AB1146" s="62"/>
      <c r="AC1146" s="62"/>
      <c r="AD1146" s="62"/>
    </row>
    <row r="1147">
      <c r="A1147" s="6"/>
      <c r="B1147" s="6"/>
      <c r="C1147" s="6"/>
      <c r="D1147" s="62"/>
      <c r="E1147" s="62"/>
      <c r="F1147" s="62"/>
      <c r="G1147" s="62"/>
      <c r="H1147" s="62"/>
      <c r="I1147" s="62"/>
      <c r="J1147" s="62"/>
      <c r="K1147" s="62"/>
      <c r="L1147" s="62"/>
      <c r="M1147" s="62"/>
      <c r="N1147" s="62"/>
      <c r="O1147" s="62"/>
      <c r="P1147" s="62"/>
      <c r="Q1147" s="62"/>
      <c r="R1147" s="62"/>
      <c r="S1147" s="62"/>
      <c r="T1147" s="62"/>
      <c r="U1147" s="62"/>
      <c r="V1147" s="62"/>
      <c r="W1147" s="62"/>
      <c r="X1147" s="62"/>
      <c r="Y1147" s="62"/>
      <c r="Z1147" s="62"/>
      <c r="AA1147" s="62"/>
      <c r="AB1147" s="62"/>
      <c r="AC1147" s="62"/>
      <c r="AD1147" s="62"/>
    </row>
    <row r="1148">
      <c r="A1148" s="6"/>
      <c r="B1148" s="6"/>
      <c r="C1148" s="6"/>
      <c r="D1148" s="62"/>
      <c r="E1148" s="62"/>
      <c r="F1148" s="62"/>
      <c r="G1148" s="62"/>
      <c r="H1148" s="62"/>
      <c r="I1148" s="62"/>
      <c r="J1148" s="62"/>
      <c r="K1148" s="62"/>
      <c r="L1148" s="62"/>
      <c r="M1148" s="62"/>
      <c r="N1148" s="62"/>
      <c r="O1148" s="62"/>
      <c r="P1148" s="62"/>
      <c r="Q1148" s="62"/>
      <c r="R1148" s="62"/>
      <c r="S1148" s="62"/>
      <c r="T1148" s="62"/>
      <c r="U1148" s="62"/>
      <c r="V1148" s="62"/>
      <c r="W1148" s="62"/>
      <c r="X1148" s="62"/>
      <c r="Y1148" s="62"/>
      <c r="Z1148" s="62"/>
      <c r="AA1148" s="62"/>
      <c r="AB1148" s="62"/>
      <c r="AC1148" s="62"/>
      <c r="AD1148" s="62"/>
    </row>
    <row r="1149">
      <c r="A1149" s="6"/>
      <c r="B1149" s="6"/>
      <c r="C1149" s="6"/>
      <c r="D1149" s="62"/>
      <c r="E1149" s="62"/>
      <c r="F1149" s="62"/>
      <c r="G1149" s="62"/>
      <c r="H1149" s="62"/>
      <c r="I1149" s="62"/>
      <c r="J1149" s="62"/>
      <c r="K1149" s="62"/>
      <c r="L1149" s="62"/>
      <c r="M1149" s="62"/>
      <c r="N1149" s="62"/>
      <c r="O1149" s="62"/>
      <c r="P1149" s="62"/>
      <c r="Q1149" s="62"/>
      <c r="R1149" s="62"/>
      <c r="S1149" s="62"/>
      <c r="T1149" s="62"/>
      <c r="U1149" s="62"/>
      <c r="V1149" s="62"/>
      <c r="W1149" s="62"/>
      <c r="X1149" s="62"/>
      <c r="Y1149" s="62"/>
      <c r="Z1149" s="62"/>
      <c r="AA1149" s="62"/>
      <c r="AB1149" s="62"/>
      <c r="AC1149" s="62"/>
      <c r="AD1149" s="62"/>
    </row>
    <row r="1150">
      <c r="A1150" s="6"/>
      <c r="B1150" s="6"/>
      <c r="C1150" s="6"/>
      <c r="D1150" s="62"/>
      <c r="E1150" s="62"/>
      <c r="F1150" s="62"/>
      <c r="G1150" s="62"/>
      <c r="H1150" s="62"/>
      <c r="I1150" s="62"/>
      <c r="J1150" s="62"/>
      <c r="K1150" s="62"/>
      <c r="L1150" s="62"/>
      <c r="M1150" s="62"/>
      <c r="N1150" s="62"/>
      <c r="O1150" s="62"/>
      <c r="P1150" s="62"/>
      <c r="Q1150" s="62"/>
      <c r="R1150" s="62"/>
      <c r="S1150" s="62"/>
      <c r="T1150" s="62"/>
      <c r="U1150" s="62"/>
      <c r="V1150" s="62"/>
      <c r="W1150" s="62"/>
      <c r="X1150" s="62"/>
      <c r="Y1150" s="62"/>
      <c r="Z1150" s="62"/>
      <c r="AA1150" s="62"/>
      <c r="AB1150" s="62"/>
      <c r="AC1150" s="62"/>
      <c r="AD1150" s="62"/>
    </row>
    <row r="1151">
      <c r="A1151" s="6"/>
      <c r="B1151" s="6"/>
      <c r="C1151" s="6"/>
      <c r="D1151" s="62"/>
      <c r="E1151" s="62"/>
      <c r="F1151" s="62"/>
      <c r="G1151" s="62"/>
      <c r="H1151" s="62"/>
      <c r="I1151" s="62"/>
      <c r="J1151" s="62"/>
      <c r="K1151" s="62"/>
      <c r="L1151" s="62"/>
      <c r="M1151" s="62"/>
      <c r="N1151" s="62"/>
      <c r="O1151" s="62"/>
      <c r="P1151" s="62"/>
      <c r="Q1151" s="62"/>
      <c r="R1151" s="62"/>
      <c r="S1151" s="62"/>
      <c r="T1151" s="62"/>
      <c r="U1151" s="62"/>
      <c r="V1151" s="62"/>
      <c r="W1151" s="62"/>
      <c r="X1151" s="62"/>
      <c r="Y1151" s="62"/>
      <c r="Z1151" s="62"/>
      <c r="AA1151" s="62"/>
      <c r="AB1151" s="62"/>
      <c r="AC1151" s="62"/>
      <c r="AD1151" s="62"/>
    </row>
    <row r="1152">
      <c r="A1152" s="6"/>
      <c r="B1152" s="6"/>
      <c r="C1152" s="6"/>
      <c r="D1152" s="62"/>
      <c r="E1152" s="62"/>
      <c r="F1152" s="62"/>
      <c r="G1152" s="62"/>
      <c r="H1152" s="62"/>
      <c r="I1152" s="62"/>
      <c r="J1152" s="62"/>
      <c r="K1152" s="62"/>
      <c r="L1152" s="62"/>
      <c r="M1152" s="62"/>
      <c r="N1152" s="62"/>
      <c r="O1152" s="62"/>
      <c r="P1152" s="62"/>
      <c r="Q1152" s="62"/>
      <c r="R1152" s="62"/>
      <c r="S1152" s="62"/>
      <c r="T1152" s="62"/>
      <c r="U1152" s="62"/>
      <c r="V1152" s="62"/>
      <c r="W1152" s="62"/>
      <c r="X1152" s="62"/>
      <c r="Y1152" s="62"/>
      <c r="Z1152" s="62"/>
      <c r="AA1152" s="62"/>
      <c r="AB1152" s="62"/>
      <c r="AC1152" s="62"/>
      <c r="AD1152" s="62"/>
    </row>
    <row r="1153">
      <c r="A1153" s="6"/>
      <c r="B1153" s="6"/>
      <c r="C1153" s="6"/>
      <c r="D1153" s="62"/>
      <c r="E1153" s="62"/>
      <c r="F1153" s="62"/>
      <c r="G1153" s="62"/>
      <c r="H1153" s="62"/>
      <c r="I1153" s="62"/>
      <c r="J1153" s="62"/>
      <c r="K1153" s="62"/>
      <c r="L1153" s="62"/>
      <c r="M1153" s="62"/>
      <c r="N1153" s="62"/>
      <c r="O1153" s="62"/>
      <c r="P1153" s="62"/>
      <c r="Q1153" s="62"/>
      <c r="R1153" s="62"/>
      <c r="S1153" s="62"/>
      <c r="T1153" s="62"/>
      <c r="U1153" s="62"/>
      <c r="V1153" s="62"/>
      <c r="W1153" s="62"/>
      <c r="X1153" s="62"/>
      <c r="Y1153" s="62"/>
      <c r="Z1153" s="62"/>
      <c r="AA1153" s="62"/>
      <c r="AB1153" s="62"/>
      <c r="AC1153" s="62"/>
      <c r="AD1153" s="62"/>
    </row>
    <row r="1154">
      <c r="A1154" s="6"/>
      <c r="B1154" s="6"/>
      <c r="C1154" s="6"/>
      <c r="D1154" s="62"/>
      <c r="E1154" s="62"/>
      <c r="F1154" s="62"/>
      <c r="G1154" s="62"/>
      <c r="H1154" s="62"/>
      <c r="I1154" s="62"/>
      <c r="J1154" s="62"/>
      <c r="K1154" s="62"/>
      <c r="L1154" s="62"/>
      <c r="M1154" s="62"/>
      <c r="N1154" s="62"/>
      <c r="O1154" s="62"/>
      <c r="P1154" s="62"/>
      <c r="Q1154" s="62"/>
      <c r="R1154" s="62"/>
      <c r="S1154" s="62"/>
      <c r="T1154" s="62"/>
      <c r="U1154" s="62"/>
      <c r="V1154" s="62"/>
      <c r="W1154" s="62"/>
      <c r="X1154" s="62"/>
      <c r="Y1154" s="62"/>
      <c r="Z1154" s="62"/>
      <c r="AA1154" s="62"/>
      <c r="AB1154" s="62"/>
      <c r="AC1154" s="62"/>
      <c r="AD1154" s="62"/>
    </row>
    <row r="1155">
      <c r="A1155" s="6"/>
      <c r="B1155" s="6"/>
      <c r="C1155" s="6"/>
      <c r="D1155" s="62"/>
      <c r="E1155" s="62"/>
      <c r="F1155" s="62"/>
      <c r="G1155" s="62"/>
      <c r="H1155" s="62"/>
      <c r="I1155" s="62"/>
      <c r="J1155" s="62"/>
      <c r="K1155" s="62"/>
      <c r="L1155" s="62"/>
      <c r="M1155" s="62"/>
      <c r="N1155" s="62"/>
      <c r="O1155" s="62"/>
      <c r="P1155" s="62"/>
      <c r="Q1155" s="62"/>
      <c r="R1155" s="62"/>
      <c r="S1155" s="62"/>
      <c r="T1155" s="62"/>
      <c r="U1155" s="62"/>
      <c r="V1155" s="62"/>
      <c r="W1155" s="62"/>
      <c r="X1155" s="62"/>
      <c r="Y1155" s="62"/>
      <c r="Z1155" s="62"/>
      <c r="AA1155" s="62"/>
      <c r="AB1155" s="62"/>
      <c r="AC1155" s="62"/>
      <c r="AD1155" s="62"/>
    </row>
    <row r="1156">
      <c r="A1156" s="6"/>
      <c r="B1156" s="6"/>
      <c r="C1156" s="6"/>
      <c r="D1156" s="62"/>
      <c r="E1156" s="62"/>
      <c r="F1156" s="62"/>
      <c r="G1156" s="62"/>
      <c r="H1156" s="62"/>
      <c r="I1156" s="62"/>
      <c r="J1156" s="62"/>
      <c r="K1156" s="62"/>
      <c r="L1156" s="62"/>
      <c r="M1156" s="62"/>
      <c r="N1156" s="62"/>
      <c r="O1156" s="62"/>
      <c r="P1156" s="62"/>
      <c r="Q1156" s="62"/>
      <c r="R1156" s="62"/>
      <c r="S1156" s="62"/>
      <c r="T1156" s="62"/>
      <c r="U1156" s="62"/>
      <c r="V1156" s="62"/>
      <c r="W1156" s="62"/>
      <c r="X1156" s="62"/>
      <c r="Y1156" s="62"/>
      <c r="Z1156" s="62"/>
      <c r="AA1156" s="62"/>
      <c r="AB1156" s="62"/>
      <c r="AC1156" s="62"/>
      <c r="AD1156" s="62"/>
    </row>
    <row r="1157">
      <c r="A1157" s="6"/>
      <c r="B1157" s="6"/>
      <c r="C1157" s="6"/>
      <c r="D1157" s="62"/>
      <c r="E1157" s="62"/>
      <c r="F1157" s="62"/>
      <c r="G1157" s="62"/>
      <c r="H1157" s="62"/>
      <c r="I1157" s="62"/>
      <c r="J1157" s="62"/>
      <c r="K1157" s="62"/>
      <c r="L1157" s="62"/>
      <c r="M1157" s="62"/>
      <c r="N1157" s="62"/>
      <c r="O1157" s="62"/>
      <c r="P1157" s="62"/>
      <c r="Q1157" s="62"/>
      <c r="R1157" s="62"/>
      <c r="S1157" s="62"/>
      <c r="T1157" s="62"/>
      <c r="U1157" s="62"/>
      <c r="V1157" s="62"/>
      <c r="W1157" s="62"/>
      <c r="X1157" s="62"/>
      <c r="Y1157" s="62"/>
      <c r="Z1157" s="62"/>
      <c r="AA1157" s="62"/>
      <c r="AB1157" s="62"/>
      <c r="AC1157" s="62"/>
      <c r="AD1157" s="62"/>
    </row>
    <row r="1158">
      <c r="A1158" s="6"/>
      <c r="B1158" s="6"/>
      <c r="C1158" s="6"/>
      <c r="D1158" s="62"/>
      <c r="E1158" s="62"/>
      <c r="F1158" s="62"/>
      <c r="G1158" s="62"/>
      <c r="H1158" s="62"/>
      <c r="I1158" s="62"/>
      <c r="J1158" s="62"/>
      <c r="K1158" s="62"/>
      <c r="L1158" s="62"/>
      <c r="M1158" s="62"/>
      <c r="N1158" s="62"/>
      <c r="O1158" s="62"/>
      <c r="P1158" s="62"/>
      <c r="Q1158" s="62"/>
      <c r="R1158" s="62"/>
      <c r="S1158" s="62"/>
      <c r="T1158" s="62"/>
      <c r="U1158" s="62"/>
      <c r="V1158" s="62"/>
      <c r="W1158" s="62"/>
      <c r="X1158" s="62"/>
      <c r="Y1158" s="62"/>
      <c r="Z1158" s="62"/>
      <c r="AA1158" s="62"/>
      <c r="AB1158" s="62"/>
      <c r="AC1158" s="62"/>
      <c r="AD1158" s="62"/>
    </row>
    <row r="1159">
      <c r="A1159" s="6"/>
      <c r="B1159" s="6"/>
      <c r="C1159" s="6"/>
      <c r="D1159" s="62"/>
      <c r="E1159" s="62"/>
      <c r="F1159" s="62"/>
      <c r="G1159" s="62"/>
      <c r="H1159" s="62"/>
      <c r="I1159" s="62"/>
      <c r="J1159" s="62"/>
      <c r="K1159" s="62"/>
      <c r="L1159" s="62"/>
      <c r="M1159" s="62"/>
      <c r="N1159" s="62"/>
      <c r="O1159" s="62"/>
      <c r="P1159" s="62"/>
      <c r="Q1159" s="62"/>
      <c r="R1159" s="62"/>
      <c r="S1159" s="62"/>
      <c r="T1159" s="62"/>
      <c r="U1159" s="62"/>
      <c r="V1159" s="62"/>
      <c r="W1159" s="62"/>
      <c r="X1159" s="62"/>
      <c r="Y1159" s="62"/>
      <c r="Z1159" s="62"/>
      <c r="AA1159" s="62"/>
      <c r="AB1159" s="62"/>
      <c r="AC1159" s="62"/>
      <c r="AD1159" s="62"/>
    </row>
    <row r="1160">
      <c r="A1160" s="6"/>
      <c r="B1160" s="6"/>
      <c r="C1160" s="6"/>
      <c r="D1160" s="62"/>
      <c r="E1160" s="62"/>
      <c r="F1160" s="62"/>
      <c r="G1160" s="62"/>
      <c r="H1160" s="62"/>
      <c r="I1160" s="62"/>
      <c r="J1160" s="62"/>
      <c r="K1160" s="62"/>
      <c r="L1160" s="62"/>
      <c r="M1160" s="62"/>
      <c r="N1160" s="62"/>
      <c r="O1160" s="62"/>
      <c r="P1160" s="62"/>
      <c r="Q1160" s="62"/>
      <c r="R1160" s="62"/>
      <c r="S1160" s="62"/>
      <c r="T1160" s="62"/>
      <c r="U1160" s="62"/>
      <c r="V1160" s="62"/>
      <c r="W1160" s="62"/>
      <c r="X1160" s="62"/>
      <c r="Y1160" s="62"/>
      <c r="Z1160" s="62"/>
      <c r="AA1160" s="62"/>
      <c r="AB1160" s="62"/>
      <c r="AC1160" s="62"/>
      <c r="AD1160" s="62"/>
    </row>
    <row r="1161">
      <c r="A1161" s="6"/>
      <c r="B1161" s="6"/>
      <c r="C1161" s="6"/>
      <c r="D1161" s="62"/>
      <c r="E1161" s="62"/>
      <c r="F1161" s="62"/>
      <c r="G1161" s="62"/>
      <c r="H1161" s="62"/>
      <c r="I1161" s="62"/>
      <c r="J1161" s="62"/>
      <c r="K1161" s="62"/>
      <c r="L1161" s="62"/>
      <c r="M1161" s="62"/>
      <c r="N1161" s="62"/>
      <c r="O1161" s="62"/>
      <c r="P1161" s="62"/>
      <c r="Q1161" s="62"/>
      <c r="R1161" s="62"/>
      <c r="S1161" s="62"/>
      <c r="T1161" s="62"/>
      <c r="U1161" s="62"/>
      <c r="V1161" s="62"/>
      <c r="W1161" s="62"/>
      <c r="X1161" s="62"/>
      <c r="Y1161" s="62"/>
      <c r="Z1161" s="62"/>
      <c r="AA1161" s="62"/>
      <c r="AB1161" s="62"/>
      <c r="AC1161" s="62"/>
      <c r="AD1161" s="62"/>
    </row>
    <row r="1162">
      <c r="A1162" s="6"/>
      <c r="B1162" s="6"/>
      <c r="C1162" s="6"/>
      <c r="D1162" s="62"/>
      <c r="E1162" s="62"/>
      <c r="F1162" s="62"/>
      <c r="G1162" s="62"/>
      <c r="H1162" s="62"/>
      <c r="I1162" s="62"/>
      <c r="J1162" s="62"/>
      <c r="K1162" s="62"/>
      <c r="L1162" s="62"/>
      <c r="M1162" s="62"/>
      <c r="N1162" s="62"/>
      <c r="O1162" s="62"/>
      <c r="P1162" s="62"/>
      <c r="Q1162" s="62"/>
      <c r="R1162" s="62"/>
      <c r="S1162" s="62"/>
      <c r="T1162" s="62"/>
      <c r="U1162" s="62"/>
      <c r="V1162" s="62"/>
      <c r="W1162" s="62"/>
      <c r="X1162" s="62"/>
      <c r="Y1162" s="62"/>
      <c r="Z1162" s="62"/>
      <c r="AA1162" s="62"/>
      <c r="AB1162" s="62"/>
      <c r="AC1162" s="62"/>
      <c r="AD1162" s="62"/>
    </row>
    <row r="1163">
      <c r="A1163" s="6"/>
      <c r="B1163" s="6"/>
      <c r="C1163" s="6"/>
      <c r="D1163" s="62"/>
      <c r="E1163" s="62"/>
      <c r="F1163" s="62"/>
      <c r="G1163" s="62"/>
      <c r="H1163" s="62"/>
      <c r="I1163" s="62"/>
      <c r="J1163" s="62"/>
      <c r="K1163" s="62"/>
      <c r="L1163" s="62"/>
      <c r="M1163" s="62"/>
      <c r="N1163" s="62"/>
      <c r="O1163" s="62"/>
      <c r="P1163" s="62"/>
      <c r="Q1163" s="62"/>
      <c r="R1163" s="62"/>
      <c r="S1163" s="62"/>
      <c r="T1163" s="62"/>
      <c r="U1163" s="62"/>
      <c r="V1163" s="62"/>
      <c r="W1163" s="62"/>
      <c r="X1163" s="62"/>
      <c r="Y1163" s="62"/>
      <c r="Z1163" s="62"/>
      <c r="AA1163" s="62"/>
      <c r="AB1163" s="62"/>
      <c r="AC1163" s="62"/>
      <c r="AD1163" s="62"/>
    </row>
    <row r="1164">
      <c r="A1164" s="6"/>
      <c r="B1164" s="6"/>
      <c r="C1164" s="6"/>
      <c r="D1164" s="62"/>
      <c r="E1164" s="62"/>
      <c r="F1164" s="62"/>
      <c r="G1164" s="62"/>
      <c r="H1164" s="62"/>
      <c r="I1164" s="62"/>
      <c r="J1164" s="62"/>
      <c r="K1164" s="62"/>
      <c r="L1164" s="62"/>
      <c r="M1164" s="62"/>
      <c r="N1164" s="62"/>
      <c r="O1164" s="62"/>
      <c r="P1164" s="62"/>
      <c r="Q1164" s="62"/>
      <c r="R1164" s="62"/>
      <c r="S1164" s="62"/>
      <c r="T1164" s="62"/>
      <c r="U1164" s="62"/>
      <c r="V1164" s="62"/>
      <c r="W1164" s="62"/>
      <c r="X1164" s="62"/>
      <c r="Y1164" s="62"/>
      <c r="Z1164" s="62"/>
      <c r="AA1164" s="62"/>
      <c r="AB1164" s="62"/>
      <c r="AC1164" s="62"/>
      <c r="AD1164" s="62"/>
    </row>
    <row r="1165">
      <c r="A1165" s="6"/>
      <c r="B1165" s="6"/>
      <c r="C1165" s="6"/>
      <c r="D1165" s="62"/>
      <c r="E1165" s="62"/>
      <c r="F1165" s="62"/>
      <c r="G1165" s="62"/>
      <c r="H1165" s="62"/>
      <c r="I1165" s="62"/>
      <c r="J1165" s="62"/>
      <c r="K1165" s="62"/>
      <c r="L1165" s="62"/>
      <c r="M1165" s="62"/>
      <c r="N1165" s="62"/>
      <c r="O1165" s="62"/>
      <c r="P1165" s="62"/>
      <c r="Q1165" s="62"/>
      <c r="R1165" s="62"/>
      <c r="S1165" s="62"/>
      <c r="T1165" s="62"/>
      <c r="U1165" s="62"/>
      <c r="V1165" s="62"/>
      <c r="W1165" s="62"/>
      <c r="X1165" s="62"/>
      <c r="Y1165" s="62"/>
      <c r="Z1165" s="62"/>
      <c r="AA1165" s="62"/>
      <c r="AB1165" s="62"/>
      <c r="AC1165" s="62"/>
      <c r="AD1165" s="62"/>
    </row>
    <row r="1166">
      <c r="A1166" s="6"/>
      <c r="B1166" s="6"/>
      <c r="C1166" s="6"/>
      <c r="D1166" s="62"/>
      <c r="E1166" s="62"/>
      <c r="F1166" s="62"/>
      <c r="G1166" s="62"/>
      <c r="H1166" s="62"/>
      <c r="I1166" s="62"/>
      <c r="J1166" s="62"/>
      <c r="K1166" s="62"/>
      <c r="L1166" s="62"/>
      <c r="M1166" s="62"/>
      <c r="N1166" s="62"/>
      <c r="O1166" s="62"/>
      <c r="P1166" s="62"/>
      <c r="Q1166" s="62"/>
      <c r="R1166" s="62"/>
      <c r="S1166" s="62"/>
      <c r="T1166" s="62"/>
      <c r="U1166" s="62"/>
      <c r="V1166" s="62"/>
      <c r="W1166" s="62"/>
      <c r="X1166" s="62"/>
      <c r="Y1166" s="62"/>
      <c r="Z1166" s="62"/>
      <c r="AA1166" s="62"/>
      <c r="AB1166" s="62"/>
      <c r="AC1166" s="62"/>
      <c r="AD1166" s="62"/>
    </row>
    <row r="1167">
      <c r="A1167" s="6"/>
      <c r="B1167" s="6"/>
      <c r="C1167" s="6"/>
      <c r="D1167" s="62"/>
      <c r="E1167" s="62"/>
      <c r="F1167" s="62"/>
      <c r="G1167" s="62"/>
      <c r="H1167" s="62"/>
      <c r="I1167" s="62"/>
      <c r="J1167" s="62"/>
      <c r="K1167" s="62"/>
      <c r="L1167" s="62"/>
      <c r="M1167" s="62"/>
      <c r="N1167" s="62"/>
      <c r="O1167" s="62"/>
      <c r="P1167" s="62"/>
      <c r="Q1167" s="62"/>
      <c r="R1167" s="62"/>
      <c r="S1167" s="62"/>
      <c r="T1167" s="62"/>
      <c r="U1167" s="62"/>
      <c r="V1167" s="62"/>
      <c r="W1167" s="62"/>
      <c r="X1167" s="62"/>
      <c r="Y1167" s="62"/>
      <c r="Z1167" s="62"/>
      <c r="AA1167" s="62"/>
      <c r="AB1167" s="62"/>
      <c r="AC1167" s="62"/>
      <c r="AD1167" s="62"/>
    </row>
    <row r="1168">
      <c r="A1168" s="6"/>
      <c r="B1168" s="6"/>
      <c r="C1168" s="6"/>
      <c r="D1168" s="62"/>
      <c r="E1168" s="62"/>
      <c r="F1168" s="62"/>
      <c r="G1168" s="62"/>
      <c r="H1168" s="62"/>
      <c r="I1168" s="62"/>
      <c r="J1168" s="62"/>
      <c r="K1168" s="62"/>
      <c r="L1168" s="62"/>
      <c r="M1168" s="62"/>
      <c r="N1168" s="62"/>
      <c r="O1168" s="62"/>
      <c r="P1168" s="62"/>
      <c r="Q1168" s="62"/>
      <c r="R1168" s="62"/>
      <c r="S1168" s="62"/>
      <c r="T1168" s="62"/>
      <c r="U1168" s="62"/>
      <c r="V1168" s="62"/>
      <c r="W1168" s="62"/>
      <c r="X1168" s="62"/>
      <c r="Y1168" s="62"/>
      <c r="Z1168" s="62"/>
      <c r="AA1168" s="62"/>
      <c r="AB1168" s="62"/>
      <c r="AC1168" s="62"/>
      <c r="AD1168" s="62"/>
    </row>
    <row r="1169">
      <c r="A1169" s="6"/>
      <c r="B1169" s="6"/>
      <c r="C1169" s="6"/>
      <c r="D1169" s="62"/>
      <c r="E1169" s="62"/>
      <c r="F1169" s="62"/>
      <c r="G1169" s="62"/>
      <c r="H1169" s="62"/>
      <c r="I1169" s="62"/>
      <c r="J1169" s="62"/>
      <c r="K1169" s="62"/>
      <c r="L1169" s="62"/>
      <c r="M1169" s="62"/>
      <c r="N1169" s="62"/>
      <c r="O1169" s="62"/>
      <c r="P1169" s="62"/>
      <c r="Q1169" s="62"/>
      <c r="R1169" s="62"/>
      <c r="S1169" s="62"/>
      <c r="T1169" s="62"/>
      <c r="U1169" s="62"/>
      <c r="V1169" s="62"/>
      <c r="W1169" s="62"/>
      <c r="X1169" s="62"/>
      <c r="Y1169" s="62"/>
      <c r="Z1169" s="62"/>
      <c r="AA1169" s="62"/>
      <c r="AB1169" s="62"/>
      <c r="AC1169" s="62"/>
      <c r="AD1169" s="62"/>
    </row>
    <row r="1170">
      <c r="A1170" s="6"/>
      <c r="B1170" s="6"/>
      <c r="C1170" s="6"/>
      <c r="D1170" s="62"/>
      <c r="E1170" s="62"/>
      <c r="F1170" s="62"/>
      <c r="G1170" s="62"/>
      <c r="H1170" s="62"/>
      <c r="I1170" s="62"/>
      <c r="J1170" s="62"/>
      <c r="K1170" s="62"/>
      <c r="L1170" s="62"/>
      <c r="M1170" s="62"/>
      <c r="N1170" s="62"/>
      <c r="O1170" s="62"/>
      <c r="P1170" s="62"/>
      <c r="Q1170" s="62"/>
      <c r="R1170" s="62"/>
      <c r="S1170" s="62"/>
      <c r="T1170" s="62"/>
      <c r="U1170" s="62"/>
      <c r="V1170" s="62"/>
      <c r="W1170" s="62"/>
      <c r="X1170" s="62"/>
      <c r="Y1170" s="62"/>
      <c r="Z1170" s="62"/>
      <c r="AA1170" s="62"/>
      <c r="AB1170" s="62"/>
      <c r="AC1170" s="62"/>
      <c r="AD1170" s="62"/>
    </row>
    <row r="1171">
      <c r="A1171" s="6"/>
      <c r="B1171" s="6"/>
      <c r="C1171" s="6"/>
      <c r="D1171" s="62"/>
      <c r="E1171" s="62"/>
      <c r="F1171" s="62"/>
      <c r="G1171" s="62"/>
      <c r="H1171" s="62"/>
      <c r="I1171" s="62"/>
      <c r="J1171" s="62"/>
      <c r="K1171" s="62"/>
      <c r="L1171" s="62"/>
      <c r="M1171" s="62"/>
      <c r="N1171" s="62"/>
      <c r="O1171" s="62"/>
      <c r="P1171" s="62"/>
      <c r="Q1171" s="62"/>
      <c r="R1171" s="62"/>
      <c r="S1171" s="62"/>
      <c r="T1171" s="62"/>
      <c r="U1171" s="62"/>
      <c r="V1171" s="62"/>
      <c r="W1171" s="62"/>
      <c r="X1171" s="62"/>
      <c r="Y1171" s="62"/>
      <c r="Z1171" s="62"/>
      <c r="AA1171" s="62"/>
      <c r="AB1171" s="62"/>
      <c r="AC1171" s="62"/>
      <c r="AD1171" s="62"/>
    </row>
    <row r="1172">
      <c r="A1172" s="6"/>
      <c r="B1172" s="6"/>
      <c r="C1172" s="6"/>
      <c r="D1172" s="62"/>
      <c r="E1172" s="62"/>
      <c r="F1172" s="62"/>
      <c r="G1172" s="62"/>
      <c r="H1172" s="62"/>
      <c r="I1172" s="62"/>
      <c r="J1172" s="62"/>
      <c r="K1172" s="62"/>
      <c r="L1172" s="62"/>
      <c r="M1172" s="62"/>
      <c r="N1172" s="62"/>
      <c r="O1172" s="62"/>
      <c r="P1172" s="62"/>
      <c r="Q1172" s="62"/>
      <c r="R1172" s="62"/>
      <c r="S1172" s="62"/>
      <c r="T1172" s="62"/>
      <c r="U1172" s="62"/>
      <c r="V1172" s="62"/>
      <c r="W1172" s="62"/>
      <c r="X1172" s="62"/>
      <c r="Y1172" s="62"/>
      <c r="Z1172" s="62"/>
      <c r="AA1172" s="62"/>
      <c r="AB1172" s="62"/>
      <c r="AC1172" s="62"/>
      <c r="AD1172" s="62"/>
    </row>
    <row r="1173">
      <c r="A1173" s="6"/>
      <c r="B1173" s="6"/>
      <c r="C1173" s="6"/>
      <c r="D1173" s="62"/>
      <c r="E1173" s="62"/>
      <c r="F1173" s="62"/>
      <c r="G1173" s="62"/>
      <c r="H1173" s="62"/>
      <c r="I1173" s="62"/>
      <c r="J1173" s="62"/>
      <c r="K1173" s="62"/>
      <c r="L1173" s="62"/>
      <c r="M1173" s="62"/>
      <c r="N1173" s="62"/>
      <c r="O1173" s="62"/>
      <c r="P1173" s="62"/>
      <c r="Q1173" s="62"/>
      <c r="R1173" s="62"/>
      <c r="S1173" s="62"/>
      <c r="T1173" s="62"/>
      <c r="U1173" s="62"/>
      <c r="V1173" s="62"/>
      <c r="W1173" s="62"/>
      <c r="X1173" s="62"/>
      <c r="Y1173" s="62"/>
      <c r="Z1173" s="62"/>
      <c r="AA1173" s="62"/>
      <c r="AB1173" s="62"/>
      <c r="AC1173" s="62"/>
      <c r="AD1173" s="62"/>
    </row>
    <row r="1174">
      <c r="A1174" s="6"/>
      <c r="B1174" s="6"/>
      <c r="C1174" s="6"/>
      <c r="D1174" s="62"/>
      <c r="E1174" s="62"/>
      <c r="F1174" s="62"/>
      <c r="G1174" s="62"/>
      <c r="H1174" s="62"/>
      <c r="I1174" s="62"/>
      <c r="J1174" s="62"/>
      <c r="K1174" s="62"/>
      <c r="L1174" s="62"/>
      <c r="M1174" s="62"/>
      <c r="N1174" s="62"/>
      <c r="O1174" s="62"/>
      <c r="P1174" s="62"/>
      <c r="Q1174" s="62"/>
      <c r="R1174" s="62"/>
      <c r="S1174" s="62"/>
      <c r="T1174" s="62"/>
      <c r="U1174" s="62"/>
      <c r="V1174" s="62"/>
      <c r="W1174" s="62"/>
      <c r="X1174" s="62"/>
      <c r="Y1174" s="62"/>
      <c r="Z1174" s="62"/>
      <c r="AA1174" s="62"/>
      <c r="AB1174" s="62"/>
      <c r="AC1174" s="62"/>
      <c r="AD1174" s="62"/>
    </row>
    <row r="1175">
      <c r="A1175" s="6"/>
      <c r="B1175" s="6"/>
      <c r="C1175" s="6"/>
      <c r="D1175" s="62"/>
      <c r="E1175" s="62"/>
      <c r="F1175" s="62"/>
      <c r="G1175" s="62"/>
      <c r="H1175" s="62"/>
      <c r="I1175" s="62"/>
      <c r="J1175" s="62"/>
      <c r="K1175" s="62"/>
      <c r="L1175" s="62"/>
      <c r="M1175" s="62"/>
      <c r="N1175" s="62"/>
      <c r="O1175" s="62"/>
      <c r="P1175" s="62"/>
      <c r="Q1175" s="62"/>
      <c r="R1175" s="62"/>
      <c r="S1175" s="62"/>
      <c r="T1175" s="62"/>
      <c r="U1175" s="62"/>
      <c r="V1175" s="62"/>
      <c r="W1175" s="62"/>
      <c r="X1175" s="62"/>
      <c r="Y1175" s="62"/>
      <c r="Z1175" s="62"/>
      <c r="AA1175" s="62"/>
      <c r="AB1175" s="62"/>
      <c r="AC1175" s="62"/>
      <c r="AD1175" s="62"/>
    </row>
    <row r="1176">
      <c r="A1176" s="6"/>
      <c r="B1176" s="6"/>
      <c r="C1176" s="6"/>
      <c r="D1176" s="62"/>
      <c r="E1176" s="62"/>
      <c r="F1176" s="62"/>
      <c r="G1176" s="62"/>
      <c r="H1176" s="62"/>
      <c r="I1176" s="62"/>
      <c r="J1176" s="62"/>
      <c r="K1176" s="62"/>
      <c r="L1176" s="62"/>
      <c r="M1176" s="62"/>
      <c r="N1176" s="62"/>
      <c r="O1176" s="62"/>
      <c r="P1176" s="62"/>
      <c r="Q1176" s="62"/>
      <c r="R1176" s="62"/>
      <c r="S1176" s="62"/>
      <c r="T1176" s="62"/>
      <c r="U1176" s="62"/>
      <c r="V1176" s="62"/>
      <c r="W1176" s="62"/>
      <c r="X1176" s="62"/>
      <c r="Y1176" s="62"/>
      <c r="Z1176" s="62"/>
      <c r="AA1176" s="62"/>
      <c r="AB1176" s="62"/>
      <c r="AC1176" s="62"/>
      <c r="AD1176" s="62"/>
    </row>
    <row r="1177">
      <c r="A1177" s="6"/>
      <c r="B1177" s="6"/>
      <c r="C1177" s="6"/>
      <c r="D1177" s="62"/>
      <c r="E1177" s="62"/>
      <c r="F1177" s="62"/>
      <c r="G1177" s="62"/>
      <c r="H1177" s="62"/>
      <c r="I1177" s="62"/>
      <c r="J1177" s="62"/>
      <c r="K1177" s="62"/>
      <c r="L1177" s="62"/>
      <c r="M1177" s="62"/>
      <c r="N1177" s="62"/>
      <c r="O1177" s="62"/>
      <c r="P1177" s="62"/>
      <c r="Q1177" s="62"/>
      <c r="R1177" s="62"/>
      <c r="S1177" s="62"/>
      <c r="T1177" s="62"/>
      <c r="U1177" s="62"/>
      <c r="V1177" s="62"/>
      <c r="W1177" s="62"/>
      <c r="X1177" s="62"/>
      <c r="Y1177" s="62"/>
      <c r="Z1177" s="62"/>
      <c r="AA1177" s="62"/>
      <c r="AB1177" s="62"/>
      <c r="AC1177" s="62"/>
      <c r="AD1177" s="62"/>
    </row>
    <row r="1178">
      <c r="A1178" s="6"/>
      <c r="B1178" s="6"/>
      <c r="C1178" s="6"/>
      <c r="D1178" s="62"/>
      <c r="E1178" s="62"/>
      <c r="F1178" s="62"/>
      <c r="G1178" s="62"/>
      <c r="H1178" s="62"/>
      <c r="I1178" s="62"/>
      <c r="J1178" s="62"/>
      <c r="K1178" s="62"/>
      <c r="L1178" s="62"/>
      <c r="M1178" s="62"/>
      <c r="N1178" s="62"/>
      <c r="O1178" s="62"/>
      <c r="P1178" s="62"/>
      <c r="Q1178" s="62"/>
      <c r="R1178" s="62"/>
      <c r="S1178" s="62"/>
      <c r="T1178" s="62"/>
      <c r="U1178" s="62"/>
      <c r="V1178" s="62"/>
      <c r="W1178" s="62"/>
      <c r="X1178" s="62"/>
      <c r="Y1178" s="62"/>
      <c r="Z1178" s="62"/>
      <c r="AA1178" s="62"/>
      <c r="AB1178" s="62"/>
      <c r="AC1178" s="62"/>
      <c r="AD1178" s="62"/>
    </row>
    <row r="1179">
      <c r="A1179" s="6"/>
      <c r="B1179" s="6"/>
      <c r="C1179" s="6"/>
      <c r="D1179" s="62"/>
      <c r="E1179" s="62"/>
      <c r="F1179" s="62"/>
      <c r="G1179" s="62"/>
      <c r="H1179" s="62"/>
      <c r="I1179" s="62"/>
      <c r="J1179" s="62"/>
      <c r="K1179" s="62"/>
      <c r="L1179" s="62"/>
      <c r="M1179" s="62"/>
      <c r="N1179" s="62"/>
      <c r="O1179" s="62"/>
      <c r="P1179" s="62"/>
      <c r="Q1179" s="62"/>
      <c r="R1179" s="62"/>
      <c r="S1179" s="62"/>
      <c r="T1179" s="62"/>
      <c r="U1179" s="62"/>
      <c r="V1179" s="62"/>
      <c r="W1179" s="62"/>
      <c r="X1179" s="62"/>
      <c r="Y1179" s="62"/>
      <c r="Z1179" s="62"/>
      <c r="AA1179" s="62"/>
      <c r="AB1179" s="62"/>
      <c r="AC1179" s="62"/>
      <c r="AD1179" s="62"/>
    </row>
    <row r="1180">
      <c r="A1180" s="6"/>
      <c r="B1180" s="6"/>
      <c r="C1180" s="6"/>
      <c r="D1180" s="62"/>
      <c r="E1180" s="62"/>
      <c r="F1180" s="62"/>
      <c r="G1180" s="62"/>
      <c r="H1180" s="62"/>
      <c r="I1180" s="62"/>
      <c r="J1180" s="62"/>
      <c r="K1180" s="62"/>
      <c r="L1180" s="62"/>
      <c r="M1180" s="62"/>
      <c r="N1180" s="62"/>
      <c r="O1180" s="62"/>
      <c r="P1180" s="62"/>
      <c r="Q1180" s="62"/>
      <c r="R1180" s="62"/>
      <c r="S1180" s="62"/>
      <c r="T1180" s="62"/>
      <c r="U1180" s="62"/>
      <c r="V1180" s="62"/>
      <c r="W1180" s="62"/>
      <c r="X1180" s="62"/>
      <c r="Y1180" s="62"/>
      <c r="Z1180" s="62"/>
      <c r="AA1180" s="62"/>
      <c r="AB1180" s="62"/>
      <c r="AC1180" s="62"/>
      <c r="AD1180" s="62"/>
    </row>
    <row r="1181">
      <c r="A1181" s="6"/>
      <c r="B1181" s="6"/>
      <c r="C1181" s="6"/>
      <c r="D1181" s="62"/>
      <c r="E1181" s="62"/>
      <c r="F1181" s="62"/>
      <c r="G1181" s="62"/>
      <c r="H1181" s="62"/>
      <c r="I1181" s="62"/>
      <c r="J1181" s="62"/>
      <c r="K1181" s="62"/>
      <c r="L1181" s="62"/>
      <c r="M1181" s="62"/>
      <c r="N1181" s="62"/>
      <c r="O1181" s="62"/>
      <c r="P1181" s="62"/>
      <c r="Q1181" s="62"/>
      <c r="R1181" s="62"/>
      <c r="S1181" s="62"/>
      <c r="T1181" s="62"/>
      <c r="U1181" s="62"/>
      <c r="V1181" s="62"/>
      <c r="W1181" s="62"/>
      <c r="X1181" s="62"/>
      <c r="Y1181" s="62"/>
      <c r="Z1181" s="62"/>
      <c r="AA1181" s="62"/>
      <c r="AB1181" s="62"/>
      <c r="AC1181" s="62"/>
      <c r="AD1181" s="62"/>
    </row>
    <row r="1182">
      <c r="A1182" s="6"/>
      <c r="B1182" s="6"/>
      <c r="C1182" s="6"/>
      <c r="D1182" s="62"/>
      <c r="E1182" s="62"/>
      <c r="F1182" s="62"/>
      <c r="G1182" s="62"/>
      <c r="H1182" s="62"/>
      <c r="I1182" s="62"/>
      <c r="J1182" s="62"/>
      <c r="K1182" s="62"/>
      <c r="L1182" s="62"/>
      <c r="M1182" s="62"/>
      <c r="N1182" s="62"/>
      <c r="O1182" s="62"/>
      <c r="P1182" s="62"/>
      <c r="Q1182" s="62"/>
      <c r="R1182" s="62"/>
      <c r="S1182" s="62"/>
      <c r="T1182" s="62"/>
      <c r="U1182" s="62"/>
      <c r="V1182" s="62"/>
      <c r="W1182" s="62"/>
      <c r="X1182" s="62"/>
      <c r="Y1182" s="62"/>
      <c r="Z1182" s="62"/>
      <c r="AA1182" s="62"/>
      <c r="AB1182" s="62"/>
      <c r="AC1182" s="62"/>
      <c r="AD1182" s="62"/>
    </row>
    <row r="1183">
      <c r="A1183" s="6"/>
      <c r="B1183" s="6"/>
      <c r="C1183" s="6"/>
      <c r="D1183" s="62"/>
      <c r="E1183" s="62"/>
      <c r="F1183" s="62"/>
      <c r="G1183" s="62"/>
      <c r="H1183" s="62"/>
      <c r="I1183" s="62"/>
      <c r="J1183" s="62"/>
      <c r="K1183" s="62"/>
      <c r="L1183" s="62"/>
      <c r="M1183" s="62"/>
      <c r="N1183" s="62"/>
      <c r="O1183" s="62"/>
      <c r="P1183" s="62"/>
      <c r="Q1183" s="62"/>
      <c r="R1183" s="62"/>
      <c r="S1183" s="62"/>
      <c r="T1183" s="62"/>
      <c r="U1183" s="62"/>
      <c r="V1183" s="62"/>
      <c r="W1183" s="62"/>
      <c r="X1183" s="62"/>
      <c r="Y1183" s="62"/>
      <c r="Z1183" s="62"/>
      <c r="AA1183" s="62"/>
      <c r="AB1183" s="62"/>
      <c r="AC1183" s="62"/>
      <c r="AD1183" s="62"/>
    </row>
    <row r="1184">
      <c r="A1184" s="6"/>
      <c r="B1184" s="6"/>
      <c r="C1184" s="6"/>
      <c r="D1184" s="62"/>
      <c r="E1184" s="62"/>
      <c r="F1184" s="62"/>
      <c r="G1184" s="62"/>
      <c r="H1184" s="62"/>
      <c r="I1184" s="62"/>
      <c r="J1184" s="62"/>
      <c r="K1184" s="62"/>
      <c r="L1184" s="62"/>
      <c r="M1184" s="62"/>
      <c r="N1184" s="62"/>
      <c r="O1184" s="62"/>
      <c r="P1184" s="62"/>
      <c r="Q1184" s="62"/>
      <c r="R1184" s="62"/>
      <c r="S1184" s="62"/>
      <c r="T1184" s="62"/>
      <c r="U1184" s="62"/>
      <c r="V1184" s="62"/>
      <c r="W1184" s="62"/>
      <c r="X1184" s="62"/>
      <c r="Y1184" s="62"/>
      <c r="Z1184" s="62"/>
      <c r="AA1184" s="62"/>
      <c r="AB1184" s="62"/>
      <c r="AC1184" s="62"/>
      <c r="AD1184" s="62"/>
    </row>
    <row r="1185">
      <c r="A1185" s="6"/>
      <c r="B1185" s="6"/>
      <c r="C1185" s="6"/>
      <c r="D1185" s="62"/>
      <c r="E1185" s="62"/>
      <c r="F1185" s="62"/>
      <c r="G1185" s="62"/>
      <c r="H1185" s="62"/>
      <c r="I1185" s="62"/>
      <c r="J1185" s="62"/>
      <c r="K1185" s="62"/>
      <c r="L1185" s="62"/>
      <c r="M1185" s="62"/>
      <c r="N1185" s="62"/>
      <c r="O1185" s="62"/>
      <c r="P1185" s="62"/>
      <c r="Q1185" s="62"/>
      <c r="R1185" s="62"/>
      <c r="S1185" s="62"/>
      <c r="T1185" s="62"/>
      <c r="U1185" s="62"/>
      <c r="V1185" s="62"/>
      <c r="W1185" s="62"/>
      <c r="X1185" s="62"/>
      <c r="Y1185" s="62"/>
      <c r="Z1185" s="62"/>
      <c r="AA1185" s="62"/>
      <c r="AB1185" s="62"/>
      <c r="AC1185" s="62"/>
      <c r="AD1185" s="62"/>
    </row>
    <row r="1186">
      <c r="A1186" s="6"/>
      <c r="B1186" s="6"/>
      <c r="C1186" s="6"/>
      <c r="D1186" s="62"/>
      <c r="E1186" s="62"/>
      <c r="F1186" s="62"/>
      <c r="G1186" s="62"/>
      <c r="H1186" s="62"/>
      <c r="I1186" s="62"/>
      <c r="J1186" s="62"/>
      <c r="K1186" s="62"/>
      <c r="L1186" s="62"/>
      <c r="M1186" s="62"/>
      <c r="N1186" s="62"/>
      <c r="O1186" s="62"/>
      <c r="P1186" s="62"/>
      <c r="Q1186" s="62"/>
      <c r="R1186" s="62"/>
      <c r="S1186" s="62"/>
      <c r="T1186" s="62"/>
      <c r="U1186" s="62"/>
      <c r="V1186" s="62"/>
      <c r="W1186" s="62"/>
      <c r="X1186" s="62"/>
      <c r="Y1186" s="62"/>
      <c r="Z1186" s="62"/>
      <c r="AA1186" s="62"/>
      <c r="AB1186" s="62"/>
      <c r="AC1186" s="62"/>
      <c r="AD1186" s="62"/>
    </row>
    <row r="1187">
      <c r="A1187" s="6"/>
      <c r="B1187" s="6"/>
      <c r="C1187" s="6"/>
      <c r="D1187" s="62"/>
      <c r="E1187" s="62"/>
      <c r="F1187" s="62"/>
      <c r="G1187" s="62"/>
      <c r="H1187" s="62"/>
      <c r="I1187" s="62"/>
      <c r="J1187" s="62"/>
      <c r="K1187" s="62"/>
      <c r="L1187" s="62"/>
      <c r="M1187" s="62"/>
      <c r="N1187" s="62"/>
      <c r="O1187" s="62"/>
      <c r="P1187" s="62"/>
      <c r="Q1187" s="62"/>
      <c r="R1187" s="62"/>
      <c r="S1187" s="62"/>
      <c r="T1187" s="62"/>
      <c r="U1187" s="62"/>
      <c r="V1187" s="62"/>
      <c r="W1187" s="62"/>
      <c r="X1187" s="62"/>
      <c r="Y1187" s="62"/>
      <c r="Z1187" s="62"/>
      <c r="AA1187" s="62"/>
      <c r="AB1187" s="62"/>
      <c r="AC1187" s="62"/>
      <c r="AD1187" s="62"/>
    </row>
    <row r="1188">
      <c r="A1188" s="6"/>
      <c r="B1188" s="6"/>
      <c r="C1188" s="6"/>
      <c r="D1188" s="62"/>
      <c r="E1188" s="62"/>
      <c r="F1188" s="62"/>
      <c r="G1188" s="62"/>
      <c r="H1188" s="62"/>
      <c r="I1188" s="62"/>
      <c r="J1188" s="62"/>
      <c r="K1188" s="62"/>
      <c r="L1188" s="62"/>
      <c r="M1188" s="62"/>
      <c r="N1188" s="62"/>
      <c r="O1188" s="62"/>
      <c r="P1188" s="62"/>
      <c r="Q1188" s="62"/>
      <c r="R1188" s="62"/>
      <c r="S1188" s="62"/>
      <c r="T1188" s="62"/>
      <c r="U1188" s="62"/>
      <c r="V1188" s="62"/>
      <c r="W1188" s="62"/>
      <c r="X1188" s="62"/>
      <c r="Y1188" s="62"/>
      <c r="Z1188" s="62"/>
      <c r="AA1188" s="62"/>
      <c r="AB1188" s="62"/>
      <c r="AC1188" s="62"/>
      <c r="AD1188" s="62"/>
    </row>
    <row r="1189">
      <c r="A1189" s="6"/>
      <c r="B1189" s="6"/>
      <c r="C1189" s="6"/>
      <c r="D1189" s="62"/>
      <c r="E1189" s="62"/>
      <c r="F1189" s="62"/>
      <c r="G1189" s="62"/>
      <c r="H1189" s="62"/>
      <c r="I1189" s="62"/>
      <c r="J1189" s="62"/>
      <c r="K1189" s="62"/>
      <c r="L1189" s="62"/>
      <c r="M1189" s="62"/>
      <c r="N1189" s="62"/>
      <c r="O1189" s="62"/>
      <c r="P1189" s="62"/>
      <c r="Q1189" s="62"/>
      <c r="R1189" s="62"/>
      <c r="S1189" s="62"/>
      <c r="T1189" s="62"/>
      <c r="U1189" s="62"/>
      <c r="V1189" s="62"/>
      <c r="W1189" s="62"/>
      <c r="X1189" s="62"/>
      <c r="Y1189" s="62"/>
      <c r="Z1189" s="62"/>
      <c r="AA1189" s="62"/>
      <c r="AB1189" s="62"/>
      <c r="AC1189" s="62"/>
      <c r="AD1189" s="62"/>
    </row>
    <row r="1190">
      <c r="A1190" s="6"/>
      <c r="B1190" s="6"/>
      <c r="C1190" s="6"/>
      <c r="D1190" s="62"/>
      <c r="E1190" s="62"/>
      <c r="F1190" s="62"/>
      <c r="G1190" s="62"/>
      <c r="H1190" s="62"/>
      <c r="I1190" s="62"/>
      <c r="J1190" s="62"/>
      <c r="K1190" s="62"/>
      <c r="L1190" s="62"/>
      <c r="M1190" s="62"/>
      <c r="N1190" s="62"/>
      <c r="O1190" s="62"/>
      <c r="P1190" s="62"/>
      <c r="Q1190" s="62"/>
      <c r="R1190" s="62"/>
      <c r="S1190" s="62"/>
      <c r="T1190" s="62"/>
      <c r="U1190" s="62"/>
      <c r="V1190" s="62"/>
      <c r="W1190" s="62"/>
      <c r="X1190" s="62"/>
      <c r="Y1190" s="62"/>
      <c r="Z1190" s="62"/>
      <c r="AA1190" s="62"/>
      <c r="AB1190" s="62"/>
      <c r="AC1190" s="62"/>
      <c r="AD1190" s="62"/>
    </row>
    <row r="1191">
      <c r="A1191" s="6"/>
      <c r="B1191" s="6"/>
      <c r="C1191" s="6"/>
      <c r="D1191" s="62"/>
      <c r="E1191" s="62"/>
      <c r="F1191" s="62"/>
      <c r="G1191" s="62"/>
      <c r="H1191" s="62"/>
      <c r="I1191" s="62"/>
      <c r="J1191" s="62"/>
      <c r="K1191" s="62"/>
      <c r="L1191" s="62"/>
      <c r="M1191" s="62"/>
      <c r="N1191" s="62"/>
      <c r="O1191" s="62"/>
      <c r="P1191" s="62"/>
      <c r="Q1191" s="62"/>
      <c r="R1191" s="62"/>
      <c r="S1191" s="62"/>
      <c r="T1191" s="62"/>
      <c r="U1191" s="62"/>
      <c r="V1191" s="62"/>
      <c r="W1191" s="62"/>
      <c r="X1191" s="62"/>
      <c r="Y1191" s="62"/>
      <c r="Z1191" s="62"/>
      <c r="AA1191" s="62"/>
      <c r="AB1191" s="62"/>
      <c r="AC1191" s="62"/>
      <c r="AD1191" s="62"/>
    </row>
    <row r="1192">
      <c r="A1192" s="6"/>
      <c r="B1192" s="6"/>
      <c r="C1192" s="6"/>
      <c r="D1192" s="62"/>
      <c r="E1192" s="62"/>
      <c r="F1192" s="62"/>
      <c r="G1192" s="62"/>
      <c r="H1192" s="62"/>
      <c r="I1192" s="62"/>
      <c r="J1192" s="62"/>
      <c r="K1192" s="62"/>
      <c r="L1192" s="62"/>
      <c r="M1192" s="62"/>
      <c r="N1192" s="62"/>
      <c r="O1192" s="62"/>
      <c r="P1192" s="62"/>
      <c r="Q1192" s="62"/>
      <c r="R1192" s="62"/>
      <c r="S1192" s="62"/>
      <c r="T1192" s="62"/>
      <c r="U1192" s="62"/>
      <c r="V1192" s="62"/>
      <c r="W1192" s="62"/>
      <c r="X1192" s="62"/>
      <c r="Y1192" s="62"/>
      <c r="Z1192" s="62"/>
      <c r="AA1192" s="62"/>
      <c r="AB1192" s="62"/>
      <c r="AC1192" s="62"/>
      <c r="AD1192" s="62"/>
    </row>
    <row r="1193">
      <c r="A1193" s="6"/>
      <c r="B1193" s="6"/>
      <c r="C1193" s="6"/>
      <c r="D1193" s="62"/>
      <c r="E1193" s="62"/>
      <c r="F1193" s="62"/>
      <c r="G1193" s="62"/>
      <c r="H1193" s="62"/>
      <c r="I1193" s="62"/>
      <c r="J1193" s="62"/>
      <c r="K1193" s="62"/>
      <c r="L1193" s="62"/>
      <c r="M1193" s="62"/>
      <c r="N1193" s="62"/>
      <c r="O1193" s="62"/>
      <c r="P1193" s="62"/>
      <c r="Q1193" s="62"/>
      <c r="R1193" s="62"/>
      <c r="S1193" s="62"/>
      <c r="T1193" s="62"/>
      <c r="U1193" s="62"/>
      <c r="V1193" s="62"/>
      <c r="W1193" s="62"/>
      <c r="X1193" s="62"/>
      <c r="Y1193" s="62"/>
      <c r="Z1193" s="62"/>
      <c r="AA1193" s="62"/>
      <c r="AB1193" s="62"/>
      <c r="AC1193" s="62"/>
      <c r="AD1193" s="62"/>
    </row>
    <row r="1194">
      <c r="A1194" s="6"/>
      <c r="B1194" s="6"/>
      <c r="C1194" s="6"/>
      <c r="D1194" s="62"/>
      <c r="E1194" s="62"/>
      <c r="F1194" s="62"/>
      <c r="G1194" s="62"/>
      <c r="H1194" s="62"/>
      <c r="I1194" s="62"/>
      <c r="J1194" s="62"/>
      <c r="K1194" s="62"/>
      <c r="L1194" s="62"/>
      <c r="M1194" s="62"/>
      <c r="N1194" s="62"/>
      <c r="O1194" s="62"/>
      <c r="P1194" s="62"/>
      <c r="Q1194" s="62"/>
      <c r="R1194" s="62"/>
      <c r="S1194" s="62"/>
      <c r="T1194" s="62"/>
      <c r="U1194" s="62"/>
      <c r="V1194" s="62"/>
      <c r="W1194" s="62"/>
      <c r="X1194" s="62"/>
      <c r="Y1194" s="62"/>
      <c r="Z1194" s="62"/>
      <c r="AA1194" s="62"/>
      <c r="AB1194" s="62"/>
      <c r="AC1194" s="62"/>
      <c r="AD1194" s="62"/>
    </row>
    <row r="1195">
      <c r="A1195" s="6"/>
      <c r="B1195" s="6"/>
      <c r="C1195" s="6"/>
      <c r="D1195" s="62"/>
      <c r="E1195" s="62"/>
      <c r="F1195" s="62"/>
      <c r="G1195" s="62"/>
      <c r="H1195" s="62"/>
      <c r="I1195" s="62"/>
      <c r="J1195" s="62"/>
      <c r="K1195" s="62"/>
      <c r="L1195" s="62"/>
      <c r="M1195" s="62"/>
      <c r="N1195" s="62"/>
      <c r="O1195" s="62"/>
      <c r="P1195" s="62"/>
      <c r="Q1195" s="62"/>
      <c r="R1195" s="62"/>
      <c r="S1195" s="62"/>
      <c r="T1195" s="62"/>
      <c r="U1195" s="62"/>
      <c r="V1195" s="62"/>
      <c r="W1195" s="62"/>
      <c r="X1195" s="62"/>
      <c r="Y1195" s="62"/>
      <c r="Z1195" s="62"/>
      <c r="AA1195" s="62"/>
      <c r="AB1195" s="62"/>
      <c r="AC1195" s="62"/>
      <c r="AD1195" s="62"/>
    </row>
    <row r="1196">
      <c r="A1196" s="6"/>
      <c r="B1196" s="6"/>
      <c r="C1196" s="6"/>
      <c r="D1196" s="62"/>
      <c r="E1196" s="62"/>
      <c r="F1196" s="62"/>
      <c r="G1196" s="62"/>
      <c r="H1196" s="62"/>
      <c r="I1196" s="62"/>
      <c r="J1196" s="62"/>
      <c r="K1196" s="62"/>
      <c r="L1196" s="62"/>
      <c r="M1196" s="62"/>
      <c r="N1196" s="62"/>
      <c r="O1196" s="62"/>
      <c r="P1196" s="62"/>
      <c r="Q1196" s="62"/>
      <c r="R1196" s="62"/>
      <c r="S1196" s="62"/>
      <c r="T1196" s="62"/>
      <c r="U1196" s="62"/>
      <c r="V1196" s="62"/>
      <c r="W1196" s="62"/>
      <c r="X1196" s="62"/>
      <c r="Y1196" s="62"/>
      <c r="Z1196" s="62"/>
      <c r="AA1196" s="62"/>
      <c r="AB1196" s="62"/>
      <c r="AC1196" s="62"/>
      <c r="AD1196" s="62"/>
    </row>
    <row r="1197">
      <c r="A1197" s="6"/>
      <c r="B1197" s="6"/>
      <c r="C1197" s="6"/>
      <c r="D1197" s="62"/>
      <c r="E1197" s="62"/>
      <c r="F1197" s="62"/>
      <c r="G1197" s="62"/>
      <c r="H1197" s="62"/>
      <c r="I1197" s="62"/>
      <c r="J1197" s="62"/>
      <c r="K1197" s="62"/>
      <c r="L1197" s="62"/>
      <c r="M1197" s="62"/>
      <c r="N1197" s="62"/>
      <c r="O1197" s="62"/>
      <c r="P1197" s="62"/>
      <c r="Q1197" s="62"/>
      <c r="R1197" s="62"/>
      <c r="S1197" s="62"/>
      <c r="T1197" s="62"/>
      <c r="U1197" s="62"/>
      <c r="V1197" s="62"/>
      <c r="W1197" s="62"/>
      <c r="X1197" s="62"/>
      <c r="Y1197" s="62"/>
      <c r="Z1197" s="62"/>
      <c r="AA1197" s="62"/>
      <c r="AB1197" s="62"/>
      <c r="AC1197" s="62"/>
      <c r="AD1197" s="62"/>
    </row>
    <row r="1198">
      <c r="A1198" s="6"/>
      <c r="B1198" s="6"/>
      <c r="C1198" s="6"/>
      <c r="D1198" s="62"/>
      <c r="E1198" s="62"/>
      <c r="F1198" s="62"/>
      <c r="G1198" s="62"/>
      <c r="H1198" s="62"/>
      <c r="I1198" s="62"/>
      <c r="J1198" s="62"/>
      <c r="K1198" s="62"/>
      <c r="L1198" s="62"/>
      <c r="M1198" s="62"/>
      <c r="N1198" s="62"/>
      <c r="O1198" s="62"/>
      <c r="P1198" s="62"/>
      <c r="Q1198" s="62"/>
      <c r="R1198" s="62"/>
      <c r="S1198" s="62"/>
      <c r="T1198" s="62"/>
      <c r="U1198" s="62"/>
      <c r="V1198" s="62"/>
      <c r="W1198" s="62"/>
      <c r="X1198" s="62"/>
      <c r="Y1198" s="62"/>
      <c r="Z1198" s="62"/>
      <c r="AA1198" s="62"/>
      <c r="AB1198" s="62"/>
      <c r="AC1198" s="62"/>
      <c r="AD1198" s="62"/>
    </row>
    <row r="1199">
      <c r="A1199" s="6"/>
      <c r="B1199" s="6"/>
      <c r="C1199" s="6"/>
      <c r="D1199" s="62"/>
      <c r="E1199" s="62"/>
      <c r="F1199" s="62"/>
      <c r="G1199" s="62"/>
      <c r="H1199" s="62"/>
      <c r="I1199" s="62"/>
      <c r="J1199" s="62"/>
      <c r="K1199" s="62"/>
      <c r="L1199" s="62"/>
      <c r="M1199" s="62"/>
      <c r="N1199" s="62"/>
      <c r="O1199" s="62"/>
      <c r="P1199" s="62"/>
      <c r="Q1199" s="62"/>
      <c r="R1199" s="62"/>
      <c r="S1199" s="62"/>
      <c r="T1199" s="62"/>
      <c r="U1199" s="62"/>
      <c r="V1199" s="62"/>
      <c r="W1199" s="62"/>
      <c r="X1199" s="62"/>
      <c r="Y1199" s="62"/>
      <c r="Z1199" s="62"/>
      <c r="AA1199" s="62"/>
      <c r="AB1199" s="62"/>
      <c r="AC1199" s="62"/>
      <c r="AD1199" s="62"/>
    </row>
    <row r="1200">
      <c r="A1200" s="6"/>
      <c r="B1200" s="6"/>
      <c r="C1200" s="6"/>
      <c r="D1200" s="62"/>
      <c r="E1200" s="62"/>
      <c r="F1200" s="62"/>
      <c r="G1200" s="62"/>
      <c r="H1200" s="62"/>
      <c r="I1200" s="62"/>
      <c r="J1200" s="62"/>
      <c r="K1200" s="62"/>
      <c r="L1200" s="62"/>
      <c r="M1200" s="62"/>
      <c r="N1200" s="62"/>
      <c r="O1200" s="62"/>
      <c r="P1200" s="62"/>
      <c r="Q1200" s="62"/>
      <c r="R1200" s="62"/>
      <c r="S1200" s="62"/>
      <c r="T1200" s="62"/>
      <c r="U1200" s="62"/>
      <c r="V1200" s="62"/>
      <c r="W1200" s="62"/>
      <c r="X1200" s="62"/>
      <c r="Y1200" s="62"/>
      <c r="Z1200" s="62"/>
      <c r="AA1200" s="62"/>
      <c r="AB1200" s="62"/>
      <c r="AC1200" s="62"/>
      <c r="AD1200" s="62"/>
    </row>
    <row r="1201">
      <c r="A1201" s="6"/>
      <c r="B1201" s="6"/>
      <c r="C1201" s="6"/>
      <c r="D1201" s="62"/>
      <c r="E1201" s="62"/>
      <c r="F1201" s="62"/>
      <c r="G1201" s="62"/>
      <c r="H1201" s="62"/>
      <c r="I1201" s="62"/>
      <c r="J1201" s="62"/>
      <c r="K1201" s="62"/>
      <c r="L1201" s="62"/>
      <c r="M1201" s="62"/>
      <c r="N1201" s="62"/>
      <c r="O1201" s="62"/>
      <c r="P1201" s="62"/>
      <c r="Q1201" s="62"/>
      <c r="R1201" s="62"/>
      <c r="S1201" s="62"/>
      <c r="T1201" s="62"/>
      <c r="U1201" s="62"/>
      <c r="V1201" s="62"/>
      <c r="W1201" s="62"/>
      <c r="X1201" s="62"/>
      <c r="Y1201" s="62"/>
      <c r="Z1201" s="62"/>
      <c r="AA1201" s="62"/>
      <c r="AB1201" s="62"/>
      <c r="AC1201" s="62"/>
      <c r="AD1201" s="62"/>
    </row>
    <row r="1202">
      <c r="A1202" s="6"/>
      <c r="B1202" s="6"/>
      <c r="C1202" s="6"/>
      <c r="D1202" s="62"/>
      <c r="E1202" s="62"/>
      <c r="F1202" s="62"/>
      <c r="G1202" s="62"/>
      <c r="H1202" s="62"/>
      <c r="I1202" s="62"/>
      <c r="J1202" s="62"/>
      <c r="K1202" s="62"/>
      <c r="L1202" s="62"/>
      <c r="M1202" s="62"/>
      <c r="N1202" s="62"/>
      <c r="O1202" s="62"/>
      <c r="P1202" s="62"/>
      <c r="Q1202" s="62"/>
      <c r="R1202" s="62"/>
      <c r="S1202" s="62"/>
      <c r="T1202" s="62"/>
      <c r="U1202" s="62"/>
      <c r="V1202" s="62"/>
      <c r="W1202" s="62"/>
      <c r="X1202" s="62"/>
      <c r="Y1202" s="62"/>
      <c r="Z1202" s="62"/>
      <c r="AA1202" s="62"/>
      <c r="AB1202" s="62"/>
      <c r="AC1202" s="62"/>
      <c r="AD1202" s="62"/>
    </row>
    <row r="1203">
      <c r="A1203" s="6"/>
      <c r="B1203" s="6"/>
      <c r="C1203" s="6"/>
      <c r="D1203" s="62"/>
      <c r="E1203" s="62"/>
      <c r="F1203" s="62"/>
      <c r="G1203" s="62"/>
      <c r="H1203" s="62"/>
      <c r="I1203" s="62"/>
      <c r="J1203" s="62"/>
      <c r="K1203" s="62"/>
      <c r="L1203" s="62"/>
      <c r="M1203" s="62"/>
      <c r="N1203" s="62"/>
      <c r="O1203" s="62"/>
      <c r="P1203" s="62"/>
      <c r="Q1203" s="62"/>
      <c r="R1203" s="62"/>
      <c r="S1203" s="62"/>
      <c r="T1203" s="62"/>
      <c r="U1203" s="62"/>
      <c r="V1203" s="62"/>
      <c r="W1203" s="62"/>
      <c r="X1203" s="62"/>
      <c r="Y1203" s="62"/>
      <c r="Z1203" s="62"/>
      <c r="AA1203" s="62"/>
      <c r="AB1203" s="62"/>
      <c r="AC1203" s="62"/>
      <c r="AD1203" s="62"/>
    </row>
    <row r="1204">
      <c r="A1204" s="6"/>
      <c r="B1204" s="6"/>
      <c r="C1204" s="6"/>
      <c r="D1204" s="62"/>
      <c r="E1204" s="62"/>
      <c r="F1204" s="62"/>
      <c r="G1204" s="62"/>
      <c r="H1204" s="62"/>
      <c r="I1204" s="62"/>
      <c r="J1204" s="62"/>
      <c r="K1204" s="62"/>
      <c r="L1204" s="62"/>
      <c r="M1204" s="62"/>
      <c r="N1204" s="62"/>
      <c r="O1204" s="62"/>
      <c r="P1204" s="62"/>
      <c r="Q1204" s="62"/>
      <c r="R1204" s="62"/>
      <c r="S1204" s="62"/>
      <c r="T1204" s="62"/>
      <c r="U1204" s="62"/>
      <c r="V1204" s="62"/>
      <c r="W1204" s="62"/>
      <c r="X1204" s="62"/>
      <c r="Y1204" s="62"/>
      <c r="Z1204" s="62"/>
      <c r="AA1204" s="62"/>
      <c r="AB1204" s="62"/>
      <c r="AC1204" s="62"/>
      <c r="AD1204" s="62"/>
    </row>
    <row r="1205">
      <c r="A1205" s="6"/>
      <c r="B1205" s="6"/>
      <c r="C1205" s="6"/>
      <c r="D1205" s="62"/>
      <c r="E1205" s="62"/>
      <c r="F1205" s="62"/>
      <c r="G1205" s="62"/>
      <c r="H1205" s="62"/>
      <c r="I1205" s="62"/>
      <c r="J1205" s="62"/>
      <c r="K1205" s="62"/>
      <c r="L1205" s="62"/>
      <c r="M1205" s="62"/>
      <c r="N1205" s="62"/>
      <c r="O1205" s="62"/>
      <c r="P1205" s="62"/>
      <c r="Q1205" s="62"/>
      <c r="R1205" s="62"/>
      <c r="S1205" s="62"/>
      <c r="T1205" s="62"/>
      <c r="U1205" s="62"/>
      <c r="V1205" s="62"/>
      <c r="W1205" s="62"/>
      <c r="X1205" s="62"/>
      <c r="Y1205" s="62"/>
      <c r="Z1205" s="62"/>
      <c r="AA1205" s="62"/>
      <c r="AB1205" s="62"/>
      <c r="AC1205" s="62"/>
      <c r="AD1205" s="62"/>
    </row>
    <row r="1206">
      <c r="A1206" s="6"/>
      <c r="B1206" s="6"/>
      <c r="C1206" s="6"/>
      <c r="D1206" s="62"/>
      <c r="E1206" s="62"/>
      <c r="F1206" s="62"/>
      <c r="G1206" s="62"/>
      <c r="H1206" s="62"/>
      <c r="I1206" s="62"/>
      <c r="J1206" s="62"/>
      <c r="K1206" s="62"/>
      <c r="L1206" s="62"/>
      <c r="M1206" s="62"/>
      <c r="N1206" s="62"/>
      <c r="O1206" s="62"/>
      <c r="P1206" s="62"/>
      <c r="Q1206" s="62"/>
      <c r="R1206" s="62"/>
      <c r="S1206" s="62"/>
      <c r="T1206" s="62"/>
      <c r="U1206" s="62"/>
      <c r="V1206" s="62"/>
      <c r="W1206" s="62"/>
      <c r="X1206" s="62"/>
      <c r="Y1206" s="62"/>
      <c r="Z1206" s="62"/>
      <c r="AA1206" s="62"/>
      <c r="AB1206" s="62"/>
      <c r="AC1206" s="62"/>
      <c r="AD1206" s="62"/>
    </row>
    <row r="1207">
      <c r="A1207" s="6"/>
      <c r="B1207" s="6"/>
      <c r="C1207" s="6"/>
      <c r="D1207" s="62"/>
      <c r="E1207" s="62"/>
      <c r="F1207" s="62"/>
      <c r="G1207" s="62"/>
      <c r="H1207" s="62"/>
      <c r="I1207" s="62"/>
      <c r="J1207" s="62"/>
      <c r="K1207" s="62"/>
      <c r="L1207" s="62"/>
      <c r="M1207" s="62"/>
      <c r="N1207" s="62"/>
      <c r="O1207" s="62"/>
      <c r="P1207" s="62"/>
      <c r="Q1207" s="62"/>
      <c r="R1207" s="62"/>
      <c r="S1207" s="62"/>
      <c r="T1207" s="62"/>
      <c r="U1207" s="62"/>
      <c r="V1207" s="62"/>
      <c r="W1207" s="62"/>
      <c r="X1207" s="62"/>
      <c r="Y1207" s="62"/>
      <c r="Z1207" s="62"/>
      <c r="AA1207" s="62"/>
      <c r="AB1207" s="62"/>
      <c r="AC1207" s="62"/>
      <c r="AD1207" s="62"/>
    </row>
    <row r="1208">
      <c r="A1208" s="6"/>
      <c r="B1208" s="6"/>
      <c r="C1208" s="6"/>
      <c r="D1208" s="62"/>
      <c r="E1208" s="62"/>
      <c r="F1208" s="62"/>
      <c r="G1208" s="62"/>
      <c r="H1208" s="62"/>
      <c r="I1208" s="62"/>
      <c r="J1208" s="62"/>
      <c r="K1208" s="62"/>
      <c r="L1208" s="62"/>
      <c r="M1208" s="62"/>
      <c r="N1208" s="62"/>
      <c r="O1208" s="62"/>
      <c r="P1208" s="62"/>
      <c r="Q1208" s="62"/>
      <c r="R1208" s="62"/>
      <c r="S1208" s="62"/>
      <c r="T1208" s="62"/>
      <c r="U1208" s="62"/>
      <c r="V1208" s="62"/>
      <c r="W1208" s="62"/>
      <c r="X1208" s="62"/>
      <c r="Y1208" s="62"/>
      <c r="Z1208" s="62"/>
      <c r="AA1208" s="62"/>
      <c r="AB1208" s="62"/>
      <c r="AC1208" s="62"/>
      <c r="AD1208" s="62"/>
    </row>
    <row r="1209">
      <c r="A1209" s="6"/>
      <c r="B1209" s="6"/>
      <c r="C1209" s="6"/>
      <c r="D1209" s="62"/>
      <c r="E1209" s="62"/>
      <c r="F1209" s="62"/>
      <c r="G1209" s="62"/>
      <c r="H1209" s="62"/>
      <c r="I1209" s="62"/>
      <c r="J1209" s="62"/>
      <c r="K1209" s="62"/>
      <c r="L1209" s="62"/>
      <c r="M1209" s="62"/>
      <c r="N1209" s="62"/>
      <c r="O1209" s="62"/>
      <c r="P1209" s="62"/>
      <c r="Q1209" s="62"/>
      <c r="R1209" s="62"/>
      <c r="S1209" s="62"/>
      <c r="T1209" s="62"/>
      <c r="U1209" s="62"/>
      <c r="V1209" s="62"/>
      <c r="W1209" s="62"/>
      <c r="X1209" s="62"/>
      <c r="Y1209" s="62"/>
      <c r="Z1209" s="62"/>
      <c r="AA1209" s="62"/>
      <c r="AB1209" s="62"/>
      <c r="AC1209" s="62"/>
      <c r="AD1209" s="62"/>
    </row>
    <row r="1210">
      <c r="A1210" s="6"/>
      <c r="B1210" s="6"/>
      <c r="C1210" s="6"/>
      <c r="D1210" s="62"/>
      <c r="E1210" s="62"/>
      <c r="F1210" s="62"/>
      <c r="G1210" s="62"/>
      <c r="H1210" s="62"/>
      <c r="I1210" s="62"/>
      <c r="J1210" s="62"/>
      <c r="K1210" s="62"/>
      <c r="L1210" s="62"/>
      <c r="M1210" s="62"/>
      <c r="N1210" s="62"/>
      <c r="O1210" s="62"/>
      <c r="P1210" s="62"/>
      <c r="Q1210" s="62"/>
      <c r="R1210" s="62"/>
      <c r="S1210" s="62"/>
      <c r="T1210" s="62"/>
      <c r="U1210" s="62"/>
      <c r="V1210" s="62"/>
      <c r="W1210" s="62"/>
      <c r="X1210" s="62"/>
      <c r="Y1210" s="62"/>
      <c r="Z1210" s="62"/>
      <c r="AA1210" s="62"/>
      <c r="AB1210" s="62"/>
      <c r="AC1210" s="62"/>
      <c r="AD1210" s="62"/>
    </row>
    <row r="1211">
      <c r="A1211" s="6"/>
      <c r="B1211" s="6"/>
      <c r="C1211" s="6"/>
      <c r="D1211" s="62"/>
      <c r="E1211" s="62"/>
      <c r="F1211" s="62"/>
      <c r="G1211" s="62"/>
      <c r="H1211" s="62"/>
      <c r="I1211" s="62"/>
      <c r="J1211" s="62"/>
      <c r="K1211" s="62"/>
      <c r="L1211" s="62"/>
      <c r="M1211" s="62"/>
      <c r="N1211" s="62"/>
      <c r="O1211" s="62"/>
      <c r="P1211" s="62"/>
      <c r="Q1211" s="62"/>
      <c r="R1211" s="62"/>
      <c r="S1211" s="62"/>
      <c r="T1211" s="62"/>
      <c r="U1211" s="62"/>
      <c r="V1211" s="62"/>
      <c r="W1211" s="62"/>
      <c r="X1211" s="62"/>
      <c r="Y1211" s="62"/>
      <c r="Z1211" s="62"/>
      <c r="AA1211" s="62"/>
      <c r="AB1211" s="62"/>
      <c r="AC1211" s="62"/>
      <c r="AD1211" s="62"/>
    </row>
    <row r="1212">
      <c r="A1212" s="6"/>
      <c r="B1212" s="6"/>
      <c r="C1212" s="6"/>
      <c r="D1212" s="62"/>
      <c r="E1212" s="62"/>
      <c r="F1212" s="62"/>
      <c r="G1212" s="62"/>
      <c r="H1212" s="62"/>
      <c r="I1212" s="62"/>
      <c r="J1212" s="62"/>
      <c r="K1212" s="62"/>
      <c r="L1212" s="62"/>
      <c r="M1212" s="62"/>
      <c r="N1212" s="62"/>
      <c r="O1212" s="62"/>
      <c r="P1212" s="62"/>
      <c r="Q1212" s="62"/>
      <c r="R1212" s="62"/>
      <c r="S1212" s="62"/>
      <c r="T1212" s="62"/>
      <c r="U1212" s="62"/>
      <c r="V1212" s="62"/>
      <c r="W1212" s="62"/>
      <c r="X1212" s="62"/>
      <c r="Y1212" s="62"/>
      <c r="Z1212" s="62"/>
      <c r="AA1212" s="62"/>
      <c r="AB1212" s="62"/>
      <c r="AC1212" s="62"/>
      <c r="AD1212" s="62"/>
    </row>
    <row r="1213">
      <c r="A1213" s="6"/>
      <c r="B1213" s="6"/>
      <c r="C1213" s="6"/>
      <c r="D1213" s="62"/>
      <c r="E1213" s="62"/>
      <c r="F1213" s="62"/>
      <c r="G1213" s="62"/>
      <c r="H1213" s="62"/>
      <c r="I1213" s="62"/>
      <c r="J1213" s="62"/>
      <c r="K1213" s="62"/>
      <c r="L1213" s="62"/>
      <c r="M1213" s="62"/>
      <c r="N1213" s="62"/>
      <c r="O1213" s="62"/>
      <c r="P1213" s="62"/>
      <c r="Q1213" s="62"/>
      <c r="R1213" s="62"/>
      <c r="S1213" s="62"/>
      <c r="T1213" s="62"/>
      <c r="U1213" s="62"/>
      <c r="V1213" s="62"/>
      <c r="W1213" s="62"/>
      <c r="X1213" s="62"/>
      <c r="Y1213" s="62"/>
      <c r="Z1213" s="62"/>
      <c r="AA1213" s="62"/>
      <c r="AB1213" s="62"/>
      <c r="AC1213" s="62"/>
      <c r="AD1213" s="62"/>
    </row>
    <row r="1214">
      <c r="A1214" s="6"/>
      <c r="B1214" s="6"/>
      <c r="C1214" s="6"/>
      <c r="D1214" s="62"/>
      <c r="E1214" s="62"/>
      <c r="F1214" s="62"/>
      <c r="G1214" s="62"/>
      <c r="H1214" s="62"/>
      <c r="I1214" s="62"/>
      <c r="J1214" s="62"/>
      <c r="K1214" s="62"/>
      <c r="L1214" s="62"/>
      <c r="M1214" s="62"/>
      <c r="N1214" s="62"/>
      <c r="O1214" s="62"/>
      <c r="P1214" s="62"/>
      <c r="Q1214" s="62"/>
      <c r="R1214" s="62"/>
      <c r="S1214" s="62"/>
      <c r="T1214" s="62"/>
      <c r="U1214" s="62"/>
      <c r="V1214" s="62"/>
      <c r="W1214" s="62"/>
      <c r="X1214" s="62"/>
      <c r="Y1214" s="62"/>
      <c r="Z1214" s="62"/>
      <c r="AA1214" s="62"/>
      <c r="AB1214" s="62"/>
      <c r="AC1214" s="62"/>
      <c r="AD1214" s="62"/>
    </row>
    <row r="1215">
      <c r="A1215" s="6"/>
      <c r="B1215" s="6"/>
      <c r="C1215" s="6"/>
      <c r="D1215" s="62"/>
      <c r="E1215" s="62"/>
      <c r="F1215" s="62"/>
      <c r="G1215" s="62"/>
      <c r="H1215" s="62"/>
      <c r="I1215" s="62"/>
      <c r="J1215" s="62"/>
      <c r="K1215" s="62"/>
      <c r="L1215" s="62"/>
      <c r="M1215" s="62"/>
      <c r="N1215" s="62"/>
      <c r="O1215" s="62"/>
      <c r="P1215" s="62"/>
      <c r="Q1215" s="62"/>
      <c r="R1215" s="62"/>
      <c r="S1215" s="62"/>
      <c r="T1215" s="62"/>
      <c r="U1215" s="62"/>
      <c r="V1215" s="62"/>
      <c r="W1215" s="62"/>
      <c r="X1215" s="62"/>
      <c r="Y1215" s="62"/>
      <c r="Z1215" s="62"/>
      <c r="AA1215" s="62"/>
      <c r="AB1215" s="62"/>
      <c r="AC1215" s="62"/>
      <c r="AD1215" s="62"/>
    </row>
    <row r="1216">
      <c r="A1216" s="6"/>
      <c r="B1216" s="6"/>
      <c r="C1216" s="6"/>
      <c r="D1216" s="62"/>
      <c r="E1216" s="62"/>
      <c r="F1216" s="62"/>
      <c r="G1216" s="62"/>
      <c r="H1216" s="62"/>
      <c r="I1216" s="62"/>
      <c r="J1216" s="62"/>
      <c r="K1216" s="62"/>
      <c r="L1216" s="62"/>
      <c r="M1216" s="62"/>
      <c r="N1216" s="62"/>
      <c r="O1216" s="62"/>
      <c r="P1216" s="62"/>
      <c r="Q1216" s="62"/>
      <c r="R1216" s="62"/>
      <c r="S1216" s="62"/>
      <c r="T1216" s="62"/>
      <c r="U1216" s="62"/>
      <c r="V1216" s="62"/>
      <c r="W1216" s="62"/>
      <c r="X1216" s="62"/>
      <c r="Y1216" s="62"/>
      <c r="Z1216" s="62"/>
      <c r="AA1216" s="62"/>
      <c r="AB1216" s="62"/>
      <c r="AC1216" s="62"/>
      <c r="AD1216" s="62"/>
    </row>
    <row r="1217">
      <c r="A1217" s="6"/>
      <c r="B1217" s="6"/>
      <c r="C1217" s="6"/>
      <c r="D1217" s="62"/>
      <c r="E1217" s="62"/>
      <c r="F1217" s="62"/>
      <c r="G1217" s="62"/>
      <c r="H1217" s="62"/>
      <c r="I1217" s="62"/>
      <c r="J1217" s="62"/>
      <c r="K1217" s="62"/>
      <c r="L1217" s="62"/>
      <c r="M1217" s="62"/>
      <c r="N1217" s="62"/>
      <c r="O1217" s="62"/>
      <c r="P1217" s="62"/>
      <c r="Q1217" s="62"/>
      <c r="R1217" s="62"/>
      <c r="S1217" s="62"/>
      <c r="T1217" s="62"/>
      <c r="U1217" s="62"/>
      <c r="V1217" s="62"/>
      <c r="W1217" s="62"/>
      <c r="X1217" s="62"/>
      <c r="Y1217" s="62"/>
      <c r="Z1217" s="62"/>
      <c r="AA1217" s="62"/>
      <c r="AB1217" s="62"/>
      <c r="AC1217" s="62"/>
      <c r="AD1217" s="62"/>
    </row>
    <row r="1218">
      <c r="A1218" s="6"/>
      <c r="B1218" s="6"/>
      <c r="C1218" s="6"/>
      <c r="D1218" s="62"/>
      <c r="E1218" s="62"/>
      <c r="F1218" s="62"/>
      <c r="G1218" s="62"/>
      <c r="H1218" s="62"/>
      <c r="I1218" s="62"/>
      <c r="J1218" s="62"/>
      <c r="K1218" s="62"/>
      <c r="L1218" s="62"/>
      <c r="M1218" s="62"/>
      <c r="N1218" s="62"/>
      <c r="O1218" s="62"/>
      <c r="P1218" s="62"/>
      <c r="Q1218" s="62"/>
      <c r="R1218" s="62"/>
      <c r="S1218" s="62"/>
      <c r="T1218" s="62"/>
      <c r="U1218" s="62"/>
      <c r="V1218" s="62"/>
      <c r="W1218" s="62"/>
      <c r="X1218" s="62"/>
      <c r="Y1218" s="62"/>
      <c r="Z1218" s="62"/>
      <c r="AA1218" s="62"/>
      <c r="AB1218" s="62"/>
      <c r="AC1218" s="62"/>
      <c r="AD1218" s="62"/>
    </row>
    <row r="1219">
      <c r="A1219" s="6"/>
      <c r="B1219" s="6"/>
      <c r="C1219" s="6"/>
      <c r="D1219" s="62"/>
      <c r="E1219" s="62"/>
      <c r="F1219" s="62"/>
      <c r="G1219" s="62"/>
      <c r="H1219" s="62"/>
      <c r="I1219" s="62"/>
      <c r="J1219" s="62"/>
      <c r="K1219" s="62"/>
      <c r="L1219" s="62"/>
      <c r="M1219" s="62"/>
      <c r="N1219" s="62"/>
      <c r="O1219" s="62"/>
      <c r="P1219" s="62"/>
      <c r="Q1219" s="62"/>
      <c r="R1219" s="62"/>
      <c r="S1219" s="62"/>
      <c r="T1219" s="62"/>
      <c r="U1219" s="62"/>
      <c r="V1219" s="62"/>
      <c r="W1219" s="62"/>
      <c r="X1219" s="62"/>
      <c r="Y1219" s="62"/>
      <c r="Z1219" s="62"/>
      <c r="AA1219" s="62"/>
      <c r="AB1219" s="62"/>
      <c r="AC1219" s="62"/>
      <c r="AD1219" s="62"/>
    </row>
    <row r="1220">
      <c r="A1220" s="6"/>
      <c r="B1220" s="6"/>
      <c r="C1220" s="6"/>
      <c r="D1220" s="62"/>
      <c r="E1220" s="62"/>
      <c r="F1220" s="62"/>
      <c r="G1220" s="62"/>
      <c r="H1220" s="62"/>
      <c r="I1220" s="62"/>
      <c r="J1220" s="62"/>
      <c r="K1220" s="62"/>
      <c r="L1220" s="62"/>
      <c r="M1220" s="62"/>
      <c r="N1220" s="62"/>
      <c r="O1220" s="62"/>
      <c r="P1220" s="62"/>
      <c r="Q1220" s="62"/>
      <c r="R1220" s="62"/>
      <c r="S1220" s="62"/>
      <c r="T1220" s="62"/>
      <c r="U1220" s="62"/>
      <c r="V1220" s="62"/>
      <c r="W1220" s="62"/>
      <c r="X1220" s="62"/>
      <c r="Y1220" s="62"/>
      <c r="Z1220" s="62"/>
      <c r="AA1220" s="62"/>
      <c r="AB1220" s="62"/>
      <c r="AC1220" s="62"/>
      <c r="AD1220" s="62"/>
    </row>
    <row r="1221">
      <c r="A1221" s="6"/>
      <c r="B1221" s="6"/>
      <c r="C1221" s="6"/>
      <c r="D1221" s="62"/>
      <c r="E1221" s="62"/>
      <c r="F1221" s="62"/>
      <c r="G1221" s="62"/>
      <c r="H1221" s="62"/>
      <c r="I1221" s="62"/>
      <c r="J1221" s="62"/>
      <c r="K1221" s="62"/>
      <c r="L1221" s="62"/>
      <c r="M1221" s="62"/>
      <c r="N1221" s="62"/>
      <c r="O1221" s="62"/>
      <c r="P1221" s="62"/>
      <c r="Q1221" s="62"/>
      <c r="R1221" s="62"/>
      <c r="S1221" s="62"/>
      <c r="T1221" s="62"/>
      <c r="U1221" s="62"/>
      <c r="V1221" s="62"/>
      <c r="W1221" s="62"/>
      <c r="X1221" s="62"/>
      <c r="Y1221" s="62"/>
      <c r="Z1221" s="62"/>
      <c r="AA1221" s="62"/>
      <c r="AB1221" s="62"/>
      <c r="AC1221" s="62"/>
      <c r="AD1221" s="62"/>
    </row>
    <row r="1222">
      <c r="A1222" s="6"/>
      <c r="B1222" s="6"/>
      <c r="C1222" s="6"/>
      <c r="D1222" s="62"/>
      <c r="E1222" s="62"/>
      <c r="F1222" s="62"/>
      <c r="G1222" s="62"/>
      <c r="H1222" s="62"/>
      <c r="I1222" s="62"/>
      <c r="J1222" s="62"/>
      <c r="K1222" s="62"/>
      <c r="L1222" s="62"/>
      <c r="M1222" s="62"/>
      <c r="N1222" s="62"/>
      <c r="O1222" s="62"/>
      <c r="P1222" s="62"/>
      <c r="Q1222" s="62"/>
      <c r="R1222" s="62"/>
      <c r="S1222" s="62"/>
      <c r="T1222" s="62"/>
      <c r="U1222" s="62"/>
      <c r="V1222" s="62"/>
      <c r="W1222" s="62"/>
      <c r="X1222" s="62"/>
      <c r="Y1222" s="62"/>
      <c r="Z1222" s="62"/>
      <c r="AA1222" s="62"/>
      <c r="AB1222" s="62"/>
      <c r="AC1222" s="62"/>
      <c r="AD1222" s="62"/>
    </row>
    <row r="1223">
      <c r="A1223" s="6"/>
      <c r="B1223" s="6"/>
      <c r="C1223" s="6"/>
      <c r="D1223" s="62"/>
      <c r="E1223" s="62"/>
      <c r="F1223" s="62"/>
      <c r="G1223" s="62"/>
      <c r="H1223" s="62"/>
      <c r="I1223" s="62"/>
      <c r="J1223" s="62"/>
      <c r="K1223" s="62"/>
      <c r="L1223" s="62"/>
      <c r="M1223" s="62"/>
      <c r="N1223" s="62"/>
      <c r="O1223" s="62"/>
      <c r="P1223" s="62"/>
      <c r="Q1223" s="62"/>
      <c r="R1223" s="62"/>
      <c r="S1223" s="62"/>
      <c r="T1223" s="62"/>
      <c r="U1223" s="62"/>
      <c r="V1223" s="62"/>
      <c r="W1223" s="62"/>
      <c r="X1223" s="62"/>
      <c r="Y1223" s="62"/>
      <c r="Z1223" s="62"/>
      <c r="AA1223" s="62"/>
      <c r="AB1223" s="62"/>
      <c r="AC1223" s="62"/>
      <c r="AD1223" s="62"/>
    </row>
    <row r="1224">
      <c r="A1224" s="6"/>
      <c r="B1224" s="6"/>
      <c r="C1224" s="6"/>
      <c r="D1224" s="62"/>
      <c r="E1224" s="62"/>
      <c r="F1224" s="62"/>
      <c r="G1224" s="62"/>
      <c r="H1224" s="62"/>
      <c r="I1224" s="62"/>
      <c r="J1224" s="62"/>
      <c r="K1224" s="62"/>
      <c r="L1224" s="62"/>
      <c r="M1224" s="62"/>
      <c r="N1224" s="62"/>
      <c r="O1224" s="62"/>
      <c r="P1224" s="62"/>
      <c r="Q1224" s="62"/>
      <c r="R1224" s="62"/>
      <c r="S1224" s="62"/>
      <c r="T1224" s="62"/>
      <c r="U1224" s="62"/>
      <c r="V1224" s="62"/>
      <c r="W1224" s="62"/>
      <c r="X1224" s="62"/>
      <c r="Y1224" s="62"/>
      <c r="Z1224" s="62"/>
      <c r="AA1224" s="62"/>
      <c r="AB1224" s="62"/>
      <c r="AC1224" s="62"/>
      <c r="AD1224" s="62"/>
    </row>
    <row r="1225">
      <c r="A1225" s="6"/>
      <c r="B1225" s="6"/>
      <c r="C1225" s="6"/>
      <c r="D1225" s="62"/>
      <c r="E1225" s="62"/>
      <c r="F1225" s="62"/>
      <c r="G1225" s="62"/>
      <c r="H1225" s="62"/>
      <c r="I1225" s="62"/>
      <c r="J1225" s="62"/>
      <c r="K1225" s="62"/>
      <c r="L1225" s="62"/>
      <c r="M1225" s="62"/>
      <c r="N1225" s="62"/>
      <c r="O1225" s="62"/>
      <c r="P1225" s="62"/>
      <c r="Q1225" s="62"/>
      <c r="R1225" s="62"/>
      <c r="S1225" s="62"/>
      <c r="T1225" s="62"/>
      <c r="U1225" s="62"/>
      <c r="V1225" s="62"/>
      <c r="W1225" s="62"/>
      <c r="X1225" s="62"/>
      <c r="Y1225" s="62"/>
      <c r="Z1225" s="62"/>
      <c r="AA1225" s="62"/>
      <c r="AB1225" s="62"/>
      <c r="AC1225" s="62"/>
      <c r="AD1225" s="62"/>
    </row>
    <row r="1226">
      <c r="A1226" s="6"/>
      <c r="B1226" s="6"/>
      <c r="C1226" s="6"/>
      <c r="D1226" s="62"/>
      <c r="E1226" s="62"/>
      <c r="F1226" s="62"/>
      <c r="G1226" s="62"/>
      <c r="H1226" s="62"/>
      <c r="I1226" s="62"/>
      <c r="J1226" s="62"/>
      <c r="K1226" s="62"/>
      <c r="L1226" s="62"/>
      <c r="M1226" s="62"/>
      <c r="N1226" s="62"/>
      <c r="O1226" s="62"/>
      <c r="P1226" s="62"/>
      <c r="Q1226" s="62"/>
      <c r="R1226" s="62"/>
      <c r="S1226" s="62"/>
      <c r="T1226" s="62"/>
      <c r="U1226" s="62"/>
      <c r="V1226" s="62"/>
      <c r="W1226" s="62"/>
      <c r="X1226" s="62"/>
      <c r="Y1226" s="62"/>
      <c r="Z1226" s="62"/>
      <c r="AA1226" s="62"/>
      <c r="AB1226" s="62"/>
      <c r="AC1226" s="62"/>
      <c r="AD1226" s="62"/>
    </row>
    <row r="1227">
      <c r="A1227" s="6"/>
      <c r="B1227" s="6"/>
      <c r="C1227" s="6"/>
      <c r="D1227" s="62"/>
      <c r="E1227" s="62"/>
      <c r="F1227" s="62"/>
      <c r="G1227" s="62"/>
      <c r="H1227" s="62"/>
      <c r="I1227" s="62"/>
      <c r="J1227" s="62"/>
      <c r="K1227" s="62"/>
      <c r="L1227" s="62"/>
      <c r="M1227" s="62"/>
      <c r="N1227" s="62"/>
      <c r="O1227" s="62"/>
      <c r="P1227" s="62"/>
      <c r="Q1227" s="62"/>
      <c r="R1227" s="62"/>
      <c r="S1227" s="62"/>
      <c r="T1227" s="62"/>
      <c r="U1227" s="62"/>
      <c r="V1227" s="62"/>
      <c r="W1227" s="62"/>
      <c r="X1227" s="62"/>
      <c r="Y1227" s="62"/>
      <c r="Z1227" s="62"/>
      <c r="AA1227" s="62"/>
      <c r="AB1227" s="62"/>
      <c r="AC1227" s="62"/>
      <c r="AD1227" s="62"/>
    </row>
    <row r="1228">
      <c r="A1228" s="6"/>
      <c r="B1228" s="6"/>
      <c r="C1228" s="6"/>
      <c r="D1228" s="62"/>
      <c r="E1228" s="62"/>
      <c r="F1228" s="62"/>
      <c r="G1228" s="62"/>
      <c r="H1228" s="62"/>
      <c r="I1228" s="62"/>
      <c r="J1228" s="62"/>
      <c r="K1228" s="62"/>
      <c r="L1228" s="62"/>
      <c r="M1228" s="62"/>
      <c r="N1228" s="62"/>
      <c r="O1228" s="62"/>
      <c r="P1228" s="62"/>
      <c r="Q1228" s="62"/>
      <c r="R1228" s="62"/>
      <c r="S1228" s="62"/>
      <c r="T1228" s="62"/>
      <c r="U1228" s="62"/>
      <c r="V1228" s="62"/>
      <c r="W1228" s="62"/>
      <c r="X1228" s="62"/>
      <c r="Y1228" s="62"/>
      <c r="Z1228" s="62"/>
      <c r="AA1228" s="62"/>
      <c r="AB1228" s="62"/>
      <c r="AC1228" s="62"/>
      <c r="AD1228" s="62"/>
    </row>
    <row r="1229">
      <c r="A1229" s="6"/>
      <c r="B1229" s="6"/>
      <c r="C1229" s="6"/>
      <c r="D1229" s="62"/>
      <c r="E1229" s="62"/>
      <c r="F1229" s="62"/>
      <c r="G1229" s="62"/>
      <c r="H1229" s="62"/>
      <c r="I1229" s="62"/>
      <c r="J1229" s="62"/>
      <c r="K1229" s="62"/>
      <c r="L1229" s="62"/>
      <c r="M1229" s="62"/>
      <c r="N1229" s="62"/>
      <c r="O1229" s="62"/>
      <c r="P1229" s="62"/>
      <c r="Q1229" s="62"/>
      <c r="R1229" s="62"/>
      <c r="S1229" s="62"/>
      <c r="T1229" s="62"/>
      <c r="U1229" s="62"/>
      <c r="V1229" s="62"/>
      <c r="W1229" s="62"/>
      <c r="X1229" s="62"/>
      <c r="Y1229" s="62"/>
      <c r="Z1229" s="62"/>
      <c r="AA1229" s="62"/>
      <c r="AB1229" s="62"/>
      <c r="AC1229" s="62"/>
      <c r="AD1229" s="62"/>
    </row>
    <row r="1230">
      <c r="A1230" s="6"/>
      <c r="B1230" s="6"/>
      <c r="C1230" s="6"/>
      <c r="D1230" s="62"/>
      <c r="E1230" s="62"/>
      <c r="F1230" s="62"/>
      <c r="G1230" s="62"/>
      <c r="H1230" s="62"/>
      <c r="I1230" s="62"/>
      <c r="J1230" s="62"/>
      <c r="K1230" s="62"/>
      <c r="L1230" s="62"/>
      <c r="M1230" s="62"/>
      <c r="N1230" s="62"/>
      <c r="O1230" s="62"/>
      <c r="P1230" s="62"/>
      <c r="Q1230" s="62"/>
      <c r="R1230" s="62"/>
      <c r="S1230" s="62"/>
      <c r="T1230" s="62"/>
      <c r="U1230" s="62"/>
      <c r="V1230" s="62"/>
      <c r="W1230" s="62"/>
      <c r="X1230" s="62"/>
      <c r="Y1230" s="62"/>
      <c r="Z1230" s="62"/>
      <c r="AA1230" s="62"/>
      <c r="AB1230" s="62"/>
      <c r="AC1230" s="62"/>
      <c r="AD1230" s="62"/>
    </row>
    <row r="1231">
      <c r="A1231" s="6"/>
      <c r="B1231" s="6"/>
      <c r="C1231" s="6"/>
      <c r="D1231" s="62"/>
      <c r="E1231" s="62"/>
      <c r="F1231" s="62"/>
      <c r="G1231" s="62"/>
      <c r="H1231" s="62"/>
      <c r="I1231" s="62"/>
      <c r="J1231" s="62"/>
      <c r="K1231" s="62"/>
      <c r="L1231" s="62"/>
      <c r="M1231" s="62"/>
      <c r="N1231" s="62"/>
      <c r="O1231" s="62"/>
      <c r="P1231" s="62"/>
      <c r="Q1231" s="62"/>
      <c r="R1231" s="62"/>
      <c r="S1231" s="62"/>
      <c r="T1231" s="62"/>
      <c r="U1231" s="62"/>
      <c r="V1231" s="62"/>
      <c r="W1231" s="62"/>
      <c r="X1231" s="62"/>
      <c r="Y1231" s="62"/>
      <c r="Z1231" s="62"/>
      <c r="AA1231" s="62"/>
      <c r="AB1231" s="62"/>
      <c r="AC1231" s="62"/>
      <c r="AD1231" s="62"/>
    </row>
    <row r="1232">
      <c r="A1232" s="6"/>
      <c r="B1232" s="6"/>
      <c r="C1232" s="6"/>
      <c r="D1232" s="62"/>
      <c r="E1232" s="62"/>
      <c r="F1232" s="62"/>
      <c r="G1232" s="62"/>
      <c r="H1232" s="62"/>
      <c r="I1232" s="62"/>
      <c r="J1232" s="62"/>
      <c r="K1232" s="62"/>
      <c r="L1232" s="62"/>
      <c r="M1232" s="62"/>
      <c r="N1232" s="62"/>
      <c r="O1232" s="62"/>
      <c r="P1232" s="62"/>
      <c r="Q1232" s="62"/>
      <c r="R1232" s="62"/>
      <c r="S1232" s="62"/>
      <c r="T1232" s="62"/>
      <c r="U1232" s="62"/>
      <c r="V1232" s="62"/>
      <c r="W1232" s="62"/>
      <c r="X1232" s="62"/>
      <c r="Y1232" s="62"/>
      <c r="Z1232" s="62"/>
      <c r="AA1232" s="62"/>
      <c r="AB1232" s="62"/>
      <c r="AC1232" s="62"/>
      <c r="AD1232" s="62"/>
    </row>
    <row r="1233">
      <c r="A1233" s="6"/>
      <c r="B1233" s="6"/>
      <c r="C1233" s="6"/>
      <c r="D1233" s="62"/>
      <c r="E1233" s="62"/>
      <c r="F1233" s="62"/>
      <c r="G1233" s="62"/>
      <c r="H1233" s="62"/>
      <c r="I1233" s="62"/>
      <c r="J1233" s="62"/>
      <c r="K1233" s="62"/>
      <c r="L1233" s="62"/>
      <c r="M1233" s="62"/>
      <c r="N1233" s="62"/>
      <c r="O1233" s="62"/>
      <c r="P1233" s="62"/>
      <c r="Q1233" s="62"/>
      <c r="R1233" s="62"/>
      <c r="S1233" s="62"/>
      <c r="T1233" s="62"/>
      <c r="U1233" s="62"/>
      <c r="V1233" s="62"/>
      <c r="W1233" s="62"/>
      <c r="X1233" s="62"/>
      <c r="Y1233" s="62"/>
      <c r="Z1233" s="62"/>
      <c r="AA1233" s="62"/>
      <c r="AB1233" s="62"/>
      <c r="AC1233" s="62"/>
      <c r="AD1233" s="62"/>
    </row>
    <row r="1234">
      <c r="A1234" s="6"/>
      <c r="B1234" s="6"/>
      <c r="C1234" s="6"/>
      <c r="D1234" s="62"/>
      <c r="E1234" s="62"/>
      <c r="F1234" s="62"/>
      <c r="G1234" s="62"/>
      <c r="H1234" s="62"/>
      <c r="I1234" s="62"/>
      <c r="J1234" s="62"/>
      <c r="K1234" s="62"/>
      <c r="L1234" s="62"/>
      <c r="M1234" s="62"/>
      <c r="N1234" s="62"/>
      <c r="O1234" s="62"/>
      <c r="P1234" s="62"/>
      <c r="Q1234" s="62"/>
      <c r="R1234" s="62"/>
      <c r="S1234" s="62"/>
      <c r="T1234" s="62"/>
      <c r="U1234" s="62"/>
      <c r="V1234" s="62"/>
      <c r="W1234" s="62"/>
      <c r="X1234" s="62"/>
      <c r="Y1234" s="62"/>
      <c r="Z1234" s="62"/>
      <c r="AA1234" s="62"/>
      <c r="AB1234" s="62"/>
      <c r="AC1234" s="62"/>
      <c r="AD1234" s="62"/>
    </row>
    <row r="1235">
      <c r="A1235" s="6"/>
      <c r="B1235" s="6"/>
      <c r="C1235" s="6"/>
      <c r="D1235" s="62"/>
      <c r="E1235" s="62"/>
      <c r="F1235" s="62"/>
      <c r="G1235" s="62"/>
      <c r="H1235" s="62"/>
      <c r="I1235" s="62"/>
      <c r="J1235" s="62"/>
      <c r="K1235" s="62"/>
      <c r="L1235" s="62"/>
      <c r="M1235" s="62"/>
      <c r="N1235" s="62"/>
      <c r="O1235" s="62"/>
      <c r="P1235" s="62"/>
      <c r="Q1235" s="62"/>
      <c r="R1235" s="62"/>
      <c r="S1235" s="62"/>
      <c r="T1235" s="62"/>
      <c r="U1235" s="62"/>
      <c r="V1235" s="62"/>
      <c r="W1235" s="62"/>
      <c r="X1235" s="62"/>
      <c r="Y1235" s="62"/>
      <c r="Z1235" s="62"/>
      <c r="AA1235" s="62"/>
      <c r="AB1235" s="62"/>
      <c r="AC1235" s="62"/>
      <c r="AD1235" s="62"/>
    </row>
    <row r="1236">
      <c r="A1236" s="6"/>
      <c r="B1236" s="6"/>
      <c r="C1236" s="6"/>
      <c r="D1236" s="62"/>
      <c r="E1236" s="62"/>
      <c r="F1236" s="62"/>
      <c r="G1236" s="62"/>
      <c r="H1236" s="62"/>
      <c r="I1236" s="62"/>
      <c r="J1236" s="62"/>
      <c r="K1236" s="62"/>
      <c r="L1236" s="62"/>
      <c r="M1236" s="62"/>
      <c r="N1236" s="62"/>
      <c r="O1236" s="62"/>
      <c r="P1236" s="62"/>
      <c r="Q1236" s="62"/>
      <c r="R1236" s="62"/>
      <c r="S1236" s="62"/>
      <c r="T1236" s="62"/>
      <c r="U1236" s="62"/>
      <c r="V1236" s="62"/>
      <c r="W1236" s="62"/>
      <c r="X1236" s="62"/>
      <c r="Y1236" s="62"/>
      <c r="Z1236" s="62"/>
      <c r="AA1236" s="62"/>
      <c r="AB1236" s="62"/>
      <c r="AC1236" s="62"/>
      <c r="AD1236" s="62"/>
    </row>
    <row r="1237">
      <c r="A1237" s="6"/>
      <c r="B1237" s="6"/>
      <c r="C1237" s="6"/>
      <c r="D1237" s="62"/>
      <c r="E1237" s="62"/>
      <c r="F1237" s="62"/>
      <c r="G1237" s="62"/>
      <c r="H1237" s="62"/>
      <c r="I1237" s="62"/>
      <c r="J1237" s="62"/>
      <c r="K1237" s="62"/>
      <c r="L1237" s="62"/>
      <c r="M1237" s="62"/>
      <c r="N1237" s="62"/>
      <c r="O1237" s="62"/>
      <c r="P1237" s="62"/>
      <c r="Q1237" s="62"/>
      <c r="R1237" s="62"/>
      <c r="S1237" s="62"/>
      <c r="T1237" s="62"/>
      <c r="U1237" s="62"/>
      <c r="V1237" s="62"/>
      <c r="W1237" s="62"/>
      <c r="X1237" s="62"/>
      <c r="Y1237" s="62"/>
      <c r="Z1237" s="62"/>
      <c r="AA1237" s="62"/>
      <c r="AB1237" s="62"/>
      <c r="AC1237" s="62"/>
      <c r="AD1237" s="62"/>
    </row>
    <row r="1238">
      <c r="A1238" s="6"/>
      <c r="B1238" s="6"/>
      <c r="C1238" s="6"/>
      <c r="D1238" s="62"/>
      <c r="E1238" s="62"/>
      <c r="F1238" s="62"/>
      <c r="G1238" s="62"/>
      <c r="H1238" s="62"/>
      <c r="I1238" s="62"/>
      <c r="J1238" s="62"/>
      <c r="K1238" s="62"/>
      <c r="L1238" s="62"/>
      <c r="M1238" s="62"/>
      <c r="N1238" s="62"/>
      <c r="O1238" s="62"/>
      <c r="P1238" s="62"/>
      <c r="Q1238" s="62"/>
      <c r="R1238" s="62"/>
      <c r="S1238" s="62"/>
      <c r="T1238" s="62"/>
      <c r="U1238" s="62"/>
      <c r="V1238" s="62"/>
      <c r="W1238" s="62"/>
      <c r="X1238" s="62"/>
      <c r="Y1238" s="62"/>
      <c r="Z1238" s="62"/>
      <c r="AA1238" s="62"/>
      <c r="AB1238" s="62"/>
      <c r="AC1238" s="62"/>
      <c r="AD1238" s="62"/>
    </row>
    <row r="1239">
      <c r="A1239" s="6"/>
      <c r="B1239" s="6"/>
      <c r="C1239" s="6"/>
      <c r="D1239" s="62"/>
      <c r="E1239" s="62"/>
      <c r="F1239" s="62"/>
      <c r="G1239" s="62"/>
      <c r="H1239" s="62"/>
      <c r="I1239" s="62"/>
      <c r="J1239" s="62"/>
      <c r="K1239" s="62"/>
      <c r="L1239" s="62"/>
      <c r="M1239" s="62"/>
      <c r="N1239" s="62"/>
      <c r="O1239" s="62"/>
      <c r="P1239" s="62"/>
      <c r="Q1239" s="62"/>
      <c r="R1239" s="62"/>
      <c r="S1239" s="62"/>
      <c r="T1239" s="62"/>
      <c r="U1239" s="62"/>
      <c r="V1239" s="62"/>
      <c r="W1239" s="62"/>
      <c r="X1239" s="62"/>
      <c r="Y1239" s="62"/>
      <c r="Z1239" s="62"/>
      <c r="AA1239" s="62"/>
      <c r="AB1239" s="62"/>
      <c r="AC1239" s="62"/>
      <c r="AD1239" s="62"/>
    </row>
    <row r="1240">
      <c r="A1240" s="6"/>
      <c r="B1240" s="6"/>
      <c r="C1240" s="6"/>
      <c r="D1240" s="62"/>
      <c r="E1240" s="62"/>
      <c r="F1240" s="62"/>
      <c r="G1240" s="62"/>
      <c r="H1240" s="62"/>
      <c r="I1240" s="62"/>
      <c r="J1240" s="62"/>
      <c r="K1240" s="62"/>
      <c r="L1240" s="62"/>
      <c r="M1240" s="62"/>
      <c r="N1240" s="62"/>
      <c r="O1240" s="62"/>
      <c r="P1240" s="62"/>
      <c r="Q1240" s="62"/>
      <c r="R1240" s="62"/>
      <c r="S1240" s="62"/>
      <c r="T1240" s="62"/>
      <c r="U1240" s="62"/>
      <c r="V1240" s="62"/>
      <c r="W1240" s="62"/>
      <c r="X1240" s="62"/>
      <c r="Y1240" s="62"/>
      <c r="Z1240" s="62"/>
      <c r="AA1240" s="62"/>
      <c r="AB1240" s="62"/>
      <c r="AC1240" s="62"/>
      <c r="AD1240" s="62"/>
    </row>
    <row r="1241">
      <c r="A1241" s="6"/>
      <c r="B1241" s="6"/>
      <c r="C1241" s="6"/>
      <c r="D1241" s="62"/>
      <c r="E1241" s="62"/>
      <c r="F1241" s="62"/>
      <c r="G1241" s="62"/>
      <c r="H1241" s="62"/>
      <c r="I1241" s="62"/>
      <c r="J1241" s="62"/>
      <c r="K1241" s="62"/>
      <c r="L1241" s="62"/>
      <c r="M1241" s="62"/>
      <c r="N1241" s="62"/>
      <c r="O1241" s="62"/>
      <c r="P1241" s="62"/>
      <c r="Q1241" s="62"/>
      <c r="R1241" s="62"/>
      <c r="S1241" s="62"/>
      <c r="T1241" s="62"/>
      <c r="U1241" s="62"/>
      <c r="V1241" s="62"/>
      <c r="W1241" s="62"/>
      <c r="X1241" s="62"/>
      <c r="Y1241" s="62"/>
      <c r="Z1241" s="62"/>
      <c r="AA1241" s="62"/>
      <c r="AB1241" s="62"/>
      <c r="AC1241" s="62"/>
      <c r="AD1241" s="62"/>
    </row>
    <row r="1242">
      <c r="A1242" s="6"/>
      <c r="B1242" s="6"/>
      <c r="C1242" s="6"/>
      <c r="D1242" s="62"/>
      <c r="E1242" s="62"/>
      <c r="F1242" s="62"/>
      <c r="G1242" s="62"/>
      <c r="H1242" s="62"/>
      <c r="I1242" s="62"/>
      <c r="J1242" s="62"/>
      <c r="K1242" s="62"/>
      <c r="L1242" s="62"/>
      <c r="M1242" s="62"/>
      <c r="N1242" s="62"/>
      <c r="O1242" s="62"/>
      <c r="P1242" s="62"/>
      <c r="Q1242" s="62"/>
      <c r="R1242" s="62"/>
      <c r="S1242" s="62"/>
      <c r="T1242" s="62"/>
      <c r="U1242" s="62"/>
      <c r="V1242" s="62"/>
      <c r="W1242" s="62"/>
      <c r="X1242" s="62"/>
      <c r="Y1242" s="62"/>
      <c r="Z1242" s="62"/>
      <c r="AA1242" s="62"/>
      <c r="AB1242" s="62"/>
      <c r="AC1242" s="62"/>
      <c r="AD1242" s="62"/>
    </row>
    <row r="1243">
      <c r="A1243" s="6"/>
      <c r="B1243" s="6"/>
      <c r="C1243" s="6"/>
      <c r="D1243" s="62"/>
      <c r="E1243" s="62"/>
      <c r="F1243" s="62"/>
      <c r="G1243" s="62"/>
      <c r="H1243" s="62"/>
      <c r="I1243" s="62"/>
      <c r="J1243" s="62"/>
      <c r="K1243" s="62"/>
      <c r="L1243" s="62"/>
      <c r="M1243" s="62"/>
      <c r="N1243" s="62"/>
      <c r="O1243" s="62"/>
      <c r="P1243" s="62"/>
      <c r="Q1243" s="62"/>
      <c r="R1243" s="62"/>
      <c r="S1243" s="62"/>
      <c r="T1243" s="62"/>
      <c r="U1243" s="62"/>
      <c r="V1243" s="62"/>
      <c r="W1243" s="62"/>
      <c r="X1243" s="62"/>
      <c r="Y1243" s="62"/>
      <c r="Z1243" s="62"/>
      <c r="AA1243" s="62"/>
      <c r="AB1243" s="62"/>
      <c r="AC1243" s="62"/>
      <c r="AD1243" s="62"/>
    </row>
    <row r="1244">
      <c r="A1244" s="6"/>
      <c r="B1244" s="6"/>
      <c r="C1244" s="6"/>
      <c r="D1244" s="62"/>
      <c r="E1244" s="62"/>
      <c r="F1244" s="62"/>
      <c r="G1244" s="62"/>
      <c r="H1244" s="62"/>
      <c r="I1244" s="62"/>
      <c r="J1244" s="62"/>
      <c r="K1244" s="62"/>
      <c r="L1244" s="62"/>
      <c r="M1244" s="62"/>
      <c r="N1244" s="62"/>
      <c r="O1244" s="62"/>
      <c r="P1244" s="62"/>
      <c r="Q1244" s="62"/>
      <c r="R1244" s="62"/>
      <c r="S1244" s="62"/>
      <c r="T1244" s="62"/>
      <c r="U1244" s="62"/>
      <c r="V1244" s="62"/>
      <c r="W1244" s="62"/>
      <c r="X1244" s="62"/>
      <c r="Y1244" s="62"/>
      <c r="Z1244" s="62"/>
      <c r="AA1244" s="62"/>
      <c r="AB1244" s="62"/>
      <c r="AC1244" s="62"/>
      <c r="AD1244" s="62"/>
    </row>
    <row r="1245">
      <c r="A1245" s="6"/>
      <c r="B1245" s="6"/>
      <c r="C1245" s="6"/>
      <c r="D1245" s="62"/>
      <c r="E1245" s="62"/>
      <c r="F1245" s="62"/>
      <c r="G1245" s="62"/>
      <c r="H1245" s="62"/>
      <c r="I1245" s="62"/>
      <c r="J1245" s="62"/>
      <c r="K1245" s="62"/>
      <c r="L1245" s="62"/>
      <c r="M1245" s="62"/>
      <c r="N1245" s="62"/>
      <c r="O1245" s="62"/>
      <c r="P1245" s="62"/>
      <c r="Q1245" s="62"/>
      <c r="R1245" s="62"/>
      <c r="S1245" s="62"/>
      <c r="T1245" s="62"/>
      <c r="U1245" s="62"/>
      <c r="V1245" s="62"/>
      <c r="W1245" s="62"/>
      <c r="X1245" s="62"/>
      <c r="Y1245" s="62"/>
      <c r="Z1245" s="62"/>
      <c r="AA1245" s="62"/>
      <c r="AB1245" s="62"/>
      <c r="AC1245" s="62"/>
      <c r="AD1245" s="62"/>
    </row>
    <row r="1246">
      <c r="A1246" s="6"/>
      <c r="B1246" s="6"/>
      <c r="C1246" s="6"/>
      <c r="D1246" s="62"/>
      <c r="E1246" s="62"/>
      <c r="F1246" s="62"/>
      <c r="G1246" s="62"/>
      <c r="H1246" s="62"/>
      <c r="I1246" s="62"/>
      <c r="J1246" s="62"/>
      <c r="K1246" s="62"/>
      <c r="L1246" s="62"/>
      <c r="M1246" s="62"/>
      <c r="N1246" s="62"/>
      <c r="O1246" s="62"/>
      <c r="P1246" s="62"/>
      <c r="Q1246" s="62"/>
      <c r="R1246" s="62"/>
      <c r="S1246" s="62"/>
      <c r="T1246" s="62"/>
      <c r="U1246" s="62"/>
      <c r="V1246" s="62"/>
      <c r="W1246" s="62"/>
      <c r="X1246" s="62"/>
      <c r="Y1246" s="62"/>
      <c r="Z1246" s="62"/>
      <c r="AA1246" s="62"/>
      <c r="AB1246" s="62"/>
      <c r="AC1246" s="62"/>
      <c r="AD1246" s="62"/>
    </row>
    <row r="1247">
      <c r="A1247" s="6"/>
      <c r="B1247" s="6"/>
      <c r="C1247" s="6"/>
      <c r="D1247" s="62"/>
      <c r="E1247" s="62"/>
      <c r="F1247" s="62"/>
      <c r="G1247" s="62"/>
      <c r="H1247" s="62"/>
      <c r="I1247" s="62"/>
      <c r="J1247" s="62"/>
      <c r="K1247" s="62"/>
      <c r="L1247" s="62"/>
      <c r="M1247" s="62"/>
      <c r="N1247" s="62"/>
      <c r="O1247" s="62"/>
      <c r="P1247" s="62"/>
      <c r="Q1247" s="62"/>
      <c r="R1247" s="62"/>
      <c r="S1247" s="62"/>
      <c r="T1247" s="62"/>
      <c r="U1247" s="62"/>
      <c r="V1247" s="62"/>
      <c r="W1247" s="62"/>
      <c r="X1247" s="62"/>
      <c r="Y1247" s="62"/>
      <c r="Z1247" s="62"/>
      <c r="AA1247" s="62"/>
      <c r="AB1247" s="62"/>
      <c r="AC1247" s="62"/>
      <c r="AD1247" s="62"/>
    </row>
    <row r="1248">
      <c r="A1248" s="6"/>
      <c r="B1248" s="6"/>
      <c r="C1248" s="6"/>
      <c r="D1248" s="62"/>
      <c r="E1248" s="62"/>
      <c r="F1248" s="62"/>
      <c r="G1248" s="62"/>
      <c r="H1248" s="62"/>
      <c r="I1248" s="62"/>
      <c r="J1248" s="62"/>
      <c r="K1248" s="62"/>
      <c r="L1248" s="62"/>
      <c r="M1248" s="62"/>
      <c r="N1248" s="62"/>
      <c r="O1248" s="62"/>
      <c r="P1248" s="62"/>
      <c r="Q1248" s="62"/>
      <c r="R1248" s="62"/>
      <c r="S1248" s="62"/>
      <c r="T1248" s="62"/>
      <c r="U1248" s="62"/>
      <c r="V1248" s="62"/>
      <c r="W1248" s="62"/>
      <c r="X1248" s="62"/>
      <c r="Y1248" s="62"/>
      <c r="Z1248" s="62"/>
      <c r="AA1248" s="62"/>
      <c r="AB1248" s="62"/>
      <c r="AC1248" s="62"/>
      <c r="AD1248" s="62"/>
    </row>
    <row r="1249">
      <c r="A1249" s="6"/>
      <c r="B1249" s="6"/>
      <c r="C1249" s="6"/>
      <c r="D1249" s="62"/>
      <c r="E1249" s="62"/>
      <c r="F1249" s="62"/>
      <c r="G1249" s="62"/>
      <c r="H1249" s="62"/>
      <c r="I1249" s="62"/>
      <c r="J1249" s="62"/>
      <c r="K1249" s="62"/>
      <c r="L1249" s="62"/>
      <c r="M1249" s="62"/>
      <c r="N1249" s="62"/>
      <c r="O1249" s="62"/>
      <c r="P1249" s="62"/>
      <c r="Q1249" s="62"/>
      <c r="R1249" s="62"/>
      <c r="S1249" s="62"/>
      <c r="T1249" s="62"/>
      <c r="U1249" s="62"/>
      <c r="V1249" s="62"/>
      <c r="W1249" s="62"/>
      <c r="X1249" s="62"/>
      <c r="Y1249" s="62"/>
      <c r="Z1249" s="62"/>
      <c r="AA1249" s="62"/>
      <c r="AB1249" s="62"/>
      <c r="AC1249" s="62"/>
      <c r="AD1249" s="62"/>
    </row>
    <row r="1250">
      <c r="A1250" s="6"/>
      <c r="B1250" s="6"/>
      <c r="C1250" s="6"/>
      <c r="D1250" s="62"/>
      <c r="E1250" s="62"/>
      <c r="F1250" s="62"/>
      <c r="G1250" s="62"/>
      <c r="H1250" s="62"/>
      <c r="I1250" s="62"/>
      <c r="J1250" s="62"/>
      <c r="K1250" s="62"/>
      <c r="L1250" s="62"/>
      <c r="M1250" s="62"/>
      <c r="N1250" s="62"/>
      <c r="O1250" s="62"/>
      <c r="P1250" s="62"/>
      <c r="Q1250" s="62"/>
      <c r="R1250" s="62"/>
      <c r="S1250" s="62"/>
      <c r="T1250" s="62"/>
      <c r="U1250" s="62"/>
      <c r="V1250" s="62"/>
      <c r="W1250" s="62"/>
      <c r="X1250" s="62"/>
      <c r="Y1250" s="62"/>
      <c r="Z1250" s="62"/>
      <c r="AA1250" s="62"/>
      <c r="AB1250" s="62"/>
      <c r="AC1250" s="62"/>
      <c r="AD1250" s="62"/>
    </row>
    <row r="1251">
      <c r="A1251" s="6"/>
      <c r="B1251" s="6"/>
      <c r="C1251" s="6"/>
      <c r="D1251" s="62"/>
      <c r="E1251" s="62"/>
      <c r="F1251" s="62"/>
      <c r="G1251" s="62"/>
      <c r="H1251" s="62"/>
      <c r="I1251" s="62"/>
      <c r="J1251" s="62"/>
      <c r="K1251" s="62"/>
      <c r="L1251" s="62"/>
      <c r="M1251" s="62"/>
      <c r="N1251" s="62"/>
      <c r="O1251" s="62"/>
      <c r="P1251" s="62"/>
      <c r="Q1251" s="62"/>
      <c r="R1251" s="62"/>
      <c r="S1251" s="62"/>
      <c r="T1251" s="62"/>
      <c r="U1251" s="62"/>
      <c r="V1251" s="62"/>
      <c r="W1251" s="62"/>
      <c r="X1251" s="62"/>
      <c r="Y1251" s="62"/>
      <c r="Z1251" s="62"/>
      <c r="AA1251" s="62"/>
      <c r="AB1251" s="62"/>
      <c r="AC1251" s="62"/>
      <c r="AD1251" s="62"/>
    </row>
    <row r="1252">
      <c r="A1252" s="6"/>
      <c r="B1252" s="6"/>
      <c r="C1252" s="6"/>
      <c r="D1252" s="62"/>
      <c r="E1252" s="62"/>
      <c r="F1252" s="62"/>
      <c r="G1252" s="62"/>
      <c r="H1252" s="62"/>
      <c r="I1252" s="62"/>
      <c r="J1252" s="62"/>
      <c r="K1252" s="62"/>
      <c r="L1252" s="62"/>
      <c r="M1252" s="62"/>
      <c r="N1252" s="62"/>
      <c r="O1252" s="62"/>
      <c r="P1252" s="62"/>
      <c r="Q1252" s="62"/>
      <c r="R1252" s="62"/>
      <c r="S1252" s="62"/>
      <c r="T1252" s="62"/>
      <c r="U1252" s="62"/>
      <c r="V1252" s="62"/>
      <c r="W1252" s="62"/>
      <c r="X1252" s="62"/>
      <c r="Y1252" s="62"/>
      <c r="Z1252" s="62"/>
      <c r="AA1252" s="62"/>
      <c r="AB1252" s="62"/>
      <c r="AC1252" s="62"/>
      <c r="AD1252" s="62"/>
    </row>
    <row r="1253">
      <c r="A1253" s="6"/>
      <c r="B1253" s="6"/>
      <c r="C1253" s="6"/>
      <c r="D1253" s="62"/>
      <c r="E1253" s="62"/>
      <c r="F1253" s="62"/>
      <c r="G1253" s="62"/>
      <c r="H1253" s="62"/>
      <c r="I1253" s="62"/>
      <c r="J1253" s="62"/>
      <c r="K1253" s="62"/>
      <c r="L1253" s="62"/>
      <c r="M1253" s="62"/>
      <c r="N1253" s="62"/>
      <c r="O1253" s="62"/>
      <c r="P1253" s="62"/>
      <c r="Q1253" s="62"/>
      <c r="R1253" s="62"/>
      <c r="S1253" s="62"/>
      <c r="T1253" s="62"/>
      <c r="U1253" s="62"/>
      <c r="V1253" s="62"/>
      <c r="W1253" s="62"/>
      <c r="X1253" s="62"/>
      <c r="Y1253" s="62"/>
      <c r="Z1253" s="62"/>
      <c r="AA1253" s="62"/>
      <c r="AB1253" s="62"/>
      <c r="AC1253" s="62"/>
      <c r="AD1253" s="62"/>
    </row>
    <row r="1254">
      <c r="A1254" s="6"/>
      <c r="B1254" s="6"/>
      <c r="C1254" s="6"/>
      <c r="D1254" s="62"/>
      <c r="E1254" s="62"/>
      <c r="F1254" s="62"/>
      <c r="G1254" s="62"/>
      <c r="H1254" s="62"/>
      <c r="I1254" s="62"/>
      <c r="J1254" s="62"/>
      <c r="K1254" s="62"/>
      <c r="L1254" s="62"/>
      <c r="M1254" s="62"/>
      <c r="N1254" s="62"/>
      <c r="O1254" s="62"/>
      <c r="P1254" s="62"/>
      <c r="Q1254" s="62"/>
      <c r="R1254" s="62"/>
      <c r="S1254" s="62"/>
      <c r="T1254" s="62"/>
      <c r="U1254" s="62"/>
      <c r="V1254" s="62"/>
      <c r="W1254" s="62"/>
      <c r="X1254" s="62"/>
      <c r="Y1254" s="62"/>
      <c r="Z1254" s="62"/>
      <c r="AA1254" s="62"/>
      <c r="AB1254" s="62"/>
      <c r="AC1254" s="62"/>
      <c r="AD1254" s="62"/>
    </row>
    <row r="1255">
      <c r="A1255" s="6"/>
      <c r="B1255" s="6"/>
      <c r="C1255" s="6"/>
      <c r="D1255" s="62"/>
      <c r="E1255" s="62"/>
      <c r="F1255" s="62"/>
      <c r="G1255" s="62"/>
      <c r="H1255" s="62"/>
      <c r="I1255" s="62"/>
      <c r="J1255" s="62"/>
      <c r="K1255" s="62"/>
      <c r="L1255" s="62"/>
      <c r="M1255" s="62"/>
      <c r="N1255" s="62"/>
      <c r="O1255" s="62"/>
      <c r="P1255" s="62"/>
      <c r="Q1255" s="62"/>
      <c r="R1255" s="62"/>
      <c r="S1255" s="62"/>
      <c r="T1255" s="62"/>
      <c r="U1255" s="62"/>
      <c r="V1255" s="62"/>
      <c r="W1255" s="62"/>
      <c r="X1255" s="62"/>
      <c r="Y1255" s="62"/>
      <c r="Z1255" s="62"/>
      <c r="AA1255" s="62"/>
      <c r="AB1255" s="62"/>
      <c r="AC1255" s="62"/>
      <c r="AD1255" s="62"/>
    </row>
    <row r="1256">
      <c r="A1256" s="6"/>
      <c r="B1256" s="6"/>
      <c r="C1256" s="6"/>
      <c r="D1256" s="62"/>
      <c r="E1256" s="62"/>
      <c r="F1256" s="62"/>
      <c r="G1256" s="62"/>
      <c r="H1256" s="62"/>
      <c r="I1256" s="62"/>
      <c r="J1256" s="62"/>
      <c r="K1256" s="62"/>
      <c r="L1256" s="62"/>
      <c r="M1256" s="62"/>
      <c r="N1256" s="62"/>
      <c r="O1256" s="62"/>
      <c r="P1256" s="62"/>
      <c r="Q1256" s="62"/>
      <c r="R1256" s="62"/>
      <c r="S1256" s="62"/>
      <c r="T1256" s="62"/>
      <c r="U1256" s="62"/>
      <c r="V1256" s="62"/>
      <c r="W1256" s="62"/>
      <c r="X1256" s="62"/>
      <c r="Y1256" s="62"/>
      <c r="Z1256" s="62"/>
      <c r="AA1256" s="62"/>
      <c r="AB1256" s="62"/>
      <c r="AC1256" s="62"/>
      <c r="AD1256" s="62"/>
    </row>
    <row r="1257">
      <c r="A1257" s="6"/>
      <c r="B1257" s="6"/>
      <c r="C1257" s="6"/>
      <c r="D1257" s="62"/>
      <c r="E1257" s="62"/>
      <c r="F1257" s="62"/>
      <c r="G1257" s="62"/>
      <c r="H1257" s="62"/>
      <c r="I1257" s="62"/>
      <c r="J1257" s="62"/>
      <c r="K1257" s="62"/>
      <c r="L1257" s="62"/>
      <c r="M1257" s="62"/>
      <c r="N1257" s="62"/>
      <c r="O1257" s="62"/>
      <c r="P1257" s="62"/>
      <c r="Q1257" s="62"/>
      <c r="R1257" s="62"/>
      <c r="S1257" s="62"/>
      <c r="T1257" s="62"/>
      <c r="U1257" s="62"/>
      <c r="V1257" s="62"/>
      <c r="W1257" s="62"/>
      <c r="X1257" s="62"/>
      <c r="Y1257" s="62"/>
      <c r="Z1257" s="62"/>
      <c r="AA1257" s="62"/>
      <c r="AB1257" s="62"/>
      <c r="AC1257" s="62"/>
      <c r="AD1257" s="62"/>
    </row>
    <row r="1258">
      <c r="A1258" s="6"/>
      <c r="B1258" s="6"/>
      <c r="C1258" s="6"/>
      <c r="D1258" s="62"/>
      <c r="E1258" s="62"/>
      <c r="F1258" s="62"/>
      <c r="G1258" s="62"/>
      <c r="H1258" s="62"/>
      <c r="I1258" s="62"/>
      <c r="J1258" s="62"/>
      <c r="K1258" s="62"/>
      <c r="L1258" s="62"/>
      <c r="M1258" s="62"/>
      <c r="N1258" s="62"/>
      <c r="O1258" s="62"/>
      <c r="P1258" s="62"/>
      <c r="Q1258" s="62"/>
      <c r="R1258" s="62"/>
      <c r="S1258" s="62"/>
      <c r="T1258" s="62"/>
      <c r="U1258" s="62"/>
      <c r="V1258" s="62"/>
      <c r="W1258" s="62"/>
      <c r="X1258" s="62"/>
      <c r="Y1258" s="62"/>
      <c r="Z1258" s="62"/>
      <c r="AA1258" s="62"/>
      <c r="AB1258" s="62"/>
      <c r="AC1258" s="62"/>
      <c r="AD1258" s="62"/>
    </row>
    <row r="1259">
      <c r="A1259" s="6"/>
      <c r="B1259" s="6"/>
      <c r="C1259" s="6"/>
      <c r="D1259" s="62"/>
      <c r="E1259" s="62"/>
      <c r="F1259" s="62"/>
      <c r="G1259" s="62"/>
      <c r="H1259" s="62"/>
      <c r="I1259" s="62"/>
      <c r="J1259" s="62"/>
      <c r="K1259" s="62"/>
      <c r="L1259" s="62"/>
      <c r="M1259" s="62"/>
      <c r="N1259" s="62"/>
      <c r="O1259" s="62"/>
      <c r="P1259" s="62"/>
      <c r="Q1259" s="62"/>
      <c r="R1259" s="62"/>
      <c r="S1259" s="62"/>
      <c r="T1259" s="62"/>
      <c r="U1259" s="62"/>
      <c r="V1259" s="62"/>
      <c r="W1259" s="62"/>
      <c r="X1259" s="62"/>
      <c r="Y1259" s="62"/>
      <c r="Z1259" s="62"/>
      <c r="AA1259" s="62"/>
      <c r="AB1259" s="62"/>
      <c r="AC1259" s="62"/>
      <c r="AD1259" s="62"/>
    </row>
    <row r="1260">
      <c r="A1260" s="6"/>
      <c r="B1260" s="6"/>
      <c r="C1260" s="6"/>
      <c r="D1260" s="62"/>
      <c r="E1260" s="62"/>
      <c r="F1260" s="62"/>
      <c r="G1260" s="62"/>
      <c r="H1260" s="62"/>
      <c r="I1260" s="62"/>
      <c r="J1260" s="62"/>
      <c r="K1260" s="62"/>
      <c r="L1260" s="62"/>
      <c r="M1260" s="62"/>
      <c r="N1260" s="62"/>
      <c r="O1260" s="62"/>
      <c r="P1260" s="62"/>
      <c r="Q1260" s="62"/>
      <c r="R1260" s="62"/>
      <c r="S1260" s="62"/>
      <c r="T1260" s="62"/>
      <c r="U1260" s="62"/>
      <c r="V1260" s="62"/>
      <c r="W1260" s="62"/>
      <c r="X1260" s="62"/>
      <c r="Y1260" s="62"/>
      <c r="Z1260" s="62"/>
      <c r="AA1260" s="62"/>
      <c r="AB1260" s="62"/>
      <c r="AC1260" s="62"/>
      <c r="AD1260" s="62"/>
    </row>
    <row r="1261">
      <c r="A1261" s="6"/>
      <c r="B1261" s="6"/>
      <c r="C1261" s="6"/>
      <c r="D1261" s="62"/>
      <c r="E1261" s="62"/>
      <c r="F1261" s="62"/>
      <c r="G1261" s="62"/>
      <c r="H1261" s="62"/>
      <c r="I1261" s="62"/>
      <c r="J1261" s="62"/>
      <c r="K1261" s="62"/>
      <c r="L1261" s="62"/>
      <c r="M1261" s="62"/>
      <c r="N1261" s="62"/>
      <c r="O1261" s="62"/>
      <c r="P1261" s="62"/>
      <c r="Q1261" s="62"/>
      <c r="R1261" s="62"/>
      <c r="S1261" s="62"/>
      <c r="T1261" s="62"/>
      <c r="U1261" s="62"/>
      <c r="V1261" s="62"/>
      <c r="W1261" s="62"/>
      <c r="X1261" s="62"/>
      <c r="Y1261" s="62"/>
      <c r="Z1261" s="62"/>
      <c r="AA1261" s="62"/>
      <c r="AB1261" s="62"/>
      <c r="AC1261" s="62"/>
      <c r="AD1261" s="62"/>
    </row>
    <row r="1262">
      <c r="A1262" s="6"/>
      <c r="B1262" s="6"/>
      <c r="C1262" s="6"/>
      <c r="D1262" s="62"/>
      <c r="E1262" s="62"/>
      <c r="F1262" s="62"/>
      <c r="G1262" s="62"/>
      <c r="H1262" s="62"/>
      <c r="I1262" s="62"/>
      <c r="J1262" s="62"/>
      <c r="K1262" s="62"/>
      <c r="L1262" s="62"/>
      <c r="M1262" s="62"/>
      <c r="N1262" s="62"/>
      <c r="O1262" s="62"/>
      <c r="P1262" s="62"/>
      <c r="Q1262" s="62"/>
      <c r="R1262" s="62"/>
      <c r="S1262" s="62"/>
      <c r="T1262" s="62"/>
      <c r="U1262" s="62"/>
      <c r="V1262" s="62"/>
      <c r="W1262" s="62"/>
      <c r="X1262" s="62"/>
      <c r="Y1262" s="62"/>
      <c r="Z1262" s="62"/>
      <c r="AA1262" s="62"/>
      <c r="AB1262" s="62"/>
      <c r="AC1262" s="62"/>
      <c r="AD1262" s="62"/>
    </row>
    <row r="1263">
      <c r="A1263" s="6"/>
      <c r="B1263" s="6"/>
      <c r="C1263" s="6"/>
      <c r="D1263" s="62"/>
      <c r="E1263" s="62"/>
      <c r="F1263" s="62"/>
      <c r="G1263" s="62"/>
      <c r="H1263" s="62"/>
      <c r="I1263" s="62"/>
      <c r="J1263" s="62"/>
      <c r="K1263" s="62"/>
      <c r="L1263" s="62"/>
      <c r="M1263" s="62"/>
      <c r="N1263" s="62"/>
      <c r="O1263" s="62"/>
      <c r="P1263" s="62"/>
      <c r="Q1263" s="62"/>
      <c r="R1263" s="62"/>
      <c r="S1263" s="62"/>
      <c r="T1263" s="62"/>
      <c r="U1263" s="62"/>
      <c r="V1263" s="62"/>
      <c r="W1263" s="62"/>
      <c r="X1263" s="62"/>
      <c r="Y1263" s="62"/>
      <c r="Z1263" s="62"/>
      <c r="AA1263" s="62"/>
      <c r="AB1263" s="62"/>
      <c r="AC1263" s="62"/>
      <c r="AD1263" s="62"/>
    </row>
    <row r="1264">
      <c r="A1264" s="6"/>
      <c r="B1264" s="6"/>
      <c r="C1264" s="6"/>
      <c r="D1264" s="62"/>
      <c r="E1264" s="62"/>
      <c r="F1264" s="62"/>
      <c r="G1264" s="62"/>
      <c r="H1264" s="62"/>
      <c r="I1264" s="62"/>
      <c r="J1264" s="62"/>
      <c r="K1264" s="62"/>
      <c r="L1264" s="62"/>
      <c r="M1264" s="62"/>
      <c r="N1264" s="62"/>
      <c r="O1264" s="62"/>
      <c r="P1264" s="62"/>
      <c r="Q1264" s="62"/>
      <c r="R1264" s="62"/>
      <c r="S1264" s="62"/>
      <c r="T1264" s="62"/>
      <c r="U1264" s="62"/>
      <c r="V1264" s="62"/>
      <c r="W1264" s="62"/>
      <c r="X1264" s="62"/>
      <c r="Y1264" s="62"/>
      <c r="Z1264" s="62"/>
      <c r="AA1264" s="62"/>
      <c r="AB1264" s="62"/>
      <c r="AC1264" s="62"/>
      <c r="AD1264" s="62"/>
    </row>
    <row r="1265">
      <c r="A1265" s="6"/>
      <c r="B1265" s="6"/>
      <c r="C1265" s="6"/>
      <c r="D1265" s="62"/>
      <c r="E1265" s="62"/>
      <c r="F1265" s="62"/>
      <c r="G1265" s="62"/>
      <c r="H1265" s="62"/>
      <c r="I1265" s="62"/>
      <c r="J1265" s="62"/>
      <c r="K1265" s="62"/>
      <c r="L1265" s="62"/>
      <c r="M1265" s="62"/>
      <c r="N1265" s="62"/>
      <c r="O1265" s="62"/>
      <c r="P1265" s="62"/>
      <c r="Q1265" s="62"/>
      <c r="R1265" s="62"/>
      <c r="S1265" s="62"/>
      <c r="T1265" s="62"/>
      <c r="U1265" s="62"/>
      <c r="V1265" s="62"/>
      <c r="W1265" s="62"/>
      <c r="X1265" s="62"/>
      <c r="Y1265" s="62"/>
      <c r="Z1265" s="62"/>
      <c r="AA1265" s="62"/>
      <c r="AB1265" s="62"/>
      <c r="AC1265" s="62"/>
      <c r="AD1265" s="62"/>
    </row>
    <row r="1266">
      <c r="A1266" s="6"/>
      <c r="B1266" s="6"/>
      <c r="C1266" s="6"/>
      <c r="D1266" s="62"/>
      <c r="E1266" s="62"/>
      <c r="F1266" s="62"/>
      <c r="G1266" s="62"/>
      <c r="H1266" s="62"/>
      <c r="I1266" s="62"/>
      <c r="J1266" s="62"/>
      <c r="K1266" s="62"/>
      <c r="L1266" s="62"/>
      <c r="M1266" s="62"/>
      <c r="N1266" s="62"/>
      <c r="O1266" s="62"/>
      <c r="P1266" s="62"/>
      <c r="Q1266" s="62"/>
      <c r="R1266" s="62"/>
      <c r="S1266" s="62"/>
      <c r="T1266" s="62"/>
      <c r="U1266" s="62"/>
      <c r="V1266" s="62"/>
      <c r="W1266" s="62"/>
      <c r="X1266" s="62"/>
      <c r="Y1266" s="62"/>
      <c r="Z1266" s="62"/>
      <c r="AA1266" s="62"/>
      <c r="AB1266" s="62"/>
      <c r="AC1266" s="62"/>
      <c r="AD1266" s="62"/>
    </row>
    <row r="1267">
      <c r="A1267" s="6"/>
      <c r="B1267" s="6"/>
      <c r="C1267" s="6"/>
      <c r="D1267" s="62"/>
      <c r="E1267" s="62"/>
      <c r="F1267" s="62"/>
      <c r="G1267" s="62"/>
      <c r="H1267" s="62"/>
      <c r="I1267" s="62"/>
      <c r="J1267" s="62"/>
      <c r="K1267" s="62"/>
      <c r="L1267" s="62"/>
      <c r="M1267" s="62"/>
      <c r="N1267" s="62"/>
      <c r="O1267" s="62"/>
      <c r="P1267" s="62"/>
      <c r="Q1267" s="62"/>
      <c r="R1267" s="62"/>
      <c r="S1267" s="62"/>
      <c r="T1267" s="62"/>
      <c r="U1267" s="62"/>
      <c r="V1267" s="62"/>
      <c r="W1267" s="62"/>
      <c r="X1267" s="62"/>
      <c r="Y1267" s="62"/>
      <c r="Z1267" s="62"/>
      <c r="AA1267" s="62"/>
      <c r="AB1267" s="62"/>
      <c r="AC1267" s="62"/>
      <c r="AD1267" s="62"/>
    </row>
    <row r="1268">
      <c r="A1268" s="6"/>
      <c r="B1268" s="6"/>
      <c r="C1268" s="6"/>
      <c r="D1268" s="62"/>
      <c r="E1268" s="62"/>
      <c r="F1268" s="62"/>
      <c r="G1268" s="62"/>
      <c r="H1268" s="62"/>
      <c r="I1268" s="62"/>
      <c r="J1268" s="62"/>
      <c r="K1268" s="62"/>
      <c r="L1268" s="62"/>
      <c r="M1268" s="62"/>
      <c r="N1268" s="62"/>
      <c r="O1268" s="62"/>
      <c r="P1268" s="62"/>
      <c r="Q1268" s="62"/>
      <c r="R1268" s="62"/>
      <c r="S1268" s="62"/>
      <c r="T1268" s="62"/>
      <c r="U1268" s="62"/>
      <c r="V1268" s="62"/>
      <c r="W1268" s="62"/>
      <c r="X1268" s="62"/>
      <c r="Y1268" s="62"/>
      <c r="Z1268" s="62"/>
      <c r="AA1268" s="62"/>
      <c r="AB1268" s="62"/>
      <c r="AC1268" s="62"/>
      <c r="AD1268" s="62"/>
    </row>
    <row r="1269">
      <c r="A1269" s="6"/>
      <c r="B1269" s="6"/>
      <c r="C1269" s="6"/>
      <c r="D1269" s="62"/>
      <c r="E1269" s="62"/>
      <c r="F1269" s="62"/>
      <c r="G1269" s="62"/>
      <c r="H1269" s="62"/>
      <c r="I1269" s="62"/>
      <c r="J1269" s="62"/>
      <c r="K1269" s="62"/>
      <c r="L1269" s="62"/>
      <c r="M1269" s="62"/>
      <c r="N1269" s="62"/>
      <c r="O1269" s="62"/>
      <c r="P1269" s="62"/>
      <c r="Q1269" s="62"/>
      <c r="R1269" s="62"/>
      <c r="S1269" s="62"/>
      <c r="T1269" s="62"/>
      <c r="U1269" s="62"/>
      <c r="V1269" s="62"/>
      <c r="W1269" s="62"/>
      <c r="X1269" s="62"/>
      <c r="Y1269" s="62"/>
      <c r="Z1269" s="62"/>
      <c r="AA1269" s="62"/>
      <c r="AB1269" s="62"/>
      <c r="AC1269" s="62"/>
      <c r="AD1269" s="62"/>
    </row>
    <row r="1270">
      <c r="A1270" s="6"/>
      <c r="B1270" s="6"/>
      <c r="C1270" s="6"/>
      <c r="D1270" s="62"/>
      <c r="E1270" s="62"/>
      <c r="F1270" s="62"/>
      <c r="G1270" s="62"/>
      <c r="H1270" s="62"/>
      <c r="I1270" s="62"/>
      <c r="J1270" s="62"/>
      <c r="K1270" s="62"/>
      <c r="L1270" s="62"/>
      <c r="M1270" s="62"/>
      <c r="N1270" s="62"/>
      <c r="O1270" s="62"/>
      <c r="P1270" s="62"/>
      <c r="Q1270" s="62"/>
      <c r="R1270" s="62"/>
      <c r="S1270" s="62"/>
      <c r="T1270" s="62"/>
      <c r="U1270" s="62"/>
      <c r="V1270" s="62"/>
      <c r="W1270" s="62"/>
      <c r="X1270" s="62"/>
      <c r="Y1270" s="62"/>
      <c r="Z1270" s="62"/>
      <c r="AA1270" s="62"/>
      <c r="AB1270" s="62"/>
      <c r="AC1270" s="62"/>
      <c r="AD1270" s="62"/>
    </row>
    <row r="1271">
      <c r="A1271" s="6"/>
      <c r="B1271" s="6"/>
      <c r="C1271" s="6"/>
      <c r="D1271" s="62"/>
      <c r="E1271" s="62"/>
      <c r="F1271" s="62"/>
      <c r="G1271" s="62"/>
      <c r="H1271" s="62"/>
      <c r="I1271" s="62"/>
      <c r="J1271" s="62"/>
      <c r="K1271" s="62"/>
      <c r="L1271" s="62"/>
      <c r="M1271" s="62"/>
      <c r="N1271" s="62"/>
      <c r="O1271" s="62"/>
      <c r="P1271" s="62"/>
      <c r="Q1271" s="62"/>
      <c r="R1271" s="62"/>
      <c r="S1271" s="62"/>
      <c r="T1271" s="62"/>
      <c r="U1271" s="62"/>
      <c r="V1271" s="62"/>
      <c r="W1271" s="62"/>
      <c r="X1271" s="62"/>
      <c r="Y1271" s="62"/>
      <c r="Z1271" s="62"/>
      <c r="AA1271" s="62"/>
      <c r="AB1271" s="62"/>
      <c r="AC1271" s="62"/>
      <c r="AD1271" s="62"/>
    </row>
    <row r="1272">
      <c r="A1272" s="6"/>
      <c r="B1272" s="6"/>
      <c r="C1272" s="6"/>
      <c r="D1272" s="62"/>
      <c r="E1272" s="62"/>
      <c r="F1272" s="62"/>
      <c r="G1272" s="62"/>
      <c r="H1272" s="62"/>
      <c r="I1272" s="62"/>
      <c r="J1272" s="62"/>
      <c r="K1272" s="62"/>
      <c r="L1272" s="62"/>
      <c r="M1272" s="62"/>
      <c r="N1272" s="62"/>
      <c r="O1272" s="62"/>
      <c r="P1272" s="62"/>
      <c r="Q1272" s="62"/>
      <c r="R1272" s="62"/>
      <c r="S1272" s="62"/>
      <c r="T1272" s="62"/>
      <c r="U1272" s="62"/>
      <c r="V1272" s="62"/>
      <c r="W1272" s="62"/>
      <c r="X1272" s="62"/>
      <c r="Y1272" s="62"/>
      <c r="Z1272" s="62"/>
      <c r="AA1272" s="62"/>
      <c r="AB1272" s="62"/>
      <c r="AC1272" s="62"/>
      <c r="AD1272" s="62"/>
    </row>
    <row r="1273">
      <c r="A1273" s="6"/>
      <c r="B1273" s="6"/>
      <c r="C1273" s="6"/>
      <c r="D1273" s="62"/>
      <c r="E1273" s="62"/>
      <c r="F1273" s="62"/>
      <c r="G1273" s="62"/>
      <c r="H1273" s="62"/>
      <c r="I1273" s="62"/>
      <c r="J1273" s="62"/>
      <c r="K1273" s="62"/>
      <c r="L1273" s="62"/>
      <c r="M1273" s="62"/>
      <c r="N1273" s="62"/>
      <c r="O1273" s="62"/>
      <c r="P1273" s="62"/>
      <c r="Q1273" s="62"/>
      <c r="R1273" s="62"/>
      <c r="S1273" s="62"/>
      <c r="T1273" s="62"/>
      <c r="U1273" s="62"/>
      <c r="V1273" s="62"/>
      <c r="W1273" s="62"/>
      <c r="X1273" s="62"/>
      <c r="Y1273" s="62"/>
      <c r="Z1273" s="62"/>
      <c r="AA1273" s="62"/>
      <c r="AB1273" s="62"/>
      <c r="AC1273" s="62"/>
      <c r="AD1273" s="62"/>
    </row>
    <row r="1274">
      <c r="A1274" s="6"/>
      <c r="B1274" s="6"/>
      <c r="C1274" s="6"/>
      <c r="D1274" s="62"/>
      <c r="E1274" s="62"/>
      <c r="F1274" s="62"/>
      <c r="G1274" s="62"/>
      <c r="H1274" s="62"/>
      <c r="I1274" s="62"/>
      <c r="J1274" s="62"/>
      <c r="K1274" s="62"/>
      <c r="L1274" s="62"/>
      <c r="M1274" s="62"/>
      <c r="N1274" s="62"/>
      <c r="O1274" s="62"/>
      <c r="P1274" s="62"/>
      <c r="Q1274" s="62"/>
      <c r="R1274" s="62"/>
      <c r="S1274" s="62"/>
      <c r="T1274" s="62"/>
      <c r="U1274" s="62"/>
      <c r="V1274" s="62"/>
      <c r="W1274" s="62"/>
      <c r="X1274" s="62"/>
      <c r="Y1274" s="62"/>
      <c r="Z1274" s="62"/>
      <c r="AA1274" s="62"/>
      <c r="AB1274" s="62"/>
      <c r="AC1274" s="62"/>
      <c r="AD1274" s="62"/>
    </row>
    <row r="1275">
      <c r="A1275" s="6"/>
      <c r="B1275" s="6"/>
      <c r="C1275" s="6"/>
      <c r="D1275" s="62"/>
      <c r="E1275" s="62"/>
      <c r="F1275" s="62"/>
      <c r="G1275" s="62"/>
      <c r="H1275" s="62"/>
      <c r="I1275" s="62"/>
      <c r="J1275" s="62"/>
      <c r="K1275" s="62"/>
      <c r="L1275" s="62"/>
      <c r="M1275" s="62"/>
      <c r="N1275" s="62"/>
      <c r="O1275" s="62"/>
      <c r="P1275" s="62"/>
      <c r="Q1275" s="62"/>
      <c r="R1275" s="62"/>
      <c r="S1275" s="62"/>
      <c r="T1275" s="62"/>
      <c r="U1275" s="62"/>
      <c r="V1275" s="62"/>
      <c r="W1275" s="62"/>
      <c r="X1275" s="62"/>
      <c r="Y1275" s="62"/>
      <c r="Z1275" s="62"/>
      <c r="AA1275" s="62"/>
      <c r="AB1275" s="62"/>
      <c r="AC1275" s="62"/>
      <c r="AD1275" s="62"/>
    </row>
    <row r="1276">
      <c r="A1276" s="6"/>
      <c r="B1276" s="6"/>
      <c r="C1276" s="6"/>
      <c r="D1276" s="62"/>
      <c r="E1276" s="62"/>
      <c r="F1276" s="62"/>
      <c r="G1276" s="62"/>
      <c r="H1276" s="62"/>
      <c r="I1276" s="62"/>
      <c r="J1276" s="62"/>
      <c r="K1276" s="62"/>
      <c r="L1276" s="62"/>
      <c r="M1276" s="62"/>
      <c r="N1276" s="62"/>
      <c r="O1276" s="62"/>
      <c r="P1276" s="62"/>
      <c r="Q1276" s="62"/>
      <c r="R1276" s="62"/>
      <c r="S1276" s="62"/>
      <c r="T1276" s="62"/>
      <c r="U1276" s="62"/>
      <c r="V1276" s="62"/>
      <c r="W1276" s="62"/>
      <c r="X1276" s="62"/>
      <c r="Y1276" s="62"/>
      <c r="Z1276" s="62"/>
      <c r="AA1276" s="62"/>
      <c r="AB1276" s="62"/>
      <c r="AC1276" s="62"/>
      <c r="AD1276" s="62"/>
    </row>
    <row r="1277">
      <c r="A1277" s="6"/>
      <c r="B1277" s="6"/>
      <c r="C1277" s="6"/>
      <c r="D1277" s="62"/>
      <c r="E1277" s="62"/>
      <c r="F1277" s="62"/>
      <c r="G1277" s="62"/>
      <c r="H1277" s="62"/>
      <c r="I1277" s="62"/>
      <c r="J1277" s="62"/>
      <c r="K1277" s="62"/>
      <c r="L1277" s="62"/>
      <c r="M1277" s="62"/>
      <c r="N1277" s="62"/>
      <c r="O1277" s="62"/>
      <c r="P1277" s="62"/>
      <c r="Q1277" s="62"/>
      <c r="R1277" s="62"/>
      <c r="S1277" s="62"/>
      <c r="T1277" s="62"/>
      <c r="U1277" s="62"/>
      <c r="V1277" s="62"/>
      <c r="W1277" s="62"/>
      <c r="X1277" s="62"/>
      <c r="Y1277" s="62"/>
      <c r="Z1277" s="62"/>
      <c r="AA1277" s="62"/>
      <c r="AB1277" s="62"/>
      <c r="AC1277" s="62"/>
      <c r="AD1277" s="62"/>
    </row>
    <row r="1278">
      <c r="A1278" s="6"/>
      <c r="B1278" s="6"/>
      <c r="C1278" s="6"/>
      <c r="D1278" s="62"/>
      <c r="E1278" s="62"/>
      <c r="F1278" s="62"/>
      <c r="G1278" s="62"/>
      <c r="H1278" s="62"/>
      <c r="I1278" s="62"/>
      <c r="J1278" s="62"/>
      <c r="K1278" s="62"/>
      <c r="L1278" s="62"/>
      <c r="M1278" s="62"/>
      <c r="N1278" s="62"/>
      <c r="O1278" s="62"/>
      <c r="P1278" s="62"/>
      <c r="Q1278" s="62"/>
      <c r="R1278" s="62"/>
      <c r="S1278" s="62"/>
      <c r="T1278" s="62"/>
      <c r="U1278" s="62"/>
      <c r="V1278" s="62"/>
      <c r="W1278" s="62"/>
      <c r="X1278" s="62"/>
      <c r="Y1278" s="62"/>
      <c r="Z1278" s="62"/>
      <c r="AA1278" s="62"/>
      <c r="AB1278" s="62"/>
      <c r="AC1278" s="62"/>
      <c r="AD1278" s="62"/>
    </row>
    <row r="1279">
      <c r="A1279" s="6"/>
      <c r="B1279" s="6"/>
      <c r="C1279" s="6"/>
      <c r="D1279" s="62"/>
      <c r="E1279" s="62"/>
      <c r="F1279" s="62"/>
      <c r="G1279" s="62"/>
      <c r="H1279" s="62"/>
      <c r="I1279" s="62"/>
      <c r="J1279" s="62"/>
      <c r="K1279" s="62"/>
      <c r="L1279" s="62"/>
      <c r="M1279" s="62"/>
      <c r="N1279" s="62"/>
      <c r="O1279" s="62"/>
      <c r="P1279" s="62"/>
      <c r="Q1279" s="62"/>
      <c r="R1279" s="62"/>
      <c r="S1279" s="62"/>
      <c r="T1279" s="62"/>
      <c r="U1279" s="62"/>
      <c r="V1279" s="62"/>
      <c r="W1279" s="62"/>
      <c r="X1279" s="62"/>
      <c r="Y1279" s="62"/>
      <c r="Z1279" s="62"/>
      <c r="AA1279" s="62"/>
      <c r="AB1279" s="62"/>
      <c r="AC1279" s="62"/>
      <c r="AD1279" s="62"/>
    </row>
    <row r="1280">
      <c r="A1280" s="6"/>
      <c r="B1280" s="6"/>
      <c r="C1280" s="6"/>
      <c r="D1280" s="62"/>
      <c r="E1280" s="62"/>
      <c r="F1280" s="62"/>
      <c r="G1280" s="62"/>
      <c r="H1280" s="62"/>
      <c r="I1280" s="62"/>
      <c r="J1280" s="62"/>
      <c r="K1280" s="62"/>
      <c r="L1280" s="62"/>
      <c r="M1280" s="62"/>
      <c r="N1280" s="62"/>
      <c r="O1280" s="62"/>
      <c r="P1280" s="62"/>
      <c r="Q1280" s="62"/>
      <c r="R1280" s="62"/>
      <c r="S1280" s="62"/>
      <c r="T1280" s="62"/>
      <c r="U1280" s="62"/>
      <c r="V1280" s="62"/>
      <c r="W1280" s="62"/>
      <c r="X1280" s="62"/>
      <c r="Y1280" s="62"/>
      <c r="Z1280" s="62"/>
      <c r="AA1280" s="62"/>
      <c r="AB1280" s="62"/>
      <c r="AC1280" s="62"/>
      <c r="AD1280" s="62"/>
    </row>
    <row r="1281">
      <c r="A1281" s="6"/>
      <c r="B1281" s="6"/>
      <c r="C1281" s="6"/>
      <c r="D1281" s="62"/>
      <c r="E1281" s="62"/>
      <c r="F1281" s="62"/>
      <c r="G1281" s="62"/>
      <c r="H1281" s="62"/>
      <c r="I1281" s="62"/>
      <c r="J1281" s="62"/>
      <c r="K1281" s="62"/>
      <c r="L1281" s="62"/>
      <c r="M1281" s="62"/>
      <c r="N1281" s="62"/>
      <c r="O1281" s="62"/>
      <c r="P1281" s="62"/>
      <c r="Q1281" s="62"/>
      <c r="R1281" s="62"/>
      <c r="S1281" s="62"/>
      <c r="T1281" s="62"/>
      <c r="U1281" s="62"/>
      <c r="V1281" s="62"/>
      <c r="W1281" s="62"/>
      <c r="X1281" s="62"/>
      <c r="Y1281" s="62"/>
      <c r="Z1281" s="62"/>
      <c r="AA1281" s="62"/>
      <c r="AB1281" s="62"/>
      <c r="AC1281" s="62"/>
      <c r="AD1281" s="62"/>
    </row>
    <row r="1282">
      <c r="A1282" s="6"/>
      <c r="B1282" s="6"/>
      <c r="C1282" s="6"/>
      <c r="D1282" s="62"/>
      <c r="E1282" s="62"/>
      <c r="F1282" s="62"/>
      <c r="G1282" s="62"/>
      <c r="H1282" s="62"/>
      <c r="I1282" s="62"/>
      <c r="J1282" s="62"/>
      <c r="K1282" s="62"/>
      <c r="L1282" s="62"/>
      <c r="M1282" s="62"/>
      <c r="N1282" s="62"/>
      <c r="O1282" s="62"/>
      <c r="P1282" s="62"/>
      <c r="Q1282" s="62"/>
      <c r="R1282" s="62"/>
      <c r="S1282" s="62"/>
      <c r="T1282" s="62"/>
      <c r="U1282" s="62"/>
      <c r="V1282" s="62"/>
      <c r="W1282" s="62"/>
      <c r="X1282" s="62"/>
      <c r="Y1282" s="62"/>
      <c r="Z1282" s="62"/>
      <c r="AA1282" s="62"/>
      <c r="AB1282" s="62"/>
      <c r="AC1282" s="62"/>
      <c r="AD1282" s="62"/>
    </row>
    <row r="1283">
      <c r="A1283" s="6"/>
      <c r="B1283" s="6"/>
      <c r="C1283" s="6"/>
      <c r="D1283" s="62"/>
      <c r="E1283" s="62"/>
      <c r="F1283" s="62"/>
      <c r="G1283" s="62"/>
      <c r="H1283" s="62"/>
      <c r="I1283" s="62"/>
      <c r="J1283" s="62"/>
      <c r="K1283" s="62"/>
      <c r="L1283" s="62"/>
      <c r="M1283" s="62"/>
      <c r="N1283" s="62"/>
      <c r="O1283" s="62"/>
      <c r="P1283" s="62"/>
      <c r="Q1283" s="62"/>
      <c r="R1283" s="62"/>
      <c r="S1283" s="62"/>
      <c r="T1283" s="62"/>
      <c r="U1283" s="62"/>
      <c r="V1283" s="62"/>
      <c r="W1283" s="62"/>
      <c r="X1283" s="62"/>
      <c r="Y1283" s="62"/>
      <c r="Z1283" s="62"/>
      <c r="AA1283" s="62"/>
      <c r="AB1283" s="62"/>
      <c r="AC1283" s="62"/>
      <c r="AD1283" s="62"/>
    </row>
    <row r="1284">
      <c r="A1284" s="6"/>
      <c r="B1284" s="6"/>
      <c r="C1284" s="6"/>
      <c r="D1284" s="62"/>
      <c r="E1284" s="62"/>
      <c r="F1284" s="62"/>
      <c r="G1284" s="62"/>
      <c r="H1284" s="62"/>
      <c r="I1284" s="62"/>
      <c r="J1284" s="62"/>
      <c r="K1284" s="62"/>
      <c r="L1284" s="62"/>
      <c r="M1284" s="62"/>
      <c r="N1284" s="62"/>
      <c r="O1284" s="62"/>
      <c r="P1284" s="62"/>
      <c r="Q1284" s="62"/>
      <c r="R1284" s="62"/>
      <c r="S1284" s="62"/>
      <c r="T1284" s="62"/>
      <c r="U1284" s="62"/>
      <c r="V1284" s="62"/>
      <c r="W1284" s="62"/>
      <c r="X1284" s="62"/>
      <c r="Y1284" s="62"/>
      <c r="Z1284" s="62"/>
      <c r="AA1284" s="62"/>
      <c r="AB1284" s="62"/>
      <c r="AC1284" s="62"/>
      <c r="AD1284" s="62"/>
    </row>
    <row r="1285">
      <c r="A1285" s="6"/>
      <c r="B1285" s="6"/>
      <c r="C1285" s="6"/>
      <c r="D1285" s="62"/>
      <c r="E1285" s="62"/>
      <c r="F1285" s="62"/>
      <c r="G1285" s="62"/>
      <c r="H1285" s="62"/>
      <c r="I1285" s="62"/>
      <c r="J1285" s="62"/>
      <c r="K1285" s="62"/>
      <c r="L1285" s="62"/>
      <c r="M1285" s="62"/>
      <c r="N1285" s="62"/>
      <c r="O1285" s="62"/>
      <c r="P1285" s="62"/>
      <c r="Q1285" s="62"/>
      <c r="R1285" s="62"/>
      <c r="S1285" s="62"/>
      <c r="T1285" s="62"/>
      <c r="U1285" s="62"/>
      <c r="V1285" s="62"/>
      <c r="W1285" s="62"/>
      <c r="X1285" s="62"/>
      <c r="Y1285" s="62"/>
      <c r="Z1285" s="62"/>
      <c r="AA1285" s="62"/>
      <c r="AB1285" s="62"/>
      <c r="AC1285" s="62"/>
      <c r="AD1285" s="62"/>
    </row>
    <row r="1286">
      <c r="A1286" s="6"/>
      <c r="B1286" s="6"/>
      <c r="C1286" s="6"/>
      <c r="D1286" s="62"/>
      <c r="E1286" s="62"/>
      <c r="F1286" s="62"/>
      <c r="G1286" s="62"/>
      <c r="H1286" s="62"/>
      <c r="I1286" s="62"/>
      <c r="J1286" s="62"/>
      <c r="K1286" s="62"/>
      <c r="L1286" s="62"/>
      <c r="M1286" s="62"/>
      <c r="N1286" s="62"/>
      <c r="O1286" s="62"/>
      <c r="P1286" s="62"/>
      <c r="Q1286" s="62"/>
      <c r="R1286" s="62"/>
      <c r="S1286" s="62"/>
      <c r="T1286" s="62"/>
      <c r="U1286" s="62"/>
      <c r="V1286" s="62"/>
      <c r="W1286" s="62"/>
      <c r="X1286" s="62"/>
      <c r="Y1286" s="62"/>
      <c r="Z1286" s="62"/>
      <c r="AA1286" s="62"/>
      <c r="AB1286" s="62"/>
      <c r="AC1286" s="62"/>
      <c r="AD1286" s="62"/>
    </row>
    <row r="1287">
      <c r="A1287" s="6"/>
      <c r="B1287" s="6"/>
      <c r="C1287" s="6"/>
      <c r="D1287" s="62"/>
      <c r="E1287" s="62"/>
      <c r="F1287" s="62"/>
      <c r="G1287" s="62"/>
      <c r="H1287" s="62"/>
      <c r="I1287" s="62"/>
      <c r="J1287" s="62"/>
      <c r="K1287" s="62"/>
      <c r="L1287" s="62"/>
      <c r="M1287" s="62"/>
      <c r="N1287" s="62"/>
      <c r="O1287" s="62"/>
      <c r="P1287" s="62"/>
      <c r="Q1287" s="62"/>
      <c r="R1287" s="62"/>
      <c r="S1287" s="62"/>
      <c r="T1287" s="62"/>
      <c r="U1287" s="62"/>
      <c r="V1287" s="62"/>
      <c r="W1287" s="62"/>
      <c r="X1287" s="62"/>
      <c r="Y1287" s="62"/>
      <c r="Z1287" s="62"/>
      <c r="AA1287" s="62"/>
      <c r="AB1287" s="62"/>
      <c r="AC1287" s="62"/>
      <c r="AD1287" s="62"/>
    </row>
    <row r="1288">
      <c r="A1288" s="6"/>
      <c r="B1288" s="6"/>
      <c r="C1288" s="6"/>
      <c r="D1288" s="62"/>
      <c r="E1288" s="62"/>
      <c r="F1288" s="62"/>
      <c r="G1288" s="62"/>
      <c r="H1288" s="62"/>
      <c r="I1288" s="62"/>
      <c r="J1288" s="62"/>
      <c r="K1288" s="62"/>
      <c r="L1288" s="62"/>
      <c r="M1288" s="62"/>
      <c r="N1288" s="62"/>
      <c r="O1288" s="62"/>
      <c r="P1288" s="62"/>
      <c r="Q1288" s="62"/>
      <c r="R1288" s="62"/>
      <c r="S1288" s="62"/>
      <c r="T1288" s="62"/>
      <c r="U1288" s="62"/>
      <c r="V1288" s="62"/>
      <c r="W1288" s="62"/>
      <c r="X1288" s="62"/>
      <c r="Y1288" s="62"/>
      <c r="Z1288" s="62"/>
      <c r="AA1288" s="62"/>
      <c r="AB1288" s="62"/>
      <c r="AC1288" s="62"/>
      <c r="AD1288" s="62"/>
    </row>
    <row r="1289">
      <c r="A1289" s="6"/>
      <c r="B1289" s="6"/>
      <c r="C1289" s="6"/>
      <c r="D1289" s="62"/>
      <c r="E1289" s="62"/>
      <c r="F1289" s="62"/>
      <c r="G1289" s="62"/>
      <c r="H1289" s="62"/>
      <c r="I1289" s="62"/>
      <c r="J1289" s="62"/>
      <c r="K1289" s="62"/>
      <c r="L1289" s="62"/>
      <c r="M1289" s="62"/>
      <c r="N1289" s="62"/>
      <c r="O1289" s="62"/>
      <c r="P1289" s="62"/>
      <c r="Q1289" s="62"/>
      <c r="R1289" s="62"/>
      <c r="S1289" s="62"/>
      <c r="T1289" s="62"/>
      <c r="U1289" s="62"/>
      <c r="V1289" s="62"/>
      <c r="W1289" s="62"/>
      <c r="X1289" s="62"/>
      <c r="Y1289" s="62"/>
      <c r="Z1289" s="62"/>
      <c r="AA1289" s="62"/>
      <c r="AB1289" s="62"/>
      <c r="AC1289" s="62"/>
      <c r="AD1289" s="62"/>
    </row>
    <row r="1290">
      <c r="A1290" s="6"/>
      <c r="B1290" s="6"/>
      <c r="C1290" s="6"/>
      <c r="D1290" s="62"/>
      <c r="E1290" s="62"/>
      <c r="F1290" s="62"/>
      <c r="G1290" s="62"/>
      <c r="H1290" s="62"/>
      <c r="I1290" s="62"/>
      <c r="J1290" s="62"/>
      <c r="K1290" s="62"/>
      <c r="L1290" s="62"/>
      <c r="M1290" s="62"/>
      <c r="N1290" s="62"/>
      <c r="O1290" s="62"/>
      <c r="P1290" s="62"/>
      <c r="Q1290" s="62"/>
      <c r="R1290" s="62"/>
      <c r="S1290" s="62"/>
      <c r="T1290" s="62"/>
      <c r="U1290" s="62"/>
      <c r="V1290" s="62"/>
      <c r="W1290" s="62"/>
      <c r="X1290" s="62"/>
      <c r="Y1290" s="62"/>
      <c r="Z1290" s="62"/>
      <c r="AA1290" s="62"/>
      <c r="AB1290" s="62"/>
      <c r="AC1290" s="62"/>
      <c r="AD1290" s="62"/>
    </row>
    <row r="1291">
      <c r="A1291" s="6"/>
      <c r="B1291" s="6"/>
      <c r="C1291" s="6"/>
      <c r="D1291" s="62"/>
      <c r="E1291" s="62"/>
      <c r="F1291" s="62"/>
      <c r="G1291" s="62"/>
      <c r="H1291" s="62"/>
      <c r="I1291" s="62"/>
      <c r="J1291" s="62"/>
      <c r="K1291" s="62"/>
      <c r="L1291" s="62"/>
      <c r="M1291" s="62"/>
      <c r="N1291" s="62"/>
      <c r="O1291" s="62"/>
      <c r="P1291" s="62"/>
      <c r="Q1291" s="62"/>
      <c r="R1291" s="62"/>
      <c r="S1291" s="62"/>
      <c r="T1291" s="62"/>
      <c r="U1291" s="62"/>
      <c r="V1291" s="62"/>
      <c r="W1291" s="62"/>
      <c r="X1291" s="62"/>
      <c r="Y1291" s="62"/>
      <c r="Z1291" s="62"/>
      <c r="AA1291" s="62"/>
      <c r="AB1291" s="62"/>
      <c r="AC1291" s="62"/>
      <c r="AD1291" s="62"/>
    </row>
    <row r="1292">
      <c r="A1292" s="6"/>
      <c r="B1292" s="6"/>
      <c r="C1292" s="6"/>
      <c r="D1292" s="62"/>
      <c r="E1292" s="62"/>
      <c r="F1292" s="62"/>
      <c r="G1292" s="62"/>
      <c r="H1292" s="62"/>
      <c r="I1292" s="62"/>
      <c r="J1292" s="62"/>
      <c r="K1292" s="62"/>
      <c r="L1292" s="62"/>
      <c r="M1292" s="62"/>
      <c r="N1292" s="62"/>
      <c r="O1292" s="62"/>
      <c r="P1292" s="62"/>
      <c r="Q1292" s="62"/>
      <c r="R1292" s="62"/>
      <c r="S1292" s="62"/>
      <c r="T1292" s="62"/>
      <c r="U1292" s="62"/>
      <c r="V1292" s="62"/>
      <c r="W1292" s="62"/>
      <c r="X1292" s="62"/>
      <c r="Y1292" s="62"/>
      <c r="Z1292" s="62"/>
      <c r="AA1292" s="62"/>
      <c r="AB1292" s="62"/>
      <c r="AC1292" s="62"/>
      <c r="AD1292" s="62"/>
    </row>
    <row r="1293">
      <c r="A1293" s="6"/>
      <c r="B1293" s="6"/>
      <c r="C1293" s="6"/>
      <c r="D1293" s="62"/>
      <c r="E1293" s="62"/>
      <c r="F1293" s="62"/>
      <c r="G1293" s="62"/>
      <c r="H1293" s="62"/>
      <c r="I1293" s="62"/>
      <c r="J1293" s="62"/>
      <c r="K1293" s="62"/>
      <c r="L1293" s="62"/>
      <c r="M1293" s="62"/>
      <c r="N1293" s="62"/>
      <c r="O1293" s="62"/>
      <c r="P1293" s="62"/>
      <c r="Q1293" s="62"/>
      <c r="R1293" s="62"/>
      <c r="S1293" s="62"/>
      <c r="T1293" s="62"/>
      <c r="U1293" s="62"/>
      <c r="V1293" s="62"/>
      <c r="W1293" s="62"/>
      <c r="X1293" s="62"/>
      <c r="Y1293" s="62"/>
      <c r="Z1293" s="62"/>
      <c r="AA1293" s="62"/>
      <c r="AB1293" s="62"/>
      <c r="AC1293" s="62"/>
      <c r="AD1293" s="62"/>
    </row>
    <row r="1294">
      <c r="A1294" s="6"/>
      <c r="B1294" s="6"/>
      <c r="C1294" s="6"/>
      <c r="D1294" s="62"/>
      <c r="E1294" s="62"/>
      <c r="F1294" s="62"/>
      <c r="G1294" s="62"/>
      <c r="H1294" s="62"/>
      <c r="I1294" s="62"/>
      <c r="J1294" s="62"/>
      <c r="K1294" s="62"/>
      <c r="L1294" s="62"/>
      <c r="M1294" s="62"/>
      <c r="N1294" s="62"/>
      <c r="O1294" s="62"/>
      <c r="P1294" s="62"/>
      <c r="Q1294" s="62"/>
      <c r="R1294" s="62"/>
      <c r="S1294" s="62"/>
      <c r="T1294" s="62"/>
      <c r="U1294" s="62"/>
      <c r="V1294" s="62"/>
      <c r="W1294" s="62"/>
      <c r="X1294" s="62"/>
      <c r="Y1294" s="62"/>
      <c r="Z1294" s="62"/>
      <c r="AA1294" s="62"/>
      <c r="AB1294" s="62"/>
      <c r="AC1294" s="62"/>
      <c r="AD1294" s="62"/>
    </row>
    <row r="1295">
      <c r="A1295" s="6"/>
      <c r="B1295" s="6"/>
      <c r="C1295" s="6"/>
      <c r="D1295" s="62"/>
      <c r="E1295" s="62"/>
      <c r="F1295" s="62"/>
      <c r="G1295" s="62"/>
      <c r="H1295" s="62"/>
      <c r="I1295" s="62"/>
      <c r="J1295" s="62"/>
      <c r="K1295" s="62"/>
      <c r="L1295" s="62"/>
      <c r="M1295" s="62"/>
      <c r="N1295" s="62"/>
      <c r="O1295" s="62"/>
      <c r="P1295" s="62"/>
      <c r="Q1295" s="62"/>
      <c r="R1295" s="62"/>
      <c r="S1295" s="62"/>
      <c r="T1295" s="62"/>
      <c r="U1295" s="62"/>
      <c r="V1295" s="62"/>
      <c r="W1295" s="62"/>
      <c r="X1295" s="62"/>
      <c r="Y1295" s="62"/>
      <c r="Z1295" s="62"/>
      <c r="AA1295" s="62"/>
      <c r="AB1295" s="62"/>
      <c r="AC1295" s="62"/>
      <c r="AD1295" s="62"/>
    </row>
    <row r="1296">
      <c r="A1296" s="6"/>
      <c r="B1296" s="6"/>
      <c r="C1296" s="6"/>
      <c r="D1296" s="62"/>
      <c r="E1296" s="62"/>
      <c r="F1296" s="62"/>
      <c r="G1296" s="62"/>
      <c r="H1296" s="62"/>
      <c r="I1296" s="62"/>
      <c r="J1296" s="62"/>
      <c r="K1296" s="62"/>
      <c r="L1296" s="62"/>
      <c r="M1296" s="62"/>
      <c r="N1296" s="62"/>
      <c r="O1296" s="62"/>
      <c r="P1296" s="62"/>
      <c r="Q1296" s="62"/>
      <c r="R1296" s="62"/>
      <c r="S1296" s="62"/>
      <c r="T1296" s="62"/>
      <c r="U1296" s="62"/>
      <c r="V1296" s="62"/>
      <c r="W1296" s="62"/>
      <c r="X1296" s="62"/>
      <c r="Y1296" s="62"/>
      <c r="Z1296" s="62"/>
      <c r="AA1296" s="62"/>
      <c r="AB1296" s="62"/>
      <c r="AC1296" s="62"/>
      <c r="AD1296" s="62"/>
    </row>
    <row r="1297">
      <c r="A1297" s="6"/>
      <c r="B1297" s="6"/>
      <c r="C1297" s="6"/>
      <c r="D1297" s="62"/>
      <c r="E1297" s="62"/>
      <c r="F1297" s="62"/>
      <c r="G1297" s="62"/>
      <c r="H1297" s="62"/>
      <c r="I1297" s="62"/>
      <c r="J1297" s="62"/>
      <c r="K1297" s="62"/>
      <c r="L1297" s="62"/>
      <c r="M1297" s="62"/>
      <c r="N1297" s="62"/>
      <c r="O1297" s="62"/>
      <c r="P1297" s="62"/>
      <c r="Q1297" s="62"/>
      <c r="R1297" s="62"/>
      <c r="S1297" s="62"/>
      <c r="T1297" s="62"/>
      <c r="U1297" s="62"/>
      <c r="V1297" s="62"/>
      <c r="W1297" s="62"/>
      <c r="X1297" s="62"/>
      <c r="Y1297" s="62"/>
      <c r="Z1297" s="62"/>
      <c r="AA1297" s="62"/>
      <c r="AB1297" s="62"/>
      <c r="AC1297" s="62"/>
      <c r="AD1297" s="62"/>
    </row>
    <row r="1298">
      <c r="A1298" s="6"/>
      <c r="B1298" s="6"/>
      <c r="C1298" s="6"/>
      <c r="D1298" s="62"/>
      <c r="E1298" s="62"/>
      <c r="F1298" s="62"/>
      <c r="G1298" s="62"/>
      <c r="H1298" s="62"/>
      <c r="I1298" s="62"/>
      <c r="J1298" s="62"/>
      <c r="K1298" s="62"/>
      <c r="L1298" s="62"/>
      <c r="M1298" s="62"/>
      <c r="N1298" s="62"/>
      <c r="O1298" s="62"/>
      <c r="P1298" s="62"/>
      <c r="Q1298" s="62"/>
      <c r="R1298" s="62"/>
      <c r="S1298" s="62"/>
      <c r="T1298" s="62"/>
      <c r="U1298" s="62"/>
      <c r="V1298" s="62"/>
      <c r="W1298" s="62"/>
      <c r="X1298" s="62"/>
      <c r="Y1298" s="62"/>
      <c r="Z1298" s="62"/>
      <c r="AA1298" s="62"/>
      <c r="AB1298" s="62"/>
      <c r="AC1298" s="62"/>
      <c r="AD1298" s="62"/>
    </row>
    <row r="1299">
      <c r="A1299" s="6"/>
      <c r="B1299" s="6"/>
      <c r="C1299" s="6"/>
      <c r="D1299" s="62"/>
      <c r="E1299" s="62"/>
      <c r="F1299" s="62"/>
      <c r="G1299" s="62"/>
      <c r="H1299" s="62"/>
      <c r="I1299" s="62"/>
      <c r="J1299" s="62"/>
      <c r="K1299" s="62"/>
      <c r="L1299" s="62"/>
      <c r="M1299" s="62"/>
      <c r="N1299" s="62"/>
      <c r="O1299" s="62"/>
      <c r="P1299" s="62"/>
      <c r="Q1299" s="62"/>
      <c r="R1299" s="62"/>
      <c r="S1299" s="62"/>
      <c r="T1299" s="62"/>
      <c r="U1299" s="62"/>
      <c r="V1299" s="62"/>
      <c r="W1299" s="62"/>
      <c r="X1299" s="62"/>
      <c r="Y1299" s="62"/>
      <c r="Z1299" s="62"/>
      <c r="AA1299" s="62"/>
      <c r="AB1299" s="62"/>
      <c r="AC1299" s="62"/>
      <c r="AD1299" s="62"/>
    </row>
    <row r="1300">
      <c r="A1300" s="6"/>
      <c r="B1300" s="6"/>
      <c r="C1300" s="6"/>
      <c r="D1300" s="62"/>
      <c r="E1300" s="62"/>
      <c r="F1300" s="62"/>
      <c r="G1300" s="62"/>
      <c r="H1300" s="62"/>
      <c r="I1300" s="62"/>
      <c r="J1300" s="62"/>
      <c r="K1300" s="62"/>
      <c r="L1300" s="62"/>
      <c r="M1300" s="62"/>
      <c r="N1300" s="62"/>
      <c r="O1300" s="62"/>
      <c r="P1300" s="62"/>
      <c r="Q1300" s="62"/>
      <c r="R1300" s="62"/>
      <c r="S1300" s="62"/>
      <c r="T1300" s="62"/>
      <c r="U1300" s="62"/>
      <c r="V1300" s="62"/>
      <c r="W1300" s="62"/>
      <c r="X1300" s="62"/>
      <c r="Y1300" s="62"/>
      <c r="Z1300" s="62"/>
      <c r="AA1300" s="62"/>
      <c r="AB1300" s="62"/>
      <c r="AC1300" s="62"/>
      <c r="AD1300" s="62"/>
    </row>
    <row r="1301">
      <c r="A1301" s="6"/>
      <c r="B1301" s="6"/>
      <c r="C1301" s="6"/>
      <c r="D1301" s="62"/>
      <c r="E1301" s="62"/>
      <c r="F1301" s="62"/>
      <c r="G1301" s="62"/>
      <c r="H1301" s="62"/>
      <c r="I1301" s="62"/>
      <c r="J1301" s="62"/>
      <c r="K1301" s="62"/>
      <c r="L1301" s="62"/>
      <c r="M1301" s="62"/>
      <c r="N1301" s="62"/>
      <c r="O1301" s="62"/>
      <c r="P1301" s="62"/>
      <c r="Q1301" s="62"/>
      <c r="R1301" s="62"/>
      <c r="S1301" s="62"/>
      <c r="T1301" s="62"/>
      <c r="U1301" s="62"/>
      <c r="V1301" s="62"/>
      <c r="W1301" s="62"/>
      <c r="X1301" s="62"/>
      <c r="Y1301" s="62"/>
      <c r="Z1301" s="62"/>
      <c r="AA1301" s="62"/>
      <c r="AB1301" s="62"/>
      <c r="AC1301" s="62"/>
      <c r="AD1301" s="62"/>
    </row>
    <row r="1302">
      <c r="A1302" s="6"/>
      <c r="B1302" s="6"/>
      <c r="C1302" s="6"/>
      <c r="D1302" s="62"/>
      <c r="E1302" s="62"/>
      <c r="F1302" s="62"/>
      <c r="G1302" s="62"/>
      <c r="H1302" s="62"/>
      <c r="I1302" s="62"/>
      <c r="J1302" s="62"/>
      <c r="K1302" s="62"/>
      <c r="L1302" s="62"/>
      <c r="M1302" s="62"/>
      <c r="N1302" s="62"/>
      <c r="O1302" s="62"/>
      <c r="P1302" s="62"/>
      <c r="Q1302" s="62"/>
      <c r="R1302" s="62"/>
      <c r="S1302" s="62"/>
      <c r="T1302" s="62"/>
      <c r="U1302" s="62"/>
      <c r="V1302" s="62"/>
      <c r="W1302" s="62"/>
      <c r="X1302" s="62"/>
      <c r="Y1302" s="62"/>
      <c r="Z1302" s="62"/>
      <c r="AA1302" s="62"/>
      <c r="AB1302" s="62"/>
      <c r="AC1302" s="62"/>
      <c r="AD1302" s="62"/>
    </row>
    <row r="1303">
      <c r="A1303" s="6"/>
      <c r="B1303" s="6"/>
      <c r="C1303" s="6"/>
      <c r="D1303" s="62"/>
      <c r="E1303" s="62"/>
      <c r="F1303" s="62"/>
      <c r="G1303" s="62"/>
      <c r="H1303" s="62"/>
      <c r="I1303" s="62"/>
      <c r="J1303" s="62"/>
      <c r="K1303" s="62"/>
      <c r="L1303" s="62"/>
      <c r="M1303" s="62"/>
      <c r="N1303" s="62"/>
      <c r="O1303" s="62"/>
      <c r="P1303" s="62"/>
      <c r="Q1303" s="62"/>
      <c r="R1303" s="62"/>
      <c r="S1303" s="62"/>
      <c r="T1303" s="62"/>
      <c r="U1303" s="62"/>
      <c r="V1303" s="62"/>
      <c r="W1303" s="62"/>
      <c r="X1303" s="62"/>
      <c r="Y1303" s="62"/>
      <c r="Z1303" s="62"/>
      <c r="AA1303" s="62"/>
      <c r="AB1303" s="62"/>
      <c r="AC1303" s="62"/>
      <c r="AD1303" s="62"/>
    </row>
    <row r="1304">
      <c r="A1304" s="6"/>
      <c r="B1304" s="6"/>
      <c r="C1304" s="6"/>
      <c r="D1304" s="62"/>
      <c r="E1304" s="62"/>
      <c r="F1304" s="62"/>
      <c r="G1304" s="62"/>
      <c r="H1304" s="62"/>
      <c r="I1304" s="62"/>
      <c r="J1304" s="62"/>
      <c r="K1304" s="62"/>
      <c r="L1304" s="62"/>
      <c r="M1304" s="62"/>
      <c r="N1304" s="62"/>
      <c r="O1304" s="62"/>
      <c r="P1304" s="62"/>
      <c r="Q1304" s="62"/>
      <c r="R1304" s="62"/>
      <c r="S1304" s="62"/>
      <c r="T1304" s="62"/>
      <c r="U1304" s="62"/>
      <c r="V1304" s="62"/>
      <c r="W1304" s="62"/>
      <c r="X1304" s="62"/>
      <c r="Y1304" s="62"/>
      <c r="Z1304" s="62"/>
      <c r="AA1304" s="62"/>
      <c r="AB1304" s="62"/>
      <c r="AC1304" s="62"/>
      <c r="AD1304" s="62"/>
    </row>
    <row r="1305">
      <c r="A1305" s="6"/>
      <c r="B1305" s="6"/>
      <c r="C1305" s="6"/>
      <c r="D1305" s="62"/>
      <c r="E1305" s="62"/>
      <c r="F1305" s="62"/>
      <c r="G1305" s="62"/>
      <c r="H1305" s="62"/>
      <c r="I1305" s="62"/>
      <c r="J1305" s="62"/>
      <c r="K1305" s="62"/>
      <c r="L1305" s="62"/>
      <c r="M1305" s="62"/>
      <c r="N1305" s="62"/>
      <c r="O1305" s="62"/>
      <c r="P1305" s="62"/>
      <c r="Q1305" s="62"/>
      <c r="R1305" s="62"/>
      <c r="S1305" s="62"/>
      <c r="T1305" s="62"/>
      <c r="U1305" s="62"/>
      <c r="V1305" s="62"/>
      <c r="W1305" s="62"/>
      <c r="X1305" s="62"/>
      <c r="Y1305" s="62"/>
      <c r="Z1305" s="62"/>
      <c r="AA1305" s="62"/>
      <c r="AB1305" s="62"/>
      <c r="AC1305" s="62"/>
      <c r="AD1305" s="62"/>
    </row>
    <row r="1306">
      <c r="A1306" s="6"/>
      <c r="B1306" s="6"/>
      <c r="C1306" s="6"/>
      <c r="D1306" s="62"/>
      <c r="E1306" s="62"/>
      <c r="F1306" s="62"/>
      <c r="G1306" s="62"/>
      <c r="H1306" s="62"/>
      <c r="I1306" s="62"/>
      <c r="J1306" s="62"/>
      <c r="K1306" s="62"/>
      <c r="L1306" s="62"/>
      <c r="M1306" s="62"/>
      <c r="N1306" s="62"/>
      <c r="O1306" s="62"/>
      <c r="P1306" s="62"/>
      <c r="Q1306" s="62"/>
      <c r="R1306" s="62"/>
      <c r="S1306" s="62"/>
      <c r="T1306" s="62"/>
      <c r="U1306" s="62"/>
      <c r="V1306" s="62"/>
      <c r="W1306" s="62"/>
      <c r="X1306" s="62"/>
      <c r="Y1306" s="62"/>
      <c r="Z1306" s="62"/>
      <c r="AA1306" s="62"/>
      <c r="AB1306" s="62"/>
      <c r="AC1306" s="62"/>
      <c r="AD1306" s="62"/>
    </row>
    <row r="1307">
      <c r="A1307" s="6"/>
      <c r="B1307" s="6"/>
      <c r="C1307" s="6"/>
      <c r="D1307" s="62"/>
      <c r="E1307" s="62"/>
      <c r="F1307" s="62"/>
      <c r="G1307" s="62"/>
      <c r="H1307" s="62"/>
      <c r="I1307" s="62"/>
      <c r="J1307" s="62"/>
      <c r="K1307" s="62"/>
      <c r="L1307" s="62"/>
      <c r="M1307" s="62"/>
      <c r="N1307" s="62"/>
      <c r="O1307" s="62"/>
      <c r="P1307" s="62"/>
      <c r="Q1307" s="62"/>
      <c r="R1307" s="62"/>
      <c r="S1307" s="62"/>
      <c r="T1307" s="62"/>
      <c r="U1307" s="62"/>
      <c r="V1307" s="62"/>
      <c r="W1307" s="62"/>
      <c r="X1307" s="62"/>
      <c r="Y1307" s="62"/>
      <c r="Z1307" s="62"/>
      <c r="AA1307" s="62"/>
      <c r="AB1307" s="62"/>
      <c r="AC1307" s="62"/>
      <c r="AD1307" s="62"/>
    </row>
    <row r="1308">
      <c r="A1308" s="6"/>
      <c r="B1308" s="6"/>
      <c r="C1308" s="6"/>
      <c r="D1308" s="62"/>
      <c r="E1308" s="62"/>
      <c r="F1308" s="62"/>
      <c r="G1308" s="62"/>
      <c r="H1308" s="62"/>
      <c r="I1308" s="62"/>
      <c r="J1308" s="62"/>
      <c r="K1308" s="62"/>
      <c r="L1308" s="62"/>
      <c r="M1308" s="62"/>
      <c r="N1308" s="62"/>
      <c r="O1308" s="62"/>
      <c r="P1308" s="62"/>
      <c r="Q1308" s="62"/>
      <c r="R1308" s="62"/>
      <c r="S1308" s="62"/>
      <c r="T1308" s="62"/>
      <c r="U1308" s="62"/>
      <c r="V1308" s="62"/>
      <c r="W1308" s="62"/>
      <c r="X1308" s="62"/>
      <c r="Y1308" s="62"/>
      <c r="Z1308" s="62"/>
      <c r="AA1308" s="62"/>
      <c r="AB1308" s="62"/>
      <c r="AC1308" s="62"/>
      <c r="AD1308" s="62"/>
    </row>
    <row r="1309">
      <c r="A1309" s="6"/>
      <c r="B1309" s="6"/>
      <c r="C1309" s="6"/>
      <c r="D1309" s="62"/>
      <c r="E1309" s="62"/>
      <c r="F1309" s="62"/>
      <c r="G1309" s="62"/>
      <c r="H1309" s="62"/>
      <c r="I1309" s="62"/>
      <c r="J1309" s="62"/>
      <c r="K1309" s="62"/>
      <c r="L1309" s="62"/>
      <c r="M1309" s="62"/>
      <c r="N1309" s="62"/>
      <c r="O1309" s="62"/>
      <c r="P1309" s="62"/>
      <c r="Q1309" s="62"/>
      <c r="R1309" s="62"/>
      <c r="S1309" s="62"/>
      <c r="T1309" s="62"/>
      <c r="U1309" s="62"/>
      <c r="V1309" s="62"/>
      <c r="W1309" s="62"/>
      <c r="X1309" s="62"/>
      <c r="Y1309" s="62"/>
      <c r="Z1309" s="62"/>
      <c r="AA1309" s="62"/>
      <c r="AB1309" s="62"/>
      <c r="AC1309" s="62"/>
      <c r="AD1309" s="62"/>
    </row>
    <row r="1310">
      <c r="A1310" s="6"/>
      <c r="B1310" s="6"/>
      <c r="C1310" s="6"/>
      <c r="D1310" s="62"/>
      <c r="E1310" s="62"/>
      <c r="F1310" s="62"/>
      <c r="G1310" s="62"/>
      <c r="H1310" s="62"/>
      <c r="I1310" s="62"/>
      <c r="J1310" s="62"/>
      <c r="K1310" s="62"/>
      <c r="L1310" s="62"/>
      <c r="M1310" s="62"/>
      <c r="N1310" s="62"/>
      <c r="O1310" s="62"/>
      <c r="P1310" s="62"/>
      <c r="Q1310" s="62"/>
      <c r="R1310" s="62"/>
      <c r="S1310" s="62"/>
      <c r="T1310" s="62"/>
      <c r="U1310" s="62"/>
      <c r="V1310" s="62"/>
      <c r="W1310" s="62"/>
      <c r="X1310" s="62"/>
      <c r="Y1310" s="62"/>
      <c r="Z1310" s="62"/>
      <c r="AA1310" s="62"/>
      <c r="AB1310" s="62"/>
      <c r="AC1310" s="62"/>
      <c r="AD1310" s="62"/>
    </row>
    <row r="1311">
      <c r="A1311" s="6"/>
      <c r="B1311" s="6"/>
      <c r="C1311" s="6"/>
      <c r="D1311" s="62"/>
      <c r="E1311" s="62"/>
      <c r="F1311" s="62"/>
      <c r="G1311" s="62"/>
      <c r="H1311" s="62"/>
      <c r="I1311" s="62"/>
      <c r="J1311" s="62"/>
      <c r="K1311" s="62"/>
      <c r="L1311" s="62"/>
      <c r="M1311" s="62"/>
      <c r="N1311" s="62"/>
      <c r="O1311" s="62"/>
      <c r="P1311" s="62"/>
      <c r="Q1311" s="62"/>
      <c r="R1311" s="62"/>
      <c r="S1311" s="62"/>
      <c r="T1311" s="62"/>
      <c r="U1311" s="62"/>
      <c r="V1311" s="62"/>
      <c r="W1311" s="62"/>
      <c r="X1311" s="62"/>
      <c r="Y1311" s="62"/>
      <c r="Z1311" s="62"/>
      <c r="AA1311" s="62"/>
      <c r="AB1311" s="62"/>
      <c r="AC1311" s="62"/>
      <c r="AD1311" s="62"/>
    </row>
  </sheetData>
  <customSheetViews>
    <customSheetView guid="{C2DF8EBB-69CE-4C4C-87E3-DACEA79B4060}" filter="1" showAutoFilter="1">
      <autoFilter ref="$A$1:$L$533"/>
    </customSheetView>
    <customSheetView guid="{92FC8F5B-B28D-44A5-A4F9-DCD79C803992}" filter="1" showAutoFilter="1">
      <autoFilter ref="$A$1:$L$123"/>
    </customSheetView>
  </customSheetViews>
  <conditionalFormatting sqref="I1:I1311">
    <cfRule type="cellIs" dxfId="1" priority="1" operator="between">
      <formula>today() +30</formula>
      <formula>today() -30</formula>
    </cfRule>
  </conditionalFormatting>
  <conditionalFormatting sqref="K1:K1311">
    <cfRule type="cellIs" dxfId="1" priority="2" operator="between">
      <formula>today() +30</formula>
      <formula>today() -30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22.29"/>
    <col customWidth="1" min="3" max="3" width="15.43"/>
    <col customWidth="1" min="4" max="4" width="51.29"/>
    <col customWidth="1" min="5" max="5" width="31.29"/>
    <col customWidth="1" min="6" max="7" width="21.57"/>
    <col customWidth="1" min="8" max="8" width="18.43"/>
    <col customWidth="1" min="9" max="9" width="35.43"/>
    <col customWidth="1" min="10" max="10" width="20.0"/>
    <col customWidth="1" min="11" max="11" width="19.71"/>
    <col customWidth="1" min="12" max="12" width="18.86"/>
    <col customWidth="1" min="13" max="13" width="19.71"/>
    <col customWidth="1" min="14" max="14" width="21.57"/>
    <col customWidth="1" min="15" max="15" width="9.14"/>
    <col customWidth="1" min="16" max="16" width="18.43"/>
    <col customWidth="1" min="17" max="17" width="15.86"/>
    <col customWidth="1" min="18" max="30" width="21.57"/>
  </cols>
  <sheetData>
    <row r="1" ht="52.5" customHeight="1">
      <c r="A1" s="156" t="s">
        <v>65</v>
      </c>
      <c r="B1" s="156" t="s">
        <v>371</v>
      </c>
      <c r="C1" s="156" t="s">
        <v>372</v>
      </c>
      <c r="D1" s="156" t="s">
        <v>373</v>
      </c>
      <c r="E1" s="156" t="s">
        <v>374</v>
      </c>
      <c r="F1" s="156" t="s">
        <v>375</v>
      </c>
      <c r="G1" s="156" t="s">
        <v>376</v>
      </c>
      <c r="H1" s="156" t="s">
        <v>377</v>
      </c>
      <c r="I1" s="156" t="s">
        <v>378</v>
      </c>
      <c r="J1" s="156" t="s">
        <v>379</v>
      </c>
      <c r="K1" s="156" t="s">
        <v>380</v>
      </c>
      <c r="L1" s="156" t="s">
        <v>381</v>
      </c>
      <c r="M1" s="156" t="s">
        <v>382</v>
      </c>
      <c r="N1" s="156" t="s">
        <v>383</v>
      </c>
      <c r="O1" s="156" t="s">
        <v>384</v>
      </c>
      <c r="P1" s="156" t="s">
        <v>385</v>
      </c>
      <c r="Q1" s="156" t="s">
        <v>386</v>
      </c>
      <c r="R1" s="156" t="s">
        <v>387</v>
      </c>
      <c r="S1" s="156" t="s">
        <v>388</v>
      </c>
      <c r="T1" s="156" t="s">
        <v>389</v>
      </c>
      <c r="U1" s="156" t="s">
        <v>390</v>
      </c>
      <c r="V1" s="156" t="s">
        <v>391</v>
      </c>
      <c r="W1" s="156" t="s">
        <v>392</v>
      </c>
      <c r="X1" s="156" t="s">
        <v>393</v>
      </c>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row>
    <row r="2">
      <c r="A2" s="158">
        <v>43442.51732141204</v>
      </c>
      <c r="B2" s="118" t="s">
        <v>394</v>
      </c>
      <c r="C2" s="118" t="s">
        <v>395</v>
      </c>
      <c r="E2" s="118" t="s">
        <v>396</v>
      </c>
      <c r="F2" s="118" t="s">
        <v>397</v>
      </c>
      <c r="G2" s="118" t="s">
        <v>398</v>
      </c>
      <c r="H2" s="118" t="s">
        <v>63</v>
      </c>
      <c r="I2" s="118" t="s">
        <v>150</v>
      </c>
      <c r="J2" s="118" t="s">
        <v>399</v>
      </c>
      <c r="K2" s="118" t="s">
        <v>288</v>
      </c>
      <c r="L2" s="118" t="s">
        <v>400</v>
      </c>
      <c r="M2" s="118" t="s">
        <v>283</v>
      </c>
      <c r="N2" s="118" t="s">
        <v>401</v>
      </c>
      <c r="O2" s="118" t="s">
        <v>402</v>
      </c>
      <c r="P2" s="118" t="s">
        <v>403</v>
      </c>
      <c r="R2" s="118" t="s">
        <v>404</v>
      </c>
      <c r="S2" s="159"/>
      <c r="T2" s="159"/>
      <c r="U2" s="159"/>
      <c r="V2" s="159"/>
      <c r="W2" s="159"/>
      <c r="X2" s="159"/>
      <c r="Y2" s="129"/>
    </row>
    <row r="3">
      <c r="A3" s="158">
        <v>43444.757240694445</v>
      </c>
      <c r="B3" s="118" t="s">
        <v>405</v>
      </c>
      <c r="C3" s="118" t="s">
        <v>406</v>
      </c>
      <c r="D3" s="118" t="s">
        <v>407</v>
      </c>
      <c r="E3" s="118" t="s">
        <v>408</v>
      </c>
      <c r="F3" s="118" t="s">
        <v>409</v>
      </c>
      <c r="G3" s="118" t="s">
        <v>410</v>
      </c>
      <c r="H3" s="118" t="s">
        <v>63</v>
      </c>
      <c r="I3" s="118" t="s">
        <v>400</v>
      </c>
      <c r="J3" s="118" t="s">
        <v>283</v>
      </c>
      <c r="K3" s="118" t="s">
        <v>399</v>
      </c>
      <c r="L3" s="118" t="s">
        <v>288</v>
      </c>
      <c r="M3" s="118" t="s">
        <v>150</v>
      </c>
      <c r="N3" s="118" t="s">
        <v>411</v>
      </c>
      <c r="O3" s="118" t="s">
        <v>402</v>
      </c>
      <c r="P3" s="118" t="s">
        <v>412</v>
      </c>
      <c r="R3" s="118" t="s">
        <v>404</v>
      </c>
      <c r="S3" s="159"/>
      <c r="T3" s="159"/>
      <c r="U3" s="159"/>
      <c r="V3" s="159"/>
      <c r="W3" s="159"/>
      <c r="X3" s="159"/>
      <c r="Y3" s="129"/>
    </row>
    <row r="4">
      <c r="A4" s="158">
        <v>43446.43219766204</v>
      </c>
      <c r="B4" s="118" t="s">
        <v>413</v>
      </c>
      <c r="C4" s="118" t="s">
        <v>414</v>
      </c>
      <c r="D4" s="118" t="s">
        <v>415</v>
      </c>
      <c r="E4" s="118" t="s">
        <v>416</v>
      </c>
      <c r="F4" s="118" t="s">
        <v>417</v>
      </c>
      <c r="G4" s="118" t="s">
        <v>418</v>
      </c>
      <c r="H4" s="118" t="s">
        <v>276</v>
      </c>
      <c r="I4" s="118" t="s">
        <v>288</v>
      </c>
      <c r="J4" s="118" t="s">
        <v>150</v>
      </c>
      <c r="N4" s="118" t="s">
        <v>182</v>
      </c>
      <c r="O4" s="118" t="s">
        <v>402</v>
      </c>
      <c r="P4" s="118" t="s">
        <v>419</v>
      </c>
      <c r="R4" s="118" t="s">
        <v>404</v>
      </c>
      <c r="S4" s="159"/>
      <c r="T4" s="159"/>
      <c r="U4" s="159"/>
      <c r="V4" s="159"/>
      <c r="W4" s="159"/>
      <c r="X4" s="159"/>
      <c r="Y4" s="129"/>
    </row>
    <row r="5">
      <c r="A5" s="158">
        <v>43446.65079341435</v>
      </c>
      <c r="B5" s="118" t="s">
        <v>420</v>
      </c>
      <c r="C5" s="118" t="s">
        <v>421</v>
      </c>
      <c r="E5" s="118" t="s">
        <v>422</v>
      </c>
      <c r="F5" s="118" t="s">
        <v>397</v>
      </c>
      <c r="G5" s="118" t="s">
        <v>423</v>
      </c>
      <c r="H5" s="118" t="s">
        <v>63</v>
      </c>
      <c r="I5" s="118" t="s">
        <v>399</v>
      </c>
      <c r="J5" s="118" t="s">
        <v>288</v>
      </c>
      <c r="K5" s="118" t="s">
        <v>400</v>
      </c>
      <c r="N5" s="118" t="s">
        <v>424</v>
      </c>
      <c r="O5" s="118" t="s">
        <v>402</v>
      </c>
      <c r="P5" s="118" t="s">
        <v>425</v>
      </c>
      <c r="R5" s="118" t="s">
        <v>404</v>
      </c>
      <c r="S5" s="159"/>
      <c r="T5" s="159"/>
      <c r="U5" s="159"/>
      <c r="V5" s="159"/>
      <c r="W5" s="159"/>
      <c r="X5" s="159"/>
      <c r="Y5" s="129"/>
    </row>
    <row r="6">
      <c r="A6" s="158">
        <v>43446.70358693287</v>
      </c>
      <c r="B6" s="118" t="s">
        <v>426</v>
      </c>
      <c r="C6" s="118" t="s">
        <v>427</v>
      </c>
      <c r="D6" s="118" t="s">
        <v>428</v>
      </c>
      <c r="E6" s="118" t="s">
        <v>429</v>
      </c>
      <c r="F6" s="118" t="s">
        <v>430</v>
      </c>
      <c r="G6" s="118" t="s">
        <v>431</v>
      </c>
      <c r="H6" s="118" t="s">
        <v>276</v>
      </c>
      <c r="I6" s="118" t="s">
        <v>288</v>
      </c>
      <c r="J6" s="118" t="s">
        <v>399</v>
      </c>
      <c r="K6" s="118" t="s">
        <v>400</v>
      </c>
      <c r="L6" s="118" t="s">
        <v>283</v>
      </c>
      <c r="M6" s="118" t="s">
        <v>150</v>
      </c>
      <c r="N6" s="118" t="s">
        <v>432</v>
      </c>
      <c r="O6" s="118" t="s">
        <v>277</v>
      </c>
      <c r="P6" s="118" t="s">
        <v>433</v>
      </c>
      <c r="R6" s="118" t="s">
        <v>404</v>
      </c>
      <c r="S6" s="159"/>
      <c r="T6" s="159"/>
      <c r="U6" s="159"/>
      <c r="V6" s="159"/>
      <c r="W6" s="159"/>
      <c r="X6" s="159"/>
      <c r="Y6" s="129"/>
    </row>
    <row r="7">
      <c r="A7" s="158">
        <v>43447.42110715278</v>
      </c>
      <c r="B7" s="118" t="s">
        <v>434</v>
      </c>
      <c r="C7" s="118" t="s">
        <v>435</v>
      </c>
      <c r="D7" s="118" t="s">
        <v>436</v>
      </c>
      <c r="E7" s="118" t="s">
        <v>437</v>
      </c>
      <c r="F7" s="118" t="s">
        <v>438</v>
      </c>
      <c r="G7" s="118" t="s">
        <v>439</v>
      </c>
      <c r="H7" s="118" t="s">
        <v>63</v>
      </c>
      <c r="I7" s="118" t="s">
        <v>399</v>
      </c>
      <c r="O7" s="118" t="s">
        <v>182</v>
      </c>
      <c r="P7" s="118" t="s">
        <v>440</v>
      </c>
      <c r="R7" s="118" t="s">
        <v>441</v>
      </c>
      <c r="S7" s="159"/>
      <c r="T7" s="159"/>
      <c r="U7" s="159"/>
      <c r="V7" s="159"/>
      <c r="W7" s="159"/>
      <c r="X7" s="159"/>
      <c r="Y7" s="129"/>
    </row>
    <row r="8">
      <c r="A8" s="158">
        <v>43378.48075231481</v>
      </c>
      <c r="B8" s="118" t="s">
        <v>442</v>
      </c>
      <c r="C8" s="118" t="s">
        <v>443</v>
      </c>
      <c r="D8" s="118" t="s">
        <v>444</v>
      </c>
      <c r="E8" s="118" t="s">
        <v>445</v>
      </c>
      <c r="F8" s="118" t="s">
        <v>446</v>
      </c>
      <c r="G8" s="118" t="s">
        <v>447</v>
      </c>
      <c r="H8" s="118" t="s">
        <v>63</v>
      </c>
      <c r="I8" s="118" t="s">
        <v>399</v>
      </c>
      <c r="J8" s="118" t="s">
        <v>400</v>
      </c>
      <c r="K8" s="118" t="s">
        <v>288</v>
      </c>
      <c r="L8" s="118" t="s">
        <v>283</v>
      </c>
      <c r="M8" s="118" t="s">
        <v>150</v>
      </c>
      <c r="N8" s="118" t="s">
        <v>448</v>
      </c>
      <c r="O8" s="118" t="s">
        <v>402</v>
      </c>
      <c r="P8" s="118" t="s">
        <v>449</v>
      </c>
      <c r="R8" s="118" t="s">
        <v>450</v>
      </c>
      <c r="S8" s="159"/>
      <c r="T8" s="159"/>
      <c r="U8" s="159"/>
      <c r="V8" s="159"/>
      <c r="W8" s="159"/>
      <c r="X8" s="159"/>
      <c r="Y8" s="129"/>
    </row>
    <row r="9">
      <c r="A9" s="158">
        <v>43447.71939452546</v>
      </c>
      <c r="B9" s="118" t="s">
        <v>451</v>
      </c>
      <c r="C9" s="118" t="s">
        <v>452</v>
      </c>
      <c r="E9" s="118" t="s">
        <v>453</v>
      </c>
      <c r="F9" s="118" t="s">
        <v>430</v>
      </c>
      <c r="G9" s="118" t="s">
        <v>454</v>
      </c>
      <c r="H9" s="118" t="s">
        <v>63</v>
      </c>
      <c r="I9" s="118" t="s">
        <v>283</v>
      </c>
      <c r="J9" s="118" t="s">
        <v>288</v>
      </c>
      <c r="K9" s="118" t="s">
        <v>150</v>
      </c>
      <c r="L9" s="118" t="s">
        <v>400</v>
      </c>
      <c r="M9" s="118" t="s">
        <v>399</v>
      </c>
      <c r="N9" s="118" t="s">
        <v>455</v>
      </c>
      <c r="O9" s="118" t="s">
        <v>182</v>
      </c>
      <c r="R9" s="118" t="s">
        <v>404</v>
      </c>
      <c r="S9" s="159"/>
      <c r="T9" s="159"/>
      <c r="U9" s="159"/>
      <c r="V9" s="159"/>
      <c r="W9" s="159"/>
      <c r="X9" s="159"/>
      <c r="Y9" s="129"/>
    </row>
    <row r="10">
      <c r="A10" s="158">
        <v>43452.62142140046</v>
      </c>
      <c r="B10" s="118" t="s">
        <v>456</v>
      </c>
      <c r="C10" s="118" t="s">
        <v>457</v>
      </c>
      <c r="D10" s="118" t="s">
        <v>458</v>
      </c>
      <c r="E10" s="118" t="s">
        <v>459</v>
      </c>
      <c r="F10" s="118" t="s">
        <v>460</v>
      </c>
      <c r="G10" s="118" t="s">
        <v>461</v>
      </c>
      <c r="H10" s="118" t="s">
        <v>63</v>
      </c>
      <c r="I10" s="118" t="s">
        <v>400</v>
      </c>
      <c r="J10" s="118" t="s">
        <v>283</v>
      </c>
      <c r="K10" s="118" t="s">
        <v>150</v>
      </c>
      <c r="L10" s="118" t="s">
        <v>399</v>
      </c>
      <c r="M10" s="118" t="s">
        <v>288</v>
      </c>
      <c r="N10" s="118" t="s">
        <v>462</v>
      </c>
      <c r="O10" s="118" t="s">
        <v>277</v>
      </c>
      <c r="P10" s="118" t="s">
        <v>463</v>
      </c>
      <c r="R10" s="118" t="s">
        <v>450</v>
      </c>
      <c r="S10" s="159"/>
      <c r="T10" s="159"/>
      <c r="U10" s="159"/>
      <c r="V10" s="159"/>
      <c r="W10" s="159"/>
      <c r="X10" s="159"/>
      <c r="Y10" s="129"/>
    </row>
    <row r="11">
      <c r="A11" s="158">
        <v>43452.62491731481</v>
      </c>
      <c r="B11" s="118" t="s">
        <v>456</v>
      </c>
      <c r="C11" s="118" t="s">
        <v>457</v>
      </c>
      <c r="D11" s="118" t="s">
        <v>458</v>
      </c>
      <c r="E11" s="118" t="s">
        <v>459</v>
      </c>
      <c r="F11" s="118" t="s">
        <v>460</v>
      </c>
      <c r="G11" s="118" t="s">
        <v>461</v>
      </c>
      <c r="H11" s="118" t="s">
        <v>63</v>
      </c>
      <c r="I11" s="118" t="s">
        <v>400</v>
      </c>
      <c r="J11" s="118" t="s">
        <v>283</v>
      </c>
      <c r="K11" s="118" t="s">
        <v>150</v>
      </c>
      <c r="L11" s="118" t="s">
        <v>399</v>
      </c>
      <c r="M11" s="118" t="s">
        <v>288</v>
      </c>
      <c r="N11" s="118" t="s">
        <v>462</v>
      </c>
      <c r="O11" s="118" t="s">
        <v>277</v>
      </c>
      <c r="P11" s="118" t="s">
        <v>463</v>
      </c>
      <c r="R11" s="118" t="s">
        <v>450</v>
      </c>
      <c r="S11" s="159"/>
      <c r="T11" s="159"/>
      <c r="U11" s="159"/>
      <c r="V11" s="159"/>
      <c r="W11" s="159"/>
      <c r="X11" s="159"/>
      <c r="Y11" s="129"/>
    </row>
    <row r="12">
      <c r="A12" s="158">
        <v>43453.176856516206</v>
      </c>
      <c r="B12" s="118" t="s">
        <v>464</v>
      </c>
      <c r="C12" s="118" t="s">
        <v>465</v>
      </c>
      <c r="E12" s="118" t="s">
        <v>466</v>
      </c>
      <c r="F12" s="118" t="s">
        <v>467</v>
      </c>
      <c r="G12" s="118" t="s">
        <v>468</v>
      </c>
      <c r="H12" s="118" t="s">
        <v>276</v>
      </c>
      <c r="I12" s="118" t="s">
        <v>400</v>
      </c>
      <c r="J12" s="118" t="s">
        <v>288</v>
      </c>
      <c r="K12" s="118" t="s">
        <v>283</v>
      </c>
      <c r="L12" s="118" t="s">
        <v>399</v>
      </c>
      <c r="N12" s="118" t="s">
        <v>182</v>
      </c>
      <c r="O12" s="118" t="s">
        <v>402</v>
      </c>
      <c r="R12" s="118" t="s">
        <v>404</v>
      </c>
      <c r="S12" s="159"/>
      <c r="T12" s="159"/>
      <c r="U12" s="159"/>
      <c r="V12" s="159"/>
      <c r="W12" s="159"/>
      <c r="X12" s="159"/>
      <c r="Y12" s="129"/>
    </row>
    <row r="13">
      <c r="A13" s="158">
        <v>43453.554362870374</v>
      </c>
      <c r="B13" s="118" t="s">
        <v>469</v>
      </c>
      <c r="C13" s="118" t="s">
        <v>470</v>
      </c>
      <c r="D13" s="118" t="s">
        <v>471</v>
      </c>
      <c r="E13" s="118" t="s">
        <v>472</v>
      </c>
      <c r="F13" s="118" t="s">
        <v>460</v>
      </c>
      <c r="G13" s="118" t="s">
        <v>473</v>
      </c>
      <c r="H13" s="118" t="s">
        <v>63</v>
      </c>
      <c r="I13" s="118" t="s">
        <v>399</v>
      </c>
      <c r="J13" s="118" t="s">
        <v>288</v>
      </c>
      <c r="N13" s="118" t="s">
        <v>474</v>
      </c>
      <c r="O13" s="118" t="s">
        <v>402</v>
      </c>
      <c r="P13" s="118" t="s">
        <v>100</v>
      </c>
      <c r="R13" s="118" t="s">
        <v>404</v>
      </c>
      <c r="S13" s="159"/>
      <c r="T13" s="159"/>
      <c r="U13" s="159"/>
      <c r="V13" s="159"/>
      <c r="W13" s="159"/>
      <c r="X13" s="159"/>
      <c r="Y13" s="129"/>
    </row>
    <row r="14">
      <c r="A14" s="158">
        <v>43404.87436342592</v>
      </c>
      <c r="B14" s="118" t="s">
        <v>475</v>
      </c>
      <c r="C14" s="118" t="s">
        <v>476</v>
      </c>
      <c r="D14" s="118" t="s">
        <v>477</v>
      </c>
      <c r="E14" s="118" t="s">
        <v>478</v>
      </c>
      <c r="F14" s="118" t="s">
        <v>397</v>
      </c>
      <c r="G14" s="118" t="s">
        <v>479</v>
      </c>
      <c r="H14" s="118" t="s">
        <v>63</v>
      </c>
      <c r="I14" s="118" t="s">
        <v>288</v>
      </c>
      <c r="J14" s="118" t="s">
        <v>150</v>
      </c>
      <c r="K14" s="118" t="s">
        <v>400</v>
      </c>
      <c r="L14" s="118" t="s">
        <v>399</v>
      </c>
      <c r="M14" s="118" t="s">
        <v>283</v>
      </c>
      <c r="N14" s="118" t="s">
        <v>480</v>
      </c>
      <c r="O14" s="118" t="s">
        <v>402</v>
      </c>
      <c r="P14" s="118" t="s">
        <v>481</v>
      </c>
      <c r="R14" s="118" t="s">
        <v>450</v>
      </c>
      <c r="S14" s="159"/>
      <c r="T14" s="159"/>
      <c r="U14" s="159"/>
      <c r="V14" s="159"/>
      <c r="W14" s="159"/>
      <c r="X14" s="159"/>
      <c r="Y14" s="129"/>
    </row>
    <row r="15">
      <c r="A15" s="158">
        <v>43454.651333263886</v>
      </c>
      <c r="B15" s="118" t="s">
        <v>482</v>
      </c>
      <c r="C15" s="118" t="s">
        <v>483</v>
      </c>
      <c r="E15" s="118" t="s">
        <v>484</v>
      </c>
      <c r="F15" s="118" t="s">
        <v>397</v>
      </c>
      <c r="G15" s="118" t="s">
        <v>485</v>
      </c>
      <c r="H15" s="118" t="s">
        <v>63</v>
      </c>
      <c r="I15" s="118" t="s">
        <v>400</v>
      </c>
      <c r="J15" s="118" t="s">
        <v>399</v>
      </c>
      <c r="K15" s="91" t="s">
        <v>288</v>
      </c>
      <c r="L15" s="118" t="s">
        <v>283</v>
      </c>
      <c r="M15" s="118" t="s">
        <v>150</v>
      </c>
      <c r="N15" s="118" t="s">
        <v>486</v>
      </c>
      <c r="O15" s="118" t="s">
        <v>277</v>
      </c>
      <c r="P15" s="118" t="s">
        <v>487</v>
      </c>
      <c r="R15" s="118" t="s">
        <v>450</v>
      </c>
      <c r="S15" s="159"/>
      <c r="T15" s="159"/>
      <c r="U15" s="159"/>
      <c r="V15" s="159"/>
      <c r="W15" s="159"/>
      <c r="X15" s="159"/>
      <c r="Y15" s="129"/>
    </row>
    <row r="16">
      <c r="A16" s="158">
        <v>43462.72207682871</v>
      </c>
      <c r="B16" s="118" t="s">
        <v>488</v>
      </c>
      <c r="C16" s="118" t="s">
        <v>489</v>
      </c>
      <c r="D16" s="118" t="s">
        <v>490</v>
      </c>
      <c r="E16" s="118" t="s">
        <v>490</v>
      </c>
      <c r="F16" s="118" t="s">
        <v>491</v>
      </c>
      <c r="G16" s="118" t="s">
        <v>492</v>
      </c>
      <c r="H16" s="118" t="s">
        <v>63</v>
      </c>
      <c r="I16" s="118" t="s">
        <v>399</v>
      </c>
      <c r="J16" s="118" t="s">
        <v>288</v>
      </c>
      <c r="K16" s="118" t="s">
        <v>283</v>
      </c>
      <c r="L16" s="118" t="s">
        <v>400</v>
      </c>
      <c r="M16" s="118" t="s">
        <v>150</v>
      </c>
      <c r="N16" s="118" t="s">
        <v>493</v>
      </c>
      <c r="O16" s="118" t="s">
        <v>402</v>
      </c>
      <c r="P16" s="118" t="s">
        <v>494</v>
      </c>
      <c r="R16" s="118" t="s">
        <v>450</v>
      </c>
      <c r="S16" s="159"/>
      <c r="T16" s="159"/>
      <c r="U16" s="159"/>
      <c r="V16" s="159"/>
      <c r="W16" s="159"/>
      <c r="X16" s="159"/>
      <c r="Y16" s="129"/>
    </row>
    <row r="17" ht="17.25" customHeight="1">
      <c r="A17" s="158">
        <v>43465.469464884256</v>
      </c>
      <c r="B17" s="118" t="s">
        <v>495</v>
      </c>
      <c r="C17" s="118" t="s">
        <v>496</v>
      </c>
      <c r="D17" s="118" t="s">
        <v>497</v>
      </c>
      <c r="E17" s="118" t="s">
        <v>498</v>
      </c>
      <c r="F17" s="118" t="s">
        <v>499</v>
      </c>
      <c r="G17" s="118" t="s">
        <v>500</v>
      </c>
      <c r="H17" s="118" t="s">
        <v>63</v>
      </c>
      <c r="I17" s="118" t="s">
        <v>400</v>
      </c>
      <c r="J17" s="118" t="s">
        <v>283</v>
      </c>
      <c r="K17" s="118" t="s">
        <v>399</v>
      </c>
      <c r="L17" s="118" t="s">
        <v>288</v>
      </c>
      <c r="M17" s="118" t="s">
        <v>150</v>
      </c>
      <c r="O17" s="118" t="s">
        <v>402</v>
      </c>
      <c r="P17" s="118" t="s">
        <v>501</v>
      </c>
      <c r="R17" s="118" t="s">
        <v>450</v>
      </c>
      <c r="S17" s="159"/>
      <c r="T17" s="159"/>
      <c r="U17" s="159"/>
      <c r="V17" s="159"/>
      <c r="W17" s="159"/>
      <c r="X17" s="159"/>
      <c r="Y17" s="129"/>
    </row>
    <row r="18">
      <c r="A18" s="158">
        <v>43467.289876111114</v>
      </c>
      <c r="B18" s="118" t="s">
        <v>502</v>
      </c>
      <c r="C18" s="118" t="s">
        <v>503</v>
      </c>
      <c r="E18" s="118" t="s">
        <v>504</v>
      </c>
      <c r="F18" s="118" t="s">
        <v>505</v>
      </c>
      <c r="G18" s="118" t="s">
        <v>506</v>
      </c>
      <c r="H18" s="118" t="s">
        <v>63</v>
      </c>
      <c r="I18" s="118" t="s">
        <v>399</v>
      </c>
      <c r="N18" s="118" t="s">
        <v>507</v>
      </c>
      <c r="O18" s="118" t="s">
        <v>277</v>
      </c>
      <c r="R18" s="118" t="s">
        <v>404</v>
      </c>
      <c r="S18" s="159"/>
      <c r="T18" s="159"/>
      <c r="U18" s="159"/>
      <c r="V18" s="159"/>
      <c r="W18" s="159"/>
      <c r="X18" s="159"/>
      <c r="Y18" s="129"/>
    </row>
    <row r="19">
      <c r="A19" s="158">
        <v>43469.322247662036</v>
      </c>
      <c r="B19" s="118" t="s">
        <v>508</v>
      </c>
      <c r="C19" s="118" t="s">
        <v>301</v>
      </c>
      <c r="D19" s="118" t="s">
        <v>509</v>
      </c>
      <c r="E19" s="118" t="s">
        <v>510</v>
      </c>
      <c r="F19" s="118" t="s">
        <v>301</v>
      </c>
      <c r="G19" s="118" t="s">
        <v>301</v>
      </c>
      <c r="H19" s="118" t="s">
        <v>63</v>
      </c>
      <c r="I19" s="118" t="s">
        <v>399</v>
      </c>
      <c r="P19" s="118" t="s">
        <v>279</v>
      </c>
      <c r="Y19" s="129"/>
    </row>
    <row r="20">
      <c r="A20" s="158">
        <v>43469.47069386574</v>
      </c>
      <c r="B20" s="118" t="s">
        <v>511</v>
      </c>
      <c r="C20" s="118" t="s">
        <v>512</v>
      </c>
      <c r="D20" s="118" t="s">
        <v>513</v>
      </c>
      <c r="E20" s="118" t="s">
        <v>514</v>
      </c>
      <c r="F20" s="118" t="s">
        <v>491</v>
      </c>
      <c r="G20" s="118" t="s">
        <v>515</v>
      </c>
      <c r="H20" s="118" t="s">
        <v>276</v>
      </c>
      <c r="I20" s="118" t="s">
        <v>288</v>
      </c>
      <c r="J20" s="118" t="s">
        <v>399</v>
      </c>
      <c r="K20" s="118" t="s">
        <v>400</v>
      </c>
      <c r="N20" s="118" t="s">
        <v>516</v>
      </c>
      <c r="O20" s="118" t="s">
        <v>402</v>
      </c>
      <c r="P20" s="118" t="s">
        <v>517</v>
      </c>
      <c r="R20" s="118" t="s">
        <v>450</v>
      </c>
      <c r="S20" s="159"/>
      <c r="T20" s="159"/>
      <c r="U20" s="159"/>
      <c r="V20" s="159"/>
      <c r="W20" s="159"/>
      <c r="X20" s="159"/>
      <c r="Y20" s="129"/>
    </row>
    <row r="21">
      <c r="A21" s="158">
        <v>43472.425777592594</v>
      </c>
      <c r="B21" s="118" t="s">
        <v>518</v>
      </c>
      <c r="C21" s="118" t="s">
        <v>519</v>
      </c>
      <c r="D21" s="118" t="s">
        <v>520</v>
      </c>
      <c r="E21" s="118" t="s">
        <v>521</v>
      </c>
      <c r="F21" s="118" t="s">
        <v>430</v>
      </c>
      <c r="G21" s="118" t="s">
        <v>522</v>
      </c>
      <c r="H21" s="118" t="s">
        <v>63</v>
      </c>
      <c r="I21" s="118" t="s">
        <v>283</v>
      </c>
      <c r="J21" s="118" t="s">
        <v>288</v>
      </c>
      <c r="K21" s="118" t="s">
        <v>399</v>
      </c>
      <c r="L21" s="118" t="s">
        <v>150</v>
      </c>
      <c r="M21" s="118" t="s">
        <v>400</v>
      </c>
      <c r="N21" s="118" t="s">
        <v>182</v>
      </c>
      <c r="O21" s="118" t="s">
        <v>182</v>
      </c>
      <c r="P21" s="118" t="s">
        <v>523</v>
      </c>
      <c r="R21" s="118" t="s">
        <v>404</v>
      </c>
      <c r="S21" s="159"/>
      <c r="T21" s="159"/>
      <c r="U21" s="159"/>
      <c r="V21" s="159"/>
      <c r="W21" s="159"/>
      <c r="X21" s="159"/>
      <c r="Y21" s="129"/>
    </row>
    <row r="22">
      <c r="A22" s="158">
        <v>43472.537255601856</v>
      </c>
      <c r="B22" s="118" t="s">
        <v>524</v>
      </c>
      <c r="C22" s="118" t="s">
        <v>525</v>
      </c>
      <c r="D22" s="118" t="s">
        <v>526</v>
      </c>
      <c r="E22" s="118" t="s">
        <v>527</v>
      </c>
      <c r="F22" s="118" t="s">
        <v>528</v>
      </c>
      <c r="G22" s="118" t="s">
        <v>529</v>
      </c>
      <c r="H22" s="118" t="s">
        <v>63</v>
      </c>
      <c r="I22" s="118" t="s">
        <v>400</v>
      </c>
      <c r="J22" s="118" t="s">
        <v>399</v>
      </c>
      <c r="K22" s="118" t="s">
        <v>288</v>
      </c>
      <c r="L22" s="118" t="s">
        <v>283</v>
      </c>
      <c r="M22" s="118" t="s">
        <v>150</v>
      </c>
      <c r="N22" s="118" t="s">
        <v>530</v>
      </c>
      <c r="O22" s="118" t="s">
        <v>277</v>
      </c>
      <c r="P22" s="118" t="s">
        <v>531</v>
      </c>
      <c r="R22" s="118" t="s">
        <v>441</v>
      </c>
      <c r="S22" s="159"/>
      <c r="T22" s="159"/>
      <c r="U22" s="159"/>
      <c r="V22" s="159"/>
      <c r="W22" s="159"/>
      <c r="X22" s="159"/>
      <c r="Y22" s="129"/>
    </row>
    <row r="23">
      <c r="A23" s="158">
        <v>43473.390765081014</v>
      </c>
      <c r="B23" s="118" t="s">
        <v>532</v>
      </c>
      <c r="C23" s="118" t="s">
        <v>533</v>
      </c>
      <c r="D23" s="118" t="s">
        <v>534</v>
      </c>
      <c r="E23" s="118" t="s">
        <v>535</v>
      </c>
      <c r="F23" s="118" t="s">
        <v>536</v>
      </c>
      <c r="G23" s="118" t="s">
        <v>537</v>
      </c>
      <c r="H23" s="118" t="s">
        <v>63</v>
      </c>
      <c r="I23" s="118" t="s">
        <v>288</v>
      </c>
      <c r="J23" s="118" t="s">
        <v>399</v>
      </c>
      <c r="K23" s="118" t="s">
        <v>150</v>
      </c>
      <c r="L23" s="118" t="s">
        <v>400</v>
      </c>
      <c r="M23" s="118" t="s">
        <v>283</v>
      </c>
      <c r="O23" s="118" t="s">
        <v>277</v>
      </c>
      <c r="R23" s="118" t="s">
        <v>450</v>
      </c>
      <c r="S23" s="159"/>
      <c r="T23" s="159"/>
      <c r="U23" s="159"/>
      <c r="V23" s="159"/>
      <c r="W23" s="159"/>
      <c r="X23" s="159"/>
      <c r="Y23" s="129"/>
    </row>
    <row r="24">
      <c r="A24" s="158">
        <v>43332.58121527778</v>
      </c>
      <c r="B24" s="118" t="s">
        <v>538</v>
      </c>
      <c r="C24" s="118" t="s">
        <v>539</v>
      </c>
      <c r="D24" s="118" t="s">
        <v>540</v>
      </c>
      <c r="E24" s="118" t="s">
        <v>541</v>
      </c>
      <c r="F24" s="118" t="s">
        <v>542</v>
      </c>
      <c r="G24" s="118" t="s">
        <v>543</v>
      </c>
      <c r="H24" s="118" t="s">
        <v>63</v>
      </c>
      <c r="I24" s="118" t="s">
        <v>399</v>
      </c>
      <c r="J24" s="118" t="s">
        <v>288</v>
      </c>
      <c r="K24" s="118" t="s">
        <v>27</v>
      </c>
      <c r="L24" s="118" t="s">
        <v>150</v>
      </c>
      <c r="M24" s="118" t="s">
        <v>283</v>
      </c>
      <c r="N24" s="118" t="s">
        <v>277</v>
      </c>
      <c r="P24" s="160" t="s">
        <v>543</v>
      </c>
      <c r="Y24" s="157"/>
      <c r="Z24" s="161" t="s">
        <v>544</v>
      </c>
    </row>
    <row r="25">
      <c r="A25" s="158">
        <v>43332.58226851852</v>
      </c>
      <c r="B25" s="118" t="s">
        <v>545</v>
      </c>
      <c r="C25" s="118" t="s">
        <v>546</v>
      </c>
      <c r="D25" s="118" t="s">
        <v>547</v>
      </c>
      <c r="E25" s="118" t="s">
        <v>548</v>
      </c>
      <c r="F25" s="118" t="s">
        <v>430</v>
      </c>
      <c r="G25" s="118" t="s">
        <v>549</v>
      </c>
      <c r="H25" s="118" t="s">
        <v>63</v>
      </c>
      <c r="I25" s="118" t="s">
        <v>399</v>
      </c>
      <c r="J25" s="118" t="s">
        <v>288</v>
      </c>
      <c r="K25" s="118" t="s">
        <v>27</v>
      </c>
      <c r="N25" s="118" t="s">
        <v>277</v>
      </c>
      <c r="P25" s="160" t="s">
        <v>549</v>
      </c>
      <c r="Y25" s="129"/>
    </row>
    <row r="26">
      <c r="A26" s="162">
        <v>43332.58315972222</v>
      </c>
      <c r="B26" s="118" t="s">
        <v>550</v>
      </c>
      <c r="C26" s="118" t="s">
        <v>551</v>
      </c>
      <c r="D26" s="118" t="s">
        <v>436</v>
      </c>
      <c r="E26" s="118" t="s">
        <v>552</v>
      </c>
      <c r="F26" s="118" t="s">
        <v>553</v>
      </c>
      <c r="G26" s="118" t="s">
        <v>554</v>
      </c>
      <c r="H26" s="118" t="s">
        <v>63</v>
      </c>
      <c r="I26" s="118" t="s">
        <v>399</v>
      </c>
      <c r="J26" s="118" t="s">
        <v>288</v>
      </c>
      <c r="K26" s="118" t="s">
        <v>27</v>
      </c>
      <c r="L26" s="118" t="s">
        <v>150</v>
      </c>
      <c r="N26" s="118" t="s">
        <v>277</v>
      </c>
      <c r="P26" s="160" t="s">
        <v>555</v>
      </c>
      <c r="Y26" s="129"/>
    </row>
    <row r="27">
      <c r="A27" s="158">
        <v>43333.58667824074</v>
      </c>
      <c r="B27" s="118" t="s">
        <v>556</v>
      </c>
      <c r="C27" s="118" t="s">
        <v>35</v>
      </c>
      <c r="D27" s="118" t="s">
        <v>557</v>
      </c>
      <c r="E27" s="118" t="s">
        <v>558</v>
      </c>
      <c r="F27" s="118" t="s">
        <v>559</v>
      </c>
      <c r="G27" s="118" t="s">
        <v>560</v>
      </c>
      <c r="H27" s="118" t="s">
        <v>63</v>
      </c>
      <c r="I27" s="118" t="s">
        <v>399</v>
      </c>
      <c r="J27" s="118" t="s">
        <v>288</v>
      </c>
      <c r="K27" s="118" t="s">
        <v>27</v>
      </c>
      <c r="L27" s="118" t="s">
        <v>283</v>
      </c>
      <c r="N27" s="118" t="s">
        <v>277</v>
      </c>
      <c r="P27" s="160" t="s">
        <v>560</v>
      </c>
      <c r="Y27" s="129"/>
    </row>
    <row r="28">
      <c r="A28" s="158">
        <v>43335.587488425925</v>
      </c>
      <c r="B28" s="118" t="s">
        <v>561</v>
      </c>
      <c r="C28" s="118" t="s">
        <v>562</v>
      </c>
      <c r="D28" s="118" t="s">
        <v>563</v>
      </c>
      <c r="E28" s="118" t="s">
        <v>564</v>
      </c>
      <c r="F28" s="118" t="s">
        <v>565</v>
      </c>
      <c r="G28" s="118" t="s">
        <v>566</v>
      </c>
      <c r="H28" s="118" t="s">
        <v>63</v>
      </c>
      <c r="I28" s="118" t="s">
        <v>399</v>
      </c>
      <c r="J28" s="118" t="s">
        <v>288</v>
      </c>
      <c r="K28" s="118" t="s">
        <v>27</v>
      </c>
      <c r="L28" s="118" t="s">
        <v>283</v>
      </c>
      <c r="M28" s="118" t="s">
        <v>150</v>
      </c>
      <c r="N28" s="118" t="s">
        <v>277</v>
      </c>
      <c r="P28" s="160" t="s">
        <v>566</v>
      </c>
      <c r="Y28" s="129"/>
    </row>
    <row r="29">
      <c r="A29" s="158">
        <v>43339.58819444444</v>
      </c>
      <c r="B29" s="118" t="s">
        <v>567</v>
      </c>
      <c r="C29" s="118" t="s">
        <v>539</v>
      </c>
      <c r="D29" s="118" t="s">
        <v>540</v>
      </c>
      <c r="E29" s="118" t="s">
        <v>568</v>
      </c>
      <c r="F29" s="118" t="s">
        <v>569</v>
      </c>
      <c r="G29" s="118" t="s">
        <v>570</v>
      </c>
      <c r="H29" s="118" t="s">
        <v>63</v>
      </c>
      <c r="I29" s="118" t="s">
        <v>399</v>
      </c>
      <c r="J29" s="118" t="s">
        <v>283</v>
      </c>
      <c r="N29" s="118" t="s">
        <v>277</v>
      </c>
      <c r="P29" s="163" t="s">
        <v>570</v>
      </c>
      <c r="Y29" s="129"/>
    </row>
    <row r="30">
      <c r="A30" s="158">
        <v>43343.589641203704</v>
      </c>
      <c r="B30" s="118" t="s">
        <v>571</v>
      </c>
      <c r="C30" s="118" t="s">
        <v>301</v>
      </c>
      <c r="D30" s="118" t="s">
        <v>572</v>
      </c>
      <c r="E30" s="118" t="s">
        <v>573</v>
      </c>
      <c r="F30" s="118" t="s">
        <v>574</v>
      </c>
      <c r="G30" s="118" t="s">
        <v>575</v>
      </c>
      <c r="H30" s="118" t="s">
        <v>63</v>
      </c>
      <c r="I30" s="118" t="s">
        <v>399</v>
      </c>
      <c r="J30" s="118" t="s">
        <v>27</v>
      </c>
      <c r="K30" s="118" t="s">
        <v>283</v>
      </c>
      <c r="L30" s="118" t="s">
        <v>150</v>
      </c>
      <c r="M30" s="118" t="s">
        <v>288</v>
      </c>
      <c r="N30" s="118" t="s">
        <v>182</v>
      </c>
      <c r="P30" s="164" t="s">
        <v>575</v>
      </c>
      <c r="Y30" s="129"/>
    </row>
    <row r="31">
      <c r="A31" s="158">
        <v>43350.59027777778</v>
      </c>
      <c r="B31" s="118" t="s">
        <v>576</v>
      </c>
      <c r="C31" s="118" t="s">
        <v>406</v>
      </c>
      <c r="D31" s="118" t="s">
        <v>577</v>
      </c>
      <c r="E31" s="118" t="s">
        <v>578</v>
      </c>
      <c r="F31" s="118" t="s">
        <v>409</v>
      </c>
      <c r="G31" s="118" t="s">
        <v>579</v>
      </c>
      <c r="H31" s="118" t="s">
        <v>63</v>
      </c>
      <c r="I31" s="118" t="s">
        <v>399</v>
      </c>
      <c r="J31" s="118" t="s">
        <v>283</v>
      </c>
      <c r="K31" s="118" t="s">
        <v>288</v>
      </c>
      <c r="N31" s="118" t="s">
        <v>277</v>
      </c>
      <c r="P31" s="163" t="s">
        <v>579</v>
      </c>
      <c r="Y31" s="129"/>
    </row>
    <row r="32">
      <c r="A32" s="158">
        <v>43354.59087962963</v>
      </c>
      <c r="B32" s="118" t="s">
        <v>580</v>
      </c>
      <c r="C32" s="118" t="s">
        <v>581</v>
      </c>
      <c r="D32" s="118" t="s">
        <v>582</v>
      </c>
      <c r="E32" s="118" t="s">
        <v>583</v>
      </c>
      <c r="F32" s="118" t="s">
        <v>584</v>
      </c>
      <c r="G32" s="118" t="s">
        <v>585</v>
      </c>
      <c r="H32" s="118" t="s">
        <v>63</v>
      </c>
      <c r="I32" s="118" t="s">
        <v>399</v>
      </c>
      <c r="J32" s="118" t="s">
        <v>288</v>
      </c>
      <c r="N32" s="118" t="s">
        <v>277</v>
      </c>
      <c r="P32" s="163" t="s">
        <v>585</v>
      </c>
      <c r="Y32" s="129"/>
    </row>
    <row r="33">
      <c r="A33" s="158">
        <v>43356.59159722222</v>
      </c>
      <c r="B33" s="118" t="s">
        <v>586</v>
      </c>
      <c r="C33" s="118" t="s">
        <v>587</v>
      </c>
      <c r="D33" s="118" t="s">
        <v>588</v>
      </c>
      <c r="E33" s="118" t="s">
        <v>589</v>
      </c>
      <c r="F33" s="118" t="s">
        <v>417</v>
      </c>
      <c r="G33" s="118" t="s">
        <v>590</v>
      </c>
      <c r="H33" s="118" t="s">
        <v>63</v>
      </c>
      <c r="I33" s="118" t="s">
        <v>399</v>
      </c>
      <c r="J33" s="118" t="s">
        <v>288</v>
      </c>
      <c r="K33" s="118" t="s">
        <v>283</v>
      </c>
      <c r="L33" s="118" t="s">
        <v>27</v>
      </c>
      <c r="M33" s="118" t="s">
        <v>150</v>
      </c>
      <c r="N33" s="118" t="s">
        <v>277</v>
      </c>
      <c r="P33" s="160" t="s">
        <v>590</v>
      </c>
      <c r="Y33" s="129"/>
    </row>
    <row r="34">
      <c r="A34" s="158">
        <v>43357.59306712963</v>
      </c>
      <c r="B34" s="118" t="s">
        <v>591</v>
      </c>
      <c r="C34" s="118" t="s">
        <v>592</v>
      </c>
      <c r="D34" s="118" t="s">
        <v>593</v>
      </c>
      <c r="E34" s="118" t="s">
        <v>594</v>
      </c>
      <c r="F34" s="118" t="s">
        <v>595</v>
      </c>
      <c r="G34" s="118" t="s">
        <v>596</v>
      </c>
      <c r="H34" s="118" t="s">
        <v>63</v>
      </c>
      <c r="I34" s="118" t="s">
        <v>399</v>
      </c>
      <c r="J34" s="118" t="s">
        <v>288</v>
      </c>
      <c r="K34" s="118" t="s">
        <v>283</v>
      </c>
      <c r="N34" s="118" t="s">
        <v>182</v>
      </c>
      <c r="P34" s="163" t="s">
        <v>596</v>
      </c>
      <c r="Y34" s="129"/>
    </row>
    <row r="35">
      <c r="A35" s="158">
        <v>43359.59390046296</v>
      </c>
      <c r="B35" s="118" t="s">
        <v>597</v>
      </c>
      <c r="C35" s="118" t="s">
        <v>598</v>
      </c>
      <c r="D35" s="118" t="s">
        <v>599</v>
      </c>
      <c r="E35" s="118" t="s">
        <v>600</v>
      </c>
      <c r="F35" s="118" t="s">
        <v>409</v>
      </c>
      <c r="G35" s="118" t="s">
        <v>601</v>
      </c>
      <c r="H35" s="118" t="s">
        <v>63</v>
      </c>
      <c r="I35" s="118" t="s">
        <v>399</v>
      </c>
      <c r="J35" s="118" t="s">
        <v>27</v>
      </c>
      <c r="K35" s="118" t="s">
        <v>288</v>
      </c>
      <c r="L35" s="118" t="s">
        <v>283</v>
      </c>
      <c r="N35" s="118" t="s">
        <v>277</v>
      </c>
      <c r="P35" s="164" t="s">
        <v>601</v>
      </c>
      <c r="Y35" s="129"/>
    </row>
    <row r="36">
      <c r="A36" s="158">
        <v>43363.59516203704</v>
      </c>
      <c r="B36" s="118" t="s">
        <v>602</v>
      </c>
      <c r="C36" s="118" t="s">
        <v>603</v>
      </c>
      <c r="D36" s="118" t="s">
        <v>604</v>
      </c>
      <c r="E36" s="118" t="s">
        <v>605</v>
      </c>
      <c r="F36" s="118" t="s">
        <v>606</v>
      </c>
      <c r="G36" s="118" t="s">
        <v>182</v>
      </c>
      <c r="H36" s="118" t="s">
        <v>63</v>
      </c>
      <c r="I36" s="118" t="s">
        <v>399</v>
      </c>
      <c r="J36" s="118" t="s">
        <v>150</v>
      </c>
      <c r="K36" s="118" t="s">
        <v>283</v>
      </c>
      <c r="L36" s="118" t="s">
        <v>27</v>
      </c>
      <c r="M36" s="118" t="s">
        <v>288</v>
      </c>
      <c r="N36" s="118" t="s">
        <v>182</v>
      </c>
      <c r="O36" s="118" t="s">
        <v>277</v>
      </c>
      <c r="P36" s="118" t="s">
        <v>182</v>
      </c>
      <c r="Y36" s="129"/>
    </row>
    <row r="37">
      <c r="A37" s="158">
        <v>43473.59608081018</v>
      </c>
      <c r="B37" s="118" t="s">
        <v>442</v>
      </c>
      <c r="C37" s="118" t="s">
        <v>607</v>
      </c>
      <c r="D37" s="118" t="s">
        <v>444</v>
      </c>
      <c r="E37" s="118" t="s">
        <v>445</v>
      </c>
      <c r="F37" s="118" t="s">
        <v>608</v>
      </c>
      <c r="G37" s="118" t="s">
        <v>609</v>
      </c>
      <c r="H37" s="118" t="s">
        <v>63</v>
      </c>
      <c r="I37" s="118" t="s">
        <v>399</v>
      </c>
      <c r="J37" s="118" t="s">
        <v>150</v>
      </c>
      <c r="K37" s="118" t="s">
        <v>288</v>
      </c>
      <c r="L37" s="118" t="s">
        <v>27</v>
      </c>
      <c r="M37" s="118" t="s">
        <v>283</v>
      </c>
      <c r="N37" s="118" t="s">
        <v>277</v>
      </c>
      <c r="P37" s="163" t="s">
        <v>609</v>
      </c>
      <c r="Y37" s="129"/>
    </row>
    <row r="38">
      <c r="A38" s="158">
        <v>43384.5971412037</v>
      </c>
      <c r="B38" s="118" t="s">
        <v>610</v>
      </c>
      <c r="C38" s="118" t="s">
        <v>611</v>
      </c>
      <c r="D38" s="118" t="s">
        <v>612</v>
      </c>
      <c r="E38" s="118" t="s">
        <v>613</v>
      </c>
      <c r="F38" s="118" t="s">
        <v>430</v>
      </c>
      <c r="G38" s="118" t="s">
        <v>182</v>
      </c>
      <c r="H38" s="118" t="s">
        <v>63</v>
      </c>
      <c r="I38" s="118" t="s">
        <v>399</v>
      </c>
      <c r="N38" s="118" t="s">
        <v>277</v>
      </c>
      <c r="P38" s="118" t="s">
        <v>182</v>
      </c>
      <c r="Y38" s="129"/>
    </row>
    <row r="39" ht="17.25" customHeight="1">
      <c r="A39" s="158">
        <v>43401.5984837963</v>
      </c>
      <c r="B39" s="118" t="s">
        <v>614</v>
      </c>
      <c r="C39" s="118" t="s">
        <v>615</v>
      </c>
      <c r="D39" s="118" t="s">
        <v>616</v>
      </c>
      <c r="E39" s="118" t="s">
        <v>617</v>
      </c>
      <c r="F39" s="118" t="s">
        <v>618</v>
      </c>
      <c r="G39" s="118" t="s">
        <v>619</v>
      </c>
      <c r="H39" s="118" t="s">
        <v>63</v>
      </c>
      <c r="I39" s="118" t="s">
        <v>399</v>
      </c>
      <c r="J39" s="118" t="s">
        <v>288</v>
      </c>
      <c r="P39" s="163" t="s">
        <v>619</v>
      </c>
      <c r="Y39" s="129"/>
    </row>
    <row r="40">
      <c r="A40" s="158">
        <v>43413.59946759259</v>
      </c>
      <c r="B40" s="118" t="s">
        <v>620</v>
      </c>
      <c r="C40" s="118" t="s">
        <v>621</v>
      </c>
      <c r="D40" s="118" t="s">
        <v>622</v>
      </c>
      <c r="E40" s="118" t="s">
        <v>623</v>
      </c>
      <c r="F40" s="118" t="s">
        <v>430</v>
      </c>
      <c r="G40" s="118" t="s">
        <v>624</v>
      </c>
      <c r="H40" s="118" t="s">
        <v>63</v>
      </c>
      <c r="I40" s="118" t="s">
        <v>399</v>
      </c>
      <c r="J40" s="118" t="s">
        <v>288</v>
      </c>
      <c r="N40" s="118" t="s">
        <v>277</v>
      </c>
      <c r="P40" s="163" t="s">
        <v>624</v>
      </c>
      <c r="Y40" s="129"/>
    </row>
    <row r="41">
      <c r="A41" s="158">
        <v>43434.60061342592</v>
      </c>
      <c r="B41" s="118" t="s">
        <v>625</v>
      </c>
      <c r="C41" s="118" t="s">
        <v>435</v>
      </c>
      <c r="D41" s="118" t="s">
        <v>436</v>
      </c>
      <c r="E41" s="118" t="s">
        <v>626</v>
      </c>
      <c r="F41" s="118" t="s">
        <v>397</v>
      </c>
      <c r="G41" s="118" t="s">
        <v>627</v>
      </c>
      <c r="H41" s="118" t="s">
        <v>63</v>
      </c>
      <c r="I41" s="118" t="s">
        <v>399</v>
      </c>
      <c r="J41" s="118" t="s">
        <v>150</v>
      </c>
      <c r="K41" s="118" t="s">
        <v>283</v>
      </c>
      <c r="L41" s="118" t="s">
        <v>288</v>
      </c>
      <c r="M41" s="118" t="s">
        <v>27</v>
      </c>
      <c r="N41" s="118" t="s">
        <v>182</v>
      </c>
      <c r="P41" s="163" t="s">
        <v>627</v>
      </c>
      <c r="Y41" s="129"/>
    </row>
    <row r="42">
      <c r="A42" s="158">
        <v>43473.60137534722</v>
      </c>
      <c r="B42" s="118" t="s">
        <v>628</v>
      </c>
      <c r="C42" s="118" t="s">
        <v>629</v>
      </c>
      <c r="D42" s="118" t="s">
        <v>630</v>
      </c>
      <c r="E42" s="118" t="s">
        <v>631</v>
      </c>
      <c r="F42" s="118" t="s">
        <v>491</v>
      </c>
      <c r="G42" s="118" t="s">
        <v>632</v>
      </c>
      <c r="H42" s="118" t="s">
        <v>63</v>
      </c>
      <c r="I42" s="118" t="s">
        <v>399</v>
      </c>
      <c r="J42" s="118" t="s">
        <v>27</v>
      </c>
      <c r="N42" s="118" t="s">
        <v>182</v>
      </c>
      <c r="P42" s="163" t="s">
        <v>632</v>
      </c>
      <c r="Y42" s="129"/>
    </row>
    <row r="43">
      <c r="A43" s="158">
        <v>43434.60207175926</v>
      </c>
      <c r="B43" s="118" t="s">
        <v>434</v>
      </c>
      <c r="C43" s="118" t="s">
        <v>435</v>
      </c>
      <c r="E43" s="118" t="s">
        <v>437</v>
      </c>
      <c r="F43" s="118" t="s">
        <v>438</v>
      </c>
      <c r="G43" s="118" t="s">
        <v>633</v>
      </c>
      <c r="H43" s="118" t="s">
        <v>63</v>
      </c>
      <c r="I43" s="118" t="s">
        <v>399</v>
      </c>
      <c r="N43" s="118" t="s">
        <v>277</v>
      </c>
      <c r="P43" s="165" t="s">
        <v>633</v>
      </c>
      <c r="Y43" s="129"/>
    </row>
    <row r="44">
      <c r="A44" s="158">
        <v>43434.60393518519</v>
      </c>
      <c r="B44" s="118" t="s">
        <v>634</v>
      </c>
      <c r="C44" s="118" t="s">
        <v>435</v>
      </c>
      <c r="D44" s="118" t="s">
        <v>436</v>
      </c>
      <c r="E44" s="118" t="s">
        <v>635</v>
      </c>
      <c r="F44" s="118" t="s">
        <v>491</v>
      </c>
      <c r="G44" s="118" t="s">
        <v>636</v>
      </c>
      <c r="H44" s="118" t="s">
        <v>63</v>
      </c>
      <c r="I44" s="118" t="s">
        <v>399</v>
      </c>
      <c r="N44" s="118" t="s">
        <v>277</v>
      </c>
      <c r="P44" s="165" t="s">
        <v>636</v>
      </c>
      <c r="Y44" s="129"/>
    </row>
    <row r="45">
      <c r="A45" s="158">
        <v>43434.60476851852</v>
      </c>
      <c r="B45" s="118" t="s">
        <v>637</v>
      </c>
      <c r="C45" s="118" t="s">
        <v>435</v>
      </c>
      <c r="D45" s="118" t="s">
        <v>436</v>
      </c>
      <c r="E45" s="118" t="s">
        <v>638</v>
      </c>
      <c r="F45" s="118" t="s">
        <v>639</v>
      </c>
      <c r="G45" s="118" t="s">
        <v>640</v>
      </c>
      <c r="H45" s="118" t="s">
        <v>63</v>
      </c>
      <c r="I45" s="118" t="s">
        <v>399</v>
      </c>
      <c r="N45" s="118" t="s">
        <v>277</v>
      </c>
      <c r="P45" s="165" t="s">
        <v>640</v>
      </c>
      <c r="Y45" s="129"/>
    </row>
    <row r="46">
      <c r="A46" s="158">
        <v>43335.60587962963</v>
      </c>
      <c r="B46" s="118" t="s">
        <v>641</v>
      </c>
      <c r="C46" s="118" t="s">
        <v>642</v>
      </c>
      <c r="D46" s="118" t="s">
        <v>643</v>
      </c>
      <c r="E46" s="118" t="s">
        <v>644</v>
      </c>
      <c r="F46" s="118" t="s">
        <v>430</v>
      </c>
      <c r="G46" s="118" t="s">
        <v>645</v>
      </c>
      <c r="H46" s="118" t="s">
        <v>63</v>
      </c>
      <c r="I46" s="118" t="s">
        <v>399</v>
      </c>
      <c r="J46" s="118" t="s">
        <v>283</v>
      </c>
      <c r="K46" s="118" t="s">
        <v>288</v>
      </c>
      <c r="L46" s="118" t="s">
        <v>27</v>
      </c>
      <c r="M46" s="118" t="s">
        <v>150</v>
      </c>
      <c r="N46" s="118" t="s">
        <v>182</v>
      </c>
      <c r="P46" s="160" t="s">
        <v>646</v>
      </c>
      <c r="Y46" s="129"/>
    </row>
    <row r="47">
      <c r="A47" s="158">
        <v>43339.60663194444</v>
      </c>
      <c r="B47" s="118" t="s">
        <v>647</v>
      </c>
      <c r="C47" s="118" t="s">
        <v>648</v>
      </c>
      <c r="D47" s="118" t="s">
        <v>604</v>
      </c>
      <c r="E47" s="118" t="s">
        <v>649</v>
      </c>
      <c r="F47" s="118" t="s">
        <v>430</v>
      </c>
      <c r="G47" s="118" t="s">
        <v>650</v>
      </c>
      <c r="H47" s="118" t="s">
        <v>63</v>
      </c>
      <c r="I47" s="118" t="s">
        <v>283</v>
      </c>
      <c r="N47" s="118" t="s">
        <v>277</v>
      </c>
      <c r="P47" s="160" t="s">
        <v>650</v>
      </c>
      <c r="Y47" s="129"/>
    </row>
    <row r="48">
      <c r="A48" s="158">
        <v>43355.61038194445</v>
      </c>
      <c r="B48" s="118" t="s">
        <v>651</v>
      </c>
      <c r="C48" s="118" t="s">
        <v>652</v>
      </c>
      <c r="D48" s="118" t="s">
        <v>653</v>
      </c>
      <c r="E48" s="118" t="s">
        <v>654</v>
      </c>
      <c r="F48" s="118" t="s">
        <v>430</v>
      </c>
      <c r="G48" s="118" t="s">
        <v>655</v>
      </c>
      <c r="H48" s="118" t="s">
        <v>63</v>
      </c>
      <c r="I48" s="118" t="s">
        <v>283</v>
      </c>
      <c r="N48" s="118" t="s">
        <v>277</v>
      </c>
      <c r="P48" s="164" t="s">
        <v>655</v>
      </c>
      <c r="Y48" s="129"/>
    </row>
    <row r="49">
      <c r="A49" s="158">
        <v>43402.61143518519</v>
      </c>
      <c r="B49" s="118" t="s">
        <v>656</v>
      </c>
      <c r="C49" s="118" t="s">
        <v>657</v>
      </c>
      <c r="D49" s="118" t="s">
        <v>658</v>
      </c>
      <c r="E49" s="118" t="s">
        <v>659</v>
      </c>
      <c r="F49" s="118" t="s">
        <v>430</v>
      </c>
      <c r="G49" s="118" t="s">
        <v>660</v>
      </c>
      <c r="H49" s="118" t="s">
        <v>63</v>
      </c>
      <c r="I49" s="118" t="s">
        <v>283</v>
      </c>
      <c r="N49" s="118" t="s">
        <v>277</v>
      </c>
      <c r="P49" s="163" t="s">
        <v>661</v>
      </c>
      <c r="Y49" s="129"/>
    </row>
    <row r="50">
      <c r="A50" s="158">
        <v>43417.61216435185</v>
      </c>
      <c r="B50" s="118" t="s">
        <v>662</v>
      </c>
      <c r="C50" s="118" t="s">
        <v>663</v>
      </c>
      <c r="D50" s="118" t="s">
        <v>664</v>
      </c>
      <c r="E50" s="118" t="s">
        <v>665</v>
      </c>
      <c r="F50" s="118" t="s">
        <v>397</v>
      </c>
      <c r="G50" s="118" t="s">
        <v>666</v>
      </c>
      <c r="H50" s="118" t="s">
        <v>63</v>
      </c>
      <c r="I50" s="118" t="s">
        <v>283</v>
      </c>
      <c r="N50" s="118" t="s">
        <v>277</v>
      </c>
      <c r="P50" s="165" t="s">
        <v>666</v>
      </c>
      <c r="Y50" s="129"/>
    </row>
    <row r="51">
      <c r="A51" s="158">
        <v>43438.613125</v>
      </c>
      <c r="B51" s="118" t="s">
        <v>667</v>
      </c>
      <c r="C51" s="118" t="s">
        <v>668</v>
      </c>
      <c r="D51" s="118" t="s">
        <v>669</v>
      </c>
      <c r="E51" s="118" t="s">
        <v>670</v>
      </c>
      <c r="F51" s="118" t="s">
        <v>671</v>
      </c>
      <c r="G51" s="118" t="s">
        <v>672</v>
      </c>
      <c r="H51" s="118" t="s">
        <v>63</v>
      </c>
      <c r="I51" s="118" t="s">
        <v>283</v>
      </c>
      <c r="N51" s="118" t="s">
        <v>182</v>
      </c>
      <c r="P51" s="163" t="s">
        <v>672</v>
      </c>
      <c r="Y51" s="129"/>
    </row>
    <row r="52">
      <c r="A52" s="158">
        <v>43440.61386574074</v>
      </c>
      <c r="B52" s="118" t="s">
        <v>673</v>
      </c>
      <c r="C52" s="118" t="s">
        <v>674</v>
      </c>
      <c r="D52" s="118" t="s">
        <v>675</v>
      </c>
      <c r="E52" s="118" t="s">
        <v>676</v>
      </c>
      <c r="F52" s="118" t="s">
        <v>677</v>
      </c>
      <c r="G52" s="118" t="s">
        <v>678</v>
      </c>
      <c r="H52" s="118" t="s">
        <v>63</v>
      </c>
      <c r="I52" s="118" t="s">
        <v>283</v>
      </c>
      <c r="N52" s="118" t="s">
        <v>277</v>
      </c>
      <c r="P52" s="166" t="s">
        <v>678</v>
      </c>
      <c r="Y52" s="129"/>
    </row>
    <row r="53">
      <c r="A53" s="158">
        <v>43369.796423611115</v>
      </c>
      <c r="B53" s="118" t="s">
        <v>679</v>
      </c>
      <c r="C53" s="118" t="s">
        <v>680</v>
      </c>
      <c r="D53" s="118" t="s">
        <v>681</v>
      </c>
      <c r="E53" s="118" t="s">
        <v>682</v>
      </c>
      <c r="F53" s="118" t="s">
        <v>397</v>
      </c>
      <c r="G53" s="118" t="s">
        <v>683</v>
      </c>
      <c r="H53" s="118" t="s">
        <v>63</v>
      </c>
      <c r="I53" s="118" t="s">
        <v>288</v>
      </c>
      <c r="J53" s="118" t="s">
        <v>399</v>
      </c>
      <c r="K53" s="118" t="s">
        <v>283</v>
      </c>
      <c r="L53" s="118" t="s">
        <v>150</v>
      </c>
      <c r="M53" s="118" t="s">
        <v>400</v>
      </c>
      <c r="N53" s="118" t="s">
        <v>684</v>
      </c>
      <c r="O53" s="118" t="s">
        <v>277</v>
      </c>
      <c r="P53" s="118" t="s">
        <v>685</v>
      </c>
      <c r="R53" s="118" t="s">
        <v>450</v>
      </c>
      <c r="S53" s="159"/>
      <c r="T53" s="159"/>
      <c r="U53" s="159"/>
      <c r="V53" s="159"/>
      <c r="W53" s="159"/>
      <c r="X53" s="159"/>
      <c r="Y53" s="129"/>
    </row>
    <row r="54">
      <c r="A54" s="158">
        <v>43343.39832175926</v>
      </c>
      <c r="B54" s="118" t="s">
        <v>686</v>
      </c>
      <c r="C54" s="118" t="s">
        <v>301</v>
      </c>
      <c r="D54" s="118" t="s">
        <v>444</v>
      </c>
      <c r="E54" s="118" t="s">
        <v>687</v>
      </c>
      <c r="F54" s="118" t="s">
        <v>688</v>
      </c>
      <c r="G54" s="118" t="s">
        <v>301</v>
      </c>
      <c r="H54" s="118" t="s">
        <v>63</v>
      </c>
      <c r="I54" s="118" t="s">
        <v>150</v>
      </c>
      <c r="J54" s="118" t="s">
        <v>400</v>
      </c>
      <c r="K54" s="118" t="s">
        <v>288</v>
      </c>
      <c r="L54" s="118" t="s">
        <v>399</v>
      </c>
      <c r="N54" s="118" t="s">
        <v>689</v>
      </c>
      <c r="O54" s="118" t="s">
        <v>277</v>
      </c>
      <c r="P54" s="118" t="s">
        <v>690</v>
      </c>
      <c r="R54" s="118" t="s">
        <v>404</v>
      </c>
      <c r="S54" s="159"/>
      <c r="T54" s="159"/>
      <c r="U54" s="159"/>
      <c r="V54" s="159"/>
      <c r="W54" s="159"/>
      <c r="X54" s="159"/>
      <c r="Y54" s="129"/>
    </row>
    <row r="55">
      <c r="A55" s="158">
        <v>43365.400613425925</v>
      </c>
      <c r="B55" s="118" t="s">
        <v>691</v>
      </c>
      <c r="C55" s="118" t="s">
        <v>692</v>
      </c>
      <c r="D55" s="118" t="s">
        <v>693</v>
      </c>
      <c r="E55" s="118" t="s">
        <v>694</v>
      </c>
      <c r="F55" s="118" t="s">
        <v>430</v>
      </c>
      <c r="G55" s="118" t="s">
        <v>301</v>
      </c>
      <c r="H55" s="118" t="s">
        <v>63</v>
      </c>
      <c r="I55" s="118" t="s">
        <v>150</v>
      </c>
      <c r="J55" s="118" t="s">
        <v>288</v>
      </c>
      <c r="K55" s="118" t="s">
        <v>400</v>
      </c>
      <c r="L55" s="118" t="s">
        <v>399</v>
      </c>
      <c r="M55" s="118" t="s">
        <v>283</v>
      </c>
      <c r="N55" s="118" t="s">
        <v>689</v>
      </c>
      <c r="O55" s="118" t="s">
        <v>277</v>
      </c>
      <c r="P55" s="118" t="s">
        <v>695</v>
      </c>
      <c r="R55" s="118" t="s">
        <v>450</v>
      </c>
      <c r="S55" s="159"/>
      <c r="T55" s="159"/>
      <c r="U55" s="159"/>
      <c r="V55" s="159"/>
      <c r="W55" s="159"/>
      <c r="X55" s="159"/>
      <c r="Y55" s="129"/>
    </row>
    <row r="56">
      <c r="A56" s="158">
        <v>43368.40216435185</v>
      </c>
      <c r="B56" s="118" t="s">
        <v>696</v>
      </c>
      <c r="C56" s="118" t="s">
        <v>697</v>
      </c>
      <c r="D56" s="118" t="s">
        <v>653</v>
      </c>
      <c r="E56" s="118" t="s">
        <v>698</v>
      </c>
      <c r="F56" s="118" t="s">
        <v>699</v>
      </c>
      <c r="G56" s="118" t="s">
        <v>301</v>
      </c>
      <c r="H56" s="118" t="s">
        <v>63</v>
      </c>
      <c r="I56" s="118" t="s">
        <v>150</v>
      </c>
      <c r="J56" s="118" t="s">
        <v>400</v>
      </c>
      <c r="K56" s="118" t="s">
        <v>288</v>
      </c>
      <c r="L56" s="118" t="s">
        <v>399</v>
      </c>
      <c r="M56" s="118" t="s">
        <v>283</v>
      </c>
      <c r="N56" s="118" t="s">
        <v>689</v>
      </c>
      <c r="O56" s="118" t="s">
        <v>277</v>
      </c>
      <c r="P56" s="118" t="s">
        <v>700</v>
      </c>
      <c r="R56" s="118" t="s">
        <v>450</v>
      </c>
      <c r="S56" s="159"/>
      <c r="T56" s="159"/>
      <c r="U56" s="159"/>
      <c r="V56" s="159"/>
      <c r="W56" s="159"/>
      <c r="X56" s="159"/>
      <c r="Y56" s="129"/>
    </row>
    <row r="57">
      <c r="A57" s="158">
        <v>43370.40420138889</v>
      </c>
      <c r="B57" s="118" t="s">
        <v>701</v>
      </c>
      <c r="C57" s="118" t="s">
        <v>702</v>
      </c>
      <c r="D57" s="118" t="s">
        <v>703</v>
      </c>
      <c r="E57" s="118" t="s">
        <v>704</v>
      </c>
      <c r="F57" s="118" t="s">
        <v>595</v>
      </c>
      <c r="G57" s="118" t="s">
        <v>301</v>
      </c>
      <c r="H57" s="118" t="s">
        <v>63</v>
      </c>
      <c r="I57" s="118" t="s">
        <v>150</v>
      </c>
      <c r="J57" s="118" t="s">
        <v>283</v>
      </c>
      <c r="K57" s="118" t="s">
        <v>400</v>
      </c>
      <c r="N57" s="118" t="s">
        <v>689</v>
      </c>
      <c r="O57" s="118" t="s">
        <v>402</v>
      </c>
      <c r="P57" s="118" t="s">
        <v>705</v>
      </c>
      <c r="R57" s="118" t="s">
        <v>450</v>
      </c>
      <c r="S57" s="159"/>
      <c r="T57" s="159"/>
      <c r="U57" s="159"/>
      <c r="V57" s="159"/>
      <c r="W57" s="159"/>
      <c r="X57" s="159"/>
      <c r="Y57" s="129"/>
    </row>
    <row r="58">
      <c r="A58" s="158">
        <v>43382.413773148146</v>
      </c>
      <c r="B58" s="118" t="s">
        <v>706</v>
      </c>
      <c r="C58" s="118" t="s">
        <v>707</v>
      </c>
      <c r="D58" s="118" t="s">
        <v>708</v>
      </c>
      <c r="E58" s="118" t="s">
        <v>709</v>
      </c>
      <c r="F58" s="118" t="s">
        <v>491</v>
      </c>
      <c r="G58" s="118" t="s">
        <v>301</v>
      </c>
      <c r="H58" s="118" t="s">
        <v>63</v>
      </c>
      <c r="I58" s="118" t="s">
        <v>150</v>
      </c>
      <c r="J58" s="118" t="s">
        <v>400</v>
      </c>
      <c r="K58" s="118" t="s">
        <v>399</v>
      </c>
      <c r="N58" s="118" t="s">
        <v>689</v>
      </c>
      <c r="O58" s="118" t="s">
        <v>402</v>
      </c>
      <c r="P58" s="118" t="s">
        <v>710</v>
      </c>
      <c r="R58" s="118" t="s">
        <v>441</v>
      </c>
      <c r="S58" s="159"/>
      <c r="T58" s="159"/>
      <c r="U58" s="159"/>
      <c r="V58" s="159"/>
      <c r="W58" s="159"/>
      <c r="X58" s="159"/>
      <c r="Y58" s="129"/>
    </row>
    <row r="59">
      <c r="A59" s="158">
        <v>43395.41673611111</v>
      </c>
      <c r="B59" s="118" t="s">
        <v>711</v>
      </c>
      <c r="C59" s="118" t="s">
        <v>712</v>
      </c>
      <c r="D59" s="118" t="s">
        <v>713</v>
      </c>
      <c r="E59" s="118" t="s">
        <v>714</v>
      </c>
      <c r="F59" s="118" t="s">
        <v>417</v>
      </c>
      <c r="G59" s="118" t="s">
        <v>301</v>
      </c>
      <c r="H59" s="118" t="s">
        <v>63</v>
      </c>
      <c r="I59" s="118" t="s">
        <v>150</v>
      </c>
      <c r="J59" s="118" t="s">
        <v>288</v>
      </c>
      <c r="K59" s="118" t="s">
        <v>400</v>
      </c>
      <c r="L59" s="118" t="s">
        <v>399</v>
      </c>
      <c r="N59" s="118" t="s">
        <v>715</v>
      </c>
      <c r="O59" s="118" t="s">
        <v>402</v>
      </c>
      <c r="P59" s="118" t="s">
        <v>716</v>
      </c>
      <c r="R59" s="118" t="s">
        <v>404</v>
      </c>
      <c r="S59" s="159"/>
      <c r="T59" s="159"/>
      <c r="U59" s="159"/>
      <c r="V59" s="159"/>
      <c r="W59" s="159"/>
      <c r="X59" s="159"/>
      <c r="Y59" s="129"/>
    </row>
    <row r="60">
      <c r="A60" s="158">
        <v>43398.41884259259</v>
      </c>
      <c r="B60" s="118" t="s">
        <v>717</v>
      </c>
      <c r="C60" s="118" t="s">
        <v>718</v>
      </c>
      <c r="D60" s="118" t="s">
        <v>577</v>
      </c>
      <c r="E60" s="118" t="s">
        <v>719</v>
      </c>
      <c r="F60" s="118" t="s">
        <v>417</v>
      </c>
      <c r="G60" s="118" t="s">
        <v>301</v>
      </c>
      <c r="H60" s="118" t="s">
        <v>63</v>
      </c>
      <c r="I60" s="118" t="s">
        <v>150</v>
      </c>
      <c r="J60" s="118" t="s">
        <v>283</v>
      </c>
      <c r="K60" s="118" t="s">
        <v>399</v>
      </c>
      <c r="L60" s="118" t="s">
        <v>288</v>
      </c>
      <c r="M60" s="118" t="s">
        <v>400</v>
      </c>
      <c r="N60" s="118" t="s">
        <v>689</v>
      </c>
      <c r="O60" s="118" t="s">
        <v>402</v>
      </c>
      <c r="P60" s="118" t="s">
        <v>720</v>
      </c>
      <c r="R60" s="118" t="s">
        <v>404</v>
      </c>
      <c r="S60" s="159"/>
      <c r="T60" s="159"/>
      <c r="U60" s="159"/>
      <c r="V60" s="159"/>
      <c r="W60" s="159"/>
      <c r="X60" s="159"/>
      <c r="Y60" s="129"/>
    </row>
    <row r="61">
      <c r="A61" s="158">
        <v>43414.42046296296</v>
      </c>
      <c r="B61" s="118" t="s">
        <v>721</v>
      </c>
      <c r="C61" s="118" t="s">
        <v>722</v>
      </c>
      <c r="D61" s="118" t="s">
        <v>723</v>
      </c>
      <c r="E61" s="118" t="s">
        <v>724</v>
      </c>
      <c r="F61" s="118" t="s">
        <v>491</v>
      </c>
      <c r="G61" s="118" t="s">
        <v>301</v>
      </c>
      <c r="H61" s="118" t="s">
        <v>63</v>
      </c>
      <c r="I61" s="118" t="s">
        <v>150</v>
      </c>
      <c r="J61" s="118" t="s">
        <v>288</v>
      </c>
      <c r="K61" s="118" t="s">
        <v>400</v>
      </c>
      <c r="L61" s="118" t="s">
        <v>399</v>
      </c>
      <c r="M61" s="118" t="s">
        <v>283</v>
      </c>
      <c r="N61" s="118" t="s">
        <v>689</v>
      </c>
      <c r="O61" s="118" t="s">
        <v>402</v>
      </c>
      <c r="P61" s="118" t="s">
        <v>725</v>
      </c>
      <c r="R61" s="118" t="s">
        <v>404</v>
      </c>
      <c r="S61" s="159"/>
      <c r="T61" s="159"/>
      <c r="U61" s="159"/>
      <c r="V61" s="159"/>
      <c r="W61" s="159"/>
      <c r="X61" s="159"/>
      <c r="Y61" s="129"/>
    </row>
    <row r="62">
      <c r="A62" s="158">
        <v>43422.42162037037</v>
      </c>
      <c r="B62" s="118" t="s">
        <v>726</v>
      </c>
      <c r="C62" s="118" t="s">
        <v>727</v>
      </c>
      <c r="D62" s="118" t="s">
        <v>577</v>
      </c>
      <c r="E62" s="118" t="s">
        <v>728</v>
      </c>
      <c r="F62" s="118" t="s">
        <v>491</v>
      </c>
      <c r="G62" s="118" t="s">
        <v>301</v>
      </c>
      <c r="H62" s="118" t="s">
        <v>63</v>
      </c>
      <c r="I62" s="118" t="s">
        <v>150</v>
      </c>
      <c r="J62" s="118" t="s">
        <v>288</v>
      </c>
      <c r="K62" s="118" t="s">
        <v>399</v>
      </c>
      <c r="L62" s="118" t="s">
        <v>283</v>
      </c>
      <c r="N62" s="118" t="s">
        <v>182</v>
      </c>
      <c r="O62" s="118" t="s">
        <v>402</v>
      </c>
      <c r="P62" s="118" t="s">
        <v>729</v>
      </c>
      <c r="R62" s="118" t="s">
        <v>450</v>
      </c>
      <c r="S62" s="159"/>
      <c r="T62" s="159"/>
      <c r="U62" s="159"/>
      <c r="V62" s="159"/>
      <c r="W62" s="159"/>
      <c r="X62" s="159"/>
      <c r="Y62" s="129"/>
    </row>
    <row r="63">
      <c r="A63" s="158">
        <v>43357.42855324074</v>
      </c>
      <c r="B63" s="118" t="s">
        <v>730</v>
      </c>
      <c r="C63" s="118" t="s">
        <v>731</v>
      </c>
      <c r="D63" s="118" t="s">
        <v>577</v>
      </c>
      <c r="E63" s="118" t="s">
        <v>732</v>
      </c>
      <c r="F63" s="118" t="s">
        <v>430</v>
      </c>
      <c r="G63" s="118" t="s">
        <v>246</v>
      </c>
      <c r="H63" s="118" t="s">
        <v>63</v>
      </c>
      <c r="I63" s="118" t="s">
        <v>288</v>
      </c>
      <c r="J63" s="118" t="s">
        <v>399</v>
      </c>
      <c r="K63" s="118" t="s">
        <v>400</v>
      </c>
      <c r="L63" s="118" t="s">
        <v>283</v>
      </c>
      <c r="M63" s="118" t="s">
        <v>150</v>
      </c>
      <c r="N63" s="118" t="s">
        <v>689</v>
      </c>
      <c r="O63" s="118" t="s">
        <v>182</v>
      </c>
      <c r="P63" s="118" t="s">
        <v>733</v>
      </c>
      <c r="R63" s="118" t="s">
        <v>404</v>
      </c>
      <c r="S63" s="159"/>
      <c r="T63" s="159"/>
      <c r="U63" s="159"/>
      <c r="V63" s="159"/>
      <c r="W63" s="159"/>
      <c r="X63" s="159"/>
      <c r="Y63" s="129"/>
    </row>
    <row r="64">
      <c r="A64" s="158">
        <v>43332.43167824074</v>
      </c>
      <c r="B64" s="118" t="s">
        <v>734</v>
      </c>
      <c r="C64" s="118" t="s">
        <v>663</v>
      </c>
      <c r="D64" s="118" t="s">
        <v>735</v>
      </c>
      <c r="E64" s="118" t="s">
        <v>736</v>
      </c>
      <c r="F64" s="118" t="s">
        <v>430</v>
      </c>
      <c r="G64" s="118" t="s">
        <v>246</v>
      </c>
      <c r="H64" s="118" t="s">
        <v>63</v>
      </c>
      <c r="I64" s="118" t="s">
        <v>288</v>
      </c>
      <c r="J64" s="118" t="s">
        <v>399</v>
      </c>
      <c r="K64" s="118" t="s">
        <v>400</v>
      </c>
      <c r="L64" s="118" t="s">
        <v>283</v>
      </c>
      <c r="M64" s="118" t="s">
        <v>150</v>
      </c>
      <c r="N64" s="118" t="s">
        <v>689</v>
      </c>
      <c r="O64" s="118" t="s">
        <v>277</v>
      </c>
      <c r="P64" s="118" t="s">
        <v>737</v>
      </c>
      <c r="R64" s="118" t="s">
        <v>450</v>
      </c>
      <c r="S64" s="159"/>
      <c r="T64" s="159"/>
      <c r="U64" s="159"/>
      <c r="V64" s="159"/>
      <c r="W64" s="159"/>
      <c r="X64" s="159"/>
      <c r="Y64" s="129"/>
    </row>
    <row r="65">
      <c r="A65" s="158">
        <v>43334.433587962965</v>
      </c>
      <c r="B65" s="118" t="s">
        <v>738</v>
      </c>
      <c r="C65" s="118" t="s">
        <v>739</v>
      </c>
      <c r="D65" s="118" t="s">
        <v>740</v>
      </c>
      <c r="E65" s="118" t="s">
        <v>741</v>
      </c>
      <c r="F65" s="118" t="s">
        <v>397</v>
      </c>
      <c r="G65" s="118" t="s">
        <v>246</v>
      </c>
      <c r="H65" s="118" t="s">
        <v>63</v>
      </c>
      <c r="I65" s="118" t="s">
        <v>288</v>
      </c>
      <c r="J65" s="118" t="s">
        <v>399</v>
      </c>
      <c r="K65" s="118" t="s">
        <v>400</v>
      </c>
      <c r="L65" s="118" t="s">
        <v>283</v>
      </c>
      <c r="M65" s="118" t="s">
        <v>150</v>
      </c>
      <c r="N65" s="118" t="s">
        <v>689</v>
      </c>
      <c r="O65" s="118" t="s">
        <v>182</v>
      </c>
      <c r="P65" s="118" t="s">
        <v>742</v>
      </c>
      <c r="R65" s="118" t="s">
        <v>404</v>
      </c>
      <c r="S65" s="159"/>
      <c r="T65" s="159"/>
      <c r="U65" s="159"/>
      <c r="V65" s="159"/>
      <c r="W65" s="159"/>
      <c r="X65" s="159"/>
      <c r="Y65" s="129"/>
    </row>
    <row r="66">
      <c r="A66" s="158">
        <v>43336.43583333334</v>
      </c>
      <c r="B66" s="118" t="s">
        <v>743</v>
      </c>
      <c r="C66" s="118" t="s">
        <v>744</v>
      </c>
      <c r="D66" s="118" t="s">
        <v>703</v>
      </c>
      <c r="E66" s="118" t="s">
        <v>745</v>
      </c>
      <c r="F66" s="118" t="s">
        <v>430</v>
      </c>
      <c r="G66" s="118" t="s">
        <v>246</v>
      </c>
      <c r="H66" s="118" t="s">
        <v>63</v>
      </c>
      <c r="I66" s="118" t="s">
        <v>288</v>
      </c>
      <c r="J66" s="118" t="s">
        <v>400</v>
      </c>
      <c r="K66" s="118" t="s">
        <v>283</v>
      </c>
      <c r="L66" s="118" t="s">
        <v>399</v>
      </c>
      <c r="M66" s="118" t="s">
        <v>150</v>
      </c>
      <c r="N66" s="118" t="s">
        <v>689</v>
      </c>
      <c r="O66" s="118" t="s">
        <v>402</v>
      </c>
      <c r="P66" s="118" t="s">
        <v>746</v>
      </c>
      <c r="R66" s="118" t="s">
        <v>404</v>
      </c>
      <c r="S66" s="159"/>
      <c r="T66" s="159"/>
      <c r="U66" s="159"/>
      <c r="V66" s="159"/>
      <c r="W66" s="159"/>
      <c r="X66" s="159"/>
      <c r="Y66" s="129"/>
    </row>
    <row r="67">
      <c r="A67" s="158">
        <v>43340.43892361111</v>
      </c>
      <c r="B67" s="118" t="s">
        <v>747</v>
      </c>
      <c r="C67" s="118" t="s">
        <v>748</v>
      </c>
      <c r="D67" s="118" t="s">
        <v>588</v>
      </c>
      <c r="E67" s="118" t="s">
        <v>749</v>
      </c>
      <c r="F67" s="118" t="s">
        <v>430</v>
      </c>
      <c r="G67" s="118" t="s">
        <v>246</v>
      </c>
      <c r="H67" s="118" t="s">
        <v>63</v>
      </c>
      <c r="I67" s="118" t="s">
        <v>288</v>
      </c>
      <c r="J67" s="118" t="s">
        <v>399</v>
      </c>
      <c r="K67" s="118" t="s">
        <v>400</v>
      </c>
      <c r="L67" s="118" t="s">
        <v>283</v>
      </c>
      <c r="M67" s="118" t="s">
        <v>150</v>
      </c>
      <c r="N67" s="118" t="s">
        <v>689</v>
      </c>
      <c r="O67" s="118" t="s">
        <v>402</v>
      </c>
      <c r="P67" s="118" t="s">
        <v>750</v>
      </c>
      <c r="R67" s="118" t="s">
        <v>450</v>
      </c>
      <c r="S67" s="159"/>
      <c r="T67" s="159"/>
      <c r="U67" s="159"/>
      <c r="V67" s="159"/>
      <c r="W67" s="159"/>
      <c r="X67" s="159"/>
      <c r="Y67" s="129"/>
    </row>
    <row r="68">
      <c r="A68" s="158">
        <v>43340.441666666666</v>
      </c>
      <c r="B68" s="118" t="s">
        <v>751</v>
      </c>
      <c r="C68" s="118" t="s">
        <v>752</v>
      </c>
      <c r="D68" s="118" t="s">
        <v>753</v>
      </c>
      <c r="E68" s="118" t="s">
        <v>754</v>
      </c>
      <c r="F68" s="118" t="s">
        <v>430</v>
      </c>
      <c r="G68" s="118" t="s">
        <v>246</v>
      </c>
      <c r="H68" s="118" t="s">
        <v>63</v>
      </c>
      <c r="I68" s="118" t="s">
        <v>399</v>
      </c>
      <c r="J68" s="118" t="s">
        <v>288</v>
      </c>
      <c r="K68" s="118" t="s">
        <v>400</v>
      </c>
      <c r="L68" s="118" t="s">
        <v>283</v>
      </c>
      <c r="M68" s="118" t="s">
        <v>150</v>
      </c>
      <c r="N68" s="118" t="s">
        <v>689</v>
      </c>
      <c r="P68" s="118" t="s">
        <v>755</v>
      </c>
      <c r="R68" s="118" t="s">
        <v>450</v>
      </c>
      <c r="S68" s="159"/>
      <c r="T68" s="159"/>
      <c r="U68" s="159"/>
      <c r="V68" s="159"/>
      <c r="W68" s="159"/>
      <c r="X68" s="159"/>
      <c r="Y68" s="129"/>
    </row>
    <row r="69">
      <c r="A69" s="158">
        <v>43349.4431712963</v>
      </c>
      <c r="B69" s="118" t="s">
        <v>756</v>
      </c>
      <c r="C69" s="118" t="s">
        <v>757</v>
      </c>
      <c r="D69" s="118" t="s">
        <v>588</v>
      </c>
      <c r="E69" s="118" t="s">
        <v>758</v>
      </c>
      <c r="F69" s="118" t="s">
        <v>417</v>
      </c>
      <c r="G69" s="118" t="s">
        <v>246</v>
      </c>
      <c r="H69" s="118" t="s">
        <v>63</v>
      </c>
      <c r="I69" s="118" t="s">
        <v>288</v>
      </c>
      <c r="J69" s="118" t="s">
        <v>399</v>
      </c>
      <c r="K69" s="118" t="s">
        <v>283</v>
      </c>
      <c r="L69" s="118" t="s">
        <v>150</v>
      </c>
      <c r="M69" s="118" t="s">
        <v>400</v>
      </c>
      <c r="N69" s="118" t="s">
        <v>689</v>
      </c>
      <c r="O69" s="118" t="s">
        <v>277</v>
      </c>
      <c r="P69" s="118" t="s">
        <v>759</v>
      </c>
      <c r="R69" s="118" t="s">
        <v>404</v>
      </c>
      <c r="S69" s="159"/>
      <c r="T69" s="159"/>
      <c r="U69" s="159"/>
      <c r="V69" s="159"/>
      <c r="W69" s="159"/>
      <c r="X69" s="159"/>
      <c r="Y69" s="129"/>
    </row>
    <row r="70">
      <c r="A70" s="158">
        <v>43362.44483796296</v>
      </c>
      <c r="B70" s="118" t="s">
        <v>760</v>
      </c>
      <c r="C70" s="118" t="s">
        <v>761</v>
      </c>
      <c r="D70" s="118" t="s">
        <v>577</v>
      </c>
      <c r="E70" s="118" t="s">
        <v>762</v>
      </c>
      <c r="F70" s="118" t="s">
        <v>430</v>
      </c>
      <c r="G70" s="118" t="s">
        <v>246</v>
      </c>
      <c r="H70" s="118" t="s">
        <v>63</v>
      </c>
      <c r="I70" s="118" t="s">
        <v>288</v>
      </c>
      <c r="J70" s="118" t="s">
        <v>399</v>
      </c>
      <c r="K70" s="118" t="s">
        <v>283</v>
      </c>
      <c r="L70" s="118" t="s">
        <v>400</v>
      </c>
      <c r="M70" s="118" t="s">
        <v>150</v>
      </c>
      <c r="N70" s="118" t="s">
        <v>689</v>
      </c>
      <c r="O70" s="118" t="s">
        <v>277</v>
      </c>
      <c r="P70" s="118" t="s">
        <v>763</v>
      </c>
      <c r="R70" s="118" t="s">
        <v>450</v>
      </c>
      <c r="S70" s="159"/>
      <c r="T70" s="159"/>
      <c r="U70" s="159"/>
      <c r="V70" s="159"/>
      <c r="W70" s="159"/>
      <c r="X70" s="159"/>
      <c r="Y70" s="129"/>
    </row>
    <row r="71">
      <c r="A71" s="158">
        <v>43364.44614583333</v>
      </c>
      <c r="B71" s="118" t="s">
        <v>764</v>
      </c>
      <c r="C71" s="118" t="s">
        <v>301</v>
      </c>
      <c r="D71" s="118" t="s">
        <v>765</v>
      </c>
      <c r="E71" s="118" t="s">
        <v>766</v>
      </c>
      <c r="F71" s="118" t="s">
        <v>417</v>
      </c>
      <c r="G71" s="118" t="s">
        <v>246</v>
      </c>
      <c r="H71" s="118" t="s">
        <v>63</v>
      </c>
      <c r="I71" s="118" t="s">
        <v>288</v>
      </c>
      <c r="J71" s="118" t="s">
        <v>399</v>
      </c>
      <c r="K71" s="118" t="s">
        <v>283</v>
      </c>
      <c r="L71" s="118" t="s">
        <v>400</v>
      </c>
      <c r="M71" s="118" t="s">
        <v>150</v>
      </c>
      <c r="N71" s="118" t="s">
        <v>689</v>
      </c>
      <c r="O71" s="118" t="s">
        <v>277</v>
      </c>
      <c r="P71" s="118" t="s">
        <v>767</v>
      </c>
      <c r="R71" s="118" t="s">
        <v>450</v>
      </c>
      <c r="S71" s="159"/>
      <c r="T71" s="159"/>
      <c r="U71" s="159"/>
      <c r="V71" s="159"/>
      <c r="W71" s="159"/>
      <c r="X71" s="159"/>
      <c r="Y71" s="129"/>
    </row>
    <row r="72">
      <c r="A72" s="158">
        <v>43369.44834490741</v>
      </c>
      <c r="B72" s="118" t="s">
        <v>768</v>
      </c>
      <c r="C72" s="118" t="s">
        <v>680</v>
      </c>
      <c r="D72" s="118" t="s">
        <v>769</v>
      </c>
      <c r="E72" s="118" t="s">
        <v>682</v>
      </c>
      <c r="F72" s="118" t="s">
        <v>397</v>
      </c>
      <c r="G72" s="118" t="s">
        <v>246</v>
      </c>
      <c r="H72" s="118" t="s">
        <v>63</v>
      </c>
      <c r="I72" s="118" t="s">
        <v>288</v>
      </c>
      <c r="J72" s="118" t="s">
        <v>399</v>
      </c>
      <c r="K72" s="118" t="s">
        <v>283</v>
      </c>
      <c r="L72" s="118" t="s">
        <v>400</v>
      </c>
      <c r="M72" s="118" t="s">
        <v>150</v>
      </c>
      <c r="N72" s="118" t="s">
        <v>689</v>
      </c>
      <c r="O72" s="118" t="s">
        <v>277</v>
      </c>
      <c r="P72" s="118" t="s">
        <v>770</v>
      </c>
      <c r="R72" s="118" t="s">
        <v>450</v>
      </c>
      <c r="S72" s="159"/>
      <c r="T72" s="159"/>
      <c r="U72" s="159"/>
      <c r="V72" s="159"/>
      <c r="W72" s="159"/>
      <c r="X72" s="159"/>
      <c r="Y72" s="129"/>
    </row>
    <row r="73">
      <c r="A73" s="158">
        <v>43369.44918981481</v>
      </c>
      <c r="B73" s="118" t="s">
        <v>768</v>
      </c>
      <c r="C73" s="118" t="s">
        <v>680</v>
      </c>
      <c r="D73" s="118" t="s">
        <v>769</v>
      </c>
      <c r="E73" s="118" t="s">
        <v>682</v>
      </c>
      <c r="F73" s="118" t="s">
        <v>397</v>
      </c>
      <c r="G73" s="118" t="s">
        <v>246</v>
      </c>
      <c r="H73" s="118" t="s">
        <v>63</v>
      </c>
      <c r="I73" s="118" t="s">
        <v>288</v>
      </c>
      <c r="J73" s="118" t="s">
        <v>399</v>
      </c>
      <c r="K73" s="118" t="s">
        <v>283</v>
      </c>
      <c r="L73" s="118" t="s">
        <v>400</v>
      </c>
      <c r="M73" s="118" t="s">
        <v>150</v>
      </c>
      <c r="N73" s="118" t="s">
        <v>689</v>
      </c>
      <c r="O73" s="118" t="s">
        <v>277</v>
      </c>
      <c r="P73" s="118" t="s">
        <v>770</v>
      </c>
      <c r="R73" s="118" t="s">
        <v>450</v>
      </c>
      <c r="S73" s="159"/>
      <c r="T73" s="159"/>
      <c r="U73" s="159"/>
      <c r="V73" s="159"/>
      <c r="W73" s="159"/>
      <c r="X73" s="159"/>
      <c r="Y73" s="129"/>
    </row>
    <row r="74">
      <c r="A74" s="158">
        <v>43389.45233796296</v>
      </c>
      <c r="B74" s="118" t="s">
        <v>771</v>
      </c>
      <c r="C74" s="118" t="s">
        <v>772</v>
      </c>
      <c r="D74" s="118" t="s">
        <v>436</v>
      </c>
      <c r="E74" s="118" t="s">
        <v>773</v>
      </c>
      <c r="F74" s="118" t="s">
        <v>397</v>
      </c>
      <c r="G74" s="118" t="s">
        <v>246</v>
      </c>
      <c r="H74" s="118" t="s">
        <v>63</v>
      </c>
      <c r="I74" s="118" t="s">
        <v>288</v>
      </c>
      <c r="J74" s="118" t="s">
        <v>399</v>
      </c>
      <c r="K74" s="118" t="s">
        <v>400</v>
      </c>
      <c r="L74" s="118" t="s">
        <v>283</v>
      </c>
      <c r="M74" s="118" t="s">
        <v>150</v>
      </c>
      <c r="N74" s="118" t="s">
        <v>689</v>
      </c>
      <c r="O74" s="118" t="s">
        <v>277</v>
      </c>
      <c r="P74" s="118" t="s">
        <v>774</v>
      </c>
      <c r="R74" s="118" t="s">
        <v>404</v>
      </c>
      <c r="S74" s="159"/>
      <c r="T74" s="159"/>
      <c r="U74" s="159"/>
      <c r="V74" s="159"/>
      <c r="W74" s="159"/>
      <c r="X74" s="159"/>
      <c r="Y74" s="129"/>
    </row>
    <row r="75">
      <c r="A75" s="158">
        <v>43373.450949074075</v>
      </c>
      <c r="B75" s="118" t="s">
        <v>775</v>
      </c>
      <c r="C75" s="118" t="s">
        <v>776</v>
      </c>
      <c r="D75" s="118" t="s">
        <v>669</v>
      </c>
      <c r="E75" s="118" t="s">
        <v>777</v>
      </c>
      <c r="F75" s="118" t="s">
        <v>417</v>
      </c>
      <c r="G75" s="118" t="s">
        <v>246</v>
      </c>
      <c r="H75" s="118" t="s">
        <v>63</v>
      </c>
      <c r="I75" s="118" t="s">
        <v>288</v>
      </c>
      <c r="N75" s="118" t="s">
        <v>689</v>
      </c>
      <c r="O75" s="118" t="s">
        <v>182</v>
      </c>
      <c r="P75" s="118" t="s">
        <v>778</v>
      </c>
      <c r="R75" s="118" t="s">
        <v>441</v>
      </c>
      <c r="S75" s="159"/>
      <c r="T75" s="159"/>
      <c r="U75" s="159"/>
      <c r="V75" s="159"/>
      <c r="W75" s="159"/>
      <c r="X75" s="159"/>
      <c r="Y75" s="129"/>
    </row>
    <row r="76">
      <c r="A76" s="158">
        <v>43395.455196759256</v>
      </c>
      <c r="B76" s="118" t="s">
        <v>779</v>
      </c>
      <c r="C76" s="118" t="s">
        <v>780</v>
      </c>
      <c r="D76" s="118" t="s">
        <v>765</v>
      </c>
      <c r="E76" s="118" t="s">
        <v>781</v>
      </c>
      <c r="F76" s="118" t="s">
        <v>699</v>
      </c>
      <c r="G76" s="118" t="s">
        <v>246</v>
      </c>
      <c r="H76" s="118" t="s">
        <v>63</v>
      </c>
      <c r="I76" s="118" t="s">
        <v>288</v>
      </c>
      <c r="J76" s="118" t="s">
        <v>150</v>
      </c>
      <c r="K76" s="118" t="s">
        <v>399</v>
      </c>
      <c r="L76" s="118" t="s">
        <v>400</v>
      </c>
      <c r="M76" s="118" t="s">
        <v>283</v>
      </c>
      <c r="N76" s="118" t="s">
        <v>689</v>
      </c>
      <c r="O76" s="118" t="s">
        <v>277</v>
      </c>
      <c r="P76" s="118" t="s">
        <v>782</v>
      </c>
      <c r="R76" s="118" t="s">
        <v>450</v>
      </c>
      <c r="S76" s="159"/>
      <c r="T76" s="159"/>
      <c r="U76" s="159"/>
      <c r="V76" s="159"/>
      <c r="W76" s="159"/>
      <c r="X76" s="159"/>
      <c r="Y76" s="129"/>
    </row>
    <row r="77">
      <c r="A77" s="158">
        <v>43398.459340277775</v>
      </c>
      <c r="B77" s="118" t="s">
        <v>783</v>
      </c>
      <c r="C77" s="118" t="s">
        <v>784</v>
      </c>
      <c r="D77" s="118" t="s">
        <v>740</v>
      </c>
      <c r="E77" s="118" t="s">
        <v>785</v>
      </c>
      <c r="F77" s="118" t="s">
        <v>491</v>
      </c>
      <c r="G77" s="118" t="s">
        <v>246</v>
      </c>
      <c r="H77" s="118" t="s">
        <v>63</v>
      </c>
      <c r="I77" s="118" t="s">
        <v>288</v>
      </c>
      <c r="J77" s="118" t="s">
        <v>399</v>
      </c>
      <c r="K77" s="118" t="s">
        <v>400</v>
      </c>
      <c r="L77" s="118" t="s">
        <v>283</v>
      </c>
      <c r="M77" s="118" t="s">
        <v>150</v>
      </c>
      <c r="N77" s="118" t="s">
        <v>689</v>
      </c>
      <c r="O77" s="118" t="s">
        <v>402</v>
      </c>
      <c r="P77" s="118" t="s">
        <v>786</v>
      </c>
      <c r="R77" s="118" t="s">
        <v>404</v>
      </c>
      <c r="S77" s="159"/>
      <c r="T77" s="159"/>
      <c r="U77" s="159"/>
      <c r="V77" s="159"/>
      <c r="W77" s="159"/>
      <c r="X77" s="159"/>
      <c r="Y77" s="129"/>
    </row>
    <row r="78">
      <c r="A78" s="158">
        <v>43409.460914351854</v>
      </c>
      <c r="B78" s="118" t="s">
        <v>787</v>
      </c>
      <c r="C78" s="118" t="s">
        <v>788</v>
      </c>
      <c r="D78" s="118" t="s">
        <v>789</v>
      </c>
      <c r="E78" s="118" t="s">
        <v>790</v>
      </c>
      <c r="F78" s="118" t="s">
        <v>460</v>
      </c>
      <c r="G78" s="118" t="s">
        <v>246</v>
      </c>
      <c r="H78" s="118" t="s">
        <v>63</v>
      </c>
      <c r="I78" s="118" t="s">
        <v>288</v>
      </c>
      <c r="J78" s="118" t="s">
        <v>400</v>
      </c>
      <c r="K78" s="118" t="s">
        <v>399</v>
      </c>
      <c r="L78" s="118" t="s">
        <v>283</v>
      </c>
      <c r="M78" s="118" t="s">
        <v>150</v>
      </c>
      <c r="N78" s="118" t="s">
        <v>182</v>
      </c>
      <c r="O78" s="118" t="s">
        <v>277</v>
      </c>
      <c r="P78" s="118" t="s">
        <v>791</v>
      </c>
      <c r="R78" s="118" t="s">
        <v>450</v>
      </c>
      <c r="S78" s="159"/>
      <c r="T78" s="159"/>
      <c r="U78" s="159"/>
      <c r="V78" s="159"/>
      <c r="W78" s="159"/>
      <c r="X78" s="159"/>
      <c r="Y78" s="129"/>
    </row>
    <row r="79">
      <c r="A79" s="158">
        <v>43413.4621412037</v>
      </c>
      <c r="B79" s="118" t="s">
        <v>792</v>
      </c>
      <c r="C79" s="118" t="s">
        <v>246</v>
      </c>
      <c r="D79" s="118" t="s">
        <v>793</v>
      </c>
      <c r="E79" s="118" t="s">
        <v>794</v>
      </c>
      <c r="F79" s="118" t="s">
        <v>446</v>
      </c>
      <c r="G79" s="118" t="s">
        <v>246</v>
      </c>
      <c r="H79" s="118" t="s">
        <v>63</v>
      </c>
      <c r="I79" s="118" t="s">
        <v>288</v>
      </c>
      <c r="J79" s="118" t="s">
        <v>399</v>
      </c>
      <c r="K79" s="118" t="s">
        <v>400</v>
      </c>
      <c r="L79" s="118" t="s">
        <v>283</v>
      </c>
      <c r="M79" s="118" t="s">
        <v>150</v>
      </c>
      <c r="N79" s="118" t="s">
        <v>689</v>
      </c>
      <c r="O79" s="118" t="s">
        <v>402</v>
      </c>
      <c r="P79" s="118" t="s">
        <v>795</v>
      </c>
      <c r="R79" s="118" t="s">
        <v>450</v>
      </c>
      <c r="S79" s="159"/>
      <c r="T79" s="159"/>
      <c r="U79" s="159"/>
      <c r="V79" s="159"/>
      <c r="W79" s="159"/>
      <c r="X79" s="159"/>
      <c r="Y79" s="129"/>
    </row>
    <row r="80">
      <c r="A80" s="158">
        <v>43413.46335648148</v>
      </c>
      <c r="B80" s="118" t="s">
        <v>796</v>
      </c>
      <c r="C80" s="118" t="s">
        <v>797</v>
      </c>
      <c r="D80" s="118" t="s">
        <v>798</v>
      </c>
      <c r="E80" s="167" t="s">
        <v>799</v>
      </c>
      <c r="F80" s="118" t="s">
        <v>491</v>
      </c>
      <c r="G80" s="118" t="s">
        <v>246</v>
      </c>
      <c r="H80" s="118" t="s">
        <v>63</v>
      </c>
      <c r="I80" s="118" t="s">
        <v>288</v>
      </c>
      <c r="J80" s="118" t="s">
        <v>150</v>
      </c>
      <c r="K80" s="118" t="s">
        <v>283</v>
      </c>
      <c r="L80" s="118" t="s">
        <v>399</v>
      </c>
      <c r="M80" s="118" t="s">
        <v>400</v>
      </c>
      <c r="N80" s="118" t="s">
        <v>689</v>
      </c>
      <c r="P80" s="118" t="s">
        <v>800</v>
      </c>
      <c r="R80" s="118" t="s">
        <v>404</v>
      </c>
      <c r="S80" s="159"/>
      <c r="T80" s="159"/>
      <c r="U80" s="159"/>
      <c r="V80" s="159"/>
      <c r="W80" s="159"/>
      <c r="X80" s="159"/>
      <c r="Y80" s="129"/>
    </row>
    <row r="81">
      <c r="A81" s="158">
        <v>43416.46445601852</v>
      </c>
      <c r="B81" s="118" t="s">
        <v>801</v>
      </c>
      <c r="C81" s="118" t="s">
        <v>483</v>
      </c>
      <c r="D81" s="118" t="s">
        <v>802</v>
      </c>
      <c r="E81" s="118"/>
      <c r="F81" s="118" t="s">
        <v>491</v>
      </c>
      <c r="G81" s="118" t="s">
        <v>246</v>
      </c>
      <c r="H81" s="118" t="s">
        <v>63</v>
      </c>
      <c r="I81" s="118" t="s">
        <v>288</v>
      </c>
      <c r="J81" s="118" t="s">
        <v>400</v>
      </c>
      <c r="K81" s="118" t="s">
        <v>399</v>
      </c>
      <c r="L81" s="118" t="s">
        <v>283</v>
      </c>
      <c r="M81" s="118" t="s">
        <v>150</v>
      </c>
      <c r="N81" s="118" t="s">
        <v>689</v>
      </c>
      <c r="O81" s="118" t="s">
        <v>402</v>
      </c>
      <c r="P81" s="118" t="s">
        <v>803</v>
      </c>
      <c r="R81" s="118" t="s">
        <v>450</v>
      </c>
      <c r="S81" s="159"/>
      <c r="T81" s="159"/>
      <c r="U81" s="159"/>
      <c r="V81" s="159"/>
      <c r="W81" s="159"/>
      <c r="X81" s="159"/>
      <c r="Y81" s="156" t="s">
        <v>804</v>
      </c>
    </row>
    <row r="82">
      <c r="A82" s="158">
        <v>43418.46555555556</v>
      </c>
      <c r="B82" s="118" t="s">
        <v>805</v>
      </c>
      <c r="C82" s="118" t="s">
        <v>806</v>
      </c>
      <c r="D82" s="118" t="s">
        <v>807</v>
      </c>
      <c r="E82" s="118" t="s">
        <v>808</v>
      </c>
      <c r="F82" s="118" t="s">
        <v>491</v>
      </c>
      <c r="G82" s="118" t="s">
        <v>246</v>
      </c>
      <c r="H82" s="118" t="s">
        <v>63</v>
      </c>
      <c r="I82" s="118" t="s">
        <v>288</v>
      </c>
      <c r="J82" s="118" t="s">
        <v>399</v>
      </c>
      <c r="K82" s="118" t="s">
        <v>400</v>
      </c>
      <c r="L82" s="118" t="s">
        <v>283</v>
      </c>
      <c r="M82" s="118" t="s">
        <v>150</v>
      </c>
      <c r="N82" s="118" t="s">
        <v>689</v>
      </c>
      <c r="O82" s="118" t="s">
        <v>182</v>
      </c>
      <c r="P82" s="118" t="s">
        <v>809</v>
      </c>
      <c r="R82" s="118" t="s">
        <v>450</v>
      </c>
      <c r="S82" s="159"/>
      <c r="T82" s="159"/>
      <c r="U82" s="159"/>
      <c r="V82" s="159"/>
      <c r="W82" s="159"/>
      <c r="X82" s="159"/>
      <c r="Y82" s="129"/>
    </row>
    <row r="83">
      <c r="A83" s="158">
        <v>43418.467453703706</v>
      </c>
      <c r="B83" s="118" t="s">
        <v>810</v>
      </c>
      <c r="C83" s="118" t="s">
        <v>702</v>
      </c>
      <c r="D83" s="118" t="s">
        <v>802</v>
      </c>
      <c r="E83" s="118" t="s">
        <v>811</v>
      </c>
      <c r="F83" s="118" t="s">
        <v>397</v>
      </c>
      <c r="G83" s="118" t="s">
        <v>246</v>
      </c>
      <c r="H83" s="118" t="s">
        <v>63</v>
      </c>
      <c r="I83" s="118" t="s">
        <v>283</v>
      </c>
      <c r="J83" s="118" t="s">
        <v>288</v>
      </c>
      <c r="K83" s="118" t="s">
        <v>400</v>
      </c>
      <c r="L83" s="118" t="s">
        <v>399</v>
      </c>
      <c r="M83" s="118" t="s">
        <v>150</v>
      </c>
      <c r="N83" s="118" t="s">
        <v>689</v>
      </c>
      <c r="O83" s="118" t="s">
        <v>182</v>
      </c>
      <c r="P83" s="118" t="s">
        <v>812</v>
      </c>
      <c r="R83" s="118" t="s">
        <v>450</v>
      </c>
      <c r="S83" s="159"/>
      <c r="T83" s="159"/>
      <c r="U83" s="159"/>
      <c r="V83" s="159"/>
      <c r="W83" s="159"/>
      <c r="X83" s="159"/>
      <c r="Y83" s="129"/>
    </row>
    <row r="84">
      <c r="A84" s="158">
        <v>43483.52609407407</v>
      </c>
      <c r="B84" s="118" t="s">
        <v>813</v>
      </c>
      <c r="C84" s="118" t="s">
        <v>814</v>
      </c>
      <c r="D84" s="118" t="s">
        <v>815</v>
      </c>
      <c r="E84" s="118" t="s">
        <v>816</v>
      </c>
      <c r="F84" s="118" t="s">
        <v>430</v>
      </c>
      <c r="G84" s="118" t="s">
        <v>817</v>
      </c>
      <c r="H84" s="118" t="s">
        <v>63</v>
      </c>
      <c r="I84" s="118" t="s">
        <v>288</v>
      </c>
      <c r="J84" s="118" t="s">
        <v>818</v>
      </c>
      <c r="O84" s="118" t="s">
        <v>402</v>
      </c>
      <c r="P84" s="118" t="s">
        <v>819</v>
      </c>
      <c r="R84" s="118" t="s">
        <v>404</v>
      </c>
      <c r="S84" s="159"/>
      <c r="T84" s="159"/>
      <c r="U84" s="159"/>
      <c r="V84" s="159"/>
      <c r="W84" s="159"/>
      <c r="X84" s="159"/>
      <c r="Y84" s="129"/>
    </row>
    <row r="85">
      <c r="A85" s="158">
        <v>43342.52626157407</v>
      </c>
      <c r="B85" s="118" t="s">
        <v>820</v>
      </c>
      <c r="C85" s="118" t="s">
        <v>821</v>
      </c>
      <c r="D85" s="118" t="s">
        <v>436</v>
      </c>
      <c r="E85" s="118" t="s">
        <v>822</v>
      </c>
      <c r="F85" s="118" t="s">
        <v>699</v>
      </c>
      <c r="G85" s="118" t="s">
        <v>301</v>
      </c>
      <c r="H85" s="118" t="s">
        <v>276</v>
      </c>
      <c r="I85" s="118" t="s">
        <v>400</v>
      </c>
      <c r="J85" s="118" t="s">
        <v>399</v>
      </c>
      <c r="K85" s="118" t="s">
        <v>288</v>
      </c>
      <c r="L85" s="118" t="s">
        <v>150</v>
      </c>
      <c r="N85" s="118" t="s">
        <v>689</v>
      </c>
      <c r="O85" s="118" t="s">
        <v>402</v>
      </c>
      <c r="P85" s="118" t="s">
        <v>823</v>
      </c>
      <c r="R85" s="118" t="s">
        <v>404</v>
      </c>
      <c r="S85" s="159"/>
      <c r="T85" s="159"/>
      <c r="U85" s="159"/>
      <c r="V85" s="159"/>
      <c r="W85" s="159"/>
      <c r="X85" s="159"/>
      <c r="Y85" s="129"/>
    </row>
    <row r="86">
      <c r="A86" s="158">
        <v>43339.52752314815</v>
      </c>
      <c r="B86" s="118" t="s">
        <v>824</v>
      </c>
      <c r="C86" s="118" t="s">
        <v>301</v>
      </c>
      <c r="D86" s="118" t="s">
        <v>703</v>
      </c>
      <c r="E86" s="118" t="s">
        <v>825</v>
      </c>
      <c r="F86" s="118" t="s">
        <v>397</v>
      </c>
      <c r="G86" s="118" t="s">
        <v>301</v>
      </c>
      <c r="H86" s="118" t="s">
        <v>276</v>
      </c>
      <c r="I86" s="118" t="s">
        <v>400</v>
      </c>
      <c r="J86" s="118" t="s">
        <v>399</v>
      </c>
      <c r="K86" s="118" t="s">
        <v>288</v>
      </c>
      <c r="L86" s="118" t="s">
        <v>150</v>
      </c>
      <c r="N86" s="118" t="s">
        <v>689</v>
      </c>
      <c r="O86" s="118" t="s">
        <v>402</v>
      </c>
      <c r="P86" s="118" t="s">
        <v>182</v>
      </c>
      <c r="R86" s="118" t="s">
        <v>404</v>
      </c>
      <c r="S86" s="159"/>
      <c r="T86" s="159"/>
      <c r="U86" s="159"/>
      <c r="V86" s="159"/>
      <c r="W86" s="159"/>
      <c r="X86" s="159"/>
      <c r="Y86" s="129"/>
    </row>
    <row r="87">
      <c r="A87" s="158">
        <v>43332.52856481481</v>
      </c>
      <c r="B87" s="118" t="s">
        <v>826</v>
      </c>
      <c r="C87" s="118" t="s">
        <v>827</v>
      </c>
      <c r="D87" s="118" t="s">
        <v>653</v>
      </c>
      <c r="E87" s="118" t="s">
        <v>828</v>
      </c>
      <c r="F87" s="118" t="s">
        <v>430</v>
      </c>
      <c r="G87" s="118" t="s">
        <v>301</v>
      </c>
      <c r="H87" s="118" t="s">
        <v>276</v>
      </c>
      <c r="I87" s="118" t="s">
        <v>288</v>
      </c>
      <c r="J87" s="118" t="s">
        <v>150</v>
      </c>
      <c r="N87" s="118" t="s">
        <v>277</v>
      </c>
      <c r="O87" s="118" t="s">
        <v>402</v>
      </c>
      <c r="P87" s="118" t="s">
        <v>829</v>
      </c>
      <c r="R87" s="118" t="s">
        <v>404</v>
      </c>
      <c r="S87" s="159"/>
      <c r="T87" s="159"/>
      <c r="U87" s="159"/>
      <c r="V87" s="159"/>
      <c r="W87" s="159"/>
      <c r="X87" s="159"/>
      <c r="Y87" s="129"/>
    </row>
    <row r="88">
      <c r="A88" s="158">
        <v>43332.52978009259</v>
      </c>
      <c r="B88" s="118" t="s">
        <v>830</v>
      </c>
      <c r="C88" s="118" t="s">
        <v>301</v>
      </c>
      <c r="D88" s="118" t="s">
        <v>740</v>
      </c>
      <c r="E88" s="118" t="s">
        <v>831</v>
      </c>
      <c r="F88" s="118" t="s">
        <v>430</v>
      </c>
      <c r="G88" s="118" t="s">
        <v>301</v>
      </c>
      <c r="H88" s="118" t="s">
        <v>276</v>
      </c>
      <c r="I88" s="118" t="s">
        <v>399</v>
      </c>
      <c r="J88" s="118" t="s">
        <v>288</v>
      </c>
      <c r="N88" s="118" t="s">
        <v>277</v>
      </c>
      <c r="O88" s="118" t="s">
        <v>402</v>
      </c>
      <c r="P88" s="118" t="s">
        <v>832</v>
      </c>
      <c r="R88" s="118" t="s">
        <v>404</v>
      </c>
      <c r="S88" s="159"/>
      <c r="T88" s="159"/>
      <c r="U88" s="159"/>
      <c r="V88" s="159"/>
      <c r="W88" s="159"/>
      <c r="X88" s="159"/>
      <c r="Y88" s="129"/>
    </row>
    <row r="89">
      <c r="A89" s="158">
        <v>43332.53108796296</v>
      </c>
      <c r="B89" s="118" t="s">
        <v>833</v>
      </c>
      <c r="C89" s="118" t="s">
        <v>834</v>
      </c>
      <c r="D89" s="118" t="s">
        <v>835</v>
      </c>
      <c r="E89" s="118" t="s">
        <v>836</v>
      </c>
      <c r="F89" s="118" t="s">
        <v>491</v>
      </c>
      <c r="G89" s="118" t="s">
        <v>301</v>
      </c>
      <c r="H89" s="118" t="s">
        <v>276</v>
      </c>
      <c r="I89" s="118" t="s">
        <v>400</v>
      </c>
      <c r="J89" s="118" t="s">
        <v>399</v>
      </c>
      <c r="K89" s="118" t="s">
        <v>288</v>
      </c>
      <c r="N89" s="118" t="s">
        <v>277</v>
      </c>
      <c r="O89" s="118" t="s">
        <v>402</v>
      </c>
      <c r="P89" s="118" t="s">
        <v>301</v>
      </c>
      <c r="R89" s="118" t="s">
        <v>404</v>
      </c>
      <c r="S89" s="159"/>
      <c r="T89" s="159"/>
      <c r="U89" s="159"/>
      <c r="V89" s="159"/>
      <c r="W89" s="159"/>
      <c r="X89" s="159"/>
      <c r="Y89" s="129"/>
    </row>
    <row r="90">
      <c r="A90" s="158">
        <v>43332.532847222225</v>
      </c>
      <c r="B90" s="118" t="s">
        <v>837</v>
      </c>
      <c r="C90" s="118" t="s">
        <v>838</v>
      </c>
      <c r="D90" s="118" t="s">
        <v>839</v>
      </c>
      <c r="E90" s="118" t="s">
        <v>840</v>
      </c>
      <c r="F90" s="118" t="s">
        <v>841</v>
      </c>
      <c r="G90" s="118" t="s">
        <v>301</v>
      </c>
      <c r="H90" s="118" t="s">
        <v>276</v>
      </c>
      <c r="I90" s="118" t="s">
        <v>400</v>
      </c>
      <c r="J90" s="118" t="s">
        <v>399</v>
      </c>
      <c r="K90" s="118" t="s">
        <v>288</v>
      </c>
      <c r="N90" s="118" t="s">
        <v>277</v>
      </c>
      <c r="O90" s="118" t="s">
        <v>402</v>
      </c>
      <c r="P90" s="118" t="s">
        <v>842</v>
      </c>
      <c r="R90" s="118" t="s">
        <v>404</v>
      </c>
      <c r="S90" s="159"/>
      <c r="T90" s="159"/>
      <c r="U90" s="159"/>
      <c r="V90" s="159"/>
      <c r="W90" s="159"/>
      <c r="X90" s="159"/>
      <c r="Y90" s="129"/>
    </row>
    <row r="91">
      <c r="A91" s="158">
        <v>43483.533421493055</v>
      </c>
      <c r="B91" s="118" t="s">
        <v>843</v>
      </c>
      <c r="C91" s="118" t="s">
        <v>844</v>
      </c>
      <c r="E91" s="118" t="s">
        <v>845</v>
      </c>
      <c r="F91" s="118" t="s">
        <v>417</v>
      </c>
      <c r="G91" s="118" t="s">
        <v>846</v>
      </c>
      <c r="H91" s="118" t="s">
        <v>63</v>
      </c>
      <c r="I91" s="118" t="s">
        <v>283</v>
      </c>
      <c r="K91" s="118" t="s">
        <v>399</v>
      </c>
      <c r="L91" s="118" t="s">
        <v>150</v>
      </c>
      <c r="M91" s="118" t="s">
        <v>288</v>
      </c>
      <c r="N91" s="118" t="s">
        <v>847</v>
      </c>
      <c r="O91" s="118" t="s">
        <v>402</v>
      </c>
      <c r="P91" s="118" t="s">
        <v>848</v>
      </c>
      <c r="R91" s="118" t="s">
        <v>450</v>
      </c>
      <c r="S91" s="159"/>
      <c r="T91" s="159"/>
      <c r="U91" s="159"/>
      <c r="V91" s="159"/>
      <c r="W91" s="159"/>
      <c r="X91" s="159"/>
      <c r="Y91" s="129"/>
    </row>
    <row r="92">
      <c r="A92" s="158">
        <v>43366.53592592593</v>
      </c>
      <c r="B92" s="118" t="s">
        <v>849</v>
      </c>
      <c r="C92" s="118" t="s">
        <v>301</v>
      </c>
      <c r="D92" s="118" t="s">
        <v>850</v>
      </c>
      <c r="E92" s="118" t="s">
        <v>851</v>
      </c>
      <c r="F92" s="118" t="s">
        <v>608</v>
      </c>
      <c r="G92" s="118" t="s">
        <v>301</v>
      </c>
      <c r="H92" s="118" t="s">
        <v>276</v>
      </c>
      <c r="I92" s="118" t="s">
        <v>288</v>
      </c>
      <c r="N92" s="118" t="s">
        <v>277</v>
      </c>
      <c r="O92" s="118" t="s">
        <v>402</v>
      </c>
      <c r="P92" s="118" t="s">
        <v>301</v>
      </c>
      <c r="R92" s="118" t="s">
        <v>404</v>
      </c>
      <c r="S92" s="159"/>
      <c r="T92" s="159"/>
      <c r="U92" s="159"/>
      <c r="V92" s="159"/>
      <c r="W92" s="159"/>
      <c r="X92" s="159"/>
      <c r="Y92" s="129"/>
    </row>
    <row r="93">
      <c r="A93" s="158">
        <v>43371.53938657408</v>
      </c>
      <c r="B93" s="118" t="s">
        <v>852</v>
      </c>
      <c r="C93" s="118" t="s">
        <v>853</v>
      </c>
      <c r="D93" s="118" t="s">
        <v>854</v>
      </c>
      <c r="E93" s="118" t="s">
        <v>855</v>
      </c>
      <c r="F93" s="118" t="s">
        <v>699</v>
      </c>
      <c r="G93" s="118" t="s">
        <v>301</v>
      </c>
      <c r="H93" s="118" t="s">
        <v>276</v>
      </c>
      <c r="N93" s="118" t="s">
        <v>182</v>
      </c>
      <c r="O93" s="118" t="s">
        <v>402</v>
      </c>
      <c r="P93" s="118" t="s">
        <v>301</v>
      </c>
      <c r="R93" s="118" t="s">
        <v>404</v>
      </c>
      <c r="S93" s="159"/>
      <c r="T93" s="159"/>
      <c r="U93" s="159"/>
      <c r="V93" s="159"/>
      <c r="W93" s="159"/>
      <c r="X93" s="159"/>
      <c r="Y93" s="129"/>
    </row>
    <row r="94">
      <c r="A94" s="158">
        <v>43372.549050925925</v>
      </c>
      <c r="B94" s="118" t="s">
        <v>849</v>
      </c>
      <c r="C94" s="118" t="s">
        <v>301</v>
      </c>
      <c r="D94" s="118" t="s">
        <v>850</v>
      </c>
      <c r="E94" s="118" t="s">
        <v>856</v>
      </c>
      <c r="F94" s="118" t="s">
        <v>608</v>
      </c>
      <c r="G94" s="118" t="s">
        <v>301</v>
      </c>
      <c r="H94" s="118" t="s">
        <v>276</v>
      </c>
      <c r="N94" s="118" t="s">
        <v>277</v>
      </c>
      <c r="O94" s="118" t="s">
        <v>402</v>
      </c>
      <c r="P94" s="118" t="s">
        <v>301</v>
      </c>
      <c r="R94" s="118" t="s">
        <v>404</v>
      </c>
      <c r="S94" s="159"/>
      <c r="T94" s="159"/>
      <c r="U94" s="159"/>
      <c r="V94" s="159"/>
      <c r="W94" s="159"/>
      <c r="X94" s="159"/>
      <c r="Y94" s="129"/>
    </row>
    <row r="95">
      <c r="A95" s="158">
        <v>43389.55033564815</v>
      </c>
      <c r="B95" s="118" t="s">
        <v>857</v>
      </c>
      <c r="C95" s="118" t="s">
        <v>858</v>
      </c>
      <c r="D95" s="118" t="s">
        <v>599</v>
      </c>
      <c r="E95" s="118" t="s">
        <v>859</v>
      </c>
      <c r="F95" s="118" t="s">
        <v>460</v>
      </c>
      <c r="G95" s="118" t="s">
        <v>301</v>
      </c>
      <c r="H95" s="118" t="s">
        <v>276</v>
      </c>
      <c r="N95" s="118" t="s">
        <v>182</v>
      </c>
      <c r="O95" s="118" t="s">
        <v>402</v>
      </c>
      <c r="P95" s="118" t="s">
        <v>860</v>
      </c>
      <c r="R95" s="118" t="s">
        <v>404</v>
      </c>
      <c r="S95" s="159"/>
      <c r="T95" s="159"/>
      <c r="U95" s="159"/>
      <c r="V95" s="159"/>
      <c r="W95" s="159"/>
      <c r="X95" s="159"/>
      <c r="Y95" s="129"/>
    </row>
    <row r="96">
      <c r="A96" s="158">
        <v>43402.551099537035</v>
      </c>
      <c r="B96" s="118" t="s">
        <v>861</v>
      </c>
      <c r="C96" s="118" t="s">
        <v>657</v>
      </c>
      <c r="D96" s="118" t="s">
        <v>658</v>
      </c>
      <c r="E96" s="118" t="s">
        <v>862</v>
      </c>
      <c r="F96" s="118" t="s">
        <v>528</v>
      </c>
      <c r="G96" s="118" t="s">
        <v>301</v>
      </c>
      <c r="H96" s="118" t="s">
        <v>276</v>
      </c>
      <c r="N96" s="118" t="s">
        <v>277</v>
      </c>
      <c r="O96" s="118" t="s">
        <v>402</v>
      </c>
      <c r="P96" s="118" t="s">
        <v>863</v>
      </c>
      <c r="R96" s="118" t="s">
        <v>404</v>
      </c>
      <c r="S96" s="159"/>
      <c r="T96" s="159"/>
      <c r="U96" s="159"/>
      <c r="V96" s="159"/>
      <c r="W96" s="159"/>
      <c r="X96" s="159"/>
      <c r="Y96" s="129"/>
    </row>
    <row r="97">
      <c r="A97" s="158">
        <v>43426.551932870374</v>
      </c>
      <c r="B97" s="118" t="s">
        <v>864</v>
      </c>
      <c r="C97" s="118" t="s">
        <v>865</v>
      </c>
      <c r="D97" s="118" t="s">
        <v>669</v>
      </c>
      <c r="E97" s="118" t="s">
        <v>866</v>
      </c>
      <c r="F97" s="118" t="s">
        <v>397</v>
      </c>
      <c r="G97" s="118" t="s">
        <v>301</v>
      </c>
      <c r="H97" s="118" t="s">
        <v>63</v>
      </c>
      <c r="N97" s="118" t="s">
        <v>277</v>
      </c>
      <c r="O97" s="118" t="s">
        <v>402</v>
      </c>
      <c r="P97" s="118" t="s">
        <v>867</v>
      </c>
      <c r="R97" s="118" t="s">
        <v>404</v>
      </c>
      <c r="S97" s="159"/>
      <c r="T97" s="159"/>
      <c r="U97" s="159"/>
      <c r="V97" s="159"/>
      <c r="W97" s="159"/>
      <c r="X97" s="159"/>
      <c r="Y97" s="129"/>
    </row>
    <row r="98">
      <c r="A98" s="158">
        <v>43427.55287037037</v>
      </c>
      <c r="B98" s="118" t="s">
        <v>868</v>
      </c>
      <c r="C98" s="118" t="s">
        <v>869</v>
      </c>
      <c r="D98" s="118" t="s">
        <v>870</v>
      </c>
      <c r="E98" s="118" t="s">
        <v>871</v>
      </c>
      <c r="F98" s="118" t="s">
        <v>430</v>
      </c>
      <c r="G98" s="118" t="s">
        <v>301</v>
      </c>
      <c r="H98" s="118" t="s">
        <v>276</v>
      </c>
      <c r="N98" s="118" t="s">
        <v>182</v>
      </c>
      <c r="O98" s="118" t="s">
        <v>402</v>
      </c>
      <c r="P98" s="118" t="s">
        <v>872</v>
      </c>
      <c r="R98" s="118" t="s">
        <v>404</v>
      </c>
      <c r="S98" s="159"/>
      <c r="T98" s="159"/>
      <c r="U98" s="159"/>
      <c r="V98" s="159"/>
      <c r="W98" s="159"/>
      <c r="X98" s="159"/>
      <c r="Y98" s="129"/>
    </row>
    <row r="99">
      <c r="A99" s="158">
        <v>43434.55380787037</v>
      </c>
      <c r="B99" s="118" t="s">
        <v>628</v>
      </c>
      <c r="C99" s="118" t="s">
        <v>629</v>
      </c>
      <c r="D99" s="118" t="s">
        <v>630</v>
      </c>
      <c r="E99" s="118" t="s">
        <v>631</v>
      </c>
      <c r="F99" s="118" t="s">
        <v>491</v>
      </c>
      <c r="G99" s="118" t="s">
        <v>301</v>
      </c>
      <c r="H99" s="118" t="s">
        <v>63</v>
      </c>
      <c r="I99" s="118" t="s">
        <v>399</v>
      </c>
      <c r="N99" s="118" t="s">
        <v>182</v>
      </c>
      <c r="O99" s="118" t="s">
        <v>402</v>
      </c>
      <c r="P99" s="118" t="s">
        <v>632</v>
      </c>
      <c r="R99" s="118" t="s">
        <v>404</v>
      </c>
      <c r="S99" s="159"/>
      <c r="T99" s="159"/>
      <c r="U99" s="159"/>
      <c r="V99" s="159"/>
      <c r="W99" s="159"/>
      <c r="X99" s="159"/>
      <c r="Y99" s="129"/>
    </row>
    <row r="100">
      <c r="A100" s="158">
        <v>43483.55459590278</v>
      </c>
      <c r="B100" s="118" t="s">
        <v>634</v>
      </c>
      <c r="C100" s="118" t="s">
        <v>435</v>
      </c>
      <c r="D100" s="118" t="s">
        <v>436</v>
      </c>
      <c r="E100" s="118" t="s">
        <v>635</v>
      </c>
      <c r="F100" s="118" t="s">
        <v>491</v>
      </c>
      <c r="G100" s="118" t="s">
        <v>301</v>
      </c>
      <c r="H100" s="118" t="s">
        <v>63</v>
      </c>
      <c r="I100" s="118" t="s">
        <v>399</v>
      </c>
      <c r="N100" s="118" t="s">
        <v>277</v>
      </c>
      <c r="O100" s="118" t="s">
        <v>402</v>
      </c>
      <c r="P100" s="118" t="s">
        <v>636</v>
      </c>
      <c r="R100" s="118" t="s">
        <v>404</v>
      </c>
      <c r="S100" s="159"/>
      <c r="T100" s="159"/>
      <c r="U100" s="159"/>
      <c r="V100" s="159"/>
      <c r="W100" s="159"/>
      <c r="X100" s="159"/>
      <c r="Y100" s="129"/>
    </row>
    <row r="101">
      <c r="A101" s="158">
        <v>43434.555347222224</v>
      </c>
      <c r="B101" s="118" t="s">
        <v>637</v>
      </c>
      <c r="C101" s="118" t="s">
        <v>435</v>
      </c>
      <c r="D101" s="118" t="s">
        <v>436</v>
      </c>
      <c r="E101" s="118" t="s">
        <v>638</v>
      </c>
      <c r="F101" s="118" t="s">
        <v>639</v>
      </c>
      <c r="G101" s="118" t="s">
        <v>301</v>
      </c>
      <c r="H101" s="118" t="s">
        <v>63</v>
      </c>
      <c r="I101" s="118" t="s">
        <v>399</v>
      </c>
      <c r="N101" s="118" t="s">
        <v>277</v>
      </c>
      <c r="O101" s="118" t="s">
        <v>402</v>
      </c>
      <c r="P101" s="118" t="s">
        <v>640</v>
      </c>
      <c r="R101" s="118" t="s">
        <v>404</v>
      </c>
      <c r="S101" s="159"/>
      <c r="T101" s="159"/>
      <c r="U101" s="159"/>
      <c r="V101" s="159"/>
      <c r="W101" s="159"/>
      <c r="X101" s="159"/>
      <c r="Y101" s="129"/>
    </row>
    <row r="102">
      <c r="A102" s="158">
        <v>43485.69615496528</v>
      </c>
      <c r="B102" s="118" t="s">
        <v>873</v>
      </c>
      <c r="C102" s="118" t="s">
        <v>874</v>
      </c>
      <c r="E102" s="118" t="s">
        <v>875</v>
      </c>
      <c r="F102" s="118" t="s">
        <v>460</v>
      </c>
      <c r="G102" s="118" t="s">
        <v>876</v>
      </c>
      <c r="H102" s="118" t="s">
        <v>63</v>
      </c>
      <c r="I102" s="118" t="s">
        <v>150</v>
      </c>
      <c r="J102" s="118" t="s">
        <v>288</v>
      </c>
      <c r="K102" s="118" t="s">
        <v>400</v>
      </c>
      <c r="L102" s="118" t="s">
        <v>399</v>
      </c>
      <c r="M102" s="118" t="s">
        <v>283</v>
      </c>
      <c r="O102" s="118" t="s">
        <v>402</v>
      </c>
      <c r="P102" s="118" t="s">
        <v>877</v>
      </c>
      <c r="R102" s="118" t="s">
        <v>450</v>
      </c>
      <c r="S102" s="159"/>
      <c r="T102" s="159"/>
      <c r="U102" s="159"/>
      <c r="V102" s="159"/>
      <c r="W102" s="159"/>
      <c r="X102" s="159"/>
      <c r="Y102" s="129"/>
    </row>
    <row r="103">
      <c r="A103" s="158">
        <v>43416.37436342592</v>
      </c>
      <c r="B103" s="118" t="s">
        <v>878</v>
      </c>
      <c r="C103" s="118" t="s">
        <v>879</v>
      </c>
      <c r="D103" s="118" t="s">
        <v>880</v>
      </c>
      <c r="E103" s="118" t="s">
        <v>881</v>
      </c>
      <c r="F103" s="118" t="s">
        <v>491</v>
      </c>
      <c r="G103" s="118" t="s">
        <v>27</v>
      </c>
      <c r="H103" s="118" t="s">
        <v>63</v>
      </c>
      <c r="I103" s="118" t="s">
        <v>400</v>
      </c>
      <c r="J103" s="118" t="s">
        <v>283</v>
      </c>
      <c r="K103" s="118" t="s">
        <v>399</v>
      </c>
      <c r="L103" s="118" t="s">
        <v>288</v>
      </c>
      <c r="M103" s="118" t="s">
        <v>150</v>
      </c>
      <c r="N103" s="118" t="s">
        <v>277</v>
      </c>
      <c r="O103" s="118" t="s">
        <v>182</v>
      </c>
      <c r="P103" s="118" t="s">
        <v>882</v>
      </c>
      <c r="R103" s="118" t="s">
        <v>404</v>
      </c>
      <c r="S103" s="159"/>
      <c r="T103" s="159"/>
      <c r="U103" s="159"/>
      <c r="V103" s="159"/>
      <c r="W103" s="159"/>
      <c r="X103" s="159"/>
      <c r="Y103" s="129"/>
    </row>
    <row r="104">
      <c r="A104" s="158">
        <v>43347.37954861111</v>
      </c>
      <c r="B104" s="118" t="s">
        <v>883</v>
      </c>
      <c r="C104" s="118" t="s">
        <v>884</v>
      </c>
      <c r="D104" s="118" t="s">
        <v>703</v>
      </c>
      <c r="E104" s="118" t="s">
        <v>885</v>
      </c>
      <c r="F104" s="118" t="s">
        <v>409</v>
      </c>
      <c r="G104" s="118" t="s">
        <v>301</v>
      </c>
      <c r="H104" s="118" t="s">
        <v>63</v>
      </c>
      <c r="I104" s="118" t="s">
        <v>400</v>
      </c>
      <c r="J104" s="118" t="s">
        <v>399</v>
      </c>
      <c r="K104" s="118" t="s">
        <v>150</v>
      </c>
      <c r="L104" s="118" t="s">
        <v>288</v>
      </c>
      <c r="M104" s="118" t="s">
        <v>283</v>
      </c>
      <c r="N104" s="118" t="s">
        <v>182</v>
      </c>
      <c r="O104" s="118" t="s">
        <v>277</v>
      </c>
      <c r="P104" s="118" t="s">
        <v>17</v>
      </c>
      <c r="R104" s="118" t="s">
        <v>441</v>
      </c>
      <c r="S104" s="159"/>
      <c r="T104" s="159"/>
      <c r="U104" s="159"/>
      <c r="V104" s="159"/>
      <c r="W104" s="159"/>
      <c r="X104" s="159"/>
      <c r="Y104" s="129"/>
    </row>
    <row r="105">
      <c r="A105" s="158">
        <v>43378.381261574075</v>
      </c>
      <c r="B105" s="118" t="s">
        <v>886</v>
      </c>
      <c r="C105" s="118" t="s">
        <v>301</v>
      </c>
      <c r="E105" s="118" t="s">
        <v>887</v>
      </c>
      <c r="F105" s="118" t="s">
        <v>888</v>
      </c>
      <c r="G105" s="118" t="s">
        <v>301</v>
      </c>
      <c r="H105" s="118" t="s">
        <v>63</v>
      </c>
      <c r="I105" s="118" t="s">
        <v>400</v>
      </c>
      <c r="J105" s="118" t="s">
        <v>150</v>
      </c>
      <c r="K105" s="118" t="s">
        <v>399</v>
      </c>
      <c r="L105" s="118" t="s">
        <v>288</v>
      </c>
      <c r="M105" s="118" t="s">
        <v>283</v>
      </c>
      <c r="N105" s="118" t="s">
        <v>277</v>
      </c>
      <c r="O105" s="118" t="s">
        <v>277</v>
      </c>
      <c r="P105" s="118" t="s">
        <v>889</v>
      </c>
      <c r="R105" s="118" t="s">
        <v>450</v>
      </c>
      <c r="S105" s="159"/>
      <c r="T105" s="159"/>
      <c r="U105" s="159"/>
      <c r="V105" s="159"/>
      <c r="W105" s="159"/>
      <c r="X105" s="159"/>
      <c r="Y105" s="129"/>
    </row>
    <row r="106">
      <c r="A106" s="158">
        <v>43415.38344907408</v>
      </c>
      <c r="B106" s="118" t="s">
        <v>890</v>
      </c>
      <c r="C106" s="118" t="s">
        <v>891</v>
      </c>
      <c r="D106" s="118" t="s">
        <v>892</v>
      </c>
      <c r="E106" s="118" t="s">
        <v>893</v>
      </c>
      <c r="F106" s="118" t="s">
        <v>528</v>
      </c>
      <c r="G106" s="118" t="s">
        <v>301</v>
      </c>
      <c r="H106" s="118" t="s">
        <v>63</v>
      </c>
      <c r="I106" s="118" t="s">
        <v>400</v>
      </c>
      <c r="J106" s="118" t="s">
        <v>399</v>
      </c>
      <c r="K106" s="118" t="s">
        <v>288</v>
      </c>
      <c r="L106" s="118" t="s">
        <v>283</v>
      </c>
      <c r="M106" s="118" t="s">
        <v>150</v>
      </c>
      <c r="N106" s="118" t="s">
        <v>182</v>
      </c>
      <c r="O106" s="118" t="s">
        <v>402</v>
      </c>
      <c r="P106" s="118" t="s">
        <v>894</v>
      </c>
      <c r="R106" s="118" t="s">
        <v>404</v>
      </c>
      <c r="S106" s="159"/>
      <c r="T106" s="159"/>
      <c r="U106" s="159"/>
      <c r="V106" s="159"/>
      <c r="W106" s="159"/>
      <c r="X106" s="159"/>
      <c r="Y106" s="129"/>
    </row>
    <row r="107">
      <c r="A107" s="158">
        <v>43416.38512731482</v>
      </c>
      <c r="B107" s="118" t="s">
        <v>895</v>
      </c>
      <c r="C107" s="118" t="s">
        <v>896</v>
      </c>
      <c r="D107" s="118" t="s">
        <v>723</v>
      </c>
      <c r="E107" s="118" t="s">
        <v>897</v>
      </c>
      <c r="F107" s="118" t="s">
        <v>491</v>
      </c>
      <c r="G107" s="118" t="s">
        <v>301</v>
      </c>
      <c r="H107" s="118" t="s">
        <v>63</v>
      </c>
      <c r="I107" s="118" t="s">
        <v>400</v>
      </c>
      <c r="J107" s="118" t="s">
        <v>288</v>
      </c>
      <c r="K107" s="118" t="s">
        <v>399</v>
      </c>
      <c r="L107" s="118" t="s">
        <v>150</v>
      </c>
      <c r="M107" s="118" t="s">
        <v>283</v>
      </c>
      <c r="N107" s="118" t="s">
        <v>277</v>
      </c>
      <c r="O107" s="118" t="s">
        <v>402</v>
      </c>
      <c r="P107" s="118" t="s">
        <v>898</v>
      </c>
      <c r="R107" s="118" t="s">
        <v>404</v>
      </c>
      <c r="S107" s="159"/>
      <c r="T107" s="159"/>
      <c r="U107" s="159"/>
      <c r="V107" s="159"/>
      <c r="W107" s="159"/>
      <c r="X107" s="159"/>
      <c r="Y107" s="129"/>
    </row>
    <row r="108">
      <c r="A108" s="158">
        <v>43418.386828703704</v>
      </c>
      <c r="B108" s="118" t="s">
        <v>899</v>
      </c>
      <c r="C108" s="118" t="s">
        <v>900</v>
      </c>
      <c r="D108" s="118" t="s">
        <v>901</v>
      </c>
      <c r="E108" s="118" t="s">
        <v>902</v>
      </c>
      <c r="F108" s="118" t="s">
        <v>491</v>
      </c>
      <c r="G108" s="118" t="s">
        <v>301</v>
      </c>
      <c r="H108" s="118" t="s">
        <v>63</v>
      </c>
      <c r="I108" s="118" t="s">
        <v>400</v>
      </c>
      <c r="J108" s="118" t="s">
        <v>399</v>
      </c>
      <c r="K108" s="118" t="s">
        <v>288</v>
      </c>
      <c r="L108" s="118" t="s">
        <v>283</v>
      </c>
      <c r="M108" s="118" t="s">
        <v>150</v>
      </c>
      <c r="N108" s="118" t="s">
        <v>182</v>
      </c>
      <c r="O108" s="118" t="s">
        <v>402</v>
      </c>
      <c r="P108" s="118" t="s">
        <v>903</v>
      </c>
      <c r="R108" s="118" t="s">
        <v>404</v>
      </c>
      <c r="S108" s="159"/>
      <c r="T108" s="159"/>
      <c r="U108" s="159"/>
      <c r="V108" s="159"/>
      <c r="W108" s="159"/>
      <c r="X108" s="159"/>
      <c r="Y108" s="129"/>
    </row>
    <row r="109">
      <c r="A109" s="158">
        <v>43419.394525462965</v>
      </c>
      <c r="B109" s="118" t="s">
        <v>904</v>
      </c>
      <c r="C109" s="118" t="s">
        <v>905</v>
      </c>
      <c r="D109" s="118" t="s">
        <v>839</v>
      </c>
      <c r="E109" s="118" t="s">
        <v>906</v>
      </c>
      <c r="F109" s="118" t="s">
        <v>460</v>
      </c>
      <c r="G109" s="118" t="s">
        <v>301</v>
      </c>
      <c r="H109" s="118" t="s">
        <v>63</v>
      </c>
      <c r="I109" s="118" t="s">
        <v>400</v>
      </c>
      <c r="J109" s="118" t="s">
        <v>150</v>
      </c>
      <c r="K109" s="118" t="s">
        <v>399</v>
      </c>
      <c r="L109" s="118" t="s">
        <v>288</v>
      </c>
      <c r="N109" s="118" t="s">
        <v>277</v>
      </c>
      <c r="O109" s="118" t="s">
        <v>402</v>
      </c>
      <c r="P109" s="118" t="s">
        <v>301</v>
      </c>
      <c r="Y109" s="129"/>
    </row>
    <row r="110">
      <c r="A110" s="158">
        <v>43430.400046296294</v>
      </c>
      <c r="B110" s="118" t="s">
        <v>907</v>
      </c>
      <c r="C110" s="118" t="s">
        <v>301</v>
      </c>
      <c r="D110" s="118" t="s">
        <v>769</v>
      </c>
      <c r="E110" s="118" t="s">
        <v>908</v>
      </c>
      <c r="F110" s="118" t="s">
        <v>491</v>
      </c>
      <c r="G110" s="118" t="s">
        <v>301</v>
      </c>
      <c r="H110" s="118" t="s">
        <v>63</v>
      </c>
      <c r="I110" s="118" t="s">
        <v>150</v>
      </c>
      <c r="J110" s="118" t="s">
        <v>288</v>
      </c>
      <c r="K110" s="118" t="s">
        <v>400</v>
      </c>
      <c r="L110" s="118" t="s">
        <v>283</v>
      </c>
      <c r="M110" s="118" t="s">
        <v>399</v>
      </c>
      <c r="N110" s="118" t="s">
        <v>277</v>
      </c>
      <c r="O110" s="118" t="s">
        <v>277</v>
      </c>
      <c r="P110" s="118" t="s">
        <v>301</v>
      </c>
      <c r="R110" s="118" t="s">
        <v>450</v>
      </c>
      <c r="S110" s="159"/>
      <c r="T110" s="159"/>
      <c r="U110" s="159"/>
      <c r="V110" s="159"/>
      <c r="W110" s="159"/>
      <c r="X110" s="159"/>
      <c r="Y110" s="129"/>
    </row>
    <row r="111">
      <c r="A111" s="158">
        <v>43437.40190972222</v>
      </c>
      <c r="B111" s="118" t="s">
        <v>909</v>
      </c>
      <c r="C111" s="118" t="s">
        <v>910</v>
      </c>
      <c r="D111" s="118" t="s">
        <v>911</v>
      </c>
      <c r="E111" s="118" t="s">
        <v>912</v>
      </c>
      <c r="F111" s="118" t="s">
        <v>491</v>
      </c>
      <c r="G111" s="118" t="s">
        <v>301</v>
      </c>
      <c r="H111" s="118" t="s">
        <v>63</v>
      </c>
      <c r="I111" s="118" t="s">
        <v>400</v>
      </c>
      <c r="J111" s="118" t="s">
        <v>399</v>
      </c>
      <c r="K111" s="118" t="s">
        <v>288</v>
      </c>
      <c r="L111" s="118" t="s">
        <v>283</v>
      </c>
      <c r="M111" s="118" t="s">
        <v>150</v>
      </c>
      <c r="N111" s="118" t="s">
        <v>277</v>
      </c>
      <c r="O111" s="118" t="s">
        <v>182</v>
      </c>
      <c r="P111" s="118" t="s">
        <v>301</v>
      </c>
      <c r="R111" s="118" t="s">
        <v>404</v>
      </c>
      <c r="S111" s="159"/>
      <c r="T111" s="159"/>
      <c r="U111" s="159"/>
      <c r="V111" s="159"/>
      <c r="W111" s="159"/>
      <c r="X111" s="159"/>
      <c r="Y111" s="129"/>
    </row>
    <row r="112">
      <c r="A112" s="158">
        <v>43439.40657407408</v>
      </c>
      <c r="B112" s="118" t="s">
        <v>913</v>
      </c>
      <c r="C112" s="118" t="s">
        <v>301</v>
      </c>
      <c r="D112" s="118" t="s">
        <v>914</v>
      </c>
      <c r="E112" s="118" t="s">
        <v>915</v>
      </c>
      <c r="F112" s="118" t="s">
        <v>417</v>
      </c>
      <c r="G112" s="118" t="s">
        <v>301</v>
      </c>
      <c r="H112" s="118" t="s">
        <v>63</v>
      </c>
      <c r="I112" s="118" t="s">
        <v>400</v>
      </c>
      <c r="J112" s="118" t="s">
        <v>399</v>
      </c>
      <c r="K112" s="118" t="s">
        <v>288</v>
      </c>
      <c r="L112" s="118" t="s">
        <v>283</v>
      </c>
      <c r="M112" s="118" t="s">
        <v>150</v>
      </c>
      <c r="N112" s="118" t="s">
        <v>277</v>
      </c>
      <c r="O112" s="118" t="s">
        <v>182</v>
      </c>
      <c r="P112" s="118" t="s">
        <v>916</v>
      </c>
      <c r="R112" s="118" t="s">
        <v>404</v>
      </c>
      <c r="S112" s="159"/>
      <c r="T112" s="159"/>
      <c r="U112" s="159"/>
      <c r="V112" s="159"/>
      <c r="W112" s="159"/>
      <c r="X112" s="159"/>
      <c r="Y112" s="129"/>
    </row>
    <row r="113">
      <c r="A113" s="158">
        <v>43488.21571815972</v>
      </c>
      <c r="B113" s="118" t="s">
        <v>917</v>
      </c>
      <c r="C113" s="118" t="s">
        <v>918</v>
      </c>
      <c r="D113" s="118" t="s">
        <v>919</v>
      </c>
      <c r="E113" s="118" t="s">
        <v>920</v>
      </c>
      <c r="F113" s="118" t="s">
        <v>528</v>
      </c>
      <c r="G113" s="118" t="s">
        <v>921</v>
      </c>
      <c r="H113" s="118" t="s">
        <v>276</v>
      </c>
      <c r="I113" s="118" t="s">
        <v>399</v>
      </c>
      <c r="J113" s="118" t="s">
        <v>288</v>
      </c>
      <c r="K113" s="118" t="s">
        <v>400</v>
      </c>
      <c r="L113" s="118" t="s">
        <v>283</v>
      </c>
      <c r="M113" s="118" t="s">
        <v>150</v>
      </c>
      <c r="N113" s="118" t="s">
        <v>922</v>
      </c>
      <c r="O113" s="118" t="s">
        <v>277</v>
      </c>
      <c r="P113" s="118" t="s">
        <v>923</v>
      </c>
      <c r="R113" s="118" t="s">
        <v>404</v>
      </c>
      <c r="S113" s="159"/>
      <c r="T113" s="159"/>
      <c r="U113" s="159"/>
      <c r="V113" s="159"/>
      <c r="W113" s="159"/>
      <c r="X113" s="159"/>
      <c r="Y113" s="129"/>
    </row>
    <row r="114">
      <c r="A114" s="158">
        <v>43489.186652662036</v>
      </c>
      <c r="B114" s="118" t="s">
        <v>924</v>
      </c>
      <c r="C114" s="118" t="s">
        <v>925</v>
      </c>
      <c r="D114" s="118" t="s">
        <v>926</v>
      </c>
      <c r="E114" s="118" t="s">
        <v>927</v>
      </c>
      <c r="F114" s="118" t="s">
        <v>699</v>
      </c>
      <c r="G114" s="118" t="s">
        <v>928</v>
      </c>
      <c r="H114" s="118" t="s">
        <v>63</v>
      </c>
      <c r="I114" s="118" t="s">
        <v>150</v>
      </c>
      <c r="J114" s="118" t="s">
        <v>400</v>
      </c>
      <c r="K114" s="118" t="s">
        <v>288</v>
      </c>
      <c r="N114" s="118" t="s">
        <v>929</v>
      </c>
      <c r="O114" s="118" t="s">
        <v>402</v>
      </c>
      <c r="P114" s="118" t="s">
        <v>930</v>
      </c>
      <c r="R114" s="118" t="s">
        <v>404</v>
      </c>
      <c r="S114" s="118" t="s">
        <v>931</v>
      </c>
      <c r="T114" s="118" t="s">
        <v>932</v>
      </c>
      <c r="U114" s="159"/>
      <c r="V114" s="159"/>
      <c r="W114" s="159"/>
      <c r="X114" s="159"/>
      <c r="Y114" s="129"/>
    </row>
    <row r="115">
      <c r="A115" s="158">
        <v>43489.310416782406</v>
      </c>
      <c r="B115" s="118" t="s">
        <v>933</v>
      </c>
      <c r="C115" s="118" t="s">
        <v>934</v>
      </c>
      <c r="D115" s="118" t="s">
        <v>935</v>
      </c>
      <c r="E115" s="118" t="s">
        <v>936</v>
      </c>
      <c r="F115" s="118" t="s">
        <v>937</v>
      </c>
      <c r="G115" s="118" t="s">
        <v>938</v>
      </c>
      <c r="H115" s="118" t="s">
        <v>63</v>
      </c>
      <c r="I115" s="118" t="s">
        <v>150</v>
      </c>
      <c r="J115" s="118" t="s">
        <v>399</v>
      </c>
      <c r="N115" s="118" t="s">
        <v>182</v>
      </c>
      <c r="O115" s="118" t="s">
        <v>182</v>
      </c>
      <c r="P115" s="118" t="s">
        <v>939</v>
      </c>
      <c r="R115" s="118" t="s">
        <v>404</v>
      </c>
      <c r="S115" s="118" t="s">
        <v>940</v>
      </c>
      <c r="T115" s="118" t="s">
        <v>941</v>
      </c>
      <c r="U115" s="159"/>
      <c r="V115" s="159"/>
      <c r="W115" s="159"/>
      <c r="X115" s="159"/>
      <c r="Y115" s="129"/>
    </row>
    <row r="116">
      <c r="A116" s="158">
        <v>43354.42292824074</v>
      </c>
      <c r="B116" s="118" t="s">
        <v>942</v>
      </c>
      <c r="C116" s="118" t="s">
        <v>301</v>
      </c>
      <c r="D116" s="118" t="s">
        <v>943</v>
      </c>
      <c r="E116" s="118" t="s">
        <v>944</v>
      </c>
      <c r="F116" s="118" t="s">
        <v>945</v>
      </c>
      <c r="G116" s="118" t="s">
        <v>301</v>
      </c>
      <c r="H116" s="118" t="s">
        <v>63</v>
      </c>
      <c r="I116" s="118" t="s">
        <v>150</v>
      </c>
      <c r="J116" s="118" t="s">
        <v>283</v>
      </c>
      <c r="K116" s="118" t="s">
        <v>288</v>
      </c>
      <c r="L116" s="118" t="s">
        <v>399</v>
      </c>
      <c r="N116" s="118" t="s">
        <v>715</v>
      </c>
      <c r="O116" s="118" t="s">
        <v>402</v>
      </c>
      <c r="P116" s="118" t="s">
        <v>946</v>
      </c>
      <c r="R116" s="118" t="s">
        <v>450</v>
      </c>
      <c r="Y116" s="129"/>
    </row>
    <row r="117">
      <c r="A117" s="158">
        <v>43423.42459490741</v>
      </c>
      <c r="B117" s="118" t="s">
        <v>947</v>
      </c>
      <c r="C117" s="118" t="s">
        <v>948</v>
      </c>
      <c r="D117" s="118" t="s">
        <v>669</v>
      </c>
      <c r="E117" s="118" t="s">
        <v>949</v>
      </c>
      <c r="F117" s="118" t="s">
        <v>397</v>
      </c>
      <c r="G117" s="118" t="s">
        <v>301</v>
      </c>
      <c r="H117" s="118" t="s">
        <v>63</v>
      </c>
      <c r="I117" s="118" t="s">
        <v>150</v>
      </c>
      <c r="J117" s="118" t="s">
        <v>288</v>
      </c>
      <c r="K117" s="118" t="s">
        <v>400</v>
      </c>
      <c r="L117" s="118" t="s">
        <v>399</v>
      </c>
      <c r="N117" s="118" t="s">
        <v>277</v>
      </c>
      <c r="O117" s="118" t="s">
        <v>277</v>
      </c>
      <c r="P117" s="118" t="s">
        <v>950</v>
      </c>
      <c r="R117" s="118" t="s">
        <v>404</v>
      </c>
      <c r="Y117" s="129"/>
    </row>
    <row r="118">
      <c r="A118" s="158">
        <v>43439.427199074074</v>
      </c>
      <c r="B118" s="118" t="s">
        <v>951</v>
      </c>
      <c r="C118" s="118" t="s">
        <v>952</v>
      </c>
      <c r="D118" s="118" t="s">
        <v>444</v>
      </c>
      <c r="E118" s="118" t="s">
        <v>953</v>
      </c>
      <c r="F118" s="118" t="s">
        <v>954</v>
      </c>
      <c r="G118" s="118" t="s">
        <v>301</v>
      </c>
      <c r="H118" s="118" t="s">
        <v>63</v>
      </c>
      <c r="I118" s="118" t="s">
        <v>150</v>
      </c>
      <c r="J118" s="118" t="s">
        <v>288</v>
      </c>
      <c r="K118" s="118" t="s">
        <v>399</v>
      </c>
      <c r="L118" s="118" t="s">
        <v>400</v>
      </c>
      <c r="M118" s="118" t="s">
        <v>283</v>
      </c>
      <c r="N118" s="118" t="s">
        <v>277</v>
      </c>
      <c r="O118" s="118" t="s">
        <v>402</v>
      </c>
      <c r="P118" s="118" t="s">
        <v>867</v>
      </c>
      <c r="R118" s="118" t="s">
        <v>404</v>
      </c>
      <c r="Y118" s="129"/>
    </row>
    <row r="119">
      <c r="A119" s="158">
        <v>43494.456474085644</v>
      </c>
      <c r="B119" s="118" t="s">
        <v>955</v>
      </c>
      <c r="C119" s="118" t="s">
        <v>956</v>
      </c>
      <c r="D119" s="118" t="s">
        <v>957</v>
      </c>
      <c r="E119" s="118" t="s">
        <v>958</v>
      </c>
      <c r="F119" s="118" t="s">
        <v>409</v>
      </c>
      <c r="G119" s="118" t="s">
        <v>959</v>
      </c>
      <c r="H119" s="118" t="s">
        <v>63</v>
      </c>
      <c r="I119" s="118" t="s">
        <v>400</v>
      </c>
      <c r="J119" s="118" t="s">
        <v>399</v>
      </c>
      <c r="O119" s="118" t="s">
        <v>402</v>
      </c>
      <c r="P119" s="118" t="s">
        <v>107</v>
      </c>
      <c r="R119" s="118" t="s">
        <v>404</v>
      </c>
      <c r="S119" s="118" t="s">
        <v>960</v>
      </c>
      <c r="Y119" s="129"/>
    </row>
    <row r="120">
      <c r="A120" s="158">
        <v>43496.57359181713</v>
      </c>
      <c r="B120" s="118" t="s">
        <v>961</v>
      </c>
      <c r="C120" s="118" t="s">
        <v>962</v>
      </c>
      <c r="D120" s="118" t="s">
        <v>963</v>
      </c>
      <c r="E120" s="118" t="s">
        <v>964</v>
      </c>
      <c r="F120" s="118" t="s">
        <v>430</v>
      </c>
      <c r="G120" s="118" t="s">
        <v>965</v>
      </c>
      <c r="H120" s="118" t="s">
        <v>63</v>
      </c>
      <c r="I120" s="118" t="s">
        <v>399</v>
      </c>
      <c r="J120" s="118" t="s">
        <v>288</v>
      </c>
      <c r="K120" s="118" t="s">
        <v>150</v>
      </c>
      <c r="L120" s="118" t="s">
        <v>400</v>
      </c>
      <c r="N120" s="118" t="s">
        <v>966</v>
      </c>
      <c r="O120" s="118" t="s">
        <v>402</v>
      </c>
      <c r="P120" s="118" t="s">
        <v>967</v>
      </c>
      <c r="R120" s="118" t="s">
        <v>450</v>
      </c>
      <c r="S120" s="118" t="s">
        <v>968</v>
      </c>
      <c r="T120" s="118" t="s">
        <v>969</v>
      </c>
      <c r="U120" s="159"/>
      <c r="V120" s="159"/>
      <c r="W120" s="159"/>
      <c r="X120" s="159"/>
      <c r="Y120" s="129"/>
    </row>
    <row r="121">
      <c r="A121" s="158">
        <v>43431.472766203704</v>
      </c>
      <c r="B121" s="118" t="s">
        <v>970</v>
      </c>
      <c r="C121" s="118" t="s">
        <v>301</v>
      </c>
      <c r="D121" s="118" t="s">
        <v>802</v>
      </c>
      <c r="E121" s="118" t="s">
        <v>971</v>
      </c>
      <c r="F121" s="118" t="s">
        <v>972</v>
      </c>
      <c r="G121" s="118" t="s">
        <v>301</v>
      </c>
      <c r="H121" s="118" t="s">
        <v>63</v>
      </c>
      <c r="I121" s="118" t="s">
        <v>150</v>
      </c>
      <c r="J121" s="118" t="s">
        <v>399</v>
      </c>
      <c r="K121" s="118" t="s">
        <v>288</v>
      </c>
      <c r="L121" s="118" t="s">
        <v>400</v>
      </c>
      <c r="M121" s="118" t="s">
        <v>283</v>
      </c>
      <c r="N121" s="118" t="s">
        <v>182</v>
      </c>
      <c r="O121" s="118" t="s">
        <v>277</v>
      </c>
      <c r="P121" s="118" t="s">
        <v>973</v>
      </c>
      <c r="R121" s="118" t="s">
        <v>450</v>
      </c>
      <c r="S121" s="118" t="s">
        <v>301</v>
      </c>
      <c r="T121" s="118" t="s">
        <v>301</v>
      </c>
      <c r="U121" s="159"/>
      <c r="V121" s="159"/>
      <c r="W121" s="159"/>
      <c r="X121" s="159"/>
      <c r="Y121" s="129"/>
    </row>
    <row r="122">
      <c r="A122" s="158">
        <v>43498.50725701389</v>
      </c>
      <c r="B122" s="118" t="s">
        <v>974</v>
      </c>
      <c r="C122" s="118" t="s">
        <v>975</v>
      </c>
      <c r="D122" s="118" t="s">
        <v>976</v>
      </c>
      <c r="E122" s="118" t="s">
        <v>977</v>
      </c>
      <c r="F122" s="118" t="s">
        <v>978</v>
      </c>
      <c r="G122" s="118" t="s">
        <v>979</v>
      </c>
      <c r="H122" s="118" t="s">
        <v>63</v>
      </c>
      <c r="I122" s="118" t="s">
        <v>400</v>
      </c>
      <c r="J122" s="118" t="s">
        <v>283</v>
      </c>
      <c r="K122" s="118" t="s">
        <v>150</v>
      </c>
      <c r="L122" s="118" t="s">
        <v>399</v>
      </c>
      <c r="M122" s="118" t="s">
        <v>288</v>
      </c>
      <c r="N122" s="118" t="s">
        <v>462</v>
      </c>
      <c r="O122" s="118" t="s">
        <v>277</v>
      </c>
      <c r="R122" s="118" t="s">
        <v>450</v>
      </c>
      <c r="S122" s="118" t="s">
        <v>980</v>
      </c>
      <c r="T122" s="118" t="s">
        <v>981</v>
      </c>
      <c r="U122" s="159"/>
      <c r="V122" s="159"/>
      <c r="W122" s="159"/>
      <c r="X122" s="159"/>
      <c r="Y122" s="129"/>
    </row>
    <row r="123">
      <c r="A123" s="158">
        <v>43504.644372696755</v>
      </c>
      <c r="B123" s="118" t="s">
        <v>982</v>
      </c>
      <c r="C123" s="118" t="s">
        <v>983</v>
      </c>
      <c r="D123" s="118" t="s">
        <v>984</v>
      </c>
      <c r="E123" s="118" t="s">
        <v>985</v>
      </c>
      <c r="F123" s="118" t="s">
        <v>460</v>
      </c>
      <c r="G123" s="118" t="s">
        <v>986</v>
      </c>
      <c r="H123" s="118" t="s">
        <v>63</v>
      </c>
      <c r="I123" s="118" t="s">
        <v>150</v>
      </c>
      <c r="J123" s="118" t="s">
        <v>288</v>
      </c>
      <c r="K123" s="118" t="s">
        <v>399</v>
      </c>
      <c r="L123" s="118" t="s">
        <v>400</v>
      </c>
      <c r="M123" s="118" t="s">
        <v>283</v>
      </c>
      <c r="N123" s="118" t="s">
        <v>987</v>
      </c>
      <c r="O123" s="118" t="s">
        <v>182</v>
      </c>
      <c r="R123" s="118" t="s">
        <v>404</v>
      </c>
      <c r="S123" s="118" t="s">
        <v>988</v>
      </c>
      <c r="T123" s="118" t="s">
        <v>989</v>
      </c>
      <c r="U123" s="159"/>
      <c r="V123" s="159"/>
      <c r="W123" s="159"/>
      <c r="X123" s="159"/>
      <c r="Y123" s="129"/>
    </row>
    <row r="124">
      <c r="A124" s="158">
        <v>43510.15695694444</v>
      </c>
      <c r="B124" s="118" t="s">
        <v>990</v>
      </c>
      <c r="C124" s="118" t="s">
        <v>991</v>
      </c>
      <c r="D124" s="118" t="s">
        <v>992</v>
      </c>
      <c r="E124" s="118" t="s">
        <v>993</v>
      </c>
      <c r="F124" s="118" t="s">
        <v>460</v>
      </c>
      <c r="G124" s="118" t="s">
        <v>994</v>
      </c>
      <c r="H124" s="118" t="s">
        <v>63</v>
      </c>
      <c r="I124" s="118" t="s">
        <v>399</v>
      </c>
      <c r="J124" s="118" t="s">
        <v>288</v>
      </c>
      <c r="K124" s="118" t="s">
        <v>400</v>
      </c>
      <c r="N124" s="118" t="s">
        <v>995</v>
      </c>
      <c r="O124" s="118" t="s">
        <v>402</v>
      </c>
      <c r="P124" s="118" t="s">
        <v>996</v>
      </c>
      <c r="R124" s="118" t="s">
        <v>450</v>
      </c>
      <c r="S124" s="118" t="s">
        <v>997</v>
      </c>
      <c r="T124" s="118" t="s">
        <v>998</v>
      </c>
      <c r="U124" s="159"/>
      <c r="V124" s="159"/>
      <c r="W124" s="159"/>
      <c r="X124" s="159"/>
      <c r="Y124" s="129"/>
    </row>
    <row r="125">
      <c r="A125" s="158">
        <v>43510.64592836806</v>
      </c>
      <c r="B125" s="118" t="s">
        <v>999</v>
      </c>
      <c r="C125" s="118" t="s">
        <v>1000</v>
      </c>
      <c r="D125" s="118" t="s">
        <v>1001</v>
      </c>
      <c r="E125" s="118" t="s">
        <v>1002</v>
      </c>
      <c r="F125" s="118" t="s">
        <v>430</v>
      </c>
      <c r="G125" s="118" t="s">
        <v>1003</v>
      </c>
      <c r="H125" s="118" t="s">
        <v>63</v>
      </c>
      <c r="I125" s="118" t="s">
        <v>283</v>
      </c>
      <c r="J125" s="118" t="s">
        <v>150</v>
      </c>
      <c r="K125" s="118" t="s">
        <v>399</v>
      </c>
      <c r="L125" s="118" t="s">
        <v>288</v>
      </c>
      <c r="N125" s="118" t="s">
        <v>1004</v>
      </c>
      <c r="O125" s="118" t="s">
        <v>277</v>
      </c>
      <c r="P125" s="118" t="s">
        <v>1005</v>
      </c>
      <c r="R125" s="118" t="s">
        <v>450</v>
      </c>
      <c r="S125" s="118" t="s">
        <v>1006</v>
      </c>
      <c r="T125" s="118" t="s">
        <v>1007</v>
      </c>
      <c r="U125" s="159"/>
      <c r="V125" s="159"/>
      <c r="W125" s="159"/>
      <c r="X125" s="159"/>
      <c r="Y125" s="129"/>
    </row>
    <row r="126">
      <c r="A126" s="158">
        <v>43511.51492671296</v>
      </c>
      <c r="B126" s="118" t="s">
        <v>1008</v>
      </c>
      <c r="C126" s="118" t="s">
        <v>1009</v>
      </c>
      <c r="D126" s="118" t="s">
        <v>1010</v>
      </c>
      <c r="E126" s="118" t="s">
        <v>1011</v>
      </c>
      <c r="F126" s="118" t="s">
        <v>528</v>
      </c>
      <c r="G126" s="118" t="s">
        <v>1012</v>
      </c>
      <c r="H126" s="118" t="s">
        <v>63</v>
      </c>
      <c r="I126" s="118" t="s">
        <v>288</v>
      </c>
      <c r="J126" s="118" t="s">
        <v>399</v>
      </c>
      <c r="K126" s="118" t="s">
        <v>400</v>
      </c>
      <c r="L126" s="118" t="s">
        <v>150</v>
      </c>
      <c r="M126" s="118" t="s">
        <v>283</v>
      </c>
      <c r="O126" s="118" t="s">
        <v>402</v>
      </c>
      <c r="R126" s="118" t="s">
        <v>404</v>
      </c>
      <c r="S126" s="118" t="s">
        <v>1013</v>
      </c>
      <c r="T126" s="118" t="s">
        <v>1014</v>
      </c>
      <c r="U126" s="159"/>
      <c r="V126" s="159"/>
      <c r="W126" s="159"/>
      <c r="X126" s="159"/>
      <c r="Y126" s="129"/>
    </row>
    <row r="127" ht="12.75" customHeight="1">
      <c r="A127" s="158">
        <v>43515.32583059028</v>
      </c>
      <c r="B127" s="118" t="s">
        <v>1015</v>
      </c>
      <c r="C127" s="118" t="s">
        <v>1016</v>
      </c>
      <c r="D127" s="118" t="s">
        <v>1017</v>
      </c>
      <c r="E127" s="118" t="s">
        <v>1018</v>
      </c>
      <c r="F127" s="118" t="s">
        <v>1019</v>
      </c>
      <c r="G127" s="118" t="s">
        <v>1020</v>
      </c>
      <c r="H127" s="118" t="s">
        <v>63</v>
      </c>
      <c r="I127" s="118" t="s">
        <v>150</v>
      </c>
      <c r="N127" s="118" t="s">
        <v>1021</v>
      </c>
      <c r="O127" s="118" t="s">
        <v>277</v>
      </c>
      <c r="P127" s="118" t="s">
        <v>1022</v>
      </c>
      <c r="R127" s="118" t="s">
        <v>450</v>
      </c>
      <c r="S127" s="118" t="s">
        <v>1023</v>
      </c>
      <c r="T127" s="118" t="s">
        <v>1024</v>
      </c>
      <c r="U127" s="118" t="s">
        <v>1025</v>
      </c>
      <c r="V127" s="118" t="s">
        <v>1026</v>
      </c>
      <c r="Y127" s="129"/>
    </row>
    <row r="128">
      <c r="A128" s="158">
        <v>43524.49831216435</v>
      </c>
      <c r="B128" s="118" t="s">
        <v>1027</v>
      </c>
      <c r="C128" s="118" t="s">
        <v>1028</v>
      </c>
      <c r="D128" s="118" t="s">
        <v>1029</v>
      </c>
      <c r="E128" s="118" t="s">
        <v>1030</v>
      </c>
      <c r="F128" s="118" t="s">
        <v>430</v>
      </c>
      <c r="G128" s="118" t="s">
        <v>1020</v>
      </c>
      <c r="H128" s="118" t="s">
        <v>63</v>
      </c>
      <c r="I128" s="118" t="s">
        <v>399</v>
      </c>
      <c r="J128" s="118" t="s">
        <v>283</v>
      </c>
      <c r="K128" s="118" t="s">
        <v>288</v>
      </c>
      <c r="L128" s="118" t="s">
        <v>150</v>
      </c>
      <c r="M128" s="118" t="s">
        <v>400</v>
      </c>
      <c r="N128" s="118" t="s">
        <v>182</v>
      </c>
      <c r="O128" s="118" t="s">
        <v>277</v>
      </c>
      <c r="P128" s="118" t="s">
        <v>1031</v>
      </c>
      <c r="R128" s="118" t="s">
        <v>450</v>
      </c>
      <c r="S128" s="118" t="s">
        <v>1032</v>
      </c>
      <c r="T128" s="118" t="s">
        <v>1033</v>
      </c>
      <c r="U128" s="118" t="s">
        <v>1034</v>
      </c>
      <c r="V128" s="118" t="s">
        <v>1026</v>
      </c>
      <c r="W128" s="118" t="s">
        <v>1035</v>
      </c>
      <c r="X128" s="159"/>
      <c r="Y128" s="129"/>
    </row>
    <row r="129">
      <c r="A129" s="158">
        <v>43525.50388739583</v>
      </c>
      <c r="B129" s="118" t="s">
        <v>1036</v>
      </c>
      <c r="C129" s="118" t="s">
        <v>1037</v>
      </c>
      <c r="D129" s="118" t="s">
        <v>1038</v>
      </c>
      <c r="E129" s="118" t="s">
        <v>1039</v>
      </c>
      <c r="F129" s="118" t="s">
        <v>460</v>
      </c>
      <c r="G129" s="118" t="s">
        <v>1020</v>
      </c>
      <c r="H129" s="118" t="s">
        <v>63</v>
      </c>
      <c r="I129" s="118" t="s">
        <v>288</v>
      </c>
      <c r="J129" s="118" t="s">
        <v>399</v>
      </c>
      <c r="K129" s="118" t="s">
        <v>283</v>
      </c>
      <c r="N129" s="118" t="s">
        <v>1040</v>
      </c>
      <c r="O129" s="118" t="s">
        <v>277</v>
      </c>
      <c r="R129" s="118" t="s">
        <v>450</v>
      </c>
      <c r="S129" s="118" t="s">
        <v>1041</v>
      </c>
      <c r="T129" s="118" t="s">
        <v>1042</v>
      </c>
      <c r="U129" s="118" t="s">
        <v>1025</v>
      </c>
      <c r="V129" s="118" t="s">
        <v>1026</v>
      </c>
      <c r="Y129" s="129"/>
    </row>
    <row r="130" ht="17.25" customHeight="1">
      <c r="A130" s="158">
        <v>43530.323665868054</v>
      </c>
      <c r="B130" s="118" t="s">
        <v>1043</v>
      </c>
      <c r="C130" s="118" t="s">
        <v>648</v>
      </c>
      <c r="D130" s="118" t="s">
        <v>1044</v>
      </c>
      <c r="E130" s="118" t="s">
        <v>1045</v>
      </c>
      <c r="F130" s="118" t="s">
        <v>417</v>
      </c>
      <c r="G130" s="118" t="s">
        <v>1046</v>
      </c>
      <c r="H130" s="118" t="s">
        <v>63</v>
      </c>
      <c r="I130" s="118" t="s">
        <v>399</v>
      </c>
      <c r="J130" s="118" t="s">
        <v>288</v>
      </c>
      <c r="K130" s="118" t="s">
        <v>283</v>
      </c>
      <c r="L130" s="118" t="s">
        <v>400</v>
      </c>
      <c r="M130" s="118" t="s">
        <v>150</v>
      </c>
      <c r="N130" s="118" t="s">
        <v>1047</v>
      </c>
      <c r="O130" s="118" t="s">
        <v>277</v>
      </c>
      <c r="P130" s="118" t="s">
        <v>182</v>
      </c>
      <c r="R130" s="118" t="s">
        <v>450</v>
      </c>
      <c r="S130" s="118" t="s">
        <v>1048</v>
      </c>
      <c r="T130" s="118" t="s">
        <v>1049</v>
      </c>
      <c r="U130" s="118" t="s">
        <v>1050</v>
      </c>
      <c r="V130" s="118" t="s">
        <v>1026</v>
      </c>
      <c r="W130" s="118" t="s">
        <v>1051</v>
      </c>
      <c r="X130" s="159"/>
      <c r="Y130" s="129"/>
    </row>
    <row r="131">
      <c r="A131" s="158">
        <v>43531.57807722222</v>
      </c>
      <c r="B131" s="118" t="s">
        <v>1052</v>
      </c>
      <c r="C131" s="118" t="s">
        <v>1053</v>
      </c>
      <c r="E131" s="118" t="s">
        <v>1054</v>
      </c>
      <c r="F131" s="118" t="s">
        <v>430</v>
      </c>
      <c r="G131" s="118" t="s">
        <v>1055</v>
      </c>
      <c r="H131" s="118" t="s">
        <v>276</v>
      </c>
      <c r="O131" s="118" t="s">
        <v>277</v>
      </c>
      <c r="P131" s="118" t="s">
        <v>1056</v>
      </c>
      <c r="R131" s="118" t="s">
        <v>404</v>
      </c>
      <c r="S131" s="118" t="s">
        <v>1057</v>
      </c>
      <c r="T131" s="118" t="s">
        <v>1058</v>
      </c>
      <c r="U131" s="118" t="s">
        <v>1059</v>
      </c>
      <c r="V131" s="118" t="s">
        <v>1026</v>
      </c>
      <c r="W131" s="118" t="s">
        <v>1060</v>
      </c>
      <c r="X131" s="159"/>
      <c r="Y131" s="129"/>
    </row>
    <row r="132">
      <c r="A132" s="158">
        <v>43531.60836384259</v>
      </c>
      <c r="B132" s="118" t="s">
        <v>1061</v>
      </c>
      <c r="C132" s="118" t="s">
        <v>1062</v>
      </c>
      <c r="D132" s="118" t="s">
        <v>1063</v>
      </c>
      <c r="E132" s="118" t="s">
        <v>1064</v>
      </c>
      <c r="F132" s="118" t="s">
        <v>1065</v>
      </c>
      <c r="G132" s="118" t="s">
        <v>1066</v>
      </c>
      <c r="H132" s="118" t="s">
        <v>63</v>
      </c>
      <c r="I132" s="118" t="s">
        <v>399</v>
      </c>
      <c r="J132" s="91" t="s">
        <v>283</v>
      </c>
      <c r="K132" s="118" t="s">
        <v>288</v>
      </c>
      <c r="O132" s="118" t="s">
        <v>402</v>
      </c>
      <c r="R132" s="118" t="s">
        <v>404</v>
      </c>
      <c r="S132" s="118" t="s">
        <v>1067</v>
      </c>
      <c r="T132" s="118" t="s">
        <v>1068</v>
      </c>
      <c r="U132" s="118" t="s">
        <v>1059</v>
      </c>
      <c r="V132" s="118" t="s">
        <v>1069</v>
      </c>
      <c r="Y132" s="129"/>
    </row>
    <row r="133" ht="15.0" customHeight="1">
      <c r="A133" s="158">
        <v>43531.617576516204</v>
      </c>
      <c r="B133" s="118" t="s">
        <v>1070</v>
      </c>
      <c r="C133" s="118" t="s">
        <v>1071</v>
      </c>
      <c r="D133" s="118" t="s">
        <v>1072</v>
      </c>
      <c r="E133" s="118" t="s">
        <v>1073</v>
      </c>
      <c r="F133" s="118" t="s">
        <v>430</v>
      </c>
      <c r="G133" s="118" t="s">
        <v>1074</v>
      </c>
      <c r="H133" s="118" t="s">
        <v>63</v>
      </c>
      <c r="I133" s="118" t="s">
        <v>400</v>
      </c>
      <c r="J133" s="118" t="s">
        <v>399</v>
      </c>
      <c r="K133" s="118" t="s">
        <v>288</v>
      </c>
      <c r="L133" s="118" t="s">
        <v>283</v>
      </c>
      <c r="M133" s="118" t="s">
        <v>150</v>
      </c>
      <c r="N133" s="118" t="s">
        <v>1075</v>
      </c>
      <c r="O133" s="118" t="s">
        <v>277</v>
      </c>
      <c r="P133" s="118" t="s">
        <v>1076</v>
      </c>
      <c r="R133" s="118" t="s">
        <v>450</v>
      </c>
      <c r="S133" s="118" t="s">
        <v>1077</v>
      </c>
      <c r="U133" s="118" t="s">
        <v>1034</v>
      </c>
      <c r="V133" s="118" t="s">
        <v>1026</v>
      </c>
      <c r="W133" s="118" t="s">
        <v>1078</v>
      </c>
      <c r="X133" s="159"/>
      <c r="Y133" s="129"/>
    </row>
    <row r="134" ht="17.25" customHeight="1">
      <c r="A134" s="158">
        <v>43535.006761145836</v>
      </c>
      <c r="B134" s="118" t="s">
        <v>1079</v>
      </c>
      <c r="C134" s="118" t="s">
        <v>1080</v>
      </c>
      <c r="D134" s="118" t="s">
        <v>1081</v>
      </c>
      <c r="E134" s="118" t="s">
        <v>1082</v>
      </c>
      <c r="F134" s="118" t="s">
        <v>460</v>
      </c>
      <c r="G134" s="118" t="s">
        <v>1083</v>
      </c>
      <c r="H134" s="118" t="s">
        <v>63</v>
      </c>
      <c r="I134" s="118" t="s">
        <v>283</v>
      </c>
      <c r="J134" s="118" t="s">
        <v>400</v>
      </c>
      <c r="K134" s="118" t="s">
        <v>399</v>
      </c>
      <c r="L134" s="118" t="s">
        <v>150</v>
      </c>
      <c r="M134" s="118" t="s">
        <v>288</v>
      </c>
      <c r="N134" s="118" t="s">
        <v>1084</v>
      </c>
      <c r="O134" s="118" t="s">
        <v>277</v>
      </c>
      <c r="P134" s="118" t="s">
        <v>1085</v>
      </c>
      <c r="R134" s="118" t="s">
        <v>404</v>
      </c>
      <c r="S134" s="118" t="s">
        <v>1086</v>
      </c>
      <c r="T134" s="118" t="s">
        <v>1087</v>
      </c>
      <c r="U134" s="118" t="s">
        <v>1025</v>
      </c>
      <c r="V134" s="118" t="s">
        <v>1088</v>
      </c>
      <c r="W134" s="118" t="s">
        <v>35</v>
      </c>
      <c r="X134" s="159"/>
      <c r="Y134" s="129"/>
    </row>
    <row r="135">
      <c r="A135" s="158">
        <v>43537.38783907407</v>
      </c>
      <c r="B135" s="118" t="s">
        <v>1089</v>
      </c>
      <c r="C135" s="118" t="s">
        <v>452</v>
      </c>
      <c r="D135" s="118" t="s">
        <v>1090</v>
      </c>
      <c r="E135" s="118" t="s">
        <v>1091</v>
      </c>
      <c r="F135" s="118" t="s">
        <v>1065</v>
      </c>
      <c r="G135" s="118" t="s">
        <v>1020</v>
      </c>
      <c r="H135" s="118" t="s">
        <v>276</v>
      </c>
      <c r="O135" s="118" t="s">
        <v>402</v>
      </c>
      <c r="R135" s="118" t="s">
        <v>450</v>
      </c>
      <c r="S135" s="118" t="s">
        <v>1092</v>
      </c>
      <c r="T135" s="118" t="s">
        <v>1093</v>
      </c>
      <c r="U135" s="118" t="s">
        <v>1094</v>
      </c>
      <c r="V135" s="118" t="s">
        <v>1026</v>
      </c>
      <c r="Y135" s="129"/>
    </row>
    <row r="136">
      <c r="A136" s="158">
        <v>43542.63785333333</v>
      </c>
      <c r="B136" s="118" t="s">
        <v>1095</v>
      </c>
      <c r="C136" s="118" t="s">
        <v>712</v>
      </c>
      <c r="D136" s="118" t="s">
        <v>1096</v>
      </c>
      <c r="E136" s="118" t="s">
        <v>1097</v>
      </c>
      <c r="F136" s="118" t="s">
        <v>491</v>
      </c>
      <c r="G136" s="118" t="s">
        <v>1098</v>
      </c>
      <c r="H136" s="118" t="s">
        <v>63</v>
      </c>
      <c r="I136" s="118" t="s">
        <v>399</v>
      </c>
      <c r="J136" s="118" t="s">
        <v>288</v>
      </c>
      <c r="N136" s="118" t="s">
        <v>1099</v>
      </c>
      <c r="O136" s="118" t="s">
        <v>402</v>
      </c>
      <c r="P136" s="118" t="s">
        <v>107</v>
      </c>
      <c r="R136" s="118" t="s">
        <v>404</v>
      </c>
      <c r="S136" s="118" t="s">
        <v>1100</v>
      </c>
      <c r="T136" s="118" t="s">
        <v>107</v>
      </c>
      <c r="U136" s="118" t="s">
        <v>1034</v>
      </c>
      <c r="V136" s="118" t="s">
        <v>1088</v>
      </c>
      <c r="W136" s="118" t="s">
        <v>1101</v>
      </c>
      <c r="X136" s="159"/>
      <c r="Y136" s="129"/>
    </row>
    <row r="137">
      <c r="A137" s="158">
        <v>43543.44051402778</v>
      </c>
      <c r="B137" s="118" t="s">
        <v>1102</v>
      </c>
      <c r="C137" s="118" t="s">
        <v>748</v>
      </c>
      <c r="E137" s="118" t="s">
        <v>1103</v>
      </c>
      <c r="F137" s="118" t="s">
        <v>430</v>
      </c>
      <c r="G137" s="118" t="s">
        <v>1020</v>
      </c>
      <c r="H137" s="118" t="s">
        <v>63</v>
      </c>
      <c r="I137" s="118" t="s">
        <v>288</v>
      </c>
      <c r="J137" s="118" t="s">
        <v>399</v>
      </c>
      <c r="K137" s="118" t="s">
        <v>400</v>
      </c>
      <c r="L137" s="118" t="s">
        <v>283</v>
      </c>
      <c r="M137" s="118" t="s">
        <v>150</v>
      </c>
      <c r="N137" s="118" t="s">
        <v>1104</v>
      </c>
      <c r="O137" s="118" t="s">
        <v>277</v>
      </c>
      <c r="P137" s="118" t="s">
        <v>1105</v>
      </c>
      <c r="R137" s="118" t="s">
        <v>450</v>
      </c>
      <c r="S137" s="118" t="s">
        <v>1106</v>
      </c>
      <c r="T137" s="118" t="s">
        <v>1107</v>
      </c>
      <c r="U137" s="118" t="s">
        <v>1025</v>
      </c>
      <c r="V137" s="118" t="s">
        <v>1026</v>
      </c>
      <c r="W137" s="118" t="s">
        <v>1078</v>
      </c>
      <c r="X137" s="159"/>
      <c r="Y137" s="129"/>
    </row>
    <row r="138">
      <c r="A138" s="158">
        <v>43549.5145897801</v>
      </c>
      <c r="B138" s="118" t="s">
        <v>1108</v>
      </c>
      <c r="C138" s="118" t="s">
        <v>1109</v>
      </c>
      <c r="D138" s="118" t="s">
        <v>1110</v>
      </c>
      <c r="E138" s="118" t="s">
        <v>1111</v>
      </c>
      <c r="F138" s="118" t="s">
        <v>430</v>
      </c>
      <c r="G138" s="118" t="s">
        <v>1074</v>
      </c>
      <c r="H138" s="118" t="s">
        <v>276</v>
      </c>
      <c r="O138" s="118" t="s">
        <v>182</v>
      </c>
      <c r="P138" s="118" t="s">
        <v>1112</v>
      </c>
      <c r="R138" s="118" t="s">
        <v>404</v>
      </c>
      <c r="S138" s="118" t="s">
        <v>1113</v>
      </c>
      <c r="T138" s="118" t="s">
        <v>1114</v>
      </c>
      <c r="U138" s="118" t="s">
        <v>1059</v>
      </c>
      <c r="V138" s="118" t="s">
        <v>1026</v>
      </c>
      <c r="W138" s="118" t="s">
        <v>1078</v>
      </c>
      <c r="X138" s="159"/>
      <c r="Y138" s="129"/>
    </row>
    <row r="139">
      <c r="A139" s="158">
        <v>43549.53046127315</v>
      </c>
      <c r="B139" s="118" t="s">
        <v>1115</v>
      </c>
      <c r="C139" s="118" t="s">
        <v>1116</v>
      </c>
      <c r="D139" s="118" t="s">
        <v>1117</v>
      </c>
      <c r="E139" s="118" t="s">
        <v>1118</v>
      </c>
      <c r="F139" s="118" t="s">
        <v>430</v>
      </c>
      <c r="G139" s="118" t="s">
        <v>1055</v>
      </c>
      <c r="H139" s="118" t="s">
        <v>63</v>
      </c>
      <c r="I139" s="118" t="s">
        <v>288</v>
      </c>
      <c r="J139" s="118" t="s">
        <v>283</v>
      </c>
      <c r="N139" s="118" t="s">
        <v>1119</v>
      </c>
      <c r="O139" s="118" t="s">
        <v>402</v>
      </c>
      <c r="P139" s="118" t="s">
        <v>1120</v>
      </c>
      <c r="R139" s="118" t="s">
        <v>450</v>
      </c>
      <c r="S139" s="118" t="s">
        <v>1121</v>
      </c>
      <c r="T139" s="118" t="s">
        <v>1122</v>
      </c>
      <c r="U139" s="118" t="s">
        <v>1025</v>
      </c>
      <c r="V139" s="118" t="s">
        <v>1026</v>
      </c>
      <c r="W139" s="118" t="s">
        <v>1078</v>
      </c>
      <c r="X139" s="159"/>
      <c r="Y139" s="129"/>
    </row>
    <row r="140">
      <c r="A140" s="158">
        <v>43549.67094309028</v>
      </c>
      <c r="B140" s="118" t="s">
        <v>1123</v>
      </c>
      <c r="C140" s="118" t="s">
        <v>1124</v>
      </c>
      <c r="D140" s="118" t="s">
        <v>1125</v>
      </c>
      <c r="E140" s="118" t="s">
        <v>1126</v>
      </c>
      <c r="F140" s="118" t="s">
        <v>430</v>
      </c>
      <c r="G140" s="118" t="s">
        <v>1098</v>
      </c>
      <c r="H140" s="118" t="s">
        <v>63</v>
      </c>
      <c r="I140" s="118" t="s">
        <v>288</v>
      </c>
      <c r="J140" s="118" t="s">
        <v>150</v>
      </c>
      <c r="K140" s="118" t="s">
        <v>283</v>
      </c>
      <c r="L140" s="118" t="s">
        <v>400</v>
      </c>
      <c r="M140" s="118" t="s">
        <v>399</v>
      </c>
      <c r="N140" s="118" t="s">
        <v>1127</v>
      </c>
      <c r="O140" s="118" t="s">
        <v>277</v>
      </c>
      <c r="R140" s="118" t="s">
        <v>450</v>
      </c>
      <c r="S140" s="118" t="s">
        <v>1128</v>
      </c>
      <c r="T140" s="118" t="s">
        <v>1129</v>
      </c>
      <c r="U140" s="118" t="s">
        <v>1130</v>
      </c>
      <c r="V140" s="118" t="s">
        <v>1026</v>
      </c>
      <c r="W140" s="118" t="s">
        <v>1131</v>
      </c>
      <c r="X140" s="159"/>
      <c r="Y140" s="129"/>
    </row>
    <row r="141">
      <c r="A141" s="158">
        <v>43550.17733546296</v>
      </c>
      <c r="B141" s="118" t="s">
        <v>1132</v>
      </c>
      <c r="C141" s="118" t="s">
        <v>1133</v>
      </c>
      <c r="D141" s="118" t="s">
        <v>1134</v>
      </c>
      <c r="E141" s="118" t="s">
        <v>1135</v>
      </c>
      <c r="F141" s="118" t="s">
        <v>430</v>
      </c>
      <c r="G141" s="118" t="s">
        <v>1074</v>
      </c>
      <c r="H141" s="118" t="s">
        <v>63</v>
      </c>
      <c r="I141" s="118" t="s">
        <v>150</v>
      </c>
      <c r="J141" s="118" t="s">
        <v>399</v>
      </c>
      <c r="K141" s="118" t="s">
        <v>400</v>
      </c>
      <c r="L141" s="118" t="s">
        <v>288</v>
      </c>
      <c r="M141" s="118" t="s">
        <v>283</v>
      </c>
      <c r="N141" s="118" t="s">
        <v>1136</v>
      </c>
      <c r="O141" s="118" t="s">
        <v>402</v>
      </c>
      <c r="R141" s="118" t="s">
        <v>450</v>
      </c>
      <c r="S141" s="118" t="s">
        <v>1137</v>
      </c>
      <c r="T141" s="118" t="s">
        <v>1138</v>
      </c>
      <c r="U141" s="118" t="s">
        <v>1025</v>
      </c>
      <c r="V141" s="118" t="s">
        <v>1026</v>
      </c>
      <c r="W141" s="118" t="s">
        <v>1139</v>
      </c>
      <c r="X141" s="159"/>
      <c r="Y141" s="129"/>
    </row>
    <row r="142">
      <c r="A142" s="158">
        <v>43551.42424122685</v>
      </c>
      <c r="B142" s="118" t="s">
        <v>1140</v>
      </c>
      <c r="C142" s="118" t="s">
        <v>1141</v>
      </c>
      <c r="D142" s="118" t="s">
        <v>1142</v>
      </c>
      <c r="E142" s="118" t="s">
        <v>1143</v>
      </c>
      <c r="F142" s="118" t="s">
        <v>417</v>
      </c>
      <c r="G142" s="118" t="s">
        <v>1144</v>
      </c>
      <c r="H142" s="118" t="s">
        <v>276</v>
      </c>
      <c r="I142" s="118" t="s">
        <v>400</v>
      </c>
      <c r="O142" s="118" t="s">
        <v>402</v>
      </c>
      <c r="R142" s="118" t="s">
        <v>404</v>
      </c>
      <c r="S142" s="118" t="s">
        <v>1145</v>
      </c>
      <c r="T142" s="118" t="s">
        <v>1146</v>
      </c>
      <c r="U142" s="118" t="s">
        <v>1059</v>
      </c>
      <c r="V142" s="118" t="s">
        <v>1147</v>
      </c>
      <c r="Y142" s="129"/>
    </row>
    <row r="143">
      <c r="A143" s="158">
        <v>43556.9679415162</v>
      </c>
      <c r="B143" s="118" t="s">
        <v>1148</v>
      </c>
      <c r="C143" s="118" t="s">
        <v>1149</v>
      </c>
      <c r="D143" s="118" t="s">
        <v>1150</v>
      </c>
      <c r="E143" s="118" t="s">
        <v>1151</v>
      </c>
      <c r="F143" s="118" t="s">
        <v>409</v>
      </c>
      <c r="G143" s="118" t="s">
        <v>1083</v>
      </c>
      <c r="H143" s="118" t="s">
        <v>276</v>
      </c>
      <c r="I143" s="118" t="s">
        <v>288</v>
      </c>
      <c r="J143" s="118" t="s">
        <v>399</v>
      </c>
      <c r="K143" s="118" t="s">
        <v>400</v>
      </c>
      <c r="L143" s="118" t="s">
        <v>283</v>
      </c>
      <c r="M143" s="118" t="s">
        <v>150</v>
      </c>
      <c r="N143" s="118" t="s">
        <v>1152</v>
      </c>
      <c r="O143" s="118" t="s">
        <v>182</v>
      </c>
      <c r="P143" s="118" t="s">
        <v>130</v>
      </c>
      <c r="R143" s="118" t="s">
        <v>450</v>
      </c>
      <c r="S143" s="118" t="s">
        <v>1153</v>
      </c>
      <c r="T143" s="118" t="s">
        <v>1154</v>
      </c>
      <c r="U143" s="118" t="s">
        <v>1094</v>
      </c>
      <c r="V143" s="118" t="s">
        <v>1155</v>
      </c>
      <c r="Y143" s="129"/>
    </row>
    <row r="144" ht="15.0" customHeight="1">
      <c r="A144" s="168">
        <v>43558.13699107639</v>
      </c>
      <c r="B144" s="169" t="s">
        <v>1156</v>
      </c>
      <c r="C144" s="169" t="s">
        <v>1157</v>
      </c>
      <c r="D144" s="169" t="s">
        <v>1158</v>
      </c>
      <c r="E144" s="169" t="s">
        <v>1159</v>
      </c>
      <c r="F144" s="169" t="s">
        <v>1160</v>
      </c>
      <c r="G144" s="169" t="s">
        <v>1161</v>
      </c>
      <c r="H144" s="169" t="s">
        <v>63</v>
      </c>
      <c r="I144" s="169" t="s">
        <v>288</v>
      </c>
      <c r="J144" s="169" t="s">
        <v>399</v>
      </c>
      <c r="K144" s="170"/>
      <c r="L144" s="170"/>
      <c r="M144" s="170"/>
      <c r="N144" s="169" t="s">
        <v>1162</v>
      </c>
      <c r="O144" s="169" t="s">
        <v>277</v>
      </c>
      <c r="P144" s="169" t="s">
        <v>1163</v>
      </c>
      <c r="Q144" s="170"/>
      <c r="R144" s="169" t="s">
        <v>404</v>
      </c>
      <c r="S144" s="169" t="s">
        <v>1164</v>
      </c>
      <c r="T144" s="169" t="s">
        <v>487</v>
      </c>
      <c r="U144" s="169" t="s">
        <v>1025</v>
      </c>
      <c r="V144" s="169" t="s">
        <v>1026</v>
      </c>
      <c r="W144" s="170"/>
      <c r="X144" s="170"/>
      <c r="Y144" s="171"/>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row>
    <row r="145">
      <c r="A145" s="158">
        <v>43558.60590172454</v>
      </c>
      <c r="B145" s="118" t="s">
        <v>1165</v>
      </c>
      <c r="C145" s="118" t="s">
        <v>1166</v>
      </c>
      <c r="D145" s="118" t="s">
        <v>1167</v>
      </c>
      <c r="E145" s="118" t="s">
        <v>1168</v>
      </c>
      <c r="F145" s="118" t="s">
        <v>699</v>
      </c>
      <c r="G145" s="118" t="s">
        <v>1169</v>
      </c>
      <c r="H145" s="118" t="s">
        <v>63</v>
      </c>
      <c r="I145" s="118" t="s">
        <v>288</v>
      </c>
      <c r="N145" s="118" t="s">
        <v>1170</v>
      </c>
      <c r="O145" s="118" t="s">
        <v>402</v>
      </c>
      <c r="P145" s="118" t="s">
        <v>1171</v>
      </c>
      <c r="R145" s="118" t="s">
        <v>450</v>
      </c>
      <c r="S145" s="118" t="s">
        <v>1172</v>
      </c>
      <c r="T145" s="118" t="s">
        <v>1173</v>
      </c>
      <c r="U145" s="118" t="s">
        <v>1174</v>
      </c>
      <c r="V145" s="118" t="s">
        <v>1175</v>
      </c>
      <c r="Y145" s="129"/>
    </row>
    <row r="146">
      <c r="A146" s="158">
        <v>43558.62698700231</v>
      </c>
      <c r="B146" s="118" t="s">
        <v>1176</v>
      </c>
      <c r="C146" s="118" t="s">
        <v>1177</v>
      </c>
      <c r="D146" s="118" t="s">
        <v>1178</v>
      </c>
      <c r="E146" s="118" t="s">
        <v>1179</v>
      </c>
      <c r="F146" s="118" t="s">
        <v>430</v>
      </c>
      <c r="G146" s="118" t="s">
        <v>1098</v>
      </c>
      <c r="H146" s="118" t="s">
        <v>63</v>
      </c>
      <c r="I146" s="118" t="s">
        <v>288</v>
      </c>
      <c r="J146" s="118" t="s">
        <v>400</v>
      </c>
      <c r="K146" s="118" t="s">
        <v>399</v>
      </c>
      <c r="N146" s="118" t="s">
        <v>1180</v>
      </c>
      <c r="O146" s="118" t="s">
        <v>402</v>
      </c>
      <c r="P146" s="118" t="s">
        <v>1181</v>
      </c>
      <c r="R146" s="118" t="s">
        <v>404</v>
      </c>
      <c r="S146" s="118" t="s">
        <v>1182</v>
      </c>
      <c r="T146" s="118" t="s">
        <v>1183</v>
      </c>
      <c r="U146" s="118" t="s">
        <v>1059</v>
      </c>
      <c r="V146" s="118" t="s">
        <v>1026</v>
      </c>
      <c r="W146" s="118" t="s">
        <v>1078</v>
      </c>
      <c r="X146" s="159"/>
      <c r="Y146" s="129"/>
    </row>
    <row r="147">
      <c r="A147" s="158">
        <v>43558.975779976856</v>
      </c>
      <c r="B147" s="118" t="s">
        <v>1184</v>
      </c>
      <c r="C147" s="118" t="s">
        <v>1185</v>
      </c>
      <c r="D147" s="118" t="s">
        <v>1186</v>
      </c>
      <c r="E147" s="118" t="s">
        <v>1187</v>
      </c>
      <c r="F147" s="118" t="s">
        <v>528</v>
      </c>
      <c r="G147" s="118" t="s">
        <v>1188</v>
      </c>
      <c r="H147" s="118" t="s">
        <v>63</v>
      </c>
      <c r="I147" s="118" t="s">
        <v>399</v>
      </c>
      <c r="J147" s="118" t="s">
        <v>288</v>
      </c>
      <c r="K147" s="118" t="s">
        <v>400</v>
      </c>
      <c r="L147" s="118" t="s">
        <v>283</v>
      </c>
      <c r="M147" s="118" t="s">
        <v>150</v>
      </c>
      <c r="N147" s="118" t="s">
        <v>1189</v>
      </c>
      <c r="O147" s="118" t="s">
        <v>277</v>
      </c>
      <c r="P147" s="118" t="s">
        <v>1190</v>
      </c>
      <c r="R147" s="118" t="s">
        <v>450</v>
      </c>
      <c r="S147" s="118" t="s">
        <v>1191</v>
      </c>
      <c r="T147" s="118" t="s">
        <v>1192</v>
      </c>
      <c r="U147" s="118" t="s">
        <v>1034</v>
      </c>
      <c r="V147" s="118" t="s">
        <v>1147</v>
      </c>
      <c r="W147" s="118" t="s">
        <v>1078</v>
      </c>
      <c r="X147" s="159"/>
      <c r="Y147" s="129"/>
    </row>
    <row r="148">
      <c r="A148" s="158">
        <v>43559.45062822917</v>
      </c>
      <c r="B148" s="118" t="s">
        <v>1193</v>
      </c>
      <c r="C148" s="118" t="s">
        <v>1194</v>
      </c>
      <c r="D148" s="118" t="s">
        <v>1195</v>
      </c>
      <c r="E148" s="118" t="s">
        <v>1196</v>
      </c>
      <c r="F148" s="118" t="s">
        <v>528</v>
      </c>
      <c r="G148" s="118" t="s">
        <v>1197</v>
      </c>
      <c r="H148" s="118" t="s">
        <v>63</v>
      </c>
      <c r="I148" s="118" t="s">
        <v>288</v>
      </c>
      <c r="J148" s="118" t="s">
        <v>399</v>
      </c>
      <c r="N148" s="118" t="s">
        <v>1198</v>
      </c>
      <c r="O148" s="118" t="s">
        <v>182</v>
      </c>
      <c r="P148" s="118" t="s">
        <v>1199</v>
      </c>
      <c r="R148" s="118" t="s">
        <v>404</v>
      </c>
      <c r="S148" s="118" t="s">
        <v>1200</v>
      </c>
      <c r="T148" s="118" t="s">
        <v>1201</v>
      </c>
      <c r="U148" s="118" t="s">
        <v>1025</v>
      </c>
      <c r="V148" s="118" t="s">
        <v>1147</v>
      </c>
      <c r="W148" s="118" t="s">
        <v>1202</v>
      </c>
      <c r="X148" s="159"/>
      <c r="Y148" s="129"/>
    </row>
    <row r="149">
      <c r="A149" s="158">
        <v>43559.490003969906</v>
      </c>
      <c r="B149" s="118" t="s">
        <v>1203</v>
      </c>
      <c r="C149" s="118" t="s">
        <v>629</v>
      </c>
      <c r="D149" s="118" t="s">
        <v>1204</v>
      </c>
      <c r="E149" s="118" t="s">
        <v>1205</v>
      </c>
      <c r="F149" s="118" t="s">
        <v>460</v>
      </c>
      <c r="G149" s="118" t="s">
        <v>1206</v>
      </c>
      <c r="H149" s="118" t="s">
        <v>63</v>
      </c>
      <c r="I149" s="118" t="s">
        <v>288</v>
      </c>
      <c r="J149" s="118" t="s">
        <v>399</v>
      </c>
      <c r="K149" s="118" t="s">
        <v>400</v>
      </c>
      <c r="L149" s="118" t="s">
        <v>283</v>
      </c>
      <c r="N149" s="118" t="s">
        <v>1207</v>
      </c>
      <c r="O149" s="118" t="s">
        <v>402</v>
      </c>
      <c r="P149" s="118" t="s">
        <v>1208</v>
      </c>
      <c r="R149" s="118" t="s">
        <v>404</v>
      </c>
      <c r="S149" s="118" t="s">
        <v>1209</v>
      </c>
      <c r="T149" s="118" t="s">
        <v>1210</v>
      </c>
      <c r="U149" s="118" t="s">
        <v>1034</v>
      </c>
      <c r="V149" s="118" t="s">
        <v>1147</v>
      </c>
      <c r="W149" s="118" t="s">
        <v>1211</v>
      </c>
      <c r="X149" s="159"/>
      <c r="Y149" s="129"/>
    </row>
    <row r="150">
      <c r="A150" s="158">
        <v>43560.447733368055</v>
      </c>
      <c r="B150" s="118" t="s">
        <v>1212</v>
      </c>
      <c r="C150" s="118" t="s">
        <v>1213</v>
      </c>
      <c r="D150" s="118" t="s">
        <v>1214</v>
      </c>
      <c r="F150" s="118" t="s">
        <v>430</v>
      </c>
      <c r="G150" s="118" t="s">
        <v>1215</v>
      </c>
      <c r="H150" s="118" t="s">
        <v>63</v>
      </c>
      <c r="I150" s="118" t="s">
        <v>400</v>
      </c>
      <c r="J150" s="118" t="s">
        <v>399</v>
      </c>
      <c r="K150" s="118" t="s">
        <v>288</v>
      </c>
      <c r="N150" s="118" t="s">
        <v>1216</v>
      </c>
      <c r="O150" s="118" t="s">
        <v>402</v>
      </c>
      <c r="P150" s="118" t="s">
        <v>1217</v>
      </c>
      <c r="R150" s="118" t="s">
        <v>404</v>
      </c>
      <c r="S150" s="118" t="s">
        <v>1218</v>
      </c>
      <c r="T150" s="118" t="s">
        <v>1219</v>
      </c>
      <c r="U150" s="118" t="s">
        <v>1025</v>
      </c>
      <c r="V150" s="118" t="s">
        <v>1026</v>
      </c>
      <c r="W150" s="118" t="s">
        <v>1078</v>
      </c>
      <c r="X150" s="159"/>
      <c r="Y150" s="156" t="s">
        <v>1220</v>
      </c>
    </row>
    <row r="151">
      <c r="A151" s="158">
        <v>43560.45181064815</v>
      </c>
      <c r="B151" s="118" t="s">
        <v>1221</v>
      </c>
      <c r="C151" s="118" t="s">
        <v>1222</v>
      </c>
      <c r="E151" s="118" t="s">
        <v>1223</v>
      </c>
      <c r="F151" s="118" t="s">
        <v>430</v>
      </c>
      <c r="G151" s="118" t="s">
        <v>1188</v>
      </c>
      <c r="H151" s="118" t="s">
        <v>63</v>
      </c>
      <c r="I151" s="118" t="s">
        <v>288</v>
      </c>
      <c r="J151" s="118" t="s">
        <v>399</v>
      </c>
      <c r="K151" s="118" t="s">
        <v>400</v>
      </c>
      <c r="N151" s="118" t="s">
        <v>1224</v>
      </c>
      <c r="O151" s="118" t="s">
        <v>402</v>
      </c>
      <c r="P151" s="118" t="s">
        <v>1225</v>
      </c>
      <c r="R151" s="118" t="s">
        <v>404</v>
      </c>
      <c r="S151" s="118" t="s">
        <v>1226</v>
      </c>
      <c r="T151" s="118" t="s">
        <v>1227</v>
      </c>
      <c r="U151" s="118" t="s">
        <v>1034</v>
      </c>
      <c r="V151" s="118" t="s">
        <v>1026</v>
      </c>
      <c r="W151" s="118" t="s">
        <v>1228</v>
      </c>
      <c r="X151" s="159"/>
      <c r="Y151" s="129"/>
    </row>
    <row r="152">
      <c r="A152" s="158">
        <v>43560.45312697916</v>
      </c>
      <c r="B152" s="118" t="s">
        <v>1229</v>
      </c>
      <c r="C152" s="118" t="s">
        <v>1230</v>
      </c>
      <c r="E152" s="118" t="s">
        <v>1231</v>
      </c>
      <c r="F152" s="118" t="s">
        <v>430</v>
      </c>
      <c r="G152" s="118" t="s">
        <v>1232</v>
      </c>
      <c r="H152" s="118" t="s">
        <v>63</v>
      </c>
      <c r="I152" s="118" t="s">
        <v>399</v>
      </c>
      <c r="J152" s="118" t="s">
        <v>288</v>
      </c>
      <c r="K152" s="118" t="s">
        <v>400</v>
      </c>
      <c r="L152" s="118" t="s">
        <v>150</v>
      </c>
      <c r="N152" s="118" t="s">
        <v>1233</v>
      </c>
      <c r="O152" s="118" t="s">
        <v>402</v>
      </c>
      <c r="R152" s="118" t="s">
        <v>450</v>
      </c>
      <c r="S152" s="118" t="s">
        <v>1234</v>
      </c>
      <c r="T152" s="118" t="s">
        <v>1235</v>
      </c>
      <c r="U152" s="118" t="s">
        <v>1025</v>
      </c>
      <c r="V152" s="118" t="s">
        <v>1026</v>
      </c>
      <c r="Y152" s="129"/>
    </row>
    <row r="153">
      <c r="A153" s="158">
        <v>43560.47645966435</v>
      </c>
      <c r="B153" s="118" t="s">
        <v>1236</v>
      </c>
      <c r="C153" s="118" t="s">
        <v>1237</v>
      </c>
      <c r="D153" s="118" t="s">
        <v>1238</v>
      </c>
      <c r="E153" s="118" t="s">
        <v>1239</v>
      </c>
      <c r="F153" s="118" t="s">
        <v>528</v>
      </c>
      <c r="G153" s="118" t="s">
        <v>1215</v>
      </c>
      <c r="H153" s="118" t="s">
        <v>63</v>
      </c>
      <c r="I153" s="118" t="s">
        <v>399</v>
      </c>
      <c r="J153" s="118" t="s">
        <v>400</v>
      </c>
      <c r="N153" s="118" t="s">
        <v>1240</v>
      </c>
      <c r="O153" s="118" t="s">
        <v>182</v>
      </c>
      <c r="P153" s="118" t="s">
        <v>1241</v>
      </c>
      <c r="R153" s="118" t="s">
        <v>404</v>
      </c>
      <c r="S153" s="118" t="s">
        <v>1242</v>
      </c>
      <c r="T153" s="118" t="s">
        <v>1243</v>
      </c>
      <c r="U153" s="118" t="s">
        <v>1059</v>
      </c>
      <c r="V153" s="118" t="s">
        <v>1244</v>
      </c>
      <c r="W153" s="118" t="s">
        <v>1078</v>
      </c>
      <c r="X153" s="159"/>
      <c r="Y153" s="129"/>
    </row>
    <row r="154">
      <c r="A154" s="158">
        <v>43560.5073359838</v>
      </c>
      <c r="B154" s="118" t="s">
        <v>1245</v>
      </c>
      <c r="C154" s="118" t="s">
        <v>1246</v>
      </c>
      <c r="E154" s="118" t="s">
        <v>1247</v>
      </c>
      <c r="F154" s="118" t="s">
        <v>1019</v>
      </c>
      <c r="G154" s="118" t="s">
        <v>1020</v>
      </c>
      <c r="H154" s="118" t="s">
        <v>63</v>
      </c>
      <c r="I154" s="118" t="s">
        <v>288</v>
      </c>
      <c r="J154" s="118" t="s">
        <v>399</v>
      </c>
      <c r="K154" s="118" t="s">
        <v>283</v>
      </c>
      <c r="N154" s="118" t="s">
        <v>1248</v>
      </c>
      <c r="O154" s="118" t="s">
        <v>402</v>
      </c>
      <c r="P154" s="118" t="s">
        <v>1249</v>
      </c>
      <c r="R154" s="118" t="s">
        <v>450</v>
      </c>
      <c r="S154" s="118" t="s">
        <v>1250</v>
      </c>
      <c r="T154" s="118" t="s">
        <v>1251</v>
      </c>
      <c r="U154" s="118" t="s">
        <v>1025</v>
      </c>
      <c r="V154" s="118" t="s">
        <v>1088</v>
      </c>
      <c r="W154" s="118" t="s">
        <v>1252</v>
      </c>
      <c r="X154" s="159"/>
      <c r="Y154" s="129"/>
    </row>
    <row r="155">
      <c r="A155" s="158">
        <v>43560.65032049768</v>
      </c>
      <c r="B155" s="118" t="s">
        <v>1253</v>
      </c>
      <c r="C155" s="118" t="s">
        <v>1254</v>
      </c>
      <c r="E155" s="118" t="s">
        <v>1255</v>
      </c>
      <c r="F155" s="118" t="s">
        <v>446</v>
      </c>
      <c r="G155" s="118" t="s">
        <v>1256</v>
      </c>
      <c r="H155" s="118" t="s">
        <v>63</v>
      </c>
      <c r="I155" s="118" t="s">
        <v>288</v>
      </c>
      <c r="N155" s="118" t="s">
        <v>1257</v>
      </c>
      <c r="O155" s="118" t="s">
        <v>182</v>
      </c>
      <c r="P155" s="118" t="s">
        <v>1258</v>
      </c>
      <c r="R155" s="118" t="s">
        <v>404</v>
      </c>
      <c r="S155" s="118" t="s">
        <v>1259</v>
      </c>
      <c r="T155" s="118" t="s">
        <v>1260</v>
      </c>
      <c r="U155" s="118" t="s">
        <v>1130</v>
      </c>
      <c r="V155" s="118" t="s">
        <v>1026</v>
      </c>
      <c r="Y155" s="129"/>
    </row>
    <row r="156">
      <c r="A156" s="158">
        <v>43560.80082045139</v>
      </c>
      <c r="B156" s="118" t="s">
        <v>1261</v>
      </c>
      <c r="C156" s="118" t="s">
        <v>1262</v>
      </c>
      <c r="D156" s="118" t="s">
        <v>1263</v>
      </c>
      <c r="E156" s="118" t="s">
        <v>1264</v>
      </c>
      <c r="F156" s="118" t="s">
        <v>699</v>
      </c>
      <c r="G156" s="118" t="s">
        <v>1215</v>
      </c>
      <c r="H156" s="118" t="s">
        <v>63</v>
      </c>
      <c r="I156" s="118" t="s">
        <v>399</v>
      </c>
      <c r="J156" s="118" t="s">
        <v>288</v>
      </c>
      <c r="K156" s="118" t="s">
        <v>150</v>
      </c>
      <c r="L156" s="118" t="s">
        <v>283</v>
      </c>
      <c r="M156" s="118" t="s">
        <v>400</v>
      </c>
      <c r="O156" s="118" t="s">
        <v>402</v>
      </c>
      <c r="R156" s="118" t="s">
        <v>404</v>
      </c>
      <c r="S156" s="118" t="s">
        <v>1265</v>
      </c>
      <c r="U156" s="118" t="s">
        <v>1034</v>
      </c>
      <c r="V156" s="118" t="s">
        <v>1026</v>
      </c>
      <c r="Y156" s="129"/>
    </row>
    <row r="157">
      <c r="A157" s="158">
        <v>43560.842058738424</v>
      </c>
      <c r="B157" s="118" t="s">
        <v>1266</v>
      </c>
      <c r="C157" s="118" t="s">
        <v>1267</v>
      </c>
      <c r="D157" s="118" t="s">
        <v>1268</v>
      </c>
      <c r="E157" s="118" t="s">
        <v>1269</v>
      </c>
      <c r="F157" s="118" t="s">
        <v>491</v>
      </c>
      <c r="G157" s="118" t="s">
        <v>1074</v>
      </c>
      <c r="H157" s="118" t="s">
        <v>276</v>
      </c>
      <c r="I157" s="118" t="s">
        <v>150</v>
      </c>
      <c r="N157" s="118" t="s">
        <v>1270</v>
      </c>
      <c r="O157" s="118" t="s">
        <v>182</v>
      </c>
      <c r="P157" s="118" t="s">
        <v>1271</v>
      </c>
      <c r="R157" s="118" t="s">
        <v>441</v>
      </c>
      <c r="S157" s="118" t="s">
        <v>1272</v>
      </c>
      <c r="T157" s="118" t="s">
        <v>1273</v>
      </c>
      <c r="U157" s="118" t="s">
        <v>1094</v>
      </c>
      <c r="V157" s="118" t="s">
        <v>1088</v>
      </c>
      <c r="W157" s="118" t="s">
        <v>1101</v>
      </c>
      <c r="X157" s="159"/>
      <c r="Y157" s="129"/>
    </row>
    <row r="158">
      <c r="A158" s="158">
        <v>43560.98825576389</v>
      </c>
      <c r="B158" s="118" t="s">
        <v>1274</v>
      </c>
      <c r="C158" s="118" t="s">
        <v>1275</v>
      </c>
      <c r="D158" s="118" t="s">
        <v>1276</v>
      </c>
      <c r="E158" s="118" t="s">
        <v>1277</v>
      </c>
      <c r="F158" s="118" t="s">
        <v>528</v>
      </c>
      <c r="G158" s="118" t="s">
        <v>1020</v>
      </c>
      <c r="H158" s="118" t="s">
        <v>63</v>
      </c>
      <c r="I158" s="118" t="s">
        <v>399</v>
      </c>
      <c r="J158" s="91" t="s">
        <v>288</v>
      </c>
      <c r="K158" s="118" t="s">
        <v>400</v>
      </c>
      <c r="N158" s="118" t="s">
        <v>1278</v>
      </c>
      <c r="O158" s="118" t="s">
        <v>402</v>
      </c>
      <c r="P158" s="118" t="s">
        <v>1279</v>
      </c>
      <c r="R158" s="118" t="s">
        <v>450</v>
      </c>
      <c r="S158" s="118" t="s">
        <v>1280</v>
      </c>
      <c r="T158" s="118" t="s">
        <v>1281</v>
      </c>
      <c r="U158" s="118" t="s">
        <v>1034</v>
      </c>
      <c r="V158" s="118" t="s">
        <v>1147</v>
      </c>
      <c r="Y158" s="129"/>
    </row>
    <row r="159">
      <c r="A159" s="158">
        <v>43562.748761192124</v>
      </c>
      <c r="B159" s="118" t="s">
        <v>1282</v>
      </c>
      <c r="C159" s="118" t="s">
        <v>1283</v>
      </c>
      <c r="D159" s="118" t="s">
        <v>1284</v>
      </c>
      <c r="E159" s="118" t="s">
        <v>1285</v>
      </c>
      <c r="F159" s="118" t="s">
        <v>460</v>
      </c>
      <c r="G159" s="118" t="s">
        <v>1046</v>
      </c>
      <c r="H159" s="118" t="s">
        <v>276</v>
      </c>
      <c r="I159" s="118" t="s">
        <v>400</v>
      </c>
      <c r="O159" s="118" t="s">
        <v>277</v>
      </c>
      <c r="P159" s="118" t="s">
        <v>1286</v>
      </c>
      <c r="R159" s="118" t="s">
        <v>450</v>
      </c>
      <c r="U159" s="118" t="s">
        <v>1287</v>
      </c>
      <c r="V159" s="118" t="s">
        <v>1288</v>
      </c>
      <c r="W159" s="118" t="s">
        <v>1078</v>
      </c>
      <c r="X159" s="159"/>
      <c r="Y159" s="129"/>
    </row>
    <row r="160">
      <c r="A160" s="158">
        <v>43563.398272280094</v>
      </c>
      <c r="B160" s="118" t="s">
        <v>1289</v>
      </c>
      <c r="C160" s="118" t="s">
        <v>1290</v>
      </c>
      <c r="D160" s="118" t="s">
        <v>1291</v>
      </c>
      <c r="E160" s="118" t="s">
        <v>1292</v>
      </c>
      <c r="F160" s="118" t="s">
        <v>491</v>
      </c>
      <c r="G160" s="118" t="s">
        <v>1215</v>
      </c>
      <c r="H160" s="118" t="s">
        <v>63</v>
      </c>
      <c r="I160" s="118" t="s">
        <v>400</v>
      </c>
      <c r="J160" s="118" t="s">
        <v>399</v>
      </c>
      <c r="K160" s="118" t="s">
        <v>150</v>
      </c>
      <c r="N160" s="118" t="s">
        <v>246</v>
      </c>
      <c r="O160" s="118" t="s">
        <v>402</v>
      </c>
      <c r="P160" s="118" t="s">
        <v>1293</v>
      </c>
      <c r="R160" s="118" t="s">
        <v>450</v>
      </c>
      <c r="S160" s="118" t="s">
        <v>1294</v>
      </c>
      <c r="T160" s="118" t="s">
        <v>1295</v>
      </c>
      <c r="U160" s="118" t="s">
        <v>1094</v>
      </c>
      <c r="V160" s="118" t="s">
        <v>1296</v>
      </c>
      <c r="W160" s="118" t="s">
        <v>1101</v>
      </c>
      <c r="X160" s="159"/>
      <c r="Y160" s="129"/>
    </row>
    <row r="161">
      <c r="A161" s="158">
        <v>43563.56040282408</v>
      </c>
      <c r="B161" s="118" t="s">
        <v>1297</v>
      </c>
      <c r="C161" s="118" t="s">
        <v>663</v>
      </c>
      <c r="D161" s="118" t="s">
        <v>1298</v>
      </c>
      <c r="E161" s="118" t="s">
        <v>1299</v>
      </c>
      <c r="F161" s="118" t="s">
        <v>1065</v>
      </c>
      <c r="G161" s="118" t="s">
        <v>1206</v>
      </c>
      <c r="H161" s="118" t="s">
        <v>63</v>
      </c>
      <c r="I161" s="118" t="s">
        <v>288</v>
      </c>
      <c r="J161" s="118" t="s">
        <v>399</v>
      </c>
      <c r="K161" s="118" t="s">
        <v>400</v>
      </c>
      <c r="N161" s="118" t="s">
        <v>1300</v>
      </c>
      <c r="O161" s="118" t="s">
        <v>182</v>
      </c>
      <c r="P161" s="118" t="s">
        <v>191</v>
      </c>
      <c r="R161" s="118" t="s">
        <v>450</v>
      </c>
      <c r="S161" s="118" t="s">
        <v>1301</v>
      </c>
      <c r="T161" s="118" t="s">
        <v>1302</v>
      </c>
      <c r="U161" s="118" t="s">
        <v>1130</v>
      </c>
      <c r="V161" s="118" t="s">
        <v>1026</v>
      </c>
      <c r="Y161" s="129"/>
    </row>
    <row r="162">
      <c r="A162" s="158">
        <v>43563.61847023148</v>
      </c>
      <c r="B162" s="118" t="s">
        <v>1303</v>
      </c>
      <c r="C162" s="118" t="s">
        <v>1304</v>
      </c>
      <c r="E162" s="118" t="s">
        <v>1305</v>
      </c>
      <c r="F162" s="118" t="s">
        <v>446</v>
      </c>
      <c r="G162" s="118" t="s">
        <v>1046</v>
      </c>
      <c r="H162" s="118" t="s">
        <v>63</v>
      </c>
      <c r="I162" s="118" t="s">
        <v>283</v>
      </c>
      <c r="J162" s="118" t="s">
        <v>400</v>
      </c>
      <c r="K162" s="118" t="s">
        <v>288</v>
      </c>
      <c r="O162" s="118" t="s">
        <v>182</v>
      </c>
      <c r="P162" s="118" t="s">
        <v>1306</v>
      </c>
      <c r="R162" s="118" t="s">
        <v>404</v>
      </c>
      <c r="S162" s="118" t="s">
        <v>1307</v>
      </c>
      <c r="T162" s="118" t="s">
        <v>1308</v>
      </c>
      <c r="U162" s="118" t="s">
        <v>1130</v>
      </c>
      <c r="V162" s="118" t="s">
        <v>1026</v>
      </c>
      <c r="Y162" s="129"/>
    </row>
    <row r="163">
      <c r="A163" s="158">
        <v>43564.417590173616</v>
      </c>
      <c r="B163" s="118" t="s">
        <v>1309</v>
      </c>
      <c r="C163" s="118" t="s">
        <v>1310</v>
      </c>
      <c r="D163" s="118" t="s">
        <v>1311</v>
      </c>
      <c r="E163" s="118" t="s">
        <v>1312</v>
      </c>
      <c r="F163" s="118" t="s">
        <v>491</v>
      </c>
      <c r="G163" s="118" t="s">
        <v>1206</v>
      </c>
      <c r="H163" s="118" t="s">
        <v>63</v>
      </c>
      <c r="I163" s="118" t="s">
        <v>288</v>
      </c>
      <c r="J163" s="118" t="s">
        <v>399</v>
      </c>
      <c r="K163" s="118" t="s">
        <v>400</v>
      </c>
      <c r="L163" s="118" t="s">
        <v>283</v>
      </c>
      <c r="M163" s="118" t="s">
        <v>150</v>
      </c>
      <c r="N163" s="118" t="s">
        <v>1313</v>
      </c>
      <c r="O163" s="118" t="s">
        <v>182</v>
      </c>
      <c r="P163" s="118" t="s">
        <v>1314</v>
      </c>
      <c r="R163" s="118" t="s">
        <v>404</v>
      </c>
      <c r="S163" s="118" t="s">
        <v>1315</v>
      </c>
      <c r="T163" s="118" t="s">
        <v>1316</v>
      </c>
      <c r="U163" s="118" t="s">
        <v>1025</v>
      </c>
      <c r="V163" s="118" t="s">
        <v>1088</v>
      </c>
      <c r="W163" s="118" t="s">
        <v>1101</v>
      </c>
      <c r="X163" s="159"/>
      <c r="Y163" s="129"/>
    </row>
    <row r="164">
      <c r="A164" s="158">
        <v>43564.41960033565</v>
      </c>
      <c r="B164" s="118" t="s">
        <v>1317</v>
      </c>
      <c r="C164" s="118" t="s">
        <v>1318</v>
      </c>
      <c r="E164" s="118" t="s">
        <v>1319</v>
      </c>
      <c r="F164" s="118" t="s">
        <v>446</v>
      </c>
      <c r="G164" s="118" t="s">
        <v>1320</v>
      </c>
      <c r="H164" s="118" t="s">
        <v>276</v>
      </c>
      <c r="I164" s="118" t="s">
        <v>399</v>
      </c>
      <c r="J164" s="118" t="s">
        <v>288</v>
      </c>
      <c r="K164" s="118" t="s">
        <v>283</v>
      </c>
      <c r="L164" s="118" t="s">
        <v>150</v>
      </c>
      <c r="M164" s="118" t="s">
        <v>400</v>
      </c>
      <c r="N164" s="118" t="s">
        <v>1321</v>
      </c>
      <c r="O164" s="118" t="s">
        <v>182</v>
      </c>
      <c r="U164" s="118" t="s">
        <v>1094</v>
      </c>
      <c r="V164" s="118" t="s">
        <v>1026</v>
      </c>
      <c r="Y164" s="129"/>
    </row>
    <row r="165">
      <c r="A165" s="158">
        <v>43564.493346400464</v>
      </c>
      <c r="B165" s="118" t="s">
        <v>1322</v>
      </c>
      <c r="C165" s="118" t="s">
        <v>598</v>
      </c>
      <c r="D165" s="118" t="s">
        <v>1323</v>
      </c>
      <c r="E165" s="118" t="s">
        <v>1324</v>
      </c>
      <c r="F165" s="118" t="s">
        <v>491</v>
      </c>
      <c r="G165" s="118" t="s">
        <v>1325</v>
      </c>
      <c r="H165" s="118" t="s">
        <v>63</v>
      </c>
      <c r="I165" s="118" t="s">
        <v>399</v>
      </c>
      <c r="J165" s="118" t="s">
        <v>288</v>
      </c>
      <c r="K165" s="118" t="s">
        <v>400</v>
      </c>
      <c r="N165" s="118" t="s">
        <v>1326</v>
      </c>
      <c r="O165" s="118" t="s">
        <v>402</v>
      </c>
      <c r="P165" s="118" t="s">
        <v>1327</v>
      </c>
      <c r="R165" s="118" t="s">
        <v>404</v>
      </c>
      <c r="S165" s="118" t="s">
        <v>1328</v>
      </c>
      <c r="T165" s="118" t="s">
        <v>1329</v>
      </c>
      <c r="U165" s="118" t="s">
        <v>1034</v>
      </c>
      <c r="V165" s="118" t="s">
        <v>1088</v>
      </c>
      <c r="W165" s="118" t="s">
        <v>1101</v>
      </c>
      <c r="X165" s="159"/>
      <c r="Y165" s="129"/>
    </row>
    <row r="166">
      <c r="A166" s="158">
        <v>43564.694213055554</v>
      </c>
      <c r="B166" s="118" t="s">
        <v>1330</v>
      </c>
      <c r="C166" s="118" t="s">
        <v>546</v>
      </c>
      <c r="D166" s="118" t="s">
        <v>1331</v>
      </c>
      <c r="E166" s="118" t="s">
        <v>1332</v>
      </c>
      <c r="F166" s="118" t="s">
        <v>430</v>
      </c>
      <c r="G166" s="118" t="s">
        <v>1215</v>
      </c>
      <c r="H166" s="118" t="s">
        <v>63</v>
      </c>
      <c r="I166" s="118" t="s">
        <v>399</v>
      </c>
      <c r="J166" s="118" t="s">
        <v>288</v>
      </c>
      <c r="K166" s="118" t="s">
        <v>283</v>
      </c>
      <c r="L166" s="118" t="s">
        <v>400</v>
      </c>
      <c r="M166" s="118" t="s">
        <v>150</v>
      </c>
      <c r="N166" s="118" t="s">
        <v>1333</v>
      </c>
      <c r="O166" s="118" t="s">
        <v>277</v>
      </c>
      <c r="P166" s="118" t="s">
        <v>1334</v>
      </c>
      <c r="R166" s="118" t="s">
        <v>404</v>
      </c>
      <c r="S166" s="118" t="s">
        <v>1335</v>
      </c>
      <c r="T166" s="118" t="s">
        <v>1336</v>
      </c>
      <c r="U166" s="118" t="s">
        <v>1130</v>
      </c>
      <c r="V166" s="118" t="s">
        <v>1026</v>
      </c>
      <c r="W166" s="118" t="s">
        <v>1078</v>
      </c>
      <c r="X166" s="159"/>
      <c r="Y166" s="129"/>
    </row>
    <row r="167">
      <c r="A167" s="158">
        <v>43564.71066725695</v>
      </c>
      <c r="B167" s="118" t="s">
        <v>1337</v>
      </c>
      <c r="C167" s="118" t="s">
        <v>1338</v>
      </c>
      <c r="D167" s="118" t="s">
        <v>1339</v>
      </c>
      <c r="E167" s="118" t="s">
        <v>1340</v>
      </c>
      <c r="F167" s="118" t="s">
        <v>491</v>
      </c>
      <c r="G167" s="118" t="s">
        <v>1098</v>
      </c>
      <c r="H167" s="118" t="s">
        <v>63</v>
      </c>
      <c r="I167" s="118" t="s">
        <v>399</v>
      </c>
      <c r="J167" s="118" t="s">
        <v>288</v>
      </c>
      <c r="K167" s="118" t="s">
        <v>400</v>
      </c>
      <c r="L167" s="118" t="s">
        <v>283</v>
      </c>
      <c r="M167" s="118" t="s">
        <v>150</v>
      </c>
      <c r="O167" s="118" t="s">
        <v>182</v>
      </c>
      <c r="P167" s="118" t="s">
        <v>107</v>
      </c>
      <c r="R167" s="118" t="s">
        <v>404</v>
      </c>
      <c r="S167" s="118" t="s">
        <v>1341</v>
      </c>
      <c r="T167" s="118" t="s">
        <v>297</v>
      </c>
      <c r="U167" s="118" t="s">
        <v>1050</v>
      </c>
      <c r="V167" s="118" t="s">
        <v>1026</v>
      </c>
      <c r="W167" s="118" t="s">
        <v>1101</v>
      </c>
      <c r="X167" s="159"/>
      <c r="Y167" s="129"/>
    </row>
    <row r="168">
      <c r="A168" s="158">
        <v>43564.76043560186</v>
      </c>
      <c r="B168" s="118" t="s">
        <v>1342</v>
      </c>
      <c r="C168" s="118" t="s">
        <v>1343</v>
      </c>
      <c r="D168" s="118" t="s">
        <v>1344</v>
      </c>
      <c r="E168" s="118" t="s">
        <v>1345</v>
      </c>
      <c r="F168" s="118" t="s">
        <v>491</v>
      </c>
      <c r="G168" s="118" t="s">
        <v>1346</v>
      </c>
      <c r="H168" s="118" t="s">
        <v>276</v>
      </c>
      <c r="I168" s="118" t="s">
        <v>400</v>
      </c>
      <c r="J168" s="118" t="s">
        <v>399</v>
      </c>
      <c r="K168" s="118" t="s">
        <v>288</v>
      </c>
      <c r="L168" s="118" t="s">
        <v>150</v>
      </c>
      <c r="M168" s="118" t="s">
        <v>283</v>
      </c>
      <c r="N168" s="118" t="s">
        <v>1347</v>
      </c>
      <c r="O168" s="118" t="s">
        <v>277</v>
      </c>
      <c r="P168" s="118" t="s">
        <v>1199</v>
      </c>
      <c r="R168" s="118" t="s">
        <v>450</v>
      </c>
      <c r="T168" s="118" t="s">
        <v>1348</v>
      </c>
      <c r="U168" s="118" t="s">
        <v>1025</v>
      </c>
      <c r="V168" s="118" t="s">
        <v>1088</v>
      </c>
      <c r="W168" s="118" t="s">
        <v>1101</v>
      </c>
      <c r="X168" s="159"/>
      <c r="Y168" s="129"/>
    </row>
    <row r="169">
      <c r="A169" s="158">
        <v>43565.61995707176</v>
      </c>
      <c r="B169" s="118" t="s">
        <v>1349</v>
      </c>
      <c r="C169" s="118" t="s">
        <v>1350</v>
      </c>
      <c r="D169" s="118" t="s">
        <v>1351</v>
      </c>
      <c r="E169" s="118" t="s">
        <v>1352</v>
      </c>
      <c r="F169" s="118" t="s">
        <v>699</v>
      </c>
      <c r="G169" s="118" t="s">
        <v>1206</v>
      </c>
      <c r="H169" s="118" t="s">
        <v>276</v>
      </c>
      <c r="I169" s="118" t="s">
        <v>283</v>
      </c>
      <c r="J169" s="118" t="s">
        <v>288</v>
      </c>
      <c r="K169" s="118" t="s">
        <v>400</v>
      </c>
      <c r="O169" s="118" t="s">
        <v>402</v>
      </c>
      <c r="P169" s="118" t="s">
        <v>1353</v>
      </c>
      <c r="R169" s="118" t="s">
        <v>441</v>
      </c>
      <c r="S169" s="118" t="s">
        <v>1354</v>
      </c>
      <c r="T169" s="118" t="s">
        <v>1199</v>
      </c>
      <c r="U169" s="118" t="s">
        <v>1050</v>
      </c>
      <c r="V169" s="118" t="s">
        <v>1288</v>
      </c>
      <c r="Y169" s="129"/>
    </row>
    <row r="170">
      <c r="A170" s="158">
        <v>43566.03965038194</v>
      </c>
      <c r="B170" s="118" t="s">
        <v>1355</v>
      </c>
      <c r="C170" s="118" t="s">
        <v>1356</v>
      </c>
      <c r="E170" s="118" t="s">
        <v>1357</v>
      </c>
      <c r="F170" s="118" t="s">
        <v>1065</v>
      </c>
      <c r="G170" s="118" t="s">
        <v>1358</v>
      </c>
      <c r="H170" s="118" t="s">
        <v>63</v>
      </c>
      <c r="I170" s="118" t="s">
        <v>288</v>
      </c>
      <c r="J170" s="118" t="s">
        <v>283</v>
      </c>
      <c r="K170" s="118" t="s">
        <v>399</v>
      </c>
      <c r="L170" s="118" t="s">
        <v>400</v>
      </c>
      <c r="M170" s="118" t="s">
        <v>150</v>
      </c>
      <c r="N170" s="118" t="s">
        <v>1359</v>
      </c>
      <c r="O170" s="118" t="s">
        <v>402</v>
      </c>
      <c r="P170" s="118" t="s">
        <v>1360</v>
      </c>
      <c r="R170" s="118" t="s">
        <v>450</v>
      </c>
      <c r="S170" s="118" t="s">
        <v>1361</v>
      </c>
      <c r="T170" s="118" t="s">
        <v>1360</v>
      </c>
      <c r="U170" s="118" t="s">
        <v>1059</v>
      </c>
      <c r="V170" s="118" t="s">
        <v>1088</v>
      </c>
      <c r="W170" s="118" t="s">
        <v>1101</v>
      </c>
      <c r="X170" s="159"/>
      <c r="Y170" s="129"/>
    </row>
    <row r="171">
      <c r="A171" s="158">
        <v>43566.525071446755</v>
      </c>
      <c r="B171" s="118" t="s">
        <v>1362</v>
      </c>
      <c r="C171" s="118" t="s">
        <v>1363</v>
      </c>
      <c r="E171" s="118" t="s">
        <v>1364</v>
      </c>
      <c r="F171" s="118" t="s">
        <v>417</v>
      </c>
      <c r="G171" s="118" t="s">
        <v>1365</v>
      </c>
      <c r="H171" s="118" t="s">
        <v>63</v>
      </c>
      <c r="I171" s="118" t="s">
        <v>288</v>
      </c>
      <c r="J171" s="118" t="s">
        <v>399</v>
      </c>
      <c r="K171" s="118" t="s">
        <v>400</v>
      </c>
      <c r="L171" s="118" t="s">
        <v>283</v>
      </c>
      <c r="M171" s="118" t="s">
        <v>150</v>
      </c>
      <c r="N171" s="118" t="s">
        <v>1366</v>
      </c>
      <c r="O171" s="118" t="s">
        <v>402</v>
      </c>
      <c r="P171" s="118" t="s">
        <v>1367</v>
      </c>
      <c r="R171" s="118" t="s">
        <v>450</v>
      </c>
      <c r="U171" s="118" t="s">
        <v>1059</v>
      </c>
      <c r="V171" s="118" t="s">
        <v>1026</v>
      </c>
      <c r="Y171" s="129"/>
    </row>
    <row r="172">
      <c r="A172" s="158">
        <v>43566.667404039355</v>
      </c>
      <c r="B172" s="118" t="s">
        <v>1368</v>
      </c>
      <c r="C172" s="118" t="s">
        <v>1369</v>
      </c>
      <c r="D172" s="118" t="s">
        <v>1370</v>
      </c>
      <c r="E172" s="118" t="s">
        <v>1371</v>
      </c>
      <c r="F172" s="118" t="s">
        <v>430</v>
      </c>
      <c r="G172" s="118" t="s">
        <v>1206</v>
      </c>
      <c r="H172" s="118" t="s">
        <v>63</v>
      </c>
      <c r="I172" s="118" t="s">
        <v>399</v>
      </c>
      <c r="J172" s="118" t="s">
        <v>150</v>
      </c>
      <c r="K172" s="118" t="s">
        <v>400</v>
      </c>
      <c r="L172" s="118" t="s">
        <v>288</v>
      </c>
      <c r="M172" s="118" t="s">
        <v>283</v>
      </c>
      <c r="N172" s="118" t="s">
        <v>1372</v>
      </c>
      <c r="O172" s="118" t="s">
        <v>277</v>
      </c>
      <c r="R172" s="118" t="s">
        <v>404</v>
      </c>
      <c r="S172" s="118" t="s">
        <v>1373</v>
      </c>
      <c r="T172" s="118" t="s">
        <v>1374</v>
      </c>
      <c r="U172" s="118" t="s">
        <v>1025</v>
      </c>
      <c r="V172" s="118" t="s">
        <v>1026</v>
      </c>
      <c r="W172" s="118" t="s">
        <v>1375</v>
      </c>
      <c r="X172" s="159"/>
      <c r="Y172" s="129"/>
    </row>
    <row r="173">
      <c r="A173" s="158">
        <v>43566.96253849537</v>
      </c>
      <c r="B173" s="118" t="s">
        <v>1376</v>
      </c>
      <c r="C173" s="118" t="s">
        <v>1377</v>
      </c>
      <c r="D173" s="118" t="s">
        <v>1378</v>
      </c>
      <c r="E173" s="118" t="s">
        <v>1379</v>
      </c>
      <c r="F173" s="118" t="s">
        <v>417</v>
      </c>
      <c r="G173" s="118" t="s">
        <v>1215</v>
      </c>
      <c r="H173" s="118" t="s">
        <v>63</v>
      </c>
      <c r="I173" s="118" t="s">
        <v>399</v>
      </c>
      <c r="J173" s="91" t="s">
        <v>288</v>
      </c>
      <c r="K173" s="91" t="s">
        <v>283</v>
      </c>
      <c r="N173" s="118" t="s">
        <v>1380</v>
      </c>
      <c r="O173" s="118" t="s">
        <v>402</v>
      </c>
      <c r="P173" s="118" t="s">
        <v>1381</v>
      </c>
      <c r="R173" s="118" t="s">
        <v>404</v>
      </c>
      <c r="S173" s="118" t="s">
        <v>1382</v>
      </c>
      <c r="U173" s="118" t="s">
        <v>1034</v>
      </c>
      <c r="V173" s="118" t="s">
        <v>1026</v>
      </c>
      <c r="W173" s="118" t="s">
        <v>1383</v>
      </c>
      <c r="X173" s="159"/>
      <c r="Y173" s="129"/>
    </row>
    <row r="174">
      <c r="A174" s="158">
        <v>43567.67818671296</v>
      </c>
      <c r="B174" s="118" t="s">
        <v>1384</v>
      </c>
      <c r="C174" s="118" t="s">
        <v>1385</v>
      </c>
      <c r="D174" s="118" t="s">
        <v>1386</v>
      </c>
      <c r="E174" s="118" t="s">
        <v>1387</v>
      </c>
      <c r="F174" s="118" t="s">
        <v>491</v>
      </c>
      <c r="G174" s="118" t="s">
        <v>1215</v>
      </c>
      <c r="H174" s="118" t="s">
        <v>63</v>
      </c>
      <c r="I174" s="118" t="s">
        <v>288</v>
      </c>
      <c r="J174" s="118" t="s">
        <v>399</v>
      </c>
      <c r="N174" s="118" t="s">
        <v>1388</v>
      </c>
      <c r="O174" s="118" t="s">
        <v>182</v>
      </c>
      <c r="P174" s="118" t="s">
        <v>1389</v>
      </c>
      <c r="R174" s="118" t="s">
        <v>404</v>
      </c>
      <c r="T174" s="118" t="s">
        <v>1390</v>
      </c>
      <c r="U174" s="118" t="s">
        <v>1025</v>
      </c>
      <c r="V174" s="118" t="s">
        <v>1088</v>
      </c>
      <c r="W174" s="118" t="s">
        <v>1101</v>
      </c>
      <c r="X174" s="159"/>
      <c r="Y174" s="129"/>
    </row>
    <row r="175">
      <c r="A175" s="158">
        <v>43567.92645009259</v>
      </c>
      <c r="B175" s="118" t="s">
        <v>756</v>
      </c>
      <c r="C175" s="118" t="s">
        <v>1391</v>
      </c>
      <c r="D175" s="118" t="s">
        <v>1392</v>
      </c>
      <c r="E175" s="118" t="s">
        <v>758</v>
      </c>
      <c r="F175" s="118" t="s">
        <v>460</v>
      </c>
      <c r="G175" s="118" t="s">
        <v>1393</v>
      </c>
      <c r="H175" s="118" t="s">
        <v>63</v>
      </c>
      <c r="I175" s="118" t="s">
        <v>288</v>
      </c>
      <c r="J175" s="118" t="s">
        <v>399</v>
      </c>
      <c r="K175" s="118" t="s">
        <v>400</v>
      </c>
      <c r="L175" s="118" t="s">
        <v>283</v>
      </c>
      <c r="N175" s="118" t="s">
        <v>1394</v>
      </c>
      <c r="O175" s="118" t="s">
        <v>277</v>
      </c>
      <c r="P175" s="118" t="s">
        <v>1395</v>
      </c>
      <c r="R175" s="118" t="s">
        <v>404</v>
      </c>
      <c r="S175" s="118" t="s">
        <v>1396</v>
      </c>
      <c r="T175" s="118" t="s">
        <v>1397</v>
      </c>
      <c r="U175" s="118" t="s">
        <v>1094</v>
      </c>
      <c r="V175" s="118" t="s">
        <v>1026</v>
      </c>
      <c r="W175" s="118" t="s">
        <v>1398</v>
      </c>
      <c r="X175" s="159"/>
      <c r="Y175" s="129"/>
    </row>
    <row r="176">
      <c r="A176" s="158">
        <v>43568.82464288194</v>
      </c>
      <c r="B176" s="118" t="s">
        <v>1399</v>
      </c>
      <c r="C176" s="118" t="s">
        <v>1400</v>
      </c>
      <c r="D176" s="118" t="s">
        <v>1401</v>
      </c>
      <c r="E176" s="118" t="s">
        <v>1402</v>
      </c>
      <c r="F176" s="118" t="s">
        <v>1403</v>
      </c>
      <c r="G176" s="118" t="s">
        <v>1404</v>
      </c>
      <c r="H176" s="118" t="s">
        <v>63</v>
      </c>
      <c r="I176" s="118" t="s">
        <v>400</v>
      </c>
      <c r="J176" s="118" t="s">
        <v>399</v>
      </c>
      <c r="K176" s="118" t="s">
        <v>288</v>
      </c>
      <c r="L176" s="118" t="s">
        <v>283</v>
      </c>
      <c r="M176" s="118" t="s">
        <v>150</v>
      </c>
      <c r="O176" s="118" t="s">
        <v>402</v>
      </c>
      <c r="R176" s="118" t="s">
        <v>404</v>
      </c>
      <c r="S176" s="118" t="s">
        <v>1405</v>
      </c>
      <c r="T176" s="118" t="s">
        <v>1406</v>
      </c>
      <c r="U176" s="118" t="s">
        <v>1094</v>
      </c>
      <c r="V176" s="118" t="s">
        <v>1407</v>
      </c>
      <c r="Y176" s="129"/>
    </row>
    <row r="177">
      <c r="A177" s="158">
        <v>43570.893279675925</v>
      </c>
      <c r="B177" s="118" t="s">
        <v>1408</v>
      </c>
      <c r="C177" s="118" t="s">
        <v>1409</v>
      </c>
      <c r="D177" s="118" t="s">
        <v>1410</v>
      </c>
      <c r="E177" s="118" t="s">
        <v>1411</v>
      </c>
      <c r="F177" s="118" t="s">
        <v>430</v>
      </c>
      <c r="G177" s="118" t="s">
        <v>1020</v>
      </c>
      <c r="H177" s="118" t="s">
        <v>276</v>
      </c>
      <c r="O177" s="118" t="s">
        <v>402</v>
      </c>
      <c r="P177" s="118" t="s">
        <v>1412</v>
      </c>
      <c r="R177" s="118" t="s">
        <v>404</v>
      </c>
      <c r="S177" s="118" t="s">
        <v>1413</v>
      </c>
      <c r="T177" s="118" t="s">
        <v>1414</v>
      </c>
      <c r="U177" s="118" t="s">
        <v>1094</v>
      </c>
      <c r="V177" s="118" t="s">
        <v>1026</v>
      </c>
      <c r="Y177" s="129"/>
    </row>
    <row r="178">
      <c r="A178" s="158">
        <v>43571.977917592594</v>
      </c>
      <c r="B178" s="118" t="s">
        <v>1415</v>
      </c>
      <c r="C178" s="118" t="s">
        <v>879</v>
      </c>
      <c r="D178" s="118" t="s">
        <v>1416</v>
      </c>
      <c r="E178" s="118" t="s">
        <v>1417</v>
      </c>
      <c r="F178" s="118" t="s">
        <v>1065</v>
      </c>
      <c r="G178" s="118" t="s">
        <v>1418</v>
      </c>
      <c r="H178" s="118" t="s">
        <v>63</v>
      </c>
      <c r="I178" s="118" t="s">
        <v>399</v>
      </c>
      <c r="J178" s="118" t="s">
        <v>283</v>
      </c>
      <c r="N178" s="118" t="s">
        <v>1419</v>
      </c>
      <c r="O178" s="118" t="s">
        <v>182</v>
      </c>
      <c r="P178" s="118" t="s">
        <v>290</v>
      </c>
      <c r="R178" s="118" t="s">
        <v>404</v>
      </c>
      <c r="S178" s="118" t="s">
        <v>1420</v>
      </c>
      <c r="T178" s="118" t="s">
        <v>1421</v>
      </c>
      <c r="U178" s="118" t="s">
        <v>1059</v>
      </c>
      <c r="V178" s="118" t="s">
        <v>1026</v>
      </c>
      <c r="Y178" s="129"/>
    </row>
    <row r="179">
      <c r="A179" s="158">
        <v>43577.6068059838</v>
      </c>
      <c r="B179" s="118" t="s">
        <v>1422</v>
      </c>
      <c r="C179" s="118" t="s">
        <v>680</v>
      </c>
      <c r="E179" s="118" t="s">
        <v>1423</v>
      </c>
      <c r="F179" s="118" t="s">
        <v>1424</v>
      </c>
      <c r="G179" s="118" t="s">
        <v>1206</v>
      </c>
      <c r="H179" s="118" t="s">
        <v>63</v>
      </c>
      <c r="I179" s="118" t="s">
        <v>288</v>
      </c>
      <c r="N179" s="118" t="s">
        <v>1425</v>
      </c>
      <c r="O179" s="118" t="s">
        <v>402</v>
      </c>
      <c r="P179" s="118" t="s">
        <v>1426</v>
      </c>
      <c r="R179" s="118" t="s">
        <v>450</v>
      </c>
      <c r="S179" s="118" t="s">
        <v>1427</v>
      </c>
      <c r="T179" s="118" t="s">
        <v>1428</v>
      </c>
      <c r="U179" s="118" t="s">
        <v>1130</v>
      </c>
      <c r="V179" s="118" t="s">
        <v>1288</v>
      </c>
      <c r="Y179" s="129"/>
    </row>
    <row r="180">
      <c r="A180" s="158">
        <v>43577.87438443287</v>
      </c>
      <c r="B180" s="118" t="s">
        <v>1429</v>
      </c>
      <c r="C180" s="118" t="s">
        <v>1430</v>
      </c>
      <c r="D180" s="118" t="s">
        <v>1431</v>
      </c>
      <c r="E180" s="118" t="s">
        <v>1432</v>
      </c>
      <c r="F180" s="118" t="s">
        <v>430</v>
      </c>
      <c r="G180" s="118" t="s">
        <v>1433</v>
      </c>
      <c r="H180" s="118" t="s">
        <v>276</v>
      </c>
      <c r="I180" s="118" t="s">
        <v>283</v>
      </c>
      <c r="J180" s="118" t="s">
        <v>288</v>
      </c>
      <c r="N180" s="118" t="s">
        <v>1434</v>
      </c>
      <c r="O180" s="118" t="s">
        <v>182</v>
      </c>
      <c r="P180" s="118" t="s">
        <v>1435</v>
      </c>
      <c r="R180" s="118" t="s">
        <v>404</v>
      </c>
      <c r="S180" s="118" t="s">
        <v>1436</v>
      </c>
      <c r="U180" s="118" t="s">
        <v>1094</v>
      </c>
      <c r="V180" s="118" t="s">
        <v>1026</v>
      </c>
      <c r="W180" s="118" t="s">
        <v>1437</v>
      </c>
      <c r="X180" s="159"/>
      <c r="Y180" s="129"/>
    </row>
    <row r="181">
      <c r="A181" s="158">
        <v>43578.689141759256</v>
      </c>
      <c r="B181" s="118" t="s">
        <v>1438</v>
      </c>
      <c r="C181" s="118" t="s">
        <v>1439</v>
      </c>
      <c r="D181" s="118" t="s">
        <v>1440</v>
      </c>
      <c r="E181" s="118" t="s">
        <v>1441</v>
      </c>
      <c r="F181" s="118" t="s">
        <v>430</v>
      </c>
      <c r="G181" s="118" t="s">
        <v>1098</v>
      </c>
      <c r="H181" s="118" t="s">
        <v>63</v>
      </c>
      <c r="I181" s="118" t="s">
        <v>150</v>
      </c>
      <c r="J181" s="118" t="s">
        <v>288</v>
      </c>
      <c r="K181" s="118" t="s">
        <v>400</v>
      </c>
      <c r="L181" s="118" t="s">
        <v>399</v>
      </c>
      <c r="M181" s="118" t="s">
        <v>283</v>
      </c>
      <c r="O181" s="118" t="s">
        <v>402</v>
      </c>
      <c r="P181" s="118" t="s">
        <v>1442</v>
      </c>
      <c r="R181" s="118" t="s">
        <v>404</v>
      </c>
      <c r="S181" s="118" t="s">
        <v>1443</v>
      </c>
      <c r="T181" s="118" t="s">
        <v>1444</v>
      </c>
      <c r="U181" s="118" t="s">
        <v>1025</v>
      </c>
      <c r="V181" s="118" t="s">
        <v>1445</v>
      </c>
      <c r="W181" s="118" t="s">
        <v>1078</v>
      </c>
      <c r="X181" s="159"/>
      <c r="Y181" s="129"/>
    </row>
    <row r="182">
      <c r="A182" s="158">
        <v>43581.01534331018</v>
      </c>
      <c r="B182" s="118" t="s">
        <v>1446</v>
      </c>
      <c r="C182" s="118" t="s">
        <v>1447</v>
      </c>
      <c r="D182" s="118" t="s">
        <v>1448</v>
      </c>
      <c r="E182" s="118" t="s">
        <v>1449</v>
      </c>
      <c r="F182" s="118" t="s">
        <v>1450</v>
      </c>
      <c r="G182" s="118" t="s">
        <v>1046</v>
      </c>
      <c r="H182" s="118" t="s">
        <v>63</v>
      </c>
      <c r="I182" s="118" t="s">
        <v>399</v>
      </c>
      <c r="J182" s="118" t="s">
        <v>288</v>
      </c>
      <c r="K182" s="118" t="s">
        <v>150</v>
      </c>
      <c r="L182" s="118" t="s">
        <v>400</v>
      </c>
      <c r="M182" s="118" t="s">
        <v>283</v>
      </c>
      <c r="N182" s="118" t="s">
        <v>1451</v>
      </c>
      <c r="O182" s="118" t="s">
        <v>402</v>
      </c>
      <c r="P182" s="118" t="s">
        <v>1452</v>
      </c>
      <c r="R182" s="118" t="s">
        <v>450</v>
      </c>
      <c r="S182" s="118" t="s">
        <v>1453</v>
      </c>
      <c r="T182" s="118" t="s">
        <v>1454</v>
      </c>
      <c r="U182" s="118" t="s">
        <v>1094</v>
      </c>
      <c r="V182" s="118" t="s">
        <v>1026</v>
      </c>
      <c r="Y182" s="129"/>
    </row>
    <row r="183">
      <c r="A183" s="158">
        <v>43581.59238099537</v>
      </c>
      <c r="B183" s="118" t="s">
        <v>1455</v>
      </c>
      <c r="C183" s="118" t="s">
        <v>1456</v>
      </c>
      <c r="D183" s="118" t="s">
        <v>1457</v>
      </c>
      <c r="E183" s="118" t="s">
        <v>1458</v>
      </c>
      <c r="F183" s="118" t="s">
        <v>430</v>
      </c>
      <c r="G183" s="118" t="s">
        <v>1459</v>
      </c>
      <c r="H183" s="118" t="s">
        <v>63</v>
      </c>
      <c r="I183" s="118" t="s">
        <v>288</v>
      </c>
      <c r="N183" s="118" t="s">
        <v>1460</v>
      </c>
      <c r="O183" s="118" t="s">
        <v>182</v>
      </c>
      <c r="P183" s="118" t="s">
        <v>1461</v>
      </c>
      <c r="R183" s="118" t="s">
        <v>441</v>
      </c>
      <c r="S183" s="118" t="s">
        <v>1462</v>
      </c>
      <c r="T183" s="118" t="s">
        <v>337</v>
      </c>
      <c r="U183" s="118" t="s">
        <v>1050</v>
      </c>
      <c r="V183" s="118" t="s">
        <v>1026</v>
      </c>
      <c r="W183" s="118" t="s">
        <v>1463</v>
      </c>
      <c r="X183" s="159"/>
      <c r="Y183" s="129"/>
    </row>
    <row r="184">
      <c r="A184" s="158">
        <v>43584.79747771991</v>
      </c>
      <c r="B184" s="118" t="s">
        <v>1464</v>
      </c>
      <c r="C184" s="118" t="s">
        <v>1465</v>
      </c>
      <c r="E184" s="118" t="s">
        <v>1466</v>
      </c>
      <c r="F184" s="118" t="s">
        <v>699</v>
      </c>
      <c r="G184" s="118" t="s">
        <v>1020</v>
      </c>
      <c r="H184" s="118" t="s">
        <v>276</v>
      </c>
      <c r="O184" s="118" t="s">
        <v>402</v>
      </c>
      <c r="U184" s="118" t="s">
        <v>1094</v>
      </c>
      <c r="V184" s="118" t="s">
        <v>1288</v>
      </c>
      <c r="Y184" s="129"/>
    </row>
    <row r="185">
      <c r="A185" s="158">
        <v>43585.63376069444</v>
      </c>
      <c r="B185" s="118" t="s">
        <v>1467</v>
      </c>
      <c r="C185" s="118" t="s">
        <v>1185</v>
      </c>
      <c r="E185" s="118" t="s">
        <v>1187</v>
      </c>
      <c r="F185" s="118" t="s">
        <v>528</v>
      </c>
      <c r="G185" s="118" t="s">
        <v>1215</v>
      </c>
      <c r="H185" s="118" t="s">
        <v>63</v>
      </c>
      <c r="I185" s="118" t="s">
        <v>400</v>
      </c>
      <c r="J185" s="118" t="s">
        <v>399</v>
      </c>
      <c r="K185" s="118" t="s">
        <v>288</v>
      </c>
      <c r="L185" s="118" t="s">
        <v>283</v>
      </c>
      <c r="M185" s="118" t="s">
        <v>150</v>
      </c>
      <c r="O185" s="118" t="s">
        <v>277</v>
      </c>
      <c r="P185" s="118" t="s">
        <v>1468</v>
      </c>
      <c r="R185" s="118" t="s">
        <v>450</v>
      </c>
      <c r="U185" s="118" t="s">
        <v>1034</v>
      </c>
      <c r="V185" s="118" t="s">
        <v>1147</v>
      </c>
      <c r="W185" s="118" t="s">
        <v>1078</v>
      </c>
      <c r="X185" s="159"/>
      <c r="Y185" s="129"/>
    </row>
    <row r="186">
      <c r="A186" s="158">
        <v>43586.59645730324</v>
      </c>
      <c r="B186" s="118" t="s">
        <v>1469</v>
      </c>
      <c r="C186" s="118" t="s">
        <v>844</v>
      </c>
      <c r="D186" s="118" t="s">
        <v>1470</v>
      </c>
      <c r="E186" s="118" t="s">
        <v>1471</v>
      </c>
      <c r="F186" s="118" t="s">
        <v>417</v>
      </c>
      <c r="G186" s="118" t="s">
        <v>1020</v>
      </c>
      <c r="H186" s="118" t="s">
        <v>63</v>
      </c>
      <c r="I186" s="118" t="s">
        <v>288</v>
      </c>
      <c r="J186" s="118" t="s">
        <v>399</v>
      </c>
      <c r="N186" s="118" t="s">
        <v>1472</v>
      </c>
      <c r="O186" s="118" t="s">
        <v>402</v>
      </c>
      <c r="P186" s="118" t="s">
        <v>1473</v>
      </c>
      <c r="R186" s="118" t="s">
        <v>404</v>
      </c>
      <c r="S186" s="118" t="s">
        <v>1474</v>
      </c>
      <c r="T186" s="118" t="s">
        <v>1475</v>
      </c>
      <c r="U186" s="118" t="s">
        <v>1094</v>
      </c>
      <c r="V186" s="118" t="s">
        <v>1026</v>
      </c>
      <c r="Y186" s="129"/>
    </row>
    <row r="187">
      <c r="A187" s="158">
        <v>43587.167243738426</v>
      </c>
      <c r="B187" s="118" t="s">
        <v>1476</v>
      </c>
      <c r="C187" s="118" t="s">
        <v>1477</v>
      </c>
      <c r="D187" s="118" t="s">
        <v>1478</v>
      </c>
      <c r="E187" s="118" t="s">
        <v>1479</v>
      </c>
      <c r="F187" s="118" t="s">
        <v>430</v>
      </c>
      <c r="G187" s="118" t="s">
        <v>1459</v>
      </c>
      <c r="H187" s="118" t="s">
        <v>63</v>
      </c>
      <c r="I187" s="118" t="s">
        <v>288</v>
      </c>
      <c r="J187" s="118" t="s">
        <v>399</v>
      </c>
      <c r="K187" s="118" t="s">
        <v>400</v>
      </c>
      <c r="L187" s="118" t="s">
        <v>283</v>
      </c>
      <c r="M187" s="118" t="s">
        <v>150</v>
      </c>
      <c r="N187" s="118" t="s">
        <v>1480</v>
      </c>
      <c r="O187" s="118" t="s">
        <v>277</v>
      </c>
      <c r="P187" s="118" t="s">
        <v>1481</v>
      </c>
      <c r="R187" s="118" t="s">
        <v>441</v>
      </c>
      <c r="S187" s="118" t="s">
        <v>1482</v>
      </c>
      <c r="T187" s="118" t="s">
        <v>1483</v>
      </c>
      <c r="U187" s="118" t="s">
        <v>1484</v>
      </c>
      <c r="V187" s="118" t="s">
        <v>1288</v>
      </c>
      <c r="Y187" s="129"/>
    </row>
    <row r="188">
      <c r="A188" s="158">
        <v>43588.538737627314</v>
      </c>
      <c r="B188" s="118" t="s">
        <v>1485</v>
      </c>
      <c r="C188" s="118" t="s">
        <v>1486</v>
      </c>
      <c r="E188" s="118" t="s">
        <v>1487</v>
      </c>
      <c r="F188" s="118" t="s">
        <v>699</v>
      </c>
      <c r="G188" s="118" t="s">
        <v>1488</v>
      </c>
      <c r="H188" s="118" t="s">
        <v>63</v>
      </c>
      <c r="I188" s="118" t="s">
        <v>150</v>
      </c>
      <c r="J188" s="118" t="s">
        <v>283</v>
      </c>
      <c r="K188" s="118" t="s">
        <v>399</v>
      </c>
      <c r="L188" s="118" t="s">
        <v>288</v>
      </c>
      <c r="M188" s="118" t="s">
        <v>400</v>
      </c>
      <c r="O188" s="118" t="s">
        <v>277</v>
      </c>
      <c r="P188" s="118" t="s">
        <v>264</v>
      </c>
      <c r="R188" s="118" t="s">
        <v>450</v>
      </c>
      <c r="S188" s="118" t="s">
        <v>1489</v>
      </c>
      <c r="T188" s="118" t="s">
        <v>1490</v>
      </c>
      <c r="U188" s="118" t="s">
        <v>1094</v>
      </c>
      <c r="V188" s="118" t="s">
        <v>1288</v>
      </c>
      <c r="Y188" s="129"/>
    </row>
    <row r="189">
      <c r="A189" s="158">
        <v>43591.44244180556</v>
      </c>
      <c r="B189" s="118" t="s">
        <v>1491</v>
      </c>
      <c r="C189" s="118" t="s">
        <v>1492</v>
      </c>
      <c r="E189" s="118" t="s">
        <v>1493</v>
      </c>
      <c r="F189" s="118" t="s">
        <v>430</v>
      </c>
      <c r="G189" s="118" t="s">
        <v>1020</v>
      </c>
      <c r="H189" s="118" t="s">
        <v>276</v>
      </c>
      <c r="I189" s="118" t="s">
        <v>288</v>
      </c>
      <c r="J189" s="118" t="s">
        <v>400</v>
      </c>
      <c r="K189" s="118" t="s">
        <v>399</v>
      </c>
      <c r="L189" s="118" t="s">
        <v>283</v>
      </c>
      <c r="M189" s="118" t="s">
        <v>150</v>
      </c>
      <c r="O189" s="118" t="s">
        <v>402</v>
      </c>
      <c r="R189" s="118" t="s">
        <v>450</v>
      </c>
      <c r="U189" s="118" t="s">
        <v>1094</v>
      </c>
      <c r="V189" s="118" t="s">
        <v>1088</v>
      </c>
      <c r="Y189" s="129"/>
    </row>
    <row r="190">
      <c r="A190" s="158">
        <v>43591.69080378472</v>
      </c>
      <c r="B190" s="118" t="s">
        <v>1494</v>
      </c>
      <c r="C190" s="118" t="s">
        <v>1495</v>
      </c>
      <c r="D190" s="118" t="s">
        <v>1496</v>
      </c>
      <c r="E190" s="118" t="s">
        <v>1497</v>
      </c>
      <c r="F190" s="118" t="s">
        <v>699</v>
      </c>
      <c r="G190" s="118" t="s">
        <v>1498</v>
      </c>
      <c r="H190" s="118" t="s">
        <v>276</v>
      </c>
      <c r="I190" s="118" t="s">
        <v>399</v>
      </c>
      <c r="J190" s="118" t="s">
        <v>288</v>
      </c>
      <c r="K190" s="118" t="s">
        <v>400</v>
      </c>
      <c r="L190" s="118" t="s">
        <v>283</v>
      </c>
      <c r="M190" s="118" t="s">
        <v>150</v>
      </c>
      <c r="O190" s="118" t="s">
        <v>402</v>
      </c>
      <c r="P190" s="118" t="s">
        <v>51</v>
      </c>
      <c r="R190" s="118" t="s">
        <v>404</v>
      </c>
      <c r="S190" s="118" t="s">
        <v>1499</v>
      </c>
      <c r="T190" s="118" t="s">
        <v>1500</v>
      </c>
      <c r="U190" s="118" t="s">
        <v>1025</v>
      </c>
      <c r="V190" s="118" t="s">
        <v>1288</v>
      </c>
      <c r="Y190" s="129"/>
    </row>
    <row r="191">
      <c r="A191" s="158">
        <v>43592.739961354164</v>
      </c>
      <c r="B191" s="118" t="s">
        <v>1501</v>
      </c>
      <c r="C191" s="118" t="s">
        <v>1502</v>
      </c>
      <c r="D191" s="118" t="s">
        <v>1503</v>
      </c>
      <c r="E191" s="118" t="s">
        <v>1504</v>
      </c>
      <c r="F191" s="118" t="s">
        <v>417</v>
      </c>
      <c r="G191" s="118" t="s">
        <v>1505</v>
      </c>
      <c r="H191" s="118" t="s">
        <v>63</v>
      </c>
      <c r="I191" s="118" t="s">
        <v>399</v>
      </c>
      <c r="J191" s="118" t="s">
        <v>288</v>
      </c>
      <c r="K191" s="118" t="s">
        <v>150</v>
      </c>
      <c r="L191" s="118" t="s">
        <v>400</v>
      </c>
      <c r="M191" s="118" t="s">
        <v>283</v>
      </c>
      <c r="N191" s="118" t="s">
        <v>182</v>
      </c>
      <c r="O191" s="118" t="s">
        <v>402</v>
      </c>
      <c r="P191" s="118" t="s">
        <v>1506</v>
      </c>
      <c r="R191" s="118" t="s">
        <v>450</v>
      </c>
      <c r="S191" s="118" t="s">
        <v>1507</v>
      </c>
      <c r="T191" s="118" t="s">
        <v>1508</v>
      </c>
      <c r="U191" s="118" t="s">
        <v>1059</v>
      </c>
      <c r="V191" s="118" t="s">
        <v>1026</v>
      </c>
      <c r="W191" s="118" t="s">
        <v>1509</v>
      </c>
      <c r="X191" s="159"/>
      <c r="Y191" s="129"/>
    </row>
    <row r="192">
      <c r="A192" s="168">
        <v>43592.88754996528</v>
      </c>
      <c r="B192" s="169" t="s">
        <v>1510</v>
      </c>
      <c r="C192" s="169" t="s">
        <v>1511</v>
      </c>
      <c r="D192" s="169" t="s">
        <v>1512</v>
      </c>
      <c r="E192" s="169" t="s">
        <v>1513</v>
      </c>
      <c r="F192" s="169" t="s">
        <v>528</v>
      </c>
      <c r="G192" s="169" t="s">
        <v>1020</v>
      </c>
      <c r="H192" s="169" t="s">
        <v>63</v>
      </c>
      <c r="I192" s="169" t="s">
        <v>399</v>
      </c>
      <c r="J192" s="169" t="s">
        <v>288</v>
      </c>
      <c r="K192" s="170"/>
      <c r="L192" s="170"/>
      <c r="M192" s="170"/>
      <c r="N192" s="169" t="s">
        <v>1514</v>
      </c>
      <c r="O192" s="169" t="s">
        <v>182</v>
      </c>
      <c r="P192" s="169" t="s">
        <v>1515</v>
      </c>
      <c r="Q192" s="170"/>
      <c r="R192" s="169" t="s">
        <v>404</v>
      </c>
      <c r="S192" s="169" t="s">
        <v>1516</v>
      </c>
      <c r="T192" s="169" t="s">
        <v>1517</v>
      </c>
      <c r="U192" s="169" t="s">
        <v>1059</v>
      </c>
      <c r="V192" s="169" t="s">
        <v>1147</v>
      </c>
      <c r="W192" s="169" t="s">
        <v>1518</v>
      </c>
      <c r="X192" s="172"/>
      <c r="Y192" s="171"/>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row>
    <row r="193">
      <c r="A193" s="158">
        <v>43593.204109722225</v>
      </c>
      <c r="B193" s="118" t="s">
        <v>1519</v>
      </c>
      <c r="C193" s="118" t="s">
        <v>1520</v>
      </c>
      <c r="D193" s="118" t="s">
        <v>1521</v>
      </c>
      <c r="E193" s="118" t="s">
        <v>1522</v>
      </c>
      <c r="F193" s="118" t="s">
        <v>430</v>
      </c>
      <c r="G193" s="118" t="s">
        <v>1020</v>
      </c>
      <c r="H193" s="118" t="s">
        <v>276</v>
      </c>
      <c r="I193" s="118" t="s">
        <v>288</v>
      </c>
      <c r="J193" s="118" t="s">
        <v>399</v>
      </c>
      <c r="N193" s="118" t="s">
        <v>1523</v>
      </c>
      <c r="O193" s="118" t="s">
        <v>402</v>
      </c>
      <c r="P193" s="118" t="s">
        <v>1524</v>
      </c>
      <c r="R193" s="118" t="s">
        <v>404</v>
      </c>
      <c r="S193" s="118" t="s">
        <v>1525</v>
      </c>
      <c r="T193" s="118" t="s">
        <v>1526</v>
      </c>
      <c r="U193" s="118" t="s">
        <v>1059</v>
      </c>
      <c r="V193" s="118" t="s">
        <v>1088</v>
      </c>
      <c r="Y193" s="129"/>
    </row>
    <row r="194">
      <c r="A194" s="158">
        <v>43593.566494722225</v>
      </c>
      <c r="B194" s="118" t="s">
        <v>1527</v>
      </c>
      <c r="C194" s="118" t="s">
        <v>301</v>
      </c>
      <c r="E194" s="118" t="s">
        <v>1528</v>
      </c>
      <c r="F194" s="118" t="s">
        <v>301</v>
      </c>
      <c r="G194" s="118" t="s">
        <v>301</v>
      </c>
      <c r="H194" s="118" t="s">
        <v>63</v>
      </c>
      <c r="I194" s="118" t="s">
        <v>150</v>
      </c>
      <c r="U194" s="118" t="s">
        <v>301</v>
      </c>
      <c r="V194" s="118" t="s">
        <v>301</v>
      </c>
      <c r="Y194" s="129"/>
    </row>
    <row r="195">
      <c r="A195" s="158">
        <v>43593.73618653935</v>
      </c>
      <c r="B195" s="118" t="s">
        <v>1529</v>
      </c>
      <c r="C195" s="118" t="s">
        <v>1530</v>
      </c>
      <c r="D195" s="118" t="s">
        <v>1531</v>
      </c>
      <c r="E195" s="118" t="s">
        <v>1532</v>
      </c>
      <c r="F195" s="118" t="s">
        <v>417</v>
      </c>
      <c r="G195" s="118" t="s">
        <v>1020</v>
      </c>
      <c r="H195" s="118" t="s">
        <v>63</v>
      </c>
      <c r="I195" s="118" t="s">
        <v>399</v>
      </c>
      <c r="J195" s="118" t="s">
        <v>288</v>
      </c>
      <c r="K195" s="118" t="s">
        <v>283</v>
      </c>
      <c r="L195" s="118" t="s">
        <v>400</v>
      </c>
      <c r="M195" s="118" t="s">
        <v>150</v>
      </c>
      <c r="N195" s="118" t="s">
        <v>462</v>
      </c>
      <c r="O195" s="118" t="s">
        <v>402</v>
      </c>
      <c r="R195" s="118" t="s">
        <v>450</v>
      </c>
      <c r="S195" s="118" t="s">
        <v>1533</v>
      </c>
      <c r="U195" s="118" t="s">
        <v>1094</v>
      </c>
      <c r="V195" s="118" t="s">
        <v>1026</v>
      </c>
      <c r="Y195" s="129"/>
    </row>
    <row r="196">
      <c r="A196" s="158">
        <v>43595.37445846065</v>
      </c>
      <c r="B196" s="118" t="s">
        <v>1534</v>
      </c>
      <c r="C196" s="118" t="s">
        <v>1535</v>
      </c>
      <c r="D196" s="118" t="s">
        <v>1536</v>
      </c>
      <c r="E196" s="118" t="s">
        <v>1537</v>
      </c>
      <c r="F196" s="118" t="s">
        <v>417</v>
      </c>
      <c r="G196" s="118" t="s">
        <v>1538</v>
      </c>
      <c r="H196" s="118" t="s">
        <v>276</v>
      </c>
      <c r="I196" s="118" t="s">
        <v>400</v>
      </c>
      <c r="J196" s="118" t="s">
        <v>399</v>
      </c>
      <c r="K196" s="118" t="s">
        <v>288</v>
      </c>
      <c r="L196" s="118" t="s">
        <v>150</v>
      </c>
      <c r="M196" s="118" t="s">
        <v>283</v>
      </c>
      <c r="N196" s="118" t="s">
        <v>1539</v>
      </c>
      <c r="O196" s="118" t="s">
        <v>402</v>
      </c>
      <c r="P196" s="118" t="s">
        <v>1540</v>
      </c>
      <c r="R196" s="118" t="s">
        <v>450</v>
      </c>
      <c r="S196" s="118" t="s">
        <v>1541</v>
      </c>
      <c r="T196" s="118" t="s">
        <v>1542</v>
      </c>
      <c r="U196" s="118" t="s">
        <v>1034</v>
      </c>
      <c r="V196" s="118" t="s">
        <v>1026</v>
      </c>
      <c r="Y196" s="129"/>
    </row>
    <row r="197">
      <c r="A197" s="158">
        <v>43596.240464884264</v>
      </c>
      <c r="B197" s="118" t="s">
        <v>1543</v>
      </c>
      <c r="C197" s="118" t="s">
        <v>1544</v>
      </c>
      <c r="E197" s="118" t="s">
        <v>1545</v>
      </c>
      <c r="F197" s="118" t="s">
        <v>699</v>
      </c>
      <c r="G197" s="118" t="s">
        <v>1020</v>
      </c>
      <c r="H197" s="118" t="s">
        <v>63</v>
      </c>
      <c r="I197" s="118" t="s">
        <v>288</v>
      </c>
      <c r="J197" s="118" t="s">
        <v>399</v>
      </c>
      <c r="K197" s="118" t="s">
        <v>400</v>
      </c>
      <c r="L197" s="118" t="s">
        <v>283</v>
      </c>
      <c r="M197" s="118" t="s">
        <v>150</v>
      </c>
      <c r="N197" s="118" t="s">
        <v>1546</v>
      </c>
      <c r="O197" s="118" t="s">
        <v>402</v>
      </c>
      <c r="P197" s="118" t="s">
        <v>78</v>
      </c>
      <c r="R197" s="118" t="s">
        <v>450</v>
      </c>
      <c r="S197" s="118" t="s">
        <v>1547</v>
      </c>
      <c r="U197" s="118" t="s">
        <v>1094</v>
      </c>
      <c r="V197" s="118" t="s">
        <v>1147</v>
      </c>
      <c r="Y197" s="129"/>
    </row>
    <row r="198">
      <c r="A198" s="158">
        <v>43390.565046296295</v>
      </c>
      <c r="B198" s="118" t="s">
        <v>1548</v>
      </c>
      <c r="C198" s="118" t="s">
        <v>1369</v>
      </c>
      <c r="D198" s="118" t="s">
        <v>1549</v>
      </c>
      <c r="E198" s="118" t="s">
        <v>1550</v>
      </c>
      <c r="F198" s="118" t="s">
        <v>417</v>
      </c>
      <c r="G198" s="118" t="s">
        <v>1551</v>
      </c>
      <c r="H198" s="118" t="s">
        <v>63</v>
      </c>
      <c r="I198" s="118" t="s">
        <v>399</v>
      </c>
      <c r="J198" s="118" t="s">
        <v>288</v>
      </c>
      <c r="N198" s="118" t="s">
        <v>182</v>
      </c>
      <c r="O198" s="118" t="s">
        <v>402</v>
      </c>
      <c r="P198" s="118" t="s">
        <v>1552</v>
      </c>
      <c r="R198" s="118" t="s">
        <v>404</v>
      </c>
      <c r="U198" s="118" t="s">
        <v>1553</v>
      </c>
      <c r="V198" s="118" t="s">
        <v>1554</v>
      </c>
      <c r="Y198" s="156" t="s">
        <v>1555</v>
      </c>
    </row>
    <row r="199">
      <c r="A199" s="158">
        <v>43601.325485277775</v>
      </c>
      <c r="B199" s="118" t="s">
        <v>1556</v>
      </c>
      <c r="C199" s="118" t="s">
        <v>879</v>
      </c>
      <c r="E199" s="118" t="s">
        <v>1557</v>
      </c>
      <c r="F199" s="118" t="s">
        <v>1065</v>
      </c>
      <c r="G199" s="118" t="s">
        <v>1055</v>
      </c>
      <c r="H199" s="118" t="s">
        <v>63</v>
      </c>
      <c r="I199" s="118" t="s">
        <v>283</v>
      </c>
      <c r="J199" s="118" t="s">
        <v>399</v>
      </c>
      <c r="P199" s="118" t="s">
        <v>1558</v>
      </c>
      <c r="R199" s="118" t="s">
        <v>450</v>
      </c>
      <c r="U199" s="118" t="s">
        <v>1059</v>
      </c>
      <c r="V199" s="118" t="s">
        <v>1026</v>
      </c>
      <c r="Y199" s="129"/>
    </row>
    <row r="200">
      <c r="A200" s="158">
        <v>43601.53615817129</v>
      </c>
      <c r="B200" s="118" t="s">
        <v>625</v>
      </c>
      <c r="C200" s="118" t="s">
        <v>435</v>
      </c>
      <c r="D200" s="118" t="s">
        <v>1559</v>
      </c>
      <c r="E200" s="118" t="s">
        <v>626</v>
      </c>
      <c r="F200" s="118" t="s">
        <v>446</v>
      </c>
      <c r="G200" s="118" t="s">
        <v>1560</v>
      </c>
      <c r="H200" s="118" t="s">
        <v>63</v>
      </c>
      <c r="I200" s="118" t="s">
        <v>288</v>
      </c>
      <c r="J200" s="118" t="s">
        <v>150</v>
      </c>
      <c r="K200" s="118" t="s">
        <v>400</v>
      </c>
      <c r="N200" s="118" t="s">
        <v>1561</v>
      </c>
      <c r="O200" s="118" t="s">
        <v>277</v>
      </c>
      <c r="P200" s="118" t="s">
        <v>1562</v>
      </c>
      <c r="R200" s="118" t="s">
        <v>450</v>
      </c>
      <c r="S200" s="118" t="s">
        <v>1563</v>
      </c>
      <c r="T200" s="118" t="s">
        <v>1564</v>
      </c>
      <c r="U200" s="118" t="s">
        <v>1059</v>
      </c>
      <c r="V200" s="118" t="s">
        <v>1288</v>
      </c>
      <c r="Y200" s="129"/>
    </row>
    <row r="201">
      <c r="A201" s="158">
        <v>43602.702408564815</v>
      </c>
      <c r="B201" s="118" t="s">
        <v>1565</v>
      </c>
      <c r="C201" s="118" t="s">
        <v>1566</v>
      </c>
      <c r="D201" s="118" t="s">
        <v>1567</v>
      </c>
      <c r="E201" s="118" t="s">
        <v>1568</v>
      </c>
      <c r="F201" s="118" t="s">
        <v>430</v>
      </c>
      <c r="G201" s="118" t="s">
        <v>1569</v>
      </c>
      <c r="H201" s="118" t="s">
        <v>63</v>
      </c>
      <c r="I201" s="118" t="s">
        <v>288</v>
      </c>
      <c r="J201" s="118" t="s">
        <v>399</v>
      </c>
      <c r="K201" s="118" t="s">
        <v>400</v>
      </c>
      <c r="L201" s="118" t="s">
        <v>283</v>
      </c>
      <c r="M201" s="118" t="s">
        <v>150</v>
      </c>
      <c r="N201" s="118" t="s">
        <v>1570</v>
      </c>
      <c r="O201" s="118" t="s">
        <v>277</v>
      </c>
      <c r="P201" s="118" t="s">
        <v>1571</v>
      </c>
      <c r="R201" s="118" t="s">
        <v>450</v>
      </c>
      <c r="S201" s="118" t="s">
        <v>1572</v>
      </c>
      <c r="T201" s="118" t="s">
        <v>1573</v>
      </c>
      <c r="U201" s="118" t="s">
        <v>1287</v>
      </c>
      <c r="V201" s="118" t="s">
        <v>1244</v>
      </c>
      <c r="W201" s="118" t="s">
        <v>182</v>
      </c>
      <c r="X201" s="159"/>
      <c r="Y201" s="129"/>
    </row>
    <row r="202">
      <c r="A202" s="158">
        <v>43605.50311005787</v>
      </c>
      <c r="B202" s="118" t="s">
        <v>1574</v>
      </c>
      <c r="C202" s="118" t="s">
        <v>1575</v>
      </c>
      <c r="D202" s="118" t="s">
        <v>1576</v>
      </c>
      <c r="E202" s="118" t="s">
        <v>1577</v>
      </c>
      <c r="F202" s="118" t="s">
        <v>1578</v>
      </c>
      <c r="G202" s="118" t="s">
        <v>1074</v>
      </c>
      <c r="H202" s="118" t="s">
        <v>63</v>
      </c>
      <c r="I202" s="118" t="s">
        <v>400</v>
      </c>
      <c r="J202" s="118" t="s">
        <v>288</v>
      </c>
      <c r="K202" s="118" t="s">
        <v>399</v>
      </c>
      <c r="L202" s="118" t="s">
        <v>283</v>
      </c>
      <c r="M202" s="118" t="s">
        <v>150</v>
      </c>
      <c r="O202" s="118" t="s">
        <v>182</v>
      </c>
      <c r="P202" s="118" t="s">
        <v>1579</v>
      </c>
      <c r="R202" s="118" t="s">
        <v>404</v>
      </c>
      <c r="S202" s="118" t="s">
        <v>1580</v>
      </c>
      <c r="T202" s="118" t="s">
        <v>1581</v>
      </c>
      <c r="U202" s="118" t="s">
        <v>1059</v>
      </c>
      <c r="V202" s="118" t="s">
        <v>1026</v>
      </c>
      <c r="W202" s="118" t="s">
        <v>1582</v>
      </c>
      <c r="X202" s="159"/>
      <c r="Y202" s="129"/>
    </row>
    <row r="203">
      <c r="A203" s="158">
        <v>43605.743656238425</v>
      </c>
      <c r="B203" s="118" t="s">
        <v>1583</v>
      </c>
      <c r="C203" s="118" t="s">
        <v>1584</v>
      </c>
      <c r="D203" s="118" t="s">
        <v>1585</v>
      </c>
      <c r="E203" s="118" t="s">
        <v>1586</v>
      </c>
      <c r="F203" s="118" t="s">
        <v>491</v>
      </c>
      <c r="G203" s="118" t="s">
        <v>1046</v>
      </c>
      <c r="H203" s="118" t="s">
        <v>276</v>
      </c>
      <c r="I203" s="118" t="s">
        <v>288</v>
      </c>
      <c r="J203" s="118" t="s">
        <v>399</v>
      </c>
      <c r="K203" s="118" t="s">
        <v>283</v>
      </c>
      <c r="L203" s="118" t="s">
        <v>400</v>
      </c>
      <c r="M203" s="118" t="s">
        <v>150</v>
      </c>
      <c r="N203" s="118" t="s">
        <v>1587</v>
      </c>
      <c r="O203" s="118" t="s">
        <v>277</v>
      </c>
      <c r="S203" s="118" t="s">
        <v>1588</v>
      </c>
      <c r="T203" s="118" t="s">
        <v>1589</v>
      </c>
      <c r="U203" s="118" t="s">
        <v>1034</v>
      </c>
      <c r="V203" s="118" t="s">
        <v>1088</v>
      </c>
      <c r="Y203" s="129"/>
    </row>
    <row r="204">
      <c r="A204" s="158">
        <v>43606.40039928241</v>
      </c>
      <c r="B204" s="118" t="s">
        <v>1590</v>
      </c>
      <c r="C204" s="118" t="s">
        <v>772</v>
      </c>
      <c r="E204" s="118" t="s">
        <v>773</v>
      </c>
      <c r="F204" s="118" t="s">
        <v>1019</v>
      </c>
      <c r="G204" s="118" t="s">
        <v>1098</v>
      </c>
      <c r="H204" s="118" t="s">
        <v>63</v>
      </c>
      <c r="I204" s="118" t="s">
        <v>399</v>
      </c>
      <c r="N204" s="118" t="s">
        <v>1591</v>
      </c>
      <c r="O204" s="118" t="s">
        <v>277</v>
      </c>
      <c r="P204" s="118" t="s">
        <v>290</v>
      </c>
      <c r="R204" s="118" t="s">
        <v>404</v>
      </c>
      <c r="S204" s="118" t="s">
        <v>1592</v>
      </c>
      <c r="T204" s="118" t="s">
        <v>290</v>
      </c>
      <c r="U204" s="118" t="s">
        <v>1130</v>
      </c>
      <c r="V204" s="118" t="s">
        <v>1088</v>
      </c>
      <c r="Y204" s="129"/>
    </row>
    <row r="205">
      <c r="A205" s="158">
        <v>43607.54873863426</v>
      </c>
      <c r="B205" s="118" t="s">
        <v>1593</v>
      </c>
      <c r="C205" s="118" t="s">
        <v>1594</v>
      </c>
      <c r="D205" s="118" t="s">
        <v>1595</v>
      </c>
      <c r="E205" s="118" t="s">
        <v>1596</v>
      </c>
      <c r="F205" s="118" t="s">
        <v>417</v>
      </c>
      <c r="G205" s="118" t="s">
        <v>1597</v>
      </c>
      <c r="H205" s="118" t="s">
        <v>63</v>
      </c>
      <c r="I205" s="118" t="s">
        <v>288</v>
      </c>
      <c r="J205" s="118" t="s">
        <v>399</v>
      </c>
      <c r="N205" s="118" t="s">
        <v>1598</v>
      </c>
      <c r="O205" s="118" t="s">
        <v>402</v>
      </c>
      <c r="P205" s="118" t="s">
        <v>1599</v>
      </c>
      <c r="R205" s="118" t="s">
        <v>404</v>
      </c>
      <c r="S205" s="118" t="s">
        <v>1600</v>
      </c>
      <c r="T205" s="118" t="s">
        <v>1601</v>
      </c>
      <c r="U205" s="118" t="s">
        <v>1130</v>
      </c>
      <c r="V205" s="118" t="s">
        <v>1026</v>
      </c>
      <c r="Y205" s="129"/>
    </row>
    <row r="206">
      <c r="A206" s="158">
        <v>43609.95575324074</v>
      </c>
      <c r="B206" s="118" t="s">
        <v>591</v>
      </c>
      <c r="C206" s="118" t="s">
        <v>592</v>
      </c>
      <c r="D206" s="118" t="s">
        <v>1602</v>
      </c>
      <c r="E206" s="118" t="s">
        <v>594</v>
      </c>
      <c r="F206" s="118" t="s">
        <v>460</v>
      </c>
      <c r="G206" s="118" t="s">
        <v>1603</v>
      </c>
      <c r="H206" s="118" t="s">
        <v>63</v>
      </c>
      <c r="I206" s="118" t="s">
        <v>288</v>
      </c>
      <c r="J206" s="118" t="s">
        <v>399</v>
      </c>
      <c r="N206" s="118" t="s">
        <v>1604</v>
      </c>
      <c r="O206" s="118" t="s">
        <v>277</v>
      </c>
      <c r="P206" s="118" t="s">
        <v>1605</v>
      </c>
      <c r="R206" s="118" t="s">
        <v>441</v>
      </c>
      <c r="S206" s="118" t="s">
        <v>1606</v>
      </c>
      <c r="T206" s="118" t="s">
        <v>1607</v>
      </c>
      <c r="U206" s="118" t="s">
        <v>1025</v>
      </c>
      <c r="V206" s="118" t="s">
        <v>1026</v>
      </c>
      <c r="Y206" s="129"/>
    </row>
    <row r="207">
      <c r="A207" s="158">
        <v>43610.740048368054</v>
      </c>
      <c r="B207" s="118" t="s">
        <v>1608</v>
      </c>
      <c r="C207" s="118" t="s">
        <v>1609</v>
      </c>
      <c r="D207" s="118" t="s">
        <v>1610</v>
      </c>
      <c r="E207" s="118" t="s">
        <v>1611</v>
      </c>
      <c r="F207" s="118" t="s">
        <v>460</v>
      </c>
      <c r="G207" s="118" t="s">
        <v>1020</v>
      </c>
      <c r="H207" s="118" t="s">
        <v>63</v>
      </c>
      <c r="I207" s="118" t="s">
        <v>288</v>
      </c>
      <c r="J207" s="118" t="s">
        <v>399</v>
      </c>
      <c r="K207" s="118" t="s">
        <v>150</v>
      </c>
      <c r="L207" s="118" t="s">
        <v>400</v>
      </c>
      <c r="M207" s="118" t="s">
        <v>283</v>
      </c>
      <c r="O207" s="118" t="s">
        <v>277</v>
      </c>
      <c r="R207" s="118" t="s">
        <v>450</v>
      </c>
      <c r="S207" s="118" t="s">
        <v>1612</v>
      </c>
      <c r="T207" s="118" t="s">
        <v>1613</v>
      </c>
      <c r="U207" s="118" t="s">
        <v>1094</v>
      </c>
      <c r="V207" s="118" t="s">
        <v>1088</v>
      </c>
      <c r="Y207" s="129"/>
    </row>
    <row r="208">
      <c r="A208" s="158">
        <v>43612.744829560186</v>
      </c>
      <c r="B208" s="118" t="s">
        <v>1614</v>
      </c>
      <c r="C208" s="118" t="s">
        <v>1615</v>
      </c>
      <c r="E208" s="118" t="s">
        <v>1616</v>
      </c>
      <c r="F208" s="118" t="s">
        <v>417</v>
      </c>
      <c r="G208" s="118" t="s">
        <v>1020</v>
      </c>
      <c r="H208" s="118" t="s">
        <v>63</v>
      </c>
      <c r="I208" s="118" t="s">
        <v>399</v>
      </c>
      <c r="J208" s="118" t="s">
        <v>288</v>
      </c>
      <c r="K208" s="118" t="s">
        <v>283</v>
      </c>
      <c r="O208" s="118" t="s">
        <v>277</v>
      </c>
      <c r="R208" s="118" t="s">
        <v>450</v>
      </c>
      <c r="S208" s="118" t="s">
        <v>1617</v>
      </c>
      <c r="T208" s="118" t="s">
        <v>1618</v>
      </c>
      <c r="U208" s="118" t="s">
        <v>1094</v>
      </c>
      <c r="V208" s="118" t="s">
        <v>1026</v>
      </c>
      <c r="Y208" s="129"/>
    </row>
    <row r="209">
      <c r="A209" s="158">
        <v>43614.60976244213</v>
      </c>
      <c r="B209" s="118" t="s">
        <v>1619</v>
      </c>
      <c r="C209" s="118" t="s">
        <v>1051</v>
      </c>
      <c r="D209" s="118" t="s">
        <v>1620</v>
      </c>
      <c r="E209" s="118" t="s">
        <v>1621</v>
      </c>
      <c r="F209" s="118" t="s">
        <v>699</v>
      </c>
      <c r="G209" s="118" t="s">
        <v>1622</v>
      </c>
      <c r="H209" s="118" t="s">
        <v>276</v>
      </c>
      <c r="I209" s="118" t="s">
        <v>399</v>
      </c>
      <c r="J209" s="118" t="s">
        <v>288</v>
      </c>
      <c r="K209" s="118" t="s">
        <v>150</v>
      </c>
      <c r="N209" s="118" t="s">
        <v>1623</v>
      </c>
      <c r="O209" s="118" t="s">
        <v>182</v>
      </c>
      <c r="P209" s="118" t="s">
        <v>1624</v>
      </c>
      <c r="R209" s="118" t="s">
        <v>404</v>
      </c>
      <c r="S209" s="118" t="s">
        <v>1625</v>
      </c>
      <c r="T209" s="118" t="s">
        <v>1623</v>
      </c>
      <c r="U209" s="118" t="s">
        <v>1094</v>
      </c>
      <c r="V209" s="118" t="s">
        <v>1088</v>
      </c>
      <c r="Y209" s="129"/>
    </row>
    <row r="210">
      <c r="A210" s="158">
        <v>43615.06075428241</v>
      </c>
      <c r="B210" s="118" t="s">
        <v>1626</v>
      </c>
      <c r="C210" s="118" t="s">
        <v>702</v>
      </c>
      <c r="D210" s="118" t="s">
        <v>1627</v>
      </c>
      <c r="E210" s="118" t="s">
        <v>1628</v>
      </c>
      <c r="F210" s="118" t="s">
        <v>1629</v>
      </c>
      <c r="G210" s="118" t="s">
        <v>1630</v>
      </c>
      <c r="H210" s="118" t="s">
        <v>63</v>
      </c>
      <c r="I210" s="118" t="s">
        <v>288</v>
      </c>
      <c r="J210" s="118" t="s">
        <v>399</v>
      </c>
      <c r="K210" s="118" t="s">
        <v>400</v>
      </c>
      <c r="L210" s="118" t="s">
        <v>150</v>
      </c>
      <c r="M210" s="118" t="s">
        <v>283</v>
      </c>
      <c r="N210" s="118" t="s">
        <v>1631</v>
      </c>
      <c r="O210" s="118" t="s">
        <v>402</v>
      </c>
      <c r="R210" s="118" t="s">
        <v>404</v>
      </c>
      <c r="S210" s="118" t="s">
        <v>1632</v>
      </c>
      <c r="T210" s="118" t="s">
        <v>1633</v>
      </c>
      <c r="U210" s="118" t="s">
        <v>1094</v>
      </c>
      <c r="V210" s="118" t="s">
        <v>1088</v>
      </c>
      <c r="Y210" s="129"/>
    </row>
    <row r="211">
      <c r="A211" s="158">
        <v>43615.39929767361</v>
      </c>
      <c r="B211" s="118" t="s">
        <v>1634</v>
      </c>
      <c r="C211" s="118" t="s">
        <v>1635</v>
      </c>
      <c r="D211" s="118" t="s">
        <v>1636</v>
      </c>
      <c r="E211" s="118" t="s">
        <v>1637</v>
      </c>
      <c r="F211" s="118" t="s">
        <v>699</v>
      </c>
      <c r="G211" s="118" t="s">
        <v>1638</v>
      </c>
      <c r="H211" s="118" t="s">
        <v>63</v>
      </c>
      <c r="I211" s="118" t="s">
        <v>288</v>
      </c>
      <c r="J211" s="118" t="s">
        <v>150</v>
      </c>
      <c r="K211" s="118" t="s">
        <v>399</v>
      </c>
      <c r="L211" s="118" t="s">
        <v>400</v>
      </c>
      <c r="M211" s="118" t="s">
        <v>283</v>
      </c>
      <c r="N211" s="118" t="s">
        <v>1639</v>
      </c>
      <c r="O211" s="118" t="s">
        <v>277</v>
      </c>
      <c r="P211" s="118" t="s">
        <v>1640</v>
      </c>
      <c r="R211" s="118" t="s">
        <v>450</v>
      </c>
      <c r="S211" s="118" t="s">
        <v>1641</v>
      </c>
      <c r="T211" s="118" t="s">
        <v>1642</v>
      </c>
      <c r="U211" s="118" t="s">
        <v>1025</v>
      </c>
      <c r="V211" s="118" t="s">
        <v>1288</v>
      </c>
      <c r="W211" s="118" t="s">
        <v>1643</v>
      </c>
      <c r="X211" s="159"/>
      <c r="Y211" s="129"/>
    </row>
    <row r="212">
      <c r="A212" s="158">
        <v>43615.57070869213</v>
      </c>
      <c r="B212" s="118" t="s">
        <v>1644</v>
      </c>
      <c r="C212" s="118" t="s">
        <v>1645</v>
      </c>
      <c r="D212" s="118" t="s">
        <v>1646</v>
      </c>
      <c r="E212" s="118" t="s">
        <v>1647</v>
      </c>
      <c r="F212" s="118" t="s">
        <v>460</v>
      </c>
      <c r="G212" s="118" t="s">
        <v>1161</v>
      </c>
      <c r="H212" s="118" t="s">
        <v>63</v>
      </c>
      <c r="I212" s="118" t="s">
        <v>399</v>
      </c>
      <c r="J212" s="118" t="s">
        <v>400</v>
      </c>
      <c r="K212" s="91" t="s">
        <v>288</v>
      </c>
      <c r="N212" s="118" t="s">
        <v>1648</v>
      </c>
      <c r="O212" s="118" t="s">
        <v>402</v>
      </c>
      <c r="P212" s="118" t="s">
        <v>1649</v>
      </c>
      <c r="R212" s="118" t="s">
        <v>404</v>
      </c>
      <c r="S212" s="118" t="s">
        <v>1650</v>
      </c>
      <c r="T212" s="118" t="s">
        <v>1651</v>
      </c>
      <c r="U212" s="118" t="s">
        <v>1025</v>
      </c>
      <c r="V212" s="118" t="s">
        <v>1026</v>
      </c>
      <c r="Y212" s="129"/>
    </row>
    <row r="213">
      <c r="A213" s="158">
        <v>43615.977712569445</v>
      </c>
      <c r="B213" s="118" t="s">
        <v>1652</v>
      </c>
      <c r="C213" s="118" t="s">
        <v>1653</v>
      </c>
      <c r="D213" s="118" t="s">
        <v>1654</v>
      </c>
      <c r="E213" s="118" t="s">
        <v>1655</v>
      </c>
      <c r="F213" s="118" t="s">
        <v>1656</v>
      </c>
      <c r="G213" s="118" t="s">
        <v>1657</v>
      </c>
      <c r="H213" s="118" t="s">
        <v>63</v>
      </c>
      <c r="I213" s="118" t="s">
        <v>400</v>
      </c>
      <c r="J213" s="118" t="s">
        <v>288</v>
      </c>
      <c r="K213" s="118" t="s">
        <v>399</v>
      </c>
      <c r="L213" s="118" t="s">
        <v>283</v>
      </c>
      <c r="M213" s="118" t="s">
        <v>150</v>
      </c>
      <c r="O213" s="118" t="s">
        <v>277</v>
      </c>
      <c r="P213" s="118" t="s">
        <v>1658</v>
      </c>
      <c r="R213" s="118" t="s">
        <v>450</v>
      </c>
      <c r="S213" s="118" t="s">
        <v>1659</v>
      </c>
      <c r="T213" s="118" t="s">
        <v>1623</v>
      </c>
      <c r="U213" s="118" t="s">
        <v>1660</v>
      </c>
      <c r="V213" s="118" t="s">
        <v>1661</v>
      </c>
      <c r="W213" s="118" t="s">
        <v>1662</v>
      </c>
      <c r="X213" s="159"/>
      <c r="Y213" s="129"/>
    </row>
    <row r="214">
      <c r="A214" s="158">
        <v>43619.48182516204</v>
      </c>
      <c r="B214" s="118" t="s">
        <v>1663</v>
      </c>
      <c r="C214" s="118" t="s">
        <v>1664</v>
      </c>
      <c r="E214" s="118" t="s">
        <v>1665</v>
      </c>
      <c r="F214" s="118" t="s">
        <v>1065</v>
      </c>
      <c r="G214" s="118" t="s">
        <v>1098</v>
      </c>
      <c r="H214" s="118" t="s">
        <v>63</v>
      </c>
      <c r="I214" s="118" t="s">
        <v>283</v>
      </c>
      <c r="J214" s="118" t="s">
        <v>399</v>
      </c>
      <c r="K214" s="118" t="s">
        <v>288</v>
      </c>
      <c r="N214" s="118" t="s">
        <v>1666</v>
      </c>
      <c r="O214" s="118" t="s">
        <v>402</v>
      </c>
      <c r="P214" s="118" t="s">
        <v>1667</v>
      </c>
      <c r="R214" s="118" t="s">
        <v>450</v>
      </c>
      <c r="S214" s="118" t="s">
        <v>1668</v>
      </c>
      <c r="T214" s="118" t="s">
        <v>1669</v>
      </c>
      <c r="U214" s="118" t="s">
        <v>1059</v>
      </c>
      <c r="V214" s="118" t="s">
        <v>1026</v>
      </c>
      <c r="X214" s="118" t="s">
        <v>1670</v>
      </c>
      <c r="Y214" s="129"/>
    </row>
    <row r="215">
      <c r="A215" s="158">
        <v>43620.78905363426</v>
      </c>
      <c r="B215" s="118" t="s">
        <v>1671</v>
      </c>
      <c r="C215" s="118" t="s">
        <v>1672</v>
      </c>
      <c r="E215" s="118" t="s">
        <v>1673</v>
      </c>
      <c r="F215" s="118" t="s">
        <v>491</v>
      </c>
      <c r="G215" s="118" t="s">
        <v>1674</v>
      </c>
      <c r="H215" s="118" t="s">
        <v>63</v>
      </c>
      <c r="I215" s="118" t="s">
        <v>288</v>
      </c>
      <c r="J215" s="118" t="s">
        <v>27</v>
      </c>
      <c r="N215" s="118" t="s">
        <v>1675</v>
      </c>
      <c r="O215" s="118" t="s">
        <v>402</v>
      </c>
      <c r="P215" s="118" t="s">
        <v>1676</v>
      </c>
      <c r="R215" s="118" t="s">
        <v>404</v>
      </c>
      <c r="S215" s="118" t="s">
        <v>1677</v>
      </c>
      <c r="T215" s="118" t="s">
        <v>1678</v>
      </c>
      <c r="U215" s="118" t="s">
        <v>1059</v>
      </c>
      <c r="V215" s="118" t="s">
        <v>1088</v>
      </c>
      <c r="W215" s="118" t="s">
        <v>1679</v>
      </c>
      <c r="X215" s="118" t="s">
        <v>1680</v>
      </c>
      <c r="Y215" s="129"/>
    </row>
    <row r="216">
      <c r="A216" s="158">
        <v>43621.341686875</v>
      </c>
      <c r="B216" s="118" t="s">
        <v>1681</v>
      </c>
      <c r="C216" s="118" t="s">
        <v>1682</v>
      </c>
      <c r="D216" s="118" t="s">
        <v>1683</v>
      </c>
      <c r="E216" s="118" t="s">
        <v>1684</v>
      </c>
      <c r="F216" s="118" t="s">
        <v>1065</v>
      </c>
      <c r="G216" s="118" t="s">
        <v>1020</v>
      </c>
      <c r="H216" s="118" t="s">
        <v>63</v>
      </c>
      <c r="I216" s="118" t="s">
        <v>288</v>
      </c>
      <c r="J216" s="118" t="s">
        <v>150</v>
      </c>
      <c r="K216" s="118" t="s">
        <v>400</v>
      </c>
      <c r="L216" s="118" t="s">
        <v>399</v>
      </c>
      <c r="M216" s="118" t="s">
        <v>283</v>
      </c>
      <c r="N216" s="118" t="s">
        <v>1685</v>
      </c>
      <c r="O216" s="118" t="s">
        <v>277</v>
      </c>
      <c r="P216" s="118" t="s">
        <v>1686</v>
      </c>
      <c r="R216" s="118" t="s">
        <v>450</v>
      </c>
      <c r="S216" s="118" t="s">
        <v>1687</v>
      </c>
      <c r="T216" s="118" t="s">
        <v>1688</v>
      </c>
      <c r="U216" s="118" t="s">
        <v>1094</v>
      </c>
      <c r="V216" s="118" t="s">
        <v>1026</v>
      </c>
      <c r="X216" s="118" t="s">
        <v>1689</v>
      </c>
      <c r="Y216" s="129"/>
    </row>
    <row r="217">
      <c r="A217" s="158">
        <v>43621.37989456019</v>
      </c>
      <c r="B217" s="118" t="s">
        <v>1690</v>
      </c>
      <c r="C217" s="118" t="s">
        <v>1691</v>
      </c>
      <c r="E217" s="118" t="s">
        <v>1692</v>
      </c>
      <c r="F217" s="118" t="s">
        <v>699</v>
      </c>
      <c r="G217" s="118" t="s">
        <v>1098</v>
      </c>
      <c r="H217" s="118" t="s">
        <v>276</v>
      </c>
      <c r="O217" s="118" t="s">
        <v>182</v>
      </c>
      <c r="S217" s="118" t="s">
        <v>1693</v>
      </c>
      <c r="T217" s="118" t="s">
        <v>1694</v>
      </c>
      <c r="U217" s="118" t="s">
        <v>1094</v>
      </c>
      <c r="V217" s="118" t="s">
        <v>1288</v>
      </c>
      <c r="X217" s="118" t="s">
        <v>1670</v>
      </c>
      <c r="Y217" s="129"/>
    </row>
    <row r="218">
      <c r="A218" s="158">
        <v>43622.554816874996</v>
      </c>
      <c r="B218" s="118" t="s">
        <v>1695</v>
      </c>
      <c r="C218" s="118" t="s">
        <v>1696</v>
      </c>
      <c r="D218" s="118" t="s">
        <v>1697</v>
      </c>
      <c r="E218" s="118" t="s">
        <v>1698</v>
      </c>
      <c r="F218" s="118" t="s">
        <v>460</v>
      </c>
      <c r="G218" s="118" t="s">
        <v>1098</v>
      </c>
      <c r="H218" s="118" t="s">
        <v>63</v>
      </c>
      <c r="I218" s="118" t="s">
        <v>399</v>
      </c>
      <c r="J218" s="118" t="s">
        <v>288</v>
      </c>
      <c r="K218" s="118" t="s">
        <v>400</v>
      </c>
      <c r="L218" s="118" t="s">
        <v>283</v>
      </c>
      <c r="M218" s="118" t="s">
        <v>150</v>
      </c>
      <c r="N218" s="118" t="s">
        <v>1699</v>
      </c>
      <c r="O218" s="118" t="s">
        <v>182</v>
      </c>
      <c r="P218" s="118" t="s">
        <v>1700</v>
      </c>
      <c r="R218" s="118" t="s">
        <v>450</v>
      </c>
      <c r="S218" s="118" t="s">
        <v>1701</v>
      </c>
      <c r="T218" s="118" t="s">
        <v>1702</v>
      </c>
      <c r="U218" s="118" t="s">
        <v>1034</v>
      </c>
      <c r="V218" s="118" t="s">
        <v>1026</v>
      </c>
      <c r="X218" s="118" t="s">
        <v>1703</v>
      </c>
      <c r="Y218" s="129"/>
    </row>
    <row r="219">
      <c r="A219" s="158">
        <v>43623.29049254629</v>
      </c>
      <c r="B219" s="118" t="s">
        <v>1704</v>
      </c>
      <c r="C219" s="118" t="s">
        <v>1705</v>
      </c>
      <c r="D219" s="118" t="s">
        <v>1706</v>
      </c>
      <c r="E219" s="118" t="s">
        <v>1707</v>
      </c>
      <c r="F219" s="118" t="s">
        <v>430</v>
      </c>
      <c r="G219" s="118" t="s">
        <v>1046</v>
      </c>
      <c r="H219" s="118" t="s">
        <v>63</v>
      </c>
      <c r="I219" s="118" t="s">
        <v>288</v>
      </c>
      <c r="J219" s="118" t="s">
        <v>400</v>
      </c>
      <c r="K219" s="118" t="s">
        <v>283</v>
      </c>
      <c r="L219" s="118" t="s">
        <v>399</v>
      </c>
      <c r="M219" s="118" t="s">
        <v>150</v>
      </c>
      <c r="N219" s="118" t="s">
        <v>1708</v>
      </c>
      <c r="O219" s="118" t="s">
        <v>277</v>
      </c>
      <c r="P219" s="118" t="s">
        <v>1709</v>
      </c>
      <c r="R219" s="118" t="s">
        <v>404</v>
      </c>
      <c r="S219" s="118" t="s">
        <v>1710</v>
      </c>
      <c r="T219" s="118" t="s">
        <v>1711</v>
      </c>
      <c r="U219" s="118" t="s">
        <v>1025</v>
      </c>
      <c r="V219" s="118" t="s">
        <v>1088</v>
      </c>
      <c r="X219" s="118" t="s">
        <v>1712</v>
      </c>
      <c r="Y219" s="129"/>
    </row>
    <row r="220">
      <c r="A220" s="158">
        <v>43625.51218064815</v>
      </c>
      <c r="B220" s="118" t="s">
        <v>1713</v>
      </c>
      <c r="C220" s="118" t="s">
        <v>1714</v>
      </c>
      <c r="D220" s="118" t="s">
        <v>1715</v>
      </c>
      <c r="E220" s="118" t="s">
        <v>1716</v>
      </c>
      <c r="F220" s="118" t="s">
        <v>528</v>
      </c>
      <c r="G220" s="118" t="s">
        <v>1717</v>
      </c>
      <c r="H220" s="118" t="s">
        <v>276</v>
      </c>
      <c r="I220" s="118" t="s">
        <v>399</v>
      </c>
      <c r="J220" s="118" t="s">
        <v>288</v>
      </c>
      <c r="K220" s="118" t="s">
        <v>283</v>
      </c>
      <c r="L220" s="118" t="s">
        <v>400</v>
      </c>
      <c r="M220" s="118" t="s">
        <v>150</v>
      </c>
      <c r="N220" s="118" t="s">
        <v>1718</v>
      </c>
      <c r="O220" s="118" t="s">
        <v>402</v>
      </c>
      <c r="P220" s="118" t="s">
        <v>1719</v>
      </c>
      <c r="R220" s="118" t="s">
        <v>404</v>
      </c>
      <c r="S220" s="118" t="s">
        <v>1720</v>
      </c>
      <c r="T220" s="118" t="s">
        <v>1721</v>
      </c>
      <c r="U220" s="118" t="s">
        <v>1722</v>
      </c>
      <c r="V220" s="118" t="s">
        <v>1147</v>
      </c>
      <c r="W220" s="118" t="s">
        <v>1723</v>
      </c>
      <c r="X220" s="118" t="s">
        <v>1724</v>
      </c>
      <c r="Y220" s="129"/>
    </row>
    <row r="221">
      <c r="A221" s="158">
        <v>43625.56646847222</v>
      </c>
      <c r="B221" s="118" t="s">
        <v>1725</v>
      </c>
      <c r="C221" s="118" t="s">
        <v>1726</v>
      </c>
      <c r="E221" s="118" t="s">
        <v>1727</v>
      </c>
      <c r="F221" s="118" t="s">
        <v>430</v>
      </c>
      <c r="G221" s="118" t="s">
        <v>1020</v>
      </c>
      <c r="H221" s="118" t="s">
        <v>63</v>
      </c>
      <c r="I221" s="118" t="s">
        <v>288</v>
      </c>
      <c r="J221" s="118" t="s">
        <v>399</v>
      </c>
      <c r="K221" s="118" t="s">
        <v>283</v>
      </c>
      <c r="L221" s="118" t="s">
        <v>400</v>
      </c>
      <c r="M221" s="118" t="s">
        <v>150</v>
      </c>
      <c r="O221" s="118" t="s">
        <v>182</v>
      </c>
      <c r="P221" s="118" t="s">
        <v>135</v>
      </c>
      <c r="R221" s="118" t="s">
        <v>450</v>
      </c>
      <c r="S221" s="118" t="s">
        <v>1728</v>
      </c>
      <c r="T221" s="118" t="s">
        <v>1729</v>
      </c>
      <c r="U221" s="118" t="s">
        <v>1130</v>
      </c>
      <c r="V221" s="118" t="s">
        <v>1730</v>
      </c>
      <c r="X221" s="118" t="s">
        <v>1731</v>
      </c>
      <c r="Y221" s="129"/>
    </row>
    <row r="222">
      <c r="A222" s="158">
        <v>43625.72974097222</v>
      </c>
      <c r="B222" s="118" t="s">
        <v>1732</v>
      </c>
      <c r="C222" s="118" t="s">
        <v>1733</v>
      </c>
      <c r="D222" s="118" t="s">
        <v>1734</v>
      </c>
      <c r="E222" s="118" t="s">
        <v>1735</v>
      </c>
      <c r="F222" s="118" t="s">
        <v>460</v>
      </c>
      <c r="G222" s="118" t="s">
        <v>1098</v>
      </c>
      <c r="H222" s="118" t="s">
        <v>63</v>
      </c>
      <c r="I222" s="118" t="s">
        <v>400</v>
      </c>
      <c r="J222" s="118" t="s">
        <v>288</v>
      </c>
      <c r="N222" s="118" t="s">
        <v>1736</v>
      </c>
      <c r="O222" s="118" t="s">
        <v>402</v>
      </c>
      <c r="P222" s="118" t="s">
        <v>1737</v>
      </c>
      <c r="R222" s="118" t="s">
        <v>404</v>
      </c>
      <c r="S222" s="118" t="s">
        <v>1738</v>
      </c>
      <c r="T222" s="118" t="s">
        <v>1739</v>
      </c>
      <c r="U222" s="118" t="s">
        <v>1130</v>
      </c>
      <c r="V222" s="118" t="s">
        <v>1026</v>
      </c>
      <c r="X222" s="118" t="s">
        <v>1740</v>
      </c>
      <c r="Y222" s="129"/>
    </row>
    <row r="223">
      <c r="A223" s="158">
        <v>43626.46727800926</v>
      </c>
      <c r="B223" s="118" t="s">
        <v>1741</v>
      </c>
      <c r="C223" s="118" t="s">
        <v>1742</v>
      </c>
      <c r="D223" s="118" t="s">
        <v>1743</v>
      </c>
      <c r="E223" s="118" t="s">
        <v>1744</v>
      </c>
      <c r="F223" s="118" t="s">
        <v>460</v>
      </c>
      <c r="G223" s="118" t="s">
        <v>1098</v>
      </c>
      <c r="H223" s="118" t="s">
        <v>63</v>
      </c>
      <c r="I223" s="118" t="s">
        <v>288</v>
      </c>
      <c r="N223" s="118" t="s">
        <v>1745</v>
      </c>
      <c r="O223" s="118" t="s">
        <v>402</v>
      </c>
      <c r="P223" s="118" t="s">
        <v>1746</v>
      </c>
      <c r="R223" s="118" t="s">
        <v>441</v>
      </c>
      <c r="S223" s="118" t="s">
        <v>1747</v>
      </c>
      <c r="T223" s="118" t="s">
        <v>1748</v>
      </c>
      <c r="U223" s="118" t="s">
        <v>1025</v>
      </c>
      <c r="V223" s="118" t="s">
        <v>1288</v>
      </c>
      <c r="X223" s="118" t="s">
        <v>1749</v>
      </c>
      <c r="Y223" s="129"/>
    </row>
    <row r="224">
      <c r="A224" s="158">
        <v>43626.62412516204</v>
      </c>
      <c r="B224" s="118" t="s">
        <v>1750</v>
      </c>
      <c r="C224" s="118" t="s">
        <v>1751</v>
      </c>
      <c r="D224" s="118" t="s">
        <v>1752</v>
      </c>
      <c r="E224" s="118" t="s">
        <v>1753</v>
      </c>
      <c r="F224" s="118" t="s">
        <v>1754</v>
      </c>
      <c r="G224" s="118" t="s">
        <v>1657</v>
      </c>
      <c r="H224" s="118" t="s">
        <v>276</v>
      </c>
      <c r="I224" s="118" t="s">
        <v>288</v>
      </c>
      <c r="J224" s="118" t="s">
        <v>400</v>
      </c>
      <c r="N224" s="118" t="s">
        <v>1755</v>
      </c>
      <c r="O224" s="118" t="s">
        <v>402</v>
      </c>
      <c r="P224" s="118" t="s">
        <v>130</v>
      </c>
      <c r="R224" s="118" t="s">
        <v>404</v>
      </c>
      <c r="S224" s="118" t="s">
        <v>1756</v>
      </c>
      <c r="T224" s="118" t="s">
        <v>1757</v>
      </c>
      <c r="U224" s="118" t="s">
        <v>1758</v>
      </c>
      <c r="V224" s="118" t="s">
        <v>1088</v>
      </c>
      <c r="Y224" s="129"/>
    </row>
    <row r="225">
      <c r="A225" s="158">
        <v>43626.94418322916</v>
      </c>
      <c r="B225" s="118" t="s">
        <v>1759</v>
      </c>
      <c r="C225" s="118" t="s">
        <v>1760</v>
      </c>
      <c r="D225" s="118" t="s">
        <v>1761</v>
      </c>
      <c r="E225" s="118" t="s">
        <v>1762</v>
      </c>
      <c r="F225" s="118" t="s">
        <v>460</v>
      </c>
      <c r="G225" s="118" t="s">
        <v>1098</v>
      </c>
      <c r="H225" s="118" t="s">
        <v>276</v>
      </c>
      <c r="I225" s="118" t="s">
        <v>288</v>
      </c>
      <c r="J225" s="118" t="s">
        <v>399</v>
      </c>
      <c r="K225" s="118" t="s">
        <v>283</v>
      </c>
      <c r="L225" s="118" t="s">
        <v>150</v>
      </c>
      <c r="M225" s="118" t="s">
        <v>400</v>
      </c>
      <c r="N225" s="118" t="s">
        <v>1763</v>
      </c>
      <c r="O225" s="118" t="s">
        <v>277</v>
      </c>
      <c r="P225" s="118" t="s">
        <v>1764</v>
      </c>
      <c r="R225" s="118" t="s">
        <v>450</v>
      </c>
      <c r="S225" s="118" t="s">
        <v>1765</v>
      </c>
      <c r="T225" s="118" t="s">
        <v>1766</v>
      </c>
      <c r="U225" s="118" t="s">
        <v>1059</v>
      </c>
      <c r="V225" s="118" t="s">
        <v>1026</v>
      </c>
      <c r="W225" s="118" t="s">
        <v>1767</v>
      </c>
      <c r="X225" s="118" t="s">
        <v>1768</v>
      </c>
      <c r="Y225" s="129"/>
    </row>
    <row r="226">
      <c r="A226" s="158">
        <v>43627.30079422454</v>
      </c>
      <c r="B226" s="118" t="s">
        <v>1769</v>
      </c>
      <c r="C226" s="118" t="s">
        <v>1770</v>
      </c>
      <c r="D226" s="118" t="s">
        <v>1771</v>
      </c>
      <c r="E226" s="118" t="s">
        <v>1772</v>
      </c>
      <c r="F226" s="118" t="s">
        <v>1065</v>
      </c>
      <c r="G226" s="118" t="s">
        <v>1055</v>
      </c>
      <c r="H226" s="118" t="s">
        <v>63</v>
      </c>
      <c r="I226" s="118" t="s">
        <v>400</v>
      </c>
      <c r="J226" s="118" t="s">
        <v>399</v>
      </c>
      <c r="K226" s="118" t="s">
        <v>288</v>
      </c>
      <c r="L226" s="118" t="s">
        <v>283</v>
      </c>
      <c r="M226" s="118" t="s">
        <v>150</v>
      </c>
      <c r="N226" s="118" t="s">
        <v>1773</v>
      </c>
      <c r="O226" s="118" t="s">
        <v>402</v>
      </c>
      <c r="R226" s="118" t="s">
        <v>450</v>
      </c>
      <c r="S226" s="118" t="s">
        <v>1774</v>
      </c>
      <c r="T226" s="118" t="s">
        <v>1775</v>
      </c>
      <c r="U226" s="118" t="s">
        <v>1025</v>
      </c>
      <c r="V226" s="118" t="s">
        <v>1088</v>
      </c>
      <c r="W226" s="118" t="s">
        <v>1776</v>
      </c>
      <c r="X226" s="118" t="s">
        <v>1712</v>
      </c>
      <c r="Y226" s="129"/>
    </row>
    <row r="227">
      <c r="A227" s="158">
        <v>43627.800871377316</v>
      </c>
      <c r="B227" s="118" t="s">
        <v>1777</v>
      </c>
      <c r="C227" s="118" t="s">
        <v>1778</v>
      </c>
      <c r="D227" s="118" t="s">
        <v>1779</v>
      </c>
      <c r="E227" s="118" t="s">
        <v>1780</v>
      </c>
      <c r="F227" s="118" t="s">
        <v>409</v>
      </c>
      <c r="G227" s="118" t="s">
        <v>1781</v>
      </c>
      <c r="H227" s="118" t="s">
        <v>63</v>
      </c>
      <c r="I227" s="118" t="s">
        <v>288</v>
      </c>
      <c r="J227" s="118" t="s">
        <v>400</v>
      </c>
      <c r="K227" s="118" t="s">
        <v>399</v>
      </c>
      <c r="L227" s="118" t="s">
        <v>150</v>
      </c>
      <c r="N227" s="118" t="s">
        <v>1782</v>
      </c>
      <c r="O227" s="118" t="s">
        <v>402</v>
      </c>
      <c r="P227" s="118" t="s">
        <v>1273</v>
      </c>
      <c r="R227" s="118" t="s">
        <v>404</v>
      </c>
      <c r="S227" s="118" t="s">
        <v>1783</v>
      </c>
      <c r="T227" s="118" t="s">
        <v>1784</v>
      </c>
      <c r="U227" s="118" t="s">
        <v>1025</v>
      </c>
      <c r="V227" s="118" t="s">
        <v>1147</v>
      </c>
      <c r="W227" s="118" t="s">
        <v>182</v>
      </c>
      <c r="X227" s="118" t="s">
        <v>1785</v>
      </c>
      <c r="Y227" s="129"/>
    </row>
    <row r="228">
      <c r="A228" s="158">
        <v>43628.495487175926</v>
      </c>
      <c r="B228" s="118" t="s">
        <v>1786</v>
      </c>
      <c r="C228" s="118" t="s">
        <v>1787</v>
      </c>
      <c r="D228" s="118" t="s">
        <v>1788</v>
      </c>
      <c r="E228" s="118" t="s">
        <v>1789</v>
      </c>
      <c r="F228" s="118" t="s">
        <v>1065</v>
      </c>
      <c r="G228" s="118" t="s">
        <v>1020</v>
      </c>
      <c r="H228" s="118" t="s">
        <v>63</v>
      </c>
      <c r="I228" s="118" t="s">
        <v>150</v>
      </c>
      <c r="J228" s="118" t="s">
        <v>288</v>
      </c>
      <c r="K228" s="118" t="s">
        <v>399</v>
      </c>
      <c r="L228" s="118" t="s">
        <v>283</v>
      </c>
      <c r="N228" s="118" t="s">
        <v>1790</v>
      </c>
      <c r="O228" s="118" t="s">
        <v>182</v>
      </c>
      <c r="P228" s="118" t="s">
        <v>1791</v>
      </c>
      <c r="R228" s="118" t="s">
        <v>404</v>
      </c>
      <c r="S228" s="118" t="s">
        <v>1792</v>
      </c>
      <c r="T228" s="118" t="s">
        <v>1793</v>
      </c>
      <c r="U228" s="118" t="s">
        <v>1794</v>
      </c>
      <c r="V228" s="118" t="s">
        <v>1026</v>
      </c>
      <c r="X228" s="118" t="s">
        <v>1795</v>
      </c>
      <c r="Y228" s="129"/>
    </row>
    <row r="229">
      <c r="A229" s="158">
        <v>43628.62621785879</v>
      </c>
      <c r="B229" s="118" t="s">
        <v>1796</v>
      </c>
      <c r="C229" s="118" t="s">
        <v>1797</v>
      </c>
      <c r="D229" s="118" t="s">
        <v>1798</v>
      </c>
      <c r="E229" s="118" t="s">
        <v>1799</v>
      </c>
      <c r="F229" s="118" t="s">
        <v>699</v>
      </c>
      <c r="G229" s="118" t="s">
        <v>1800</v>
      </c>
      <c r="H229" s="118" t="s">
        <v>63</v>
      </c>
      <c r="I229" s="118" t="s">
        <v>399</v>
      </c>
      <c r="J229" s="118" t="s">
        <v>288</v>
      </c>
      <c r="K229" s="118" t="s">
        <v>283</v>
      </c>
      <c r="L229" s="118" t="s">
        <v>400</v>
      </c>
      <c r="N229" s="118" t="s">
        <v>1801</v>
      </c>
      <c r="O229" s="118" t="s">
        <v>182</v>
      </c>
      <c r="R229" s="118" t="s">
        <v>450</v>
      </c>
      <c r="S229" s="118" t="s">
        <v>1802</v>
      </c>
      <c r="T229" s="118" t="s">
        <v>1803</v>
      </c>
      <c r="U229" s="118" t="s">
        <v>1025</v>
      </c>
      <c r="V229" s="118" t="s">
        <v>1288</v>
      </c>
      <c r="X229" s="118" t="s">
        <v>1804</v>
      </c>
      <c r="Y229" s="129"/>
    </row>
    <row r="230">
      <c r="A230" s="158">
        <v>43632.88082258102</v>
      </c>
      <c r="B230" s="118" t="s">
        <v>1805</v>
      </c>
      <c r="C230" s="118" t="s">
        <v>1806</v>
      </c>
      <c r="D230" s="118" t="s">
        <v>1807</v>
      </c>
      <c r="E230" s="118" t="s">
        <v>1808</v>
      </c>
      <c r="F230" s="118" t="s">
        <v>574</v>
      </c>
      <c r="G230" s="118" t="s">
        <v>1046</v>
      </c>
      <c r="H230" s="118" t="s">
        <v>276</v>
      </c>
      <c r="I230" s="118" t="s">
        <v>150</v>
      </c>
      <c r="J230" s="118" t="s">
        <v>288</v>
      </c>
      <c r="K230" s="118" t="s">
        <v>399</v>
      </c>
      <c r="N230" s="118" t="s">
        <v>1809</v>
      </c>
      <c r="O230" s="118" t="s">
        <v>182</v>
      </c>
      <c r="P230" s="118" t="s">
        <v>1810</v>
      </c>
      <c r="R230" s="118" t="s">
        <v>404</v>
      </c>
      <c r="S230" s="118" t="s">
        <v>1811</v>
      </c>
      <c r="T230" s="118" t="s">
        <v>1812</v>
      </c>
      <c r="U230" s="118" t="s">
        <v>1059</v>
      </c>
      <c r="V230" s="118" t="s">
        <v>1813</v>
      </c>
      <c r="W230" s="118" t="s">
        <v>1814</v>
      </c>
      <c r="X230" s="118" t="s">
        <v>1815</v>
      </c>
      <c r="Y230" s="173" t="s">
        <v>1816</v>
      </c>
    </row>
    <row r="231">
      <c r="A231" s="158">
        <v>43633.67853769676</v>
      </c>
      <c r="B231" s="118" t="s">
        <v>1817</v>
      </c>
      <c r="C231" s="118" t="s">
        <v>1818</v>
      </c>
      <c r="D231" s="118" t="s">
        <v>1819</v>
      </c>
      <c r="E231" s="118" t="s">
        <v>1820</v>
      </c>
      <c r="F231" s="118" t="s">
        <v>417</v>
      </c>
      <c r="G231" s="118" t="s">
        <v>1215</v>
      </c>
      <c r="H231" s="118" t="s">
        <v>63</v>
      </c>
      <c r="I231" s="118" t="s">
        <v>400</v>
      </c>
      <c r="J231" s="118" t="s">
        <v>288</v>
      </c>
      <c r="K231" s="118" t="s">
        <v>399</v>
      </c>
      <c r="L231" s="118" t="s">
        <v>150</v>
      </c>
      <c r="M231" s="118" t="s">
        <v>283</v>
      </c>
      <c r="O231" s="118" t="s">
        <v>277</v>
      </c>
      <c r="R231" s="118" t="s">
        <v>450</v>
      </c>
      <c r="S231" s="118" t="s">
        <v>1821</v>
      </c>
      <c r="T231" s="118" t="s">
        <v>17</v>
      </c>
      <c r="U231" s="118" t="s">
        <v>1034</v>
      </c>
      <c r="V231" s="118" t="s">
        <v>1026</v>
      </c>
      <c r="X231" s="118" t="s">
        <v>1670</v>
      </c>
      <c r="Y231" s="129"/>
    </row>
    <row r="232">
      <c r="A232" s="158">
        <v>43634.5731383449</v>
      </c>
      <c r="B232" s="118" t="s">
        <v>1614</v>
      </c>
      <c r="C232" s="118" t="s">
        <v>1615</v>
      </c>
      <c r="D232" s="118" t="s">
        <v>1822</v>
      </c>
      <c r="E232" s="118" t="s">
        <v>1616</v>
      </c>
      <c r="F232" s="118" t="s">
        <v>417</v>
      </c>
      <c r="G232" s="118" t="s">
        <v>1020</v>
      </c>
      <c r="H232" s="118" t="s">
        <v>63</v>
      </c>
      <c r="I232" s="118" t="s">
        <v>399</v>
      </c>
      <c r="J232" s="118" t="s">
        <v>288</v>
      </c>
      <c r="K232" s="118" t="s">
        <v>400</v>
      </c>
      <c r="L232" s="118" t="s">
        <v>283</v>
      </c>
      <c r="M232" s="118" t="s">
        <v>150</v>
      </c>
      <c r="O232" s="118" t="s">
        <v>277</v>
      </c>
      <c r="R232" s="118" t="s">
        <v>450</v>
      </c>
      <c r="S232" s="118" t="s">
        <v>1823</v>
      </c>
      <c r="T232" s="118" t="s">
        <v>1824</v>
      </c>
      <c r="U232" s="118" t="s">
        <v>1130</v>
      </c>
      <c r="V232" s="118" t="s">
        <v>1026</v>
      </c>
      <c r="X232" s="118" t="s">
        <v>1825</v>
      </c>
      <c r="Y232" s="129"/>
    </row>
    <row r="233">
      <c r="A233" s="158">
        <v>43635.013758981484</v>
      </c>
      <c r="B233" s="118" t="s">
        <v>1826</v>
      </c>
      <c r="C233" s="118" t="s">
        <v>1827</v>
      </c>
      <c r="D233" s="118" t="s">
        <v>1828</v>
      </c>
      <c r="E233" s="118" t="s">
        <v>1829</v>
      </c>
      <c r="F233" s="118" t="s">
        <v>460</v>
      </c>
      <c r="G233" s="118" t="s">
        <v>1020</v>
      </c>
      <c r="H233" s="118" t="s">
        <v>63</v>
      </c>
      <c r="I233" s="118" t="s">
        <v>150</v>
      </c>
      <c r="J233" s="118" t="s">
        <v>288</v>
      </c>
      <c r="K233" s="118" t="s">
        <v>400</v>
      </c>
      <c r="L233" s="118" t="s">
        <v>399</v>
      </c>
      <c r="M233" s="118" t="s">
        <v>283</v>
      </c>
      <c r="N233" s="118" t="s">
        <v>1830</v>
      </c>
      <c r="O233" s="118" t="s">
        <v>277</v>
      </c>
      <c r="P233" s="118" t="s">
        <v>1831</v>
      </c>
      <c r="R233" s="118" t="s">
        <v>450</v>
      </c>
      <c r="S233" s="118" t="s">
        <v>1832</v>
      </c>
      <c r="T233" s="118" t="s">
        <v>182</v>
      </c>
      <c r="U233" s="118" t="s">
        <v>1094</v>
      </c>
      <c r="V233" s="118" t="s">
        <v>1026</v>
      </c>
      <c r="X233" s="118" t="s">
        <v>1833</v>
      </c>
      <c r="Y233" s="129"/>
    </row>
    <row r="234">
      <c r="A234" s="158">
        <v>43635.56924690973</v>
      </c>
      <c r="B234" s="118" t="s">
        <v>1834</v>
      </c>
      <c r="C234" s="118" t="s">
        <v>1835</v>
      </c>
      <c r="D234" s="118" t="s">
        <v>1836</v>
      </c>
      <c r="E234" s="118" t="s">
        <v>1837</v>
      </c>
      <c r="F234" s="118" t="s">
        <v>417</v>
      </c>
      <c r="G234" s="118" t="s">
        <v>1020</v>
      </c>
      <c r="H234" s="118" t="s">
        <v>63</v>
      </c>
      <c r="I234" s="118" t="s">
        <v>288</v>
      </c>
      <c r="J234" s="118" t="s">
        <v>399</v>
      </c>
      <c r="N234" s="118" t="s">
        <v>1838</v>
      </c>
      <c r="O234" s="118" t="s">
        <v>277</v>
      </c>
      <c r="P234" s="118" t="s">
        <v>1839</v>
      </c>
      <c r="R234" s="118" t="s">
        <v>450</v>
      </c>
      <c r="S234" s="118" t="s">
        <v>1840</v>
      </c>
      <c r="T234" s="118" t="s">
        <v>1841</v>
      </c>
      <c r="U234" s="118" t="s">
        <v>1025</v>
      </c>
      <c r="V234" s="118" t="s">
        <v>1288</v>
      </c>
      <c r="X234" s="118" t="s">
        <v>1842</v>
      </c>
      <c r="Y234" s="129"/>
    </row>
    <row r="235">
      <c r="A235" s="158">
        <v>43638.36269362269</v>
      </c>
      <c r="B235" s="118" t="s">
        <v>1843</v>
      </c>
      <c r="C235" s="118" t="s">
        <v>1844</v>
      </c>
      <c r="D235" s="118" t="s">
        <v>1845</v>
      </c>
      <c r="E235" s="118" t="s">
        <v>1846</v>
      </c>
      <c r="F235" s="118" t="s">
        <v>430</v>
      </c>
      <c r="G235" s="118" t="s">
        <v>1046</v>
      </c>
      <c r="H235" s="118" t="s">
        <v>276</v>
      </c>
      <c r="N235" s="118" t="s">
        <v>1847</v>
      </c>
      <c r="O235" s="118" t="s">
        <v>182</v>
      </c>
      <c r="P235" s="118" t="s">
        <v>1848</v>
      </c>
      <c r="R235" s="118" t="s">
        <v>450</v>
      </c>
      <c r="S235" s="118" t="s">
        <v>1849</v>
      </c>
      <c r="T235" s="118" t="s">
        <v>1526</v>
      </c>
      <c r="U235" s="118" t="s">
        <v>1850</v>
      </c>
      <c r="V235" s="118" t="s">
        <v>1088</v>
      </c>
      <c r="X235" s="118" t="s">
        <v>1851</v>
      </c>
      <c r="Y235" s="129"/>
    </row>
    <row r="236">
      <c r="A236" s="158">
        <v>43640.126610057865</v>
      </c>
      <c r="B236" s="118" t="s">
        <v>1852</v>
      </c>
      <c r="C236" s="118" t="s">
        <v>1853</v>
      </c>
      <c r="D236" s="118" t="s">
        <v>1854</v>
      </c>
      <c r="E236" s="118" t="s">
        <v>1855</v>
      </c>
      <c r="F236" s="118" t="s">
        <v>1856</v>
      </c>
      <c r="G236" s="118" t="s">
        <v>1020</v>
      </c>
      <c r="H236" s="118" t="s">
        <v>276</v>
      </c>
      <c r="I236" s="118" t="s">
        <v>399</v>
      </c>
      <c r="J236" s="118" t="s">
        <v>283</v>
      </c>
      <c r="K236" s="118" t="s">
        <v>288</v>
      </c>
      <c r="L236" s="118" t="s">
        <v>400</v>
      </c>
      <c r="M236" s="118" t="s">
        <v>150</v>
      </c>
      <c r="N236" s="118" t="s">
        <v>1857</v>
      </c>
      <c r="O236" s="118" t="s">
        <v>402</v>
      </c>
      <c r="P236" s="118" t="s">
        <v>1858</v>
      </c>
      <c r="R236" s="118" t="s">
        <v>404</v>
      </c>
      <c r="S236" s="118" t="s">
        <v>1859</v>
      </c>
      <c r="T236" s="118" t="s">
        <v>1860</v>
      </c>
      <c r="U236" s="118" t="s">
        <v>1025</v>
      </c>
      <c r="V236" s="118" t="s">
        <v>1861</v>
      </c>
      <c r="W236" s="118" t="s">
        <v>1862</v>
      </c>
      <c r="X236" s="118" t="s">
        <v>1863</v>
      </c>
      <c r="Y236" s="129"/>
    </row>
    <row r="237">
      <c r="A237" s="158">
        <v>43643.49489582176</v>
      </c>
      <c r="B237" s="118" t="s">
        <v>1864</v>
      </c>
      <c r="C237" s="118" t="s">
        <v>1865</v>
      </c>
      <c r="D237" s="118" t="s">
        <v>1866</v>
      </c>
      <c r="E237" s="118" t="s">
        <v>1867</v>
      </c>
      <c r="F237" s="118" t="s">
        <v>1403</v>
      </c>
      <c r="G237" s="118" t="s">
        <v>1020</v>
      </c>
      <c r="H237" s="118" t="s">
        <v>63</v>
      </c>
      <c r="I237" s="118" t="s">
        <v>399</v>
      </c>
      <c r="J237" s="118" t="s">
        <v>288</v>
      </c>
      <c r="K237" s="118" t="s">
        <v>400</v>
      </c>
      <c r="L237" s="118" t="s">
        <v>283</v>
      </c>
      <c r="M237" s="118" t="s">
        <v>150</v>
      </c>
      <c r="N237" s="118" t="s">
        <v>1868</v>
      </c>
      <c r="O237" s="118" t="s">
        <v>402</v>
      </c>
      <c r="P237" s="118" t="s">
        <v>1869</v>
      </c>
      <c r="R237" s="118" t="s">
        <v>404</v>
      </c>
      <c r="S237" s="118" t="s">
        <v>1870</v>
      </c>
      <c r="T237" s="118" t="s">
        <v>1871</v>
      </c>
      <c r="U237" s="118" t="s">
        <v>1287</v>
      </c>
      <c r="V237" s="118" t="s">
        <v>1288</v>
      </c>
      <c r="X237" s="118" t="s">
        <v>1825</v>
      </c>
      <c r="Y237" s="129"/>
    </row>
    <row r="238">
      <c r="A238" s="158">
        <v>43648.49980006945</v>
      </c>
      <c r="B238" s="118" t="s">
        <v>1872</v>
      </c>
      <c r="C238" s="118" t="s">
        <v>35</v>
      </c>
      <c r="D238" s="118" t="s">
        <v>1873</v>
      </c>
      <c r="E238" s="118" t="s">
        <v>1874</v>
      </c>
      <c r="F238" s="118" t="s">
        <v>1875</v>
      </c>
      <c r="G238" s="118" t="s">
        <v>1876</v>
      </c>
      <c r="H238" s="118" t="s">
        <v>276</v>
      </c>
      <c r="I238" s="118" t="s">
        <v>399</v>
      </c>
      <c r="J238" s="118" t="s">
        <v>288</v>
      </c>
      <c r="K238" s="118" t="s">
        <v>400</v>
      </c>
      <c r="L238" s="118" t="s">
        <v>283</v>
      </c>
      <c r="M238" s="118" t="s">
        <v>150</v>
      </c>
      <c r="N238" s="118" t="s">
        <v>1877</v>
      </c>
      <c r="O238" s="118" t="s">
        <v>277</v>
      </c>
      <c r="P238" s="118" t="s">
        <v>277</v>
      </c>
      <c r="R238" s="118" t="s">
        <v>450</v>
      </c>
      <c r="S238" s="118" t="s">
        <v>1878</v>
      </c>
      <c r="T238" s="118" t="s">
        <v>1879</v>
      </c>
      <c r="U238" s="118" t="s">
        <v>1287</v>
      </c>
      <c r="V238" s="118" t="s">
        <v>1288</v>
      </c>
      <c r="W238" s="118" t="s">
        <v>301</v>
      </c>
      <c r="X238" s="118" t="s">
        <v>1880</v>
      </c>
      <c r="Y238" s="173" t="s">
        <v>1881</v>
      </c>
    </row>
    <row r="239">
      <c r="A239" s="158">
        <v>43648.64460309027</v>
      </c>
      <c r="B239" s="118" t="s">
        <v>1882</v>
      </c>
      <c r="C239" s="118" t="s">
        <v>1883</v>
      </c>
      <c r="D239" s="118" t="s">
        <v>1884</v>
      </c>
      <c r="E239" s="118" t="s">
        <v>1885</v>
      </c>
      <c r="F239" s="118" t="s">
        <v>1886</v>
      </c>
      <c r="G239" s="118" t="s">
        <v>1046</v>
      </c>
      <c r="H239" s="118" t="s">
        <v>63</v>
      </c>
      <c r="I239" s="118" t="s">
        <v>150</v>
      </c>
      <c r="J239" s="118" t="s">
        <v>400</v>
      </c>
      <c r="N239" s="118" t="s">
        <v>1887</v>
      </c>
      <c r="O239" s="118" t="s">
        <v>402</v>
      </c>
      <c r="R239" s="118" t="s">
        <v>404</v>
      </c>
      <c r="S239" s="118" t="s">
        <v>1888</v>
      </c>
      <c r="T239" s="118" t="s">
        <v>1889</v>
      </c>
      <c r="U239" s="118" t="s">
        <v>1025</v>
      </c>
      <c r="V239" s="118" t="s">
        <v>1026</v>
      </c>
      <c r="X239" s="118" t="s">
        <v>1670</v>
      </c>
      <c r="Y239" s="129"/>
    </row>
    <row r="240">
      <c r="A240" s="158">
        <v>43651.292480902775</v>
      </c>
      <c r="B240" s="118" t="s">
        <v>1890</v>
      </c>
      <c r="C240" s="118" t="s">
        <v>821</v>
      </c>
      <c r="E240" s="118" t="s">
        <v>1891</v>
      </c>
      <c r="F240" s="118" t="s">
        <v>699</v>
      </c>
      <c r="G240" s="118" t="s">
        <v>1892</v>
      </c>
      <c r="H240" s="118" t="s">
        <v>63</v>
      </c>
      <c r="I240" s="118" t="s">
        <v>400</v>
      </c>
      <c r="J240" s="118" t="s">
        <v>288</v>
      </c>
      <c r="K240" s="118" t="s">
        <v>399</v>
      </c>
      <c r="L240" s="118" t="s">
        <v>283</v>
      </c>
      <c r="M240" s="118" t="s">
        <v>150</v>
      </c>
      <c r="O240" s="118" t="s">
        <v>402</v>
      </c>
      <c r="P240" s="118" t="s">
        <v>1893</v>
      </c>
      <c r="R240" s="118" t="s">
        <v>404</v>
      </c>
      <c r="S240" s="118" t="s">
        <v>1894</v>
      </c>
      <c r="T240" s="118" t="s">
        <v>1895</v>
      </c>
      <c r="U240" s="118" t="s">
        <v>1896</v>
      </c>
      <c r="V240" s="118" t="s">
        <v>1288</v>
      </c>
      <c r="X240" s="118" t="s">
        <v>1897</v>
      </c>
      <c r="Y240" s="129"/>
    </row>
    <row r="241">
      <c r="A241" s="158">
        <v>43651.61837447916</v>
      </c>
      <c r="B241" s="118" t="s">
        <v>1898</v>
      </c>
      <c r="C241" s="118" t="s">
        <v>1899</v>
      </c>
      <c r="D241" s="118" t="s">
        <v>1900</v>
      </c>
      <c r="E241" s="118" t="s">
        <v>1901</v>
      </c>
      <c r="F241" s="118" t="s">
        <v>460</v>
      </c>
      <c r="G241" s="118" t="s">
        <v>1603</v>
      </c>
      <c r="H241" s="118" t="s">
        <v>63</v>
      </c>
      <c r="I241" s="118" t="s">
        <v>288</v>
      </c>
      <c r="J241" s="118" t="s">
        <v>283</v>
      </c>
      <c r="K241" s="118" t="s">
        <v>400</v>
      </c>
      <c r="L241" s="118" t="s">
        <v>399</v>
      </c>
      <c r="M241" s="118" t="s">
        <v>150</v>
      </c>
      <c r="N241" s="118" t="s">
        <v>1902</v>
      </c>
      <c r="O241" s="118" t="s">
        <v>402</v>
      </c>
      <c r="P241" s="118" t="s">
        <v>1903</v>
      </c>
      <c r="R241" s="118" t="s">
        <v>450</v>
      </c>
      <c r="S241" s="118" t="s">
        <v>1904</v>
      </c>
      <c r="T241" s="118" t="s">
        <v>1905</v>
      </c>
      <c r="U241" s="118" t="s">
        <v>1059</v>
      </c>
      <c r="V241" s="118" t="s">
        <v>1026</v>
      </c>
      <c r="X241" s="118" t="s">
        <v>1906</v>
      </c>
      <c r="Y241" s="129"/>
    </row>
    <row r="242">
      <c r="A242" s="158">
        <v>43653.19000947916</v>
      </c>
      <c r="B242" s="118" t="s">
        <v>1907</v>
      </c>
      <c r="C242" s="118" t="s">
        <v>1908</v>
      </c>
      <c r="D242" s="118" t="s">
        <v>1909</v>
      </c>
      <c r="E242" s="118" t="s">
        <v>1910</v>
      </c>
      <c r="F242" s="118" t="s">
        <v>699</v>
      </c>
      <c r="G242" s="118" t="s">
        <v>1911</v>
      </c>
      <c r="H242" s="118" t="s">
        <v>276</v>
      </c>
      <c r="O242" s="118" t="s">
        <v>277</v>
      </c>
      <c r="R242" s="118" t="s">
        <v>450</v>
      </c>
      <c r="S242" s="118" t="s">
        <v>1912</v>
      </c>
      <c r="T242" s="118" t="s">
        <v>1913</v>
      </c>
      <c r="U242" s="118" t="s">
        <v>1130</v>
      </c>
      <c r="V242" s="118" t="s">
        <v>1288</v>
      </c>
      <c r="X242" s="118" t="s">
        <v>1825</v>
      </c>
      <c r="Y242" s="129"/>
    </row>
    <row r="243">
      <c r="A243" s="158">
        <v>43654.534963287035</v>
      </c>
      <c r="B243" s="118" t="s">
        <v>1914</v>
      </c>
      <c r="C243" s="118" t="s">
        <v>1915</v>
      </c>
      <c r="D243" s="118" t="s">
        <v>1916</v>
      </c>
      <c r="E243" s="118" t="s">
        <v>1917</v>
      </c>
      <c r="F243" s="118" t="s">
        <v>528</v>
      </c>
      <c r="G243" s="118" t="s">
        <v>1074</v>
      </c>
      <c r="H243" s="118" t="s">
        <v>63</v>
      </c>
      <c r="I243" s="118" t="s">
        <v>400</v>
      </c>
      <c r="J243" s="118" t="s">
        <v>288</v>
      </c>
      <c r="K243" s="118" t="s">
        <v>399</v>
      </c>
      <c r="L243" s="118" t="s">
        <v>150</v>
      </c>
      <c r="M243" s="118" t="s">
        <v>283</v>
      </c>
      <c r="N243" s="118" t="s">
        <v>1918</v>
      </c>
      <c r="O243" s="118" t="s">
        <v>402</v>
      </c>
      <c r="R243" s="118" t="s">
        <v>404</v>
      </c>
      <c r="S243" s="118" t="s">
        <v>1919</v>
      </c>
      <c r="T243" s="118" t="s">
        <v>1920</v>
      </c>
      <c r="U243" s="118" t="s">
        <v>1034</v>
      </c>
      <c r="V243" s="118" t="s">
        <v>1921</v>
      </c>
      <c r="W243" s="118" t="s">
        <v>1922</v>
      </c>
      <c r="X243" s="118" t="s">
        <v>1923</v>
      </c>
      <c r="Y243" s="129"/>
    </row>
    <row r="244">
      <c r="A244" s="158">
        <v>43655.43017872685</v>
      </c>
      <c r="B244" s="118" t="s">
        <v>1924</v>
      </c>
      <c r="C244" s="118" t="s">
        <v>1925</v>
      </c>
      <c r="E244" s="118" t="s">
        <v>1926</v>
      </c>
      <c r="F244" s="118" t="s">
        <v>1927</v>
      </c>
      <c r="G244" s="118" t="s">
        <v>1074</v>
      </c>
      <c r="H244" s="118" t="s">
        <v>63</v>
      </c>
      <c r="I244" s="118" t="s">
        <v>288</v>
      </c>
      <c r="J244" s="118" t="s">
        <v>400</v>
      </c>
      <c r="K244" s="118" t="s">
        <v>399</v>
      </c>
      <c r="L244" s="118" t="s">
        <v>150</v>
      </c>
      <c r="M244" s="118" t="s">
        <v>283</v>
      </c>
      <c r="N244" s="118" t="s">
        <v>1928</v>
      </c>
      <c r="O244" s="118" t="s">
        <v>402</v>
      </c>
      <c r="P244" s="118" t="s">
        <v>260</v>
      </c>
      <c r="R244" s="118" t="s">
        <v>450</v>
      </c>
      <c r="S244" s="118" t="s">
        <v>1929</v>
      </c>
      <c r="T244" s="118" t="s">
        <v>1930</v>
      </c>
      <c r="U244" s="118" t="s">
        <v>1025</v>
      </c>
      <c r="V244" s="118" t="s">
        <v>1088</v>
      </c>
      <c r="X244" s="118" t="s">
        <v>1825</v>
      </c>
      <c r="Y244" s="129"/>
    </row>
    <row r="245">
      <c r="A245" s="158">
        <v>43661.55088730324</v>
      </c>
      <c r="B245" s="118" t="s">
        <v>1931</v>
      </c>
      <c r="C245" s="118" t="s">
        <v>1932</v>
      </c>
      <c r="E245" s="118" t="s">
        <v>1933</v>
      </c>
      <c r="F245" s="118" t="s">
        <v>446</v>
      </c>
      <c r="G245" s="118" t="s">
        <v>1433</v>
      </c>
      <c r="H245" s="118" t="s">
        <v>63</v>
      </c>
      <c r="I245" s="118" t="s">
        <v>399</v>
      </c>
      <c r="U245" s="118" t="s">
        <v>1034</v>
      </c>
      <c r="V245" s="118" t="s">
        <v>1288</v>
      </c>
      <c r="X245" s="118" t="s">
        <v>1670</v>
      </c>
    </row>
    <row r="246">
      <c r="A246" s="158">
        <v>43662.489374930556</v>
      </c>
      <c r="B246" s="118" t="s">
        <v>1934</v>
      </c>
      <c r="C246" s="118" t="s">
        <v>1935</v>
      </c>
      <c r="E246" s="118" t="s">
        <v>1936</v>
      </c>
      <c r="F246" s="118" t="s">
        <v>1065</v>
      </c>
      <c r="G246" s="118" t="s">
        <v>1046</v>
      </c>
      <c r="H246" s="118" t="s">
        <v>63</v>
      </c>
      <c r="I246" s="118" t="s">
        <v>288</v>
      </c>
      <c r="J246" s="118" t="s">
        <v>400</v>
      </c>
      <c r="K246" s="118" t="s">
        <v>399</v>
      </c>
      <c r="L246" s="118" t="s">
        <v>150</v>
      </c>
      <c r="M246" s="118" t="s">
        <v>283</v>
      </c>
      <c r="N246" s="118" t="s">
        <v>1937</v>
      </c>
      <c r="O246" s="118" t="s">
        <v>182</v>
      </c>
      <c r="P246" s="118" t="s">
        <v>1938</v>
      </c>
      <c r="R246" s="118" t="s">
        <v>450</v>
      </c>
      <c r="S246" s="118" t="s">
        <v>1939</v>
      </c>
      <c r="U246" s="118" t="s">
        <v>1940</v>
      </c>
      <c r="V246" s="118" t="s">
        <v>1026</v>
      </c>
      <c r="X246" s="118" t="s">
        <v>1749</v>
      </c>
    </row>
    <row r="247">
      <c r="A247" s="158">
        <v>43663.56819197917</v>
      </c>
      <c r="B247" s="118" t="s">
        <v>1941</v>
      </c>
      <c r="C247" s="118" t="s">
        <v>1942</v>
      </c>
      <c r="D247" s="118" t="s">
        <v>1943</v>
      </c>
      <c r="E247" s="118" t="s">
        <v>1944</v>
      </c>
      <c r="F247" s="118" t="s">
        <v>417</v>
      </c>
      <c r="G247" s="118" t="s">
        <v>1945</v>
      </c>
      <c r="H247" s="118" t="s">
        <v>63</v>
      </c>
      <c r="I247" s="118" t="s">
        <v>399</v>
      </c>
      <c r="J247" s="118" t="s">
        <v>288</v>
      </c>
      <c r="N247" s="118" t="s">
        <v>1051</v>
      </c>
      <c r="O247" s="118" t="s">
        <v>182</v>
      </c>
      <c r="P247" s="118" t="s">
        <v>1946</v>
      </c>
      <c r="R247" s="118" t="s">
        <v>404</v>
      </c>
      <c r="S247" s="118" t="s">
        <v>1947</v>
      </c>
      <c r="T247" s="118" t="s">
        <v>1948</v>
      </c>
      <c r="U247" s="118" t="s">
        <v>1025</v>
      </c>
      <c r="V247" s="118" t="s">
        <v>1147</v>
      </c>
      <c r="X247" s="118" t="s">
        <v>1825</v>
      </c>
    </row>
    <row r="248">
      <c r="A248" s="158">
        <v>43663.98611565972</v>
      </c>
      <c r="B248" s="118" t="s">
        <v>1949</v>
      </c>
      <c r="C248" s="118" t="s">
        <v>1950</v>
      </c>
      <c r="D248" s="118" t="s">
        <v>1951</v>
      </c>
      <c r="E248" s="118" t="s">
        <v>1952</v>
      </c>
      <c r="F248" s="118" t="s">
        <v>491</v>
      </c>
      <c r="G248" s="118" t="s">
        <v>1046</v>
      </c>
      <c r="H248" s="118" t="s">
        <v>63</v>
      </c>
      <c r="I248" s="118" t="s">
        <v>400</v>
      </c>
      <c r="J248" s="118" t="s">
        <v>399</v>
      </c>
      <c r="K248" s="118" t="s">
        <v>288</v>
      </c>
      <c r="N248" s="118" t="s">
        <v>1953</v>
      </c>
      <c r="O248" s="118" t="s">
        <v>182</v>
      </c>
      <c r="P248" s="118" t="s">
        <v>1954</v>
      </c>
      <c r="R248" s="118" t="s">
        <v>404</v>
      </c>
      <c r="S248" s="118" t="s">
        <v>1955</v>
      </c>
      <c r="T248" s="118" t="s">
        <v>1956</v>
      </c>
      <c r="U248" s="118" t="s">
        <v>1094</v>
      </c>
      <c r="V248" s="118" t="s">
        <v>1088</v>
      </c>
      <c r="W248" s="118" t="s">
        <v>1101</v>
      </c>
      <c r="X248" s="118" t="s">
        <v>1670</v>
      </c>
    </row>
    <row r="249">
      <c r="A249" s="158">
        <v>43665.50623513889</v>
      </c>
      <c r="B249" s="118" t="s">
        <v>1957</v>
      </c>
      <c r="C249" s="118" t="s">
        <v>1958</v>
      </c>
      <c r="E249" s="118" t="s">
        <v>1959</v>
      </c>
      <c r="F249" s="118" t="s">
        <v>417</v>
      </c>
      <c r="G249" s="118" t="s">
        <v>1020</v>
      </c>
      <c r="H249" s="118" t="s">
        <v>63</v>
      </c>
      <c r="I249" s="118" t="s">
        <v>288</v>
      </c>
      <c r="J249" s="118" t="s">
        <v>399</v>
      </c>
      <c r="K249" s="118" t="s">
        <v>150</v>
      </c>
      <c r="L249" s="118" t="s">
        <v>400</v>
      </c>
      <c r="M249" s="118" t="s">
        <v>283</v>
      </c>
      <c r="O249" s="118" t="s">
        <v>402</v>
      </c>
      <c r="P249" s="118" t="s">
        <v>277</v>
      </c>
      <c r="R249" s="118" t="s">
        <v>450</v>
      </c>
      <c r="S249" s="118" t="s">
        <v>1960</v>
      </c>
      <c r="T249" s="118" t="s">
        <v>1961</v>
      </c>
      <c r="U249" s="118" t="s">
        <v>1059</v>
      </c>
      <c r="V249" s="118" t="s">
        <v>1026</v>
      </c>
      <c r="X249" s="118" t="s">
        <v>1962</v>
      </c>
    </row>
    <row r="250">
      <c r="A250" s="158">
        <v>43668.94500358796</v>
      </c>
      <c r="B250" s="118" t="s">
        <v>1963</v>
      </c>
      <c r="C250" s="118" t="s">
        <v>838</v>
      </c>
      <c r="D250" s="118" t="s">
        <v>1964</v>
      </c>
      <c r="E250" s="118" t="s">
        <v>1965</v>
      </c>
      <c r="F250" s="118" t="s">
        <v>491</v>
      </c>
      <c r="G250" s="118" t="s">
        <v>1098</v>
      </c>
      <c r="H250" s="118" t="s">
        <v>63</v>
      </c>
      <c r="I250" s="118" t="s">
        <v>400</v>
      </c>
      <c r="J250" s="118" t="s">
        <v>399</v>
      </c>
      <c r="K250" s="118" t="s">
        <v>288</v>
      </c>
      <c r="N250" s="118" t="s">
        <v>1966</v>
      </c>
      <c r="O250" s="118" t="s">
        <v>182</v>
      </c>
      <c r="P250" s="118" t="s">
        <v>1967</v>
      </c>
      <c r="R250" s="118" t="s">
        <v>404</v>
      </c>
      <c r="S250" s="118" t="s">
        <v>1968</v>
      </c>
      <c r="U250" s="118" t="s">
        <v>1034</v>
      </c>
      <c r="V250" s="118" t="s">
        <v>1026</v>
      </c>
      <c r="W250" s="118" t="s">
        <v>1969</v>
      </c>
      <c r="X250" s="118" t="s">
        <v>1970</v>
      </c>
    </row>
    <row r="251">
      <c r="A251" s="158">
        <v>43671.887762453705</v>
      </c>
      <c r="B251" s="118" t="s">
        <v>1971</v>
      </c>
      <c r="C251" s="118" t="s">
        <v>1447</v>
      </c>
      <c r="D251" s="118" t="s">
        <v>1972</v>
      </c>
      <c r="E251" s="118" t="s">
        <v>1973</v>
      </c>
      <c r="F251" s="118" t="s">
        <v>491</v>
      </c>
      <c r="G251" s="118" t="s">
        <v>1098</v>
      </c>
      <c r="H251" s="118" t="s">
        <v>63</v>
      </c>
      <c r="I251" s="118" t="s">
        <v>288</v>
      </c>
      <c r="J251" s="118" t="s">
        <v>399</v>
      </c>
      <c r="K251" s="118" t="s">
        <v>400</v>
      </c>
      <c r="L251" s="118" t="s">
        <v>283</v>
      </c>
      <c r="M251" s="118" t="s">
        <v>150</v>
      </c>
      <c r="N251" s="118" t="s">
        <v>1974</v>
      </c>
      <c r="O251" s="118" t="s">
        <v>402</v>
      </c>
      <c r="R251" s="118" t="s">
        <v>450</v>
      </c>
      <c r="S251" s="118" t="s">
        <v>1975</v>
      </c>
      <c r="U251" s="118" t="s">
        <v>1094</v>
      </c>
      <c r="V251" s="118" t="s">
        <v>1088</v>
      </c>
      <c r="W251" s="118" t="s">
        <v>1101</v>
      </c>
      <c r="X251" s="118" t="s">
        <v>1680</v>
      </c>
    </row>
    <row r="252">
      <c r="A252" s="158">
        <v>43672.24757622685</v>
      </c>
      <c r="B252" s="118" t="s">
        <v>1976</v>
      </c>
      <c r="C252" s="118" t="s">
        <v>1977</v>
      </c>
      <c r="D252" s="118" t="s">
        <v>1978</v>
      </c>
      <c r="E252" s="118" t="s">
        <v>1979</v>
      </c>
      <c r="F252" s="118" t="s">
        <v>430</v>
      </c>
      <c r="G252" s="118" t="s">
        <v>1020</v>
      </c>
      <c r="H252" s="118" t="s">
        <v>276</v>
      </c>
      <c r="I252" s="118" t="s">
        <v>288</v>
      </c>
      <c r="J252" s="118" t="s">
        <v>400</v>
      </c>
      <c r="K252" s="118" t="s">
        <v>283</v>
      </c>
      <c r="N252" s="118" t="s">
        <v>1980</v>
      </c>
      <c r="O252" s="118" t="s">
        <v>402</v>
      </c>
      <c r="P252" s="118" t="s">
        <v>1981</v>
      </c>
      <c r="R252" s="118" t="s">
        <v>450</v>
      </c>
      <c r="S252" s="118" t="s">
        <v>1982</v>
      </c>
      <c r="T252" s="118" t="s">
        <v>1981</v>
      </c>
      <c r="U252" s="118" t="s">
        <v>1059</v>
      </c>
      <c r="V252" s="118" t="s">
        <v>1026</v>
      </c>
      <c r="W252" s="118" t="s">
        <v>1983</v>
      </c>
      <c r="X252" s="118" t="s">
        <v>1984</v>
      </c>
    </row>
    <row r="253">
      <c r="A253" s="158">
        <v>43673.078783564815</v>
      </c>
      <c r="B253" s="118" t="s">
        <v>1985</v>
      </c>
      <c r="C253" s="118" t="s">
        <v>1986</v>
      </c>
      <c r="E253" s="118" t="s">
        <v>1987</v>
      </c>
      <c r="F253" s="118" t="s">
        <v>460</v>
      </c>
      <c r="G253" s="118" t="s">
        <v>1630</v>
      </c>
      <c r="H253" s="118" t="s">
        <v>63</v>
      </c>
      <c r="I253" s="118" t="s">
        <v>400</v>
      </c>
      <c r="J253" s="118" t="s">
        <v>288</v>
      </c>
      <c r="K253" s="118" t="s">
        <v>399</v>
      </c>
      <c r="O253" s="118" t="s">
        <v>402</v>
      </c>
      <c r="P253" s="118" t="s">
        <v>1988</v>
      </c>
      <c r="R253" s="118" t="s">
        <v>404</v>
      </c>
      <c r="U253" s="118" t="s">
        <v>1025</v>
      </c>
      <c r="V253" s="118" t="s">
        <v>1147</v>
      </c>
      <c r="X253" s="118" t="s">
        <v>1989</v>
      </c>
    </row>
    <row r="254">
      <c r="A254" s="158">
        <v>43674.42165924769</v>
      </c>
      <c r="B254" s="118" t="s">
        <v>1990</v>
      </c>
      <c r="C254" s="118" t="s">
        <v>1991</v>
      </c>
      <c r="D254" s="118" t="s">
        <v>1992</v>
      </c>
      <c r="E254" s="118" t="s">
        <v>1993</v>
      </c>
      <c r="F254" s="118" t="s">
        <v>417</v>
      </c>
      <c r="G254" s="118" t="s">
        <v>1215</v>
      </c>
      <c r="H254" s="118" t="s">
        <v>63</v>
      </c>
      <c r="I254" s="118" t="s">
        <v>400</v>
      </c>
      <c r="J254" s="118" t="s">
        <v>150</v>
      </c>
      <c r="K254" s="118" t="s">
        <v>399</v>
      </c>
      <c r="L254" s="118" t="s">
        <v>288</v>
      </c>
      <c r="M254" s="118" t="s">
        <v>283</v>
      </c>
      <c r="N254" s="118" t="s">
        <v>1994</v>
      </c>
      <c r="O254" s="118" t="s">
        <v>277</v>
      </c>
      <c r="P254" s="118" t="s">
        <v>1995</v>
      </c>
      <c r="R254" s="118" t="s">
        <v>404</v>
      </c>
      <c r="S254" s="118" t="s">
        <v>1996</v>
      </c>
      <c r="T254" s="118" t="s">
        <v>1997</v>
      </c>
      <c r="U254" s="118" t="s">
        <v>1025</v>
      </c>
      <c r="V254" s="118" t="s">
        <v>1026</v>
      </c>
      <c r="W254" s="118" t="s">
        <v>1998</v>
      </c>
      <c r="X254" s="118" t="s">
        <v>1825</v>
      </c>
    </row>
    <row r="255">
      <c r="A255" s="158">
        <v>43674.68125140046</v>
      </c>
      <c r="B255" s="118" t="s">
        <v>1999</v>
      </c>
      <c r="C255" s="118" t="s">
        <v>2000</v>
      </c>
      <c r="E255" s="118" t="s">
        <v>2001</v>
      </c>
      <c r="F255" s="118" t="s">
        <v>2002</v>
      </c>
      <c r="G255" s="118" t="s">
        <v>1098</v>
      </c>
      <c r="H255" s="118" t="s">
        <v>63</v>
      </c>
      <c r="I255" s="118" t="s">
        <v>288</v>
      </c>
      <c r="O255" s="118" t="s">
        <v>277</v>
      </c>
      <c r="P255" s="118" t="s">
        <v>35</v>
      </c>
      <c r="R255" s="118" t="s">
        <v>450</v>
      </c>
      <c r="S255" s="118" t="s">
        <v>2003</v>
      </c>
      <c r="T255" s="118" t="s">
        <v>35</v>
      </c>
      <c r="U255" s="118" t="s">
        <v>1094</v>
      </c>
      <c r="V255" s="118" t="s">
        <v>1288</v>
      </c>
      <c r="X255" s="118" t="s">
        <v>1825</v>
      </c>
    </row>
    <row r="256" ht="18.0" customHeight="1">
      <c r="A256" s="158">
        <v>43675.64387090278</v>
      </c>
      <c r="B256" s="118" t="s">
        <v>2004</v>
      </c>
      <c r="C256" s="118" t="s">
        <v>2005</v>
      </c>
      <c r="D256" s="118" t="s">
        <v>2006</v>
      </c>
      <c r="E256" s="118" t="s">
        <v>2007</v>
      </c>
      <c r="F256" s="118" t="s">
        <v>430</v>
      </c>
      <c r="G256" s="118" t="s">
        <v>1098</v>
      </c>
      <c r="H256" s="118" t="s">
        <v>63</v>
      </c>
      <c r="I256" s="118" t="s">
        <v>150</v>
      </c>
      <c r="J256" s="118" t="s">
        <v>2008</v>
      </c>
      <c r="K256" s="118" t="s">
        <v>399</v>
      </c>
      <c r="L256" s="118" t="s">
        <v>400</v>
      </c>
      <c r="N256" s="118" t="s">
        <v>2009</v>
      </c>
      <c r="O256" s="118" t="s">
        <v>182</v>
      </c>
      <c r="P256" s="118" t="s">
        <v>2010</v>
      </c>
      <c r="R256" s="118" t="s">
        <v>404</v>
      </c>
      <c r="S256" s="118" t="s">
        <v>2011</v>
      </c>
      <c r="T256" s="118" t="s">
        <v>462</v>
      </c>
      <c r="U256" s="118" t="s">
        <v>1034</v>
      </c>
      <c r="V256" s="118" t="s">
        <v>1026</v>
      </c>
      <c r="W256" s="118" t="s">
        <v>2012</v>
      </c>
      <c r="X256" s="118" t="s">
        <v>1825</v>
      </c>
    </row>
    <row r="257">
      <c r="A257" s="158">
        <v>43677.461992488425</v>
      </c>
      <c r="B257" s="118" t="s">
        <v>2013</v>
      </c>
      <c r="C257" s="118" t="s">
        <v>2014</v>
      </c>
      <c r="D257" s="118" t="s">
        <v>2015</v>
      </c>
      <c r="E257" s="118" t="s">
        <v>2016</v>
      </c>
      <c r="F257" s="118" t="s">
        <v>699</v>
      </c>
      <c r="G257" s="118" t="s">
        <v>1459</v>
      </c>
      <c r="H257" s="118" t="s">
        <v>119</v>
      </c>
      <c r="I257" s="118" t="s">
        <v>399</v>
      </c>
      <c r="J257" s="118" t="s">
        <v>288</v>
      </c>
      <c r="K257" s="118" t="s">
        <v>400</v>
      </c>
      <c r="L257" s="118" t="s">
        <v>283</v>
      </c>
      <c r="M257" s="118" t="s">
        <v>150</v>
      </c>
      <c r="N257" s="118" t="s">
        <v>35</v>
      </c>
      <c r="O257" s="118" t="s">
        <v>277</v>
      </c>
      <c r="P257" s="118" t="s">
        <v>2017</v>
      </c>
      <c r="R257" s="118" t="s">
        <v>450</v>
      </c>
      <c r="S257" s="118" t="s">
        <v>2018</v>
      </c>
      <c r="T257" s="118" t="s">
        <v>326</v>
      </c>
      <c r="U257" s="118" t="s">
        <v>1034</v>
      </c>
      <c r="V257" s="118" t="s">
        <v>1088</v>
      </c>
      <c r="X257" s="118" t="s">
        <v>1703</v>
      </c>
    </row>
    <row r="258">
      <c r="A258" s="158">
        <v>43678.412040613424</v>
      </c>
      <c r="B258" s="118" t="s">
        <v>2019</v>
      </c>
      <c r="C258" s="118" t="s">
        <v>1166</v>
      </c>
      <c r="D258" s="118" t="s">
        <v>2020</v>
      </c>
      <c r="E258" s="118" t="s">
        <v>2021</v>
      </c>
      <c r="F258" s="118" t="s">
        <v>699</v>
      </c>
      <c r="G258" s="118" t="s">
        <v>1498</v>
      </c>
      <c r="H258" s="118" t="s">
        <v>119</v>
      </c>
      <c r="I258" s="118" t="s">
        <v>150</v>
      </c>
      <c r="J258" s="118" t="s">
        <v>283</v>
      </c>
      <c r="K258" s="118" t="s">
        <v>288</v>
      </c>
      <c r="L258" s="118" t="s">
        <v>399</v>
      </c>
      <c r="M258" s="118" t="s">
        <v>400</v>
      </c>
      <c r="N258" s="118" t="s">
        <v>182</v>
      </c>
      <c r="O258" s="118" t="s">
        <v>402</v>
      </c>
      <c r="P258" s="118" t="s">
        <v>2022</v>
      </c>
      <c r="R258" s="118" t="s">
        <v>450</v>
      </c>
      <c r="S258" s="118" t="s">
        <v>2023</v>
      </c>
      <c r="T258" s="118" t="s">
        <v>2024</v>
      </c>
      <c r="U258" s="118" t="s">
        <v>1059</v>
      </c>
      <c r="V258" s="118" t="s">
        <v>1088</v>
      </c>
      <c r="X258" s="118" t="s">
        <v>1680</v>
      </c>
    </row>
    <row r="259">
      <c r="A259" s="158">
        <v>43679.08931378472</v>
      </c>
      <c r="B259" s="118" t="s">
        <v>2025</v>
      </c>
      <c r="C259" s="118" t="s">
        <v>2026</v>
      </c>
      <c r="D259" s="118" t="s">
        <v>2027</v>
      </c>
      <c r="E259" s="118" t="s">
        <v>2028</v>
      </c>
      <c r="F259" s="118" t="s">
        <v>460</v>
      </c>
      <c r="G259" s="118" t="s">
        <v>1020</v>
      </c>
      <c r="H259" s="118" t="s">
        <v>119</v>
      </c>
      <c r="I259" s="118" t="s">
        <v>150</v>
      </c>
      <c r="J259" s="118" t="s">
        <v>288</v>
      </c>
      <c r="K259" s="118" t="s">
        <v>399</v>
      </c>
      <c r="L259" s="118" t="s">
        <v>400</v>
      </c>
      <c r="M259" s="118" t="s">
        <v>283</v>
      </c>
      <c r="O259" s="118" t="s">
        <v>402</v>
      </c>
      <c r="P259" s="118" t="s">
        <v>2029</v>
      </c>
      <c r="R259" s="118" t="s">
        <v>450</v>
      </c>
      <c r="S259" s="118" t="s">
        <v>2030</v>
      </c>
      <c r="T259" s="118" t="s">
        <v>2031</v>
      </c>
      <c r="U259" s="118" t="s">
        <v>1025</v>
      </c>
      <c r="V259" s="118" t="s">
        <v>1288</v>
      </c>
    </row>
    <row r="260">
      <c r="A260" s="158">
        <v>43679.89744516204</v>
      </c>
      <c r="B260" s="118" t="s">
        <v>2032</v>
      </c>
      <c r="C260" s="118" t="s">
        <v>2033</v>
      </c>
      <c r="D260" s="118" t="s">
        <v>2034</v>
      </c>
      <c r="E260" s="118" t="s">
        <v>2035</v>
      </c>
      <c r="F260" s="118" t="s">
        <v>460</v>
      </c>
      <c r="G260" s="118" t="s">
        <v>1459</v>
      </c>
      <c r="H260" s="118" t="s">
        <v>119</v>
      </c>
      <c r="N260" s="118" t="s">
        <v>2036</v>
      </c>
      <c r="P260" s="118" t="s">
        <v>2037</v>
      </c>
      <c r="R260" s="118" t="s">
        <v>450</v>
      </c>
      <c r="S260" s="118" t="s">
        <v>2038</v>
      </c>
      <c r="T260" s="118" t="s">
        <v>2037</v>
      </c>
      <c r="U260" s="118" t="s">
        <v>1025</v>
      </c>
      <c r="V260" s="118" t="s">
        <v>1026</v>
      </c>
      <c r="X260" s="118" t="s">
        <v>2039</v>
      </c>
    </row>
    <row r="261">
      <c r="A261" s="158">
        <v>43680.050454421296</v>
      </c>
      <c r="B261" s="118" t="s">
        <v>2040</v>
      </c>
      <c r="C261" s="118" t="s">
        <v>2041</v>
      </c>
      <c r="E261" s="118" t="s">
        <v>2042</v>
      </c>
      <c r="F261" s="118" t="s">
        <v>2043</v>
      </c>
      <c r="G261" s="118" t="s">
        <v>2044</v>
      </c>
      <c r="H261" s="118" t="s">
        <v>276</v>
      </c>
      <c r="I261" s="118" t="s">
        <v>283</v>
      </c>
      <c r="J261" s="118" t="s">
        <v>288</v>
      </c>
      <c r="K261" s="118" t="s">
        <v>399</v>
      </c>
      <c r="L261" s="118" t="s">
        <v>150</v>
      </c>
      <c r="O261" s="118" t="s">
        <v>402</v>
      </c>
      <c r="R261" s="118" t="s">
        <v>404</v>
      </c>
      <c r="U261" s="118" t="s">
        <v>1034</v>
      </c>
      <c r="V261" s="118" t="s">
        <v>1088</v>
      </c>
      <c r="X261" s="118" t="s">
        <v>2045</v>
      </c>
    </row>
    <row r="262">
      <c r="A262" s="158">
        <v>43684.39878295139</v>
      </c>
      <c r="B262" s="118" t="s">
        <v>2046</v>
      </c>
      <c r="C262" s="118" t="s">
        <v>2047</v>
      </c>
      <c r="D262" s="118" t="s">
        <v>2048</v>
      </c>
      <c r="E262" s="118" t="s">
        <v>2049</v>
      </c>
      <c r="F262" s="118" t="s">
        <v>1065</v>
      </c>
      <c r="G262" s="118" t="s">
        <v>2050</v>
      </c>
      <c r="H262" s="118" t="s">
        <v>63</v>
      </c>
      <c r="I262" s="118" t="s">
        <v>288</v>
      </c>
      <c r="J262" s="118" t="s">
        <v>399</v>
      </c>
      <c r="K262" s="118" t="s">
        <v>400</v>
      </c>
      <c r="L262" s="118" t="s">
        <v>150</v>
      </c>
      <c r="M262" s="118" t="s">
        <v>283</v>
      </c>
      <c r="N262" s="118" t="s">
        <v>2051</v>
      </c>
      <c r="O262" s="118" t="s">
        <v>402</v>
      </c>
      <c r="P262" s="118" t="s">
        <v>2052</v>
      </c>
      <c r="R262" s="118" t="s">
        <v>404</v>
      </c>
      <c r="S262" s="118" t="s">
        <v>2053</v>
      </c>
      <c r="T262" s="118" t="s">
        <v>2054</v>
      </c>
      <c r="U262" s="118" t="s">
        <v>1025</v>
      </c>
      <c r="V262" s="118" t="s">
        <v>1026</v>
      </c>
      <c r="X262" s="118" t="s">
        <v>2055</v>
      </c>
    </row>
    <row r="263">
      <c r="A263" s="158">
        <v>43684.4028878588</v>
      </c>
      <c r="B263" s="118" t="s">
        <v>2056</v>
      </c>
      <c r="C263" s="118" t="s">
        <v>905</v>
      </c>
      <c r="D263" s="118" t="s">
        <v>2057</v>
      </c>
      <c r="E263" s="118" t="s">
        <v>2058</v>
      </c>
      <c r="F263" s="118" t="s">
        <v>491</v>
      </c>
      <c r="G263" s="118" t="s">
        <v>1098</v>
      </c>
      <c r="H263" s="118" t="s">
        <v>63</v>
      </c>
      <c r="I263" s="118" t="s">
        <v>288</v>
      </c>
      <c r="N263" s="118" t="s">
        <v>182</v>
      </c>
      <c r="O263" s="118" t="s">
        <v>402</v>
      </c>
      <c r="P263" s="118" t="s">
        <v>264</v>
      </c>
      <c r="R263" s="118" t="s">
        <v>441</v>
      </c>
      <c r="S263" s="118" t="s">
        <v>2059</v>
      </c>
      <c r="T263" s="118" t="s">
        <v>2060</v>
      </c>
      <c r="U263" s="118" t="s">
        <v>1758</v>
      </c>
      <c r="V263" s="118" t="s">
        <v>1088</v>
      </c>
      <c r="W263" s="118" t="s">
        <v>2061</v>
      </c>
      <c r="X263" s="118" t="s">
        <v>1825</v>
      </c>
    </row>
    <row r="264">
      <c r="A264" s="158">
        <v>43684.68687708333</v>
      </c>
      <c r="B264" s="118" t="s">
        <v>2062</v>
      </c>
      <c r="C264" s="118" t="s">
        <v>2063</v>
      </c>
      <c r="E264" s="118" t="s">
        <v>2064</v>
      </c>
      <c r="F264" s="118" t="s">
        <v>1065</v>
      </c>
      <c r="G264" s="118" t="s">
        <v>1215</v>
      </c>
      <c r="H264" s="118" t="s">
        <v>63</v>
      </c>
      <c r="I264" s="118" t="s">
        <v>288</v>
      </c>
      <c r="J264" s="118" t="s">
        <v>150</v>
      </c>
      <c r="K264" s="118" t="s">
        <v>399</v>
      </c>
      <c r="L264" s="118" t="s">
        <v>283</v>
      </c>
      <c r="M264" s="118" t="s">
        <v>400</v>
      </c>
      <c r="N264" s="118" t="s">
        <v>2065</v>
      </c>
      <c r="O264" s="118" t="s">
        <v>277</v>
      </c>
      <c r="P264" s="118" t="s">
        <v>2066</v>
      </c>
      <c r="R264" s="118" t="s">
        <v>450</v>
      </c>
      <c r="S264" s="118" t="s">
        <v>2067</v>
      </c>
      <c r="T264" s="118" t="s">
        <v>2068</v>
      </c>
      <c r="U264" s="118" t="s">
        <v>1025</v>
      </c>
      <c r="V264" s="118" t="s">
        <v>1026</v>
      </c>
      <c r="X264" s="118" t="s">
        <v>1749</v>
      </c>
    </row>
    <row r="265">
      <c r="A265" s="158">
        <v>43685.46748900463</v>
      </c>
      <c r="B265" s="118" t="s">
        <v>2069</v>
      </c>
      <c r="C265" s="118" t="s">
        <v>2070</v>
      </c>
      <c r="D265" s="118" t="s">
        <v>2071</v>
      </c>
      <c r="E265" s="118" t="s">
        <v>2072</v>
      </c>
      <c r="F265" s="118" t="s">
        <v>2073</v>
      </c>
      <c r="G265" s="118" t="s">
        <v>2074</v>
      </c>
      <c r="H265" s="118" t="s">
        <v>63</v>
      </c>
      <c r="I265" s="118" t="s">
        <v>399</v>
      </c>
      <c r="J265" s="118" t="s">
        <v>400</v>
      </c>
      <c r="K265" s="118" t="s">
        <v>288</v>
      </c>
      <c r="L265" s="118" t="s">
        <v>283</v>
      </c>
      <c r="M265" s="118" t="s">
        <v>150</v>
      </c>
      <c r="N265" s="118" t="s">
        <v>182</v>
      </c>
      <c r="O265" s="118" t="s">
        <v>277</v>
      </c>
      <c r="P265" s="118" t="s">
        <v>277</v>
      </c>
      <c r="R265" s="118" t="s">
        <v>450</v>
      </c>
      <c r="U265" s="118" t="s">
        <v>1034</v>
      </c>
      <c r="V265" s="118" t="s">
        <v>1026</v>
      </c>
      <c r="X265" s="118" t="s">
        <v>2075</v>
      </c>
    </row>
    <row r="266">
      <c r="A266" s="158">
        <v>43689.40685208333</v>
      </c>
      <c r="B266" s="118" t="s">
        <v>2076</v>
      </c>
      <c r="C266" s="118" t="s">
        <v>2077</v>
      </c>
      <c r="D266" s="118" t="s">
        <v>2078</v>
      </c>
      <c r="E266" s="118" t="s">
        <v>2079</v>
      </c>
      <c r="F266" s="118" t="s">
        <v>417</v>
      </c>
      <c r="G266" s="118" t="s">
        <v>1074</v>
      </c>
      <c r="H266" s="118" t="s">
        <v>63</v>
      </c>
      <c r="I266" s="118" t="s">
        <v>399</v>
      </c>
      <c r="J266" s="118" t="s">
        <v>283</v>
      </c>
      <c r="K266" s="118" t="s">
        <v>400</v>
      </c>
      <c r="L266" s="118" t="s">
        <v>150</v>
      </c>
      <c r="M266" s="118" t="s">
        <v>288</v>
      </c>
      <c r="O266" s="118" t="s">
        <v>277</v>
      </c>
      <c r="R266" s="118" t="s">
        <v>450</v>
      </c>
      <c r="S266" s="118" t="s">
        <v>2080</v>
      </c>
      <c r="T266" s="118" t="s">
        <v>2081</v>
      </c>
      <c r="U266" s="118" t="s">
        <v>1094</v>
      </c>
      <c r="V266" s="118" t="s">
        <v>1026</v>
      </c>
      <c r="W266" s="118" t="s">
        <v>35</v>
      </c>
      <c r="X266" s="118" t="s">
        <v>2082</v>
      </c>
    </row>
    <row r="267">
      <c r="A267" s="158">
        <v>43690.258437881945</v>
      </c>
      <c r="B267" s="118" t="s">
        <v>2083</v>
      </c>
      <c r="C267" s="118" t="s">
        <v>2084</v>
      </c>
      <c r="E267" s="118" t="s">
        <v>2085</v>
      </c>
      <c r="F267" s="118" t="s">
        <v>1065</v>
      </c>
      <c r="G267" s="118" t="s">
        <v>1459</v>
      </c>
      <c r="H267" s="118" t="s">
        <v>63</v>
      </c>
      <c r="I267" s="118" t="s">
        <v>288</v>
      </c>
      <c r="J267" s="118" t="s">
        <v>399</v>
      </c>
      <c r="K267" s="118" t="s">
        <v>400</v>
      </c>
      <c r="L267" s="118" t="s">
        <v>150</v>
      </c>
      <c r="M267" s="118" t="s">
        <v>283</v>
      </c>
      <c r="O267" s="118" t="s">
        <v>182</v>
      </c>
      <c r="R267" s="118" t="s">
        <v>450</v>
      </c>
      <c r="S267" s="118" t="s">
        <v>2086</v>
      </c>
      <c r="T267" s="118" t="s">
        <v>2087</v>
      </c>
      <c r="U267" s="118" t="s">
        <v>1130</v>
      </c>
      <c r="V267" s="118" t="s">
        <v>1026</v>
      </c>
      <c r="X267" s="118" t="s">
        <v>2088</v>
      </c>
    </row>
    <row r="268">
      <c r="A268" s="158">
        <v>43691.59204373843</v>
      </c>
      <c r="B268" s="118" t="s">
        <v>2089</v>
      </c>
      <c r="C268" s="118" t="s">
        <v>2090</v>
      </c>
      <c r="D268" s="118" t="s">
        <v>2091</v>
      </c>
      <c r="E268" s="118" t="s">
        <v>2092</v>
      </c>
      <c r="F268" s="118" t="s">
        <v>528</v>
      </c>
      <c r="G268" s="118" t="s">
        <v>1020</v>
      </c>
      <c r="H268" s="118" t="s">
        <v>63</v>
      </c>
      <c r="I268" s="118" t="s">
        <v>399</v>
      </c>
      <c r="J268" s="118" t="s">
        <v>288</v>
      </c>
      <c r="K268" s="118" t="s">
        <v>400</v>
      </c>
      <c r="L268" s="118" t="s">
        <v>150</v>
      </c>
      <c r="M268" s="118" t="s">
        <v>283</v>
      </c>
      <c r="N268" s="118" t="s">
        <v>2093</v>
      </c>
      <c r="O268" s="118" t="s">
        <v>277</v>
      </c>
      <c r="P268" s="118" t="s">
        <v>1658</v>
      </c>
      <c r="R268" s="118" t="s">
        <v>450</v>
      </c>
      <c r="S268" s="118" t="s">
        <v>2094</v>
      </c>
      <c r="T268" s="118" t="s">
        <v>1658</v>
      </c>
      <c r="U268" s="118" t="s">
        <v>1025</v>
      </c>
      <c r="V268" s="118" t="s">
        <v>2095</v>
      </c>
      <c r="X268" s="118" t="s">
        <v>2096</v>
      </c>
    </row>
    <row r="269">
      <c r="A269" s="158">
        <v>43691.69954341435</v>
      </c>
      <c r="B269" s="118" t="s">
        <v>2097</v>
      </c>
      <c r="C269" s="118" t="s">
        <v>2098</v>
      </c>
      <c r="E269" s="118" t="s">
        <v>2099</v>
      </c>
      <c r="F269" s="118" t="s">
        <v>1065</v>
      </c>
      <c r="G269" s="118" t="s">
        <v>1098</v>
      </c>
      <c r="H269" s="118" t="s">
        <v>63</v>
      </c>
      <c r="I269" s="118" t="s">
        <v>400</v>
      </c>
      <c r="N269" s="118" t="s">
        <v>2100</v>
      </c>
      <c r="O269" s="118" t="s">
        <v>182</v>
      </c>
      <c r="R269" s="118" t="s">
        <v>441</v>
      </c>
      <c r="S269" s="118" t="s">
        <v>2101</v>
      </c>
      <c r="T269" s="118" t="s">
        <v>2102</v>
      </c>
      <c r="U269" s="118" t="s">
        <v>1025</v>
      </c>
      <c r="V269" s="118" t="s">
        <v>2103</v>
      </c>
      <c r="W269" s="118" t="s">
        <v>2104</v>
      </c>
      <c r="X269" s="118" t="s">
        <v>1880</v>
      </c>
    </row>
    <row r="270">
      <c r="A270" s="158">
        <v>43691.85581674769</v>
      </c>
      <c r="B270" s="118" t="s">
        <v>2105</v>
      </c>
      <c r="C270" s="118" t="s">
        <v>2106</v>
      </c>
      <c r="D270" s="118" t="s">
        <v>2107</v>
      </c>
      <c r="E270" s="118" t="s">
        <v>2108</v>
      </c>
      <c r="F270" s="118" t="s">
        <v>460</v>
      </c>
      <c r="G270" s="118" t="s">
        <v>1098</v>
      </c>
      <c r="H270" s="118" t="s">
        <v>63</v>
      </c>
      <c r="I270" s="118" t="s">
        <v>288</v>
      </c>
      <c r="J270" s="118" t="s">
        <v>283</v>
      </c>
      <c r="K270" s="118" t="s">
        <v>399</v>
      </c>
      <c r="L270" s="118" t="s">
        <v>400</v>
      </c>
      <c r="M270" s="118" t="s">
        <v>150</v>
      </c>
      <c r="N270" s="118" t="s">
        <v>182</v>
      </c>
      <c r="O270" s="118" t="s">
        <v>277</v>
      </c>
      <c r="P270" s="118" t="s">
        <v>277</v>
      </c>
      <c r="R270" s="118" t="s">
        <v>450</v>
      </c>
      <c r="S270" s="118" t="s">
        <v>2109</v>
      </c>
      <c r="T270" s="118" t="s">
        <v>2110</v>
      </c>
      <c r="U270" s="118" t="s">
        <v>1094</v>
      </c>
      <c r="V270" s="118" t="s">
        <v>1026</v>
      </c>
      <c r="W270" s="118" t="s">
        <v>35</v>
      </c>
      <c r="X270" s="118" t="s">
        <v>1680</v>
      </c>
    </row>
    <row r="271">
      <c r="A271" s="158">
        <v>43692.43983260417</v>
      </c>
      <c r="B271" s="118" t="s">
        <v>2111</v>
      </c>
      <c r="C271" s="118" t="s">
        <v>2112</v>
      </c>
      <c r="D271" s="118" t="s">
        <v>2113</v>
      </c>
      <c r="E271" s="118" t="s">
        <v>2114</v>
      </c>
      <c r="F271" s="118" t="s">
        <v>1019</v>
      </c>
      <c r="G271" s="118" t="s">
        <v>1630</v>
      </c>
      <c r="H271" s="118" t="s">
        <v>63</v>
      </c>
      <c r="I271" s="118" t="s">
        <v>288</v>
      </c>
      <c r="J271" s="118" t="s">
        <v>283</v>
      </c>
      <c r="K271" s="118" t="s">
        <v>400</v>
      </c>
      <c r="L271" s="118" t="s">
        <v>399</v>
      </c>
      <c r="M271" s="118" t="s">
        <v>150</v>
      </c>
      <c r="N271" s="118" t="s">
        <v>2115</v>
      </c>
      <c r="O271" s="118" t="s">
        <v>277</v>
      </c>
      <c r="P271" s="118" t="s">
        <v>2116</v>
      </c>
      <c r="R271" s="118" t="s">
        <v>450</v>
      </c>
      <c r="S271" s="118" t="s">
        <v>2117</v>
      </c>
      <c r="T271" s="118" t="s">
        <v>2118</v>
      </c>
      <c r="U271" s="118" t="s">
        <v>1025</v>
      </c>
      <c r="V271" s="118" t="s">
        <v>1088</v>
      </c>
      <c r="X271" s="118" t="s">
        <v>2119</v>
      </c>
    </row>
    <row r="272">
      <c r="A272" s="158">
        <v>43692.757643530094</v>
      </c>
      <c r="B272" s="118" t="s">
        <v>2120</v>
      </c>
      <c r="C272" s="118" t="s">
        <v>2121</v>
      </c>
      <c r="E272" s="118" t="s">
        <v>2122</v>
      </c>
      <c r="F272" s="118" t="s">
        <v>1065</v>
      </c>
      <c r="G272" s="118" t="s">
        <v>1098</v>
      </c>
      <c r="H272" s="118" t="s">
        <v>63</v>
      </c>
      <c r="I272" s="118" t="s">
        <v>399</v>
      </c>
      <c r="N272" s="118" t="s">
        <v>2123</v>
      </c>
      <c r="O272" s="118" t="s">
        <v>402</v>
      </c>
      <c r="P272" s="118" t="s">
        <v>2124</v>
      </c>
      <c r="R272" s="118" t="s">
        <v>441</v>
      </c>
      <c r="S272" s="118" t="s">
        <v>2125</v>
      </c>
      <c r="T272" s="118" t="s">
        <v>2126</v>
      </c>
      <c r="U272" s="118" t="s">
        <v>1034</v>
      </c>
      <c r="V272" s="118" t="s">
        <v>1026</v>
      </c>
      <c r="X272" s="118" t="s">
        <v>2127</v>
      </c>
    </row>
    <row r="273">
      <c r="A273" s="158">
        <v>43692.80813991898</v>
      </c>
      <c r="B273" s="118" t="s">
        <v>2128</v>
      </c>
      <c r="C273" s="118" t="s">
        <v>2129</v>
      </c>
      <c r="E273" s="118" t="s">
        <v>2130</v>
      </c>
      <c r="F273" s="118" t="s">
        <v>460</v>
      </c>
      <c r="G273" s="118" t="s">
        <v>1098</v>
      </c>
      <c r="H273" s="118" t="s">
        <v>63</v>
      </c>
      <c r="I273" s="118" t="s">
        <v>288</v>
      </c>
      <c r="J273" s="118" t="s">
        <v>283</v>
      </c>
      <c r="K273" s="118" t="s">
        <v>399</v>
      </c>
      <c r="L273" s="118" t="s">
        <v>400</v>
      </c>
      <c r="M273" s="118" t="s">
        <v>150</v>
      </c>
      <c r="O273" s="118" t="s">
        <v>277</v>
      </c>
      <c r="R273" s="118" t="s">
        <v>450</v>
      </c>
      <c r="U273" s="118" t="s">
        <v>1094</v>
      </c>
      <c r="V273" s="118" t="s">
        <v>1026</v>
      </c>
      <c r="W273" s="118" t="s">
        <v>2131</v>
      </c>
      <c r="X273" s="118" t="s">
        <v>1703</v>
      </c>
    </row>
    <row r="274">
      <c r="A274" s="158">
        <v>43692.94038061342</v>
      </c>
      <c r="B274" s="118" t="s">
        <v>2132</v>
      </c>
      <c r="C274" s="118" t="s">
        <v>2133</v>
      </c>
      <c r="E274" s="118" t="s">
        <v>2134</v>
      </c>
      <c r="F274" s="118" t="s">
        <v>430</v>
      </c>
      <c r="G274" s="118" t="s">
        <v>1098</v>
      </c>
      <c r="H274" s="118" t="s">
        <v>63</v>
      </c>
      <c r="I274" s="118" t="s">
        <v>150</v>
      </c>
      <c r="J274" s="118" t="s">
        <v>288</v>
      </c>
      <c r="K274" s="118" t="s">
        <v>399</v>
      </c>
      <c r="L274" s="118" t="s">
        <v>283</v>
      </c>
      <c r="M274" s="118" t="s">
        <v>400</v>
      </c>
      <c r="N274" s="118" t="s">
        <v>182</v>
      </c>
      <c r="O274" s="118" t="s">
        <v>402</v>
      </c>
      <c r="P274" s="118" t="s">
        <v>2135</v>
      </c>
      <c r="R274" s="118" t="s">
        <v>450</v>
      </c>
      <c r="U274" s="118" t="s">
        <v>1094</v>
      </c>
      <c r="V274" s="118" t="s">
        <v>1026</v>
      </c>
      <c r="W274" s="118" t="s">
        <v>2136</v>
      </c>
    </row>
    <row r="275">
      <c r="A275" s="158">
        <v>43693.343014768514</v>
      </c>
      <c r="B275" s="118" t="s">
        <v>2132</v>
      </c>
      <c r="C275" s="118" t="s">
        <v>2133</v>
      </c>
      <c r="E275" s="118" t="s">
        <v>2134</v>
      </c>
      <c r="F275" s="118" t="s">
        <v>430</v>
      </c>
      <c r="G275" s="118" t="s">
        <v>1098</v>
      </c>
      <c r="H275" s="118" t="s">
        <v>63</v>
      </c>
      <c r="I275" s="118" t="s">
        <v>150</v>
      </c>
      <c r="J275" s="118" t="s">
        <v>288</v>
      </c>
      <c r="K275" s="118" t="s">
        <v>399</v>
      </c>
      <c r="L275" s="118" t="s">
        <v>283</v>
      </c>
      <c r="M275" s="118" t="s">
        <v>400</v>
      </c>
      <c r="N275" s="118" t="s">
        <v>182</v>
      </c>
      <c r="O275" s="118" t="s">
        <v>402</v>
      </c>
      <c r="P275" s="118" t="s">
        <v>2135</v>
      </c>
      <c r="R275" s="118" t="s">
        <v>450</v>
      </c>
      <c r="U275" s="118" t="s">
        <v>1094</v>
      </c>
      <c r="V275" s="118" t="s">
        <v>1026</v>
      </c>
      <c r="W275" s="118" t="s">
        <v>2136</v>
      </c>
    </row>
    <row r="276">
      <c r="A276" s="158">
        <v>43693.391088738426</v>
      </c>
      <c r="B276" s="118" t="s">
        <v>2137</v>
      </c>
      <c r="C276" s="118" t="s">
        <v>2121</v>
      </c>
      <c r="D276" s="118" t="s">
        <v>2138</v>
      </c>
      <c r="E276" s="118" t="s">
        <v>2139</v>
      </c>
      <c r="F276" s="118" t="s">
        <v>1065</v>
      </c>
      <c r="G276" s="118" t="s">
        <v>1098</v>
      </c>
      <c r="H276" s="118" t="s">
        <v>63</v>
      </c>
      <c r="I276" s="118" t="s">
        <v>399</v>
      </c>
      <c r="N276" s="118" t="s">
        <v>2140</v>
      </c>
      <c r="O276" s="118" t="s">
        <v>182</v>
      </c>
      <c r="P276" s="118" t="s">
        <v>2141</v>
      </c>
      <c r="R276" s="118" t="s">
        <v>404</v>
      </c>
      <c r="S276" s="118" t="s">
        <v>2142</v>
      </c>
      <c r="T276" s="118" t="s">
        <v>2143</v>
      </c>
      <c r="U276" s="118" t="s">
        <v>1025</v>
      </c>
      <c r="V276" s="118" t="s">
        <v>1026</v>
      </c>
      <c r="W276" s="118" t="s">
        <v>35</v>
      </c>
      <c r="X276" s="118" t="s">
        <v>1670</v>
      </c>
    </row>
    <row r="277">
      <c r="A277" s="158">
        <v>43693.45771097222</v>
      </c>
      <c r="B277" s="118" t="s">
        <v>2144</v>
      </c>
      <c r="C277" s="118" t="s">
        <v>2145</v>
      </c>
      <c r="D277" s="118" t="s">
        <v>2146</v>
      </c>
      <c r="E277" s="118" t="s">
        <v>2147</v>
      </c>
      <c r="F277" s="118" t="s">
        <v>491</v>
      </c>
      <c r="G277" s="118" t="s">
        <v>1098</v>
      </c>
      <c r="H277" s="118" t="s">
        <v>63</v>
      </c>
      <c r="I277" s="118" t="s">
        <v>288</v>
      </c>
      <c r="J277" s="118" t="s">
        <v>399</v>
      </c>
      <c r="K277" s="118" t="s">
        <v>283</v>
      </c>
      <c r="N277" s="118" t="s">
        <v>2148</v>
      </c>
      <c r="O277" s="118" t="s">
        <v>402</v>
      </c>
      <c r="P277" s="118" t="s">
        <v>2149</v>
      </c>
      <c r="R277" s="118" t="s">
        <v>450</v>
      </c>
      <c r="S277" s="118" t="s">
        <v>2150</v>
      </c>
      <c r="T277" s="118" t="s">
        <v>2151</v>
      </c>
      <c r="U277" s="118" t="s">
        <v>1034</v>
      </c>
      <c r="V277" s="118" t="s">
        <v>1088</v>
      </c>
      <c r="W277" s="118" t="s">
        <v>1101</v>
      </c>
      <c r="X277" s="118" t="s">
        <v>1749</v>
      </c>
    </row>
    <row r="278">
      <c r="A278" s="158">
        <v>43693.47499200232</v>
      </c>
      <c r="B278" s="118" t="s">
        <v>2152</v>
      </c>
      <c r="C278" s="118" t="s">
        <v>2153</v>
      </c>
      <c r="E278" s="118" t="s">
        <v>2154</v>
      </c>
      <c r="F278" s="118" t="s">
        <v>430</v>
      </c>
      <c r="G278" s="118" t="s">
        <v>1098</v>
      </c>
      <c r="H278" s="118" t="s">
        <v>63</v>
      </c>
      <c r="I278" s="118" t="s">
        <v>283</v>
      </c>
      <c r="N278" s="118" t="s">
        <v>2155</v>
      </c>
      <c r="O278" s="118" t="s">
        <v>402</v>
      </c>
      <c r="P278" s="118" t="s">
        <v>2156</v>
      </c>
      <c r="R278" s="118" t="s">
        <v>450</v>
      </c>
      <c r="S278" s="118" t="s">
        <v>2157</v>
      </c>
      <c r="T278" s="118" t="s">
        <v>2158</v>
      </c>
      <c r="U278" s="118" t="s">
        <v>1758</v>
      </c>
      <c r="V278" s="118" t="s">
        <v>1026</v>
      </c>
      <c r="W278" s="118" t="s">
        <v>2159</v>
      </c>
      <c r="X278" s="118" t="s">
        <v>2160</v>
      </c>
    </row>
    <row r="279">
      <c r="A279" s="158">
        <v>43693.47666775463</v>
      </c>
      <c r="B279" s="118" t="s">
        <v>2132</v>
      </c>
      <c r="C279" s="118" t="s">
        <v>2161</v>
      </c>
      <c r="E279" s="118" t="s">
        <v>2134</v>
      </c>
      <c r="F279" s="118" t="s">
        <v>430</v>
      </c>
      <c r="G279" s="118" t="s">
        <v>1020</v>
      </c>
      <c r="H279" s="118" t="s">
        <v>63</v>
      </c>
      <c r="I279" s="118" t="s">
        <v>150</v>
      </c>
      <c r="J279" s="118" t="s">
        <v>288</v>
      </c>
      <c r="K279" s="118" t="s">
        <v>399</v>
      </c>
      <c r="L279" s="118" t="s">
        <v>283</v>
      </c>
      <c r="M279" s="118" t="s">
        <v>400</v>
      </c>
      <c r="N279" s="118" t="s">
        <v>2162</v>
      </c>
      <c r="O279" s="118" t="s">
        <v>277</v>
      </c>
      <c r="R279" s="118" t="s">
        <v>450</v>
      </c>
      <c r="U279" s="118" t="s">
        <v>1059</v>
      </c>
      <c r="V279" s="118" t="s">
        <v>1026</v>
      </c>
      <c r="W279" s="118" t="s">
        <v>2163</v>
      </c>
    </row>
    <row r="280">
      <c r="A280" s="158">
        <v>43693.871890752314</v>
      </c>
      <c r="B280" s="118" t="s">
        <v>2164</v>
      </c>
      <c r="C280" s="118" t="s">
        <v>1254</v>
      </c>
      <c r="D280" s="118" t="s">
        <v>2165</v>
      </c>
      <c r="E280" s="118" t="s">
        <v>2166</v>
      </c>
      <c r="F280" s="118" t="s">
        <v>417</v>
      </c>
      <c r="G280" s="118" t="s">
        <v>1098</v>
      </c>
      <c r="H280" s="118" t="s">
        <v>63</v>
      </c>
      <c r="I280" s="118" t="s">
        <v>288</v>
      </c>
      <c r="J280" s="118" t="s">
        <v>150</v>
      </c>
      <c r="K280" s="118" t="s">
        <v>400</v>
      </c>
      <c r="L280" s="118" t="s">
        <v>283</v>
      </c>
      <c r="M280" s="118" t="s">
        <v>399</v>
      </c>
      <c r="N280" s="118" t="s">
        <v>2167</v>
      </c>
      <c r="O280" s="118" t="s">
        <v>402</v>
      </c>
      <c r="P280" s="118" t="s">
        <v>232</v>
      </c>
      <c r="R280" s="118" t="s">
        <v>404</v>
      </c>
      <c r="S280" s="118" t="s">
        <v>2168</v>
      </c>
      <c r="T280" s="118" t="s">
        <v>2169</v>
      </c>
      <c r="U280" s="118" t="s">
        <v>1034</v>
      </c>
      <c r="V280" s="118" t="s">
        <v>2170</v>
      </c>
      <c r="W280" s="118" t="s">
        <v>2171</v>
      </c>
      <c r="X280" s="118" t="s">
        <v>2172</v>
      </c>
    </row>
    <row r="281">
      <c r="A281" s="158">
        <v>43695.7210746875</v>
      </c>
      <c r="B281" s="118" t="s">
        <v>2173</v>
      </c>
      <c r="C281" s="118" t="s">
        <v>2174</v>
      </c>
      <c r="D281" s="118" t="s">
        <v>2175</v>
      </c>
      <c r="E281" s="118" t="s">
        <v>2176</v>
      </c>
      <c r="F281" s="118" t="s">
        <v>460</v>
      </c>
      <c r="G281" s="118" t="s">
        <v>1098</v>
      </c>
      <c r="H281" s="118" t="s">
        <v>63</v>
      </c>
      <c r="I281" s="118" t="s">
        <v>288</v>
      </c>
      <c r="J281" s="118" t="s">
        <v>399</v>
      </c>
      <c r="K281" s="118" t="s">
        <v>400</v>
      </c>
      <c r="L281" s="118" t="s">
        <v>283</v>
      </c>
      <c r="M281" s="118" t="s">
        <v>150</v>
      </c>
      <c r="N281" s="118" t="s">
        <v>2177</v>
      </c>
      <c r="O281" s="118" t="s">
        <v>402</v>
      </c>
      <c r="P281" s="118" t="s">
        <v>208</v>
      </c>
      <c r="R281" s="118" t="s">
        <v>450</v>
      </c>
      <c r="S281" s="118" t="s">
        <v>2178</v>
      </c>
      <c r="T281" s="118" t="s">
        <v>2179</v>
      </c>
      <c r="U281" s="118" t="s">
        <v>2180</v>
      </c>
      <c r="V281" s="118" t="s">
        <v>1026</v>
      </c>
      <c r="X281" s="118" t="s">
        <v>2181</v>
      </c>
    </row>
    <row r="282">
      <c r="A282" s="158">
        <v>43696.33861744213</v>
      </c>
      <c r="B282" s="118" t="s">
        <v>2182</v>
      </c>
      <c r="C282" s="118" t="s">
        <v>2183</v>
      </c>
      <c r="D282" s="118" t="s">
        <v>2184</v>
      </c>
      <c r="E282" s="118" t="s">
        <v>2185</v>
      </c>
      <c r="F282" s="118" t="s">
        <v>417</v>
      </c>
      <c r="G282" s="118" t="s">
        <v>1098</v>
      </c>
      <c r="H282" s="118" t="s">
        <v>63</v>
      </c>
      <c r="I282" s="118" t="s">
        <v>400</v>
      </c>
      <c r="N282" s="118" t="s">
        <v>2186</v>
      </c>
      <c r="O282" s="118" t="s">
        <v>402</v>
      </c>
      <c r="P282" s="118" t="s">
        <v>2187</v>
      </c>
      <c r="R282" s="118" t="s">
        <v>404</v>
      </c>
      <c r="S282" s="118" t="s">
        <v>2188</v>
      </c>
      <c r="T282" s="118" t="s">
        <v>2189</v>
      </c>
      <c r="U282" s="118" t="s">
        <v>1059</v>
      </c>
      <c r="V282" s="118" t="s">
        <v>1244</v>
      </c>
      <c r="W282" s="118" t="s">
        <v>2190</v>
      </c>
      <c r="X282" s="118" t="s">
        <v>1670</v>
      </c>
    </row>
    <row r="283">
      <c r="A283" s="158">
        <v>43699.15815502315</v>
      </c>
      <c r="B283" s="118" t="s">
        <v>2191</v>
      </c>
      <c r="C283" s="118" t="s">
        <v>2192</v>
      </c>
      <c r="D283" s="118" t="s">
        <v>2193</v>
      </c>
      <c r="E283" s="118" t="s">
        <v>2194</v>
      </c>
      <c r="F283" s="118" t="s">
        <v>1065</v>
      </c>
      <c r="G283" s="118" t="s">
        <v>1046</v>
      </c>
      <c r="H283" s="118" t="s">
        <v>63</v>
      </c>
      <c r="I283" s="118" t="s">
        <v>400</v>
      </c>
      <c r="J283" s="118" t="s">
        <v>288</v>
      </c>
      <c r="K283" s="118" t="s">
        <v>399</v>
      </c>
      <c r="L283" s="118" t="s">
        <v>283</v>
      </c>
      <c r="M283" s="118" t="s">
        <v>150</v>
      </c>
      <c r="N283" s="118" t="s">
        <v>2195</v>
      </c>
      <c r="O283" s="118" t="s">
        <v>277</v>
      </c>
      <c r="R283" s="118" t="s">
        <v>450</v>
      </c>
      <c r="S283" s="118" t="s">
        <v>2196</v>
      </c>
      <c r="T283" s="118" t="s">
        <v>2197</v>
      </c>
      <c r="U283" s="118" t="s">
        <v>1094</v>
      </c>
      <c r="V283" s="118" t="s">
        <v>1088</v>
      </c>
      <c r="W283" s="118" t="s">
        <v>182</v>
      </c>
      <c r="X283" s="118" t="s">
        <v>1833</v>
      </c>
    </row>
    <row r="284">
      <c r="A284" s="158">
        <v>43699.4692784838</v>
      </c>
      <c r="B284" s="118" t="s">
        <v>2198</v>
      </c>
      <c r="C284" s="118" t="s">
        <v>2199</v>
      </c>
      <c r="D284" s="118" t="s">
        <v>2200</v>
      </c>
      <c r="E284" s="118" t="s">
        <v>2201</v>
      </c>
      <c r="F284" s="118" t="s">
        <v>1065</v>
      </c>
      <c r="G284" s="118" t="s">
        <v>1020</v>
      </c>
      <c r="H284" s="118" t="s">
        <v>63</v>
      </c>
      <c r="I284" s="118" t="s">
        <v>288</v>
      </c>
      <c r="J284" s="118" t="s">
        <v>399</v>
      </c>
      <c r="K284" s="118" t="s">
        <v>400</v>
      </c>
      <c r="N284" s="118" t="s">
        <v>2202</v>
      </c>
      <c r="O284" s="118" t="s">
        <v>402</v>
      </c>
      <c r="P284" s="118" t="s">
        <v>2203</v>
      </c>
      <c r="R284" s="118" t="s">
        <v>450</v>
      </c>
      <c r="S284" s="118" t="s">
        <v>2204</v>
      </c>
      <c r="T284" s="118" t="s">
        <v>2205</v>
      </c>
      <c r="U284" s="118" t="s">
        <v>1094</v>
      </c>
      <c r="V284" s="118" t="s">
        <v>1026</v>
      </c>
      <c r="X284" s="118" t="s">
        <v>2206</v>
      </c>
    </row>
    <row r="285">
      <c r="A285" s="158">
        <v>43701.87979853009</v>
      </c>
      <c r="B285" s="118" t="s">
        <v>2207</v>
      </c>
      <c r="C285" s="118" t="s">
        <v>2208</v>
      </c>
      <c r="D285" s="118" t="s">
        <v>2209</v>
      </c>
      <c r="E285" s="118" t="s">
        <v>2210</v>
      </c>
      <c r="F285" s="118" t="s">
        <v>430</v>
      </c>
      <c r="G285" s="118" t="s">
        <v>1215</v>
      </c>
      <c r="H285" s="118" t="s">
        <v>63</v>
      </c>
      <c r="I285" s="118" t="s">
        <v>288</v>
      </c>
      <c r="J285" s="118" t="s">
        <v>399</v>
      </c>
      <c r="N285" s="118" t="s">
        <v>2211</v>
      </c>
      <c r="O285" s="118" t="s">
        <v>402</v>
      </c>
      <c r="P285" s="118" t="s">
        <v>2212</v>
      </c>
      <c r="R285" s="118" t="s">
        <v>404</v>
      </c>
      <c r="S285" s="118" t="s">
        <v>2213</v>
      </c>
      <c r="T285" s="118" t="s">
        <v>2214</v>
      </c>
      <c r="U285" s="118" t="s">
        <v>1130</v>
      </c>
      <c r="V285" s="118" t="s">
        <v>1026</v>
      </c>
      <c r="W285" s="118" t="s">
        <v>1078</v>
      </c>
      <c r="X285" s="118" t="s">
        <v>1670</v>
      </c>
    </row>
    <row r="286">
      <c r="A286" s="158">
        <v>43703.24914248842</v>
      </c>
      <c r="B286" s="118" t="s">
        <v>2215</v>
      </c>
      <c r="C286" s="118" t="s">
        <v>2216</v>
      </c>
      <c r="E286" s="118" t="s">
        <v>2217</v>
      </c>
      <c r="F286" s="118" t="s">
        <v>446</v>
      </c>
      <c r="G286" s="118" t="s">
        <v>1459</v>
      </c>
      <c r="H286" s="118" t="s">
        <v>63</v>
      </c>
      <c r="I286" s="118" t="s">
        <v>399</v>
      </c>
      <c r="N286" s="118" t="s">
        <v>2218</v>
      </c>
      <c r="O286" s="118" t="s">
        <v>277</v>
      </c>
      <c r="R286" s="118" t="s">
        <v>404</v>
      </c>
      <c r="U286" s="118" t="s">
        <v>1034</v>
      </c>
      <c r="V286" s="118" t="s">
        <v>1026</v>
      </c>
      <c r="X286" s="118" t="s">
        <v>2219</v>
      </c>
    </row>
    <row r="287">
      <c r="A287" s="158">
        <v>43703.62807980324</v>
      </c>
      <c r="B287" s="118" t="s">
        <v>2220</v>
      </c>
      <c r="C287" s="118" t="s">
        <v>2221</v>
      </c>
      <c r="D287" s="118" t="s">
        <v>2222</v>
      </c>
      <c r="E287" s="118" t="s">
        <v>2223</v>
      </c>
      <c r="F287" s="118" t="s">
        <v>1403</v>
      </c>
      <c r="G287" s="118" t="s">
        <v>1055</v>
      </c>
      <c r="H287" s="118" t="s">
        <v>63</v>
      </c>
      <c r="I287" s="118" t="s">
        <v>399</v>
      </c>
      <c r="P287" s="118" t="s">
        <v>2224</v>
      </c>
      <c r="R287" s="118" t="s">
        <v>450</v>
      </c>
      <c r="S287" s="118" t="s">
        <v>2225</v>
      </c>
      <c r="T287" s="118" t="s">
        <v>2226</v>
      </c>
      <c r="U287" s="118" t="s">
        <v>1025</v>
      </c>
      <c r="V287" s="118" t="s">
        <v>2227</v>
      </c>
      <c r="X287" s="118" t="s">
        <v>2228</v>
      </c>
    </row>
    <row r="288">
      <c r="A288" s="158">
        <v>43705.80924916667</v>
      </c>
      <c r="B288" s="118" t="s">
        <v>2229</v>
      </c>
      <c r="C288" s="118" t="s">
        <v>2230</v>
      </c>
      <c r="D288" s="118" t="s">
        <v>2231</v>
      </c>
      <c r="E288" s="118" t="s">
        <v>2232</v>
      </c>
      <c r="F288" s="118" t="s">
        <v>460</v>
      </c>
      <c r="G288" s="118" t="s">
        <v>1020</v>
      </c>
      <c r="H288" s="118" t="s">
        <v>63</v>
      </c>
      <c r="I288" s="118" t="s">
        <v>288</v>
      </c>
      <c r="J288" s="118" t="s">
        <v>400</v>
      </c>
      <c r="K288" s="118" t="s">
        <v>399</v>
      </c>
      <c r="L288" s="118" t="s">
        <v>283</v>
      </c>
      <c r="M288" s="118" t="s">
        <v>150</v>
      </c>
      <c r="N288" s="118" t="s">
        <v>2233</v>
      </c>
      <c r="O288" s="118" t="s">
        <v>402</v>
      </c>
      <c r="R288" s="118" t="s">
        <v>404</v>
      </c>
      <c r="S288" s="118" t="s">
        <v>2234</v>
      </c>
      <c r="U288" s="118" t="s">
        <v>1094</v>
      </c>
      <c r="V288" s="118" t="s">
        <v>1147</v>
      </c>
      <c r="X288" s="118" t="s">
        <v>1749</v>
      </c>
    </row>
    <row r="289">
      <c r="A289" s="158">
        <v>43707.296979108796</v>
      </c>
      <c r="B289" s="118" t="s">
        <v>2235</v>
      </c>
      <c r="C289" s="118" t="s">
        <v>2236</v>
      </c>
      <c r="D289" s="118" t="s">
        <v>2237</v>
      </c>
      <c r="E289" s="118" t="s">
        <v>2238</v>
      </c>
      <c r="F289" s="118" t="s">
        <v>528</v>
      </c>
      <c r="G289" s="118" t="s">
        <v>1498</v>
      </c>
      <c r="H289" s="118" t="s">
        <v>63</v>
      </c>
      <c r="I289" s="118" t="s">
        <v>399</v>
      </c>
      <c r="J289" s="118" t="s">
        <v>288</v>
      </c>
      <c r="O289" s="118" t="s">
        <v>402</v>
      </c>
      <c r="P289" s="118" t="s">
        <v>17</v>
      </c>
      <c r="R289" s="118" t="s">
        <v>404</v>
      </c>
      <c r="S289" s="118" t="s">
        <v>2239</v>
      </c>
      <c r="T289" s="118" t="s">
        <v>2240</v>
      </c>
      <c r="U289" s="118" t="s">
        <v>1094</v>
      </c>
      <c r="V289" s="118" t="s">
        <v>1147</v>
      </c>
      <c r="X289" s="118" t="s">
        <v>2241</v>
      </c>
    </row>
    <row r="290">
      <c r="A290" s="158">
        <v>43707.808572685186</v>
      </c>
      <c r="B290" s="118" t="s">
        <v>2242</v>
      </c>
      <c r="C290" s="118" t="s">
        <v>2243</v>
      </c>
      <c r="D290" s="118" t="s">
        <v>2244</v>
      </c>
      <c r="E290" s="118" t="s">
        <v>2245</v>
      </c>
      <c r="F290" s="118" t="s">
        <v>1403</v>
      </c>
      <c r="G290" s="118" t="s">
        <v>1876</v>
      </c>
      <c r="H290" s="118" t="s">
        <v>63</v>
      </c>
      <c r="I290" s="118" t="s">
        <v>150</v>
      </c>
      <c r="J290" s="118" t="s">
        <v>283</v>
      </c>
      <c r="K290" s="118" t="s">
        <v>399</v>
      </c>
      <c r="L290" s="118" t="s">
        <v>400</v>
      </c>
      <c r="M290" s="118" t="s">
        <v>288</v>
      </c>
      <c r="O290" s="118" t="s">
        <v>182</v>
      </c>
      <c r="P290" s="118" t="s">
        <v>2246</v>
      </c>
      <c r="R290" s="118" t="s">
        <v>404</v>
      </c>
      <c r="S290" s="118" t="s">
        <v>2247</v>
      </c>
      <c r="T290" s="118" t="s">
        <v>2248</v>
      </c>
      <c r="U290" s="118" t="s">
        <v>1034</v>
      </c>
      <c r="V290" s="118" t="s">
        <v>1813</v>
      </c>
      <c r="X290" s="118" t="s">
        <v>1815</v>
      </c>
    </row>
    <row r="291">
      <c r="A291" s="158">
        <v>43711.08206508102</v>
      </c>
      <c r="B291" s="118" t="s">
        <v>2249</v>
      </c>
      <c r="C291" s="118" t="s">
        <v>858</v>
      </c>
      <c r="D291" s="118" t="s">
        <v>2250</v>
      </c>
      <c r="E291" s="118" t="s">
        <v>2251</v>
      </c>
      <c r="F291" s="118" t="s">
        <v>417</v>
      </c>
      <c r="G291" s="118" t="s">
        <v>1098</v>
      </c>
      <c r="H291" s="118" t="s">
        <v>63</v>
      </c>
      <c r="I291" s="118" t="s">
        <v>288</v>
      </c>
      <c r="J291" s="118" t="s">
        <v>150</v>
      </c>
      <c r="K291" s="118" t="s">
        <v>399</v>
      </c>
      <c r="L291" s="118" t="s">
        <v>283</v>
      </c>
      <c r="M291" s="118" t="s">
        <v>400</v>
      </c>
      <c r="N291" s="118" t="s">
        <v>2252</v>
      </c>
      <c r="O291" s="118" t="s">
        <v>402</v>
      </c>
      <c r="P291" s="118" t="s">
        <v>2253</v>
      </c>
      <c r="R291" s="118" t="s">
        <v>450</v>
      </c>
      <c r="S291" s="118" t="s">
        <v>2254</v>
      </c>
      <c r="T291" s="118" t="s">
        <v>2255</v>
      </c>
      <c r="U291" s="118" t="s">
        <v>1094</v>
      </c>
      <c r="V291" s="118" t="s">
        <v>1026</v>
      </c>
      <c r="W291" s="118" t="s">
        <v>715</v>
      </c>
      <c r="X291" s="118" t="s">
        <v>2256</v>
      </c>
    </row>
    <row r="292">
      <c r="A292" s="158">
        <v>43711.38992238426</v>
      </c>
      <c r="B292" s="118" t="s">
        <v>469</v>
      </c>
      <c r="C292" s="118" t="s">
        <v>470</v>
      </c>
      <c r="D292" s="118" t="s">
        <v>471</v>
      </c>
      <c r="E292" s="118" t="s">
        <v>472</v>
      </c>
      <c r="F292" s="118" t="s">
        <v>460</v>
      </c>
      <c r="G292" s="118" t="s">
        <v>473</v>
      </c>
      <c r="H292" s="118" t="s">
        <v>63</v>
      </c>
      <c r="I292" s="118" t="s">
        <v>288</v>
      </c>
      <c r="U292" s="118" t="s">
        <v>2257</v>
      </c>
      <c r="V292" s="118" t="s">
        <v>2257</v>
      </c>
    </row>
    <row r="293">
      <c r="A293" s="158">
        <v>43711.408003530094</v>
      </c>
      <c r="B293" s="118" t="s">
        <v>662</v>
      </c>
      <c r="C293" s="118" t="s">
        <v>663</v>
      </c>
      <c r="D293" s="118" t="s">
        <v>664</v>
      </c>
      <c r="E293" s="118" t="s">
        <v>665</v>
      </c>
      <c r="F293" s="118" t="s">
        <v>1065</v>
      </c>
      <c r="G293" s="118" t="s">
        <v>2257</v>
      </c>
      <c r="H293" s="118" t="s">
        <v>63</v>
      </c>
      <c r="I293" s="118" t="s">
        <v>399</v>
      </c>
      <c r="U293" s="118" t="s">
        <v>2257</v>
      </c>
      <c r="V293" s="118" t="s">
        <v>2257</v>
      </c>
    </row>
    <row r="294">
      <c r="A294" s="158">
        <v>43711.40908538194</v>
      </c>
      <c r="B294" s="118" t="s">
        <v>662</v>
      </c>
      <c r="C294" s="118" t="s">
        <v>663</v>
      </c>
      <c r="D294" s="118" t="s">
        <v>664</v>
      </c>
      <c r="E294" s="118" t="s">
        <v>665</v>
      </c>
      <c r="F294" s="118" t="s">
        <v>1065</v>
      </c>
      <c r="G294" s="118" t="s">
        <v>2257</v>
      </c>
      <c r="H294" s="118" t="s">
        <v>63</v>
      </c>
      <c r="I294" s="118" t="s">
        <v>288</v>
      </c>
      <c r="U294" s="118" t="s">
        <v>2257</v>
      </c>
      <c r="V294" s="118" t="s">
        <v>2257</v>
      </c>
    </row>
    <row r="295">
      <c r="A295" s="158">
        <v>43711.41408498843</v>
      </c>
      <c r="B295" s="118" t="s">
        <v>673</v>
      </c>
      <c r="C295" s="118" t="s">
        <v>674</v>
      </c>
      <c r="D295" s="118" t="s">
        <v>675</v>
      </c>
      <c r="E295" s="118" t="s">
        <v>676</v>
      </c>
      <c r="F295" s="118" t="s">
        <v>430</v>
      </c>
      <c r="G295" s="118" t="s">
        <v>2258</v>
      </c>
      <c r="H295" s="118" t="s">
        <v>63</v>
      </c>
      <c r="I295" s="118" t="s">
        <v>288</v>
      </c>
      <c r="U295" s="118" t="s">
        <v>2258</v>
      </c>
      <c r="V295" s="118" t="s">
        <v>2258</v>
      </c>
    </row>
    <row r="296">
      <c r="A296" s="158">
        <v>43711.41696469908</v>
      </c>
      <c r="B296" s="118" t="s">
        <v>2259</v>
      </c>
      <c r="C296" s="118" t="s">
        <v>752</v>
      </c>
      <c r="D296" s="118" t="s">
        <v>753</v>
      </c>
      <c r="E296" s="118" t="s">
        <v>754</v>
      </c>
      <c r="F296" s="118" t="s">
        <v>430</v>
      </c>
      <c r="G296" s="118" t="s">
        <v>2257</v>
      </c>
      <c r="H296" s="118" t="s">
        <v>63</v>
      </c>
      <c r="I296" s="118" t="s">
        <v>288</v>
      </c>
      <c r="U296" s="118" t="s">
        <v>2257</v>
      </c>
      <c r="V296" s="118" t="s">
        <v>2257</v>
      </c>
    </row>
    <row r="297">
      <c r="A297" s="158">
        <v>43711.42228459491</v>
      </c>
      <c r="B297" s="118" t="s">
        <v>907</v>
      </c>
      <c r="C297" s="118" t="s">
        <v>301</v>
      </c>
      <c r="D297" s="118" t="s">
        <v>769</v>
      </c>
      <c r="E297" s="118" t="s">
        <v>908</v>
      </c>
      <c r="F297" s="118" t="s">
        <v>491</v>
      </c>
      <c r="G297" s="118" t="s">
        <v>2258</v>
      </c>
      <c r="H297" s="118" t="s">
        <v>63</v>
      </c>
      <c r="I297" s="118" t="s">
        <v>288</v>
      </c>
      <c r="U297" s="118" t="s">
        <v>2258</v>
      </c>
      <c r="V297" s="118" t="s">
        <v>2258</v>
      </c>
    </row>
    <row r="298">
      <c r="A298" s="158">
        <v>43712.77477491898</v>
      </c>
      <c r="B298" s="118" t="s">
        <v>2260</v>
      </c>
      <c r="C298" s="118" t="s">
        <v>680</v>
      </c>
      <c r="E298" s="118" t="s">
        <v>2261</v>
      </c>
      <c r="F298" s="118" t="s">
        <v>1065</v>
      </c>
      <c r="G298" s="118" t="s">
        <v>1046</v>
      </c>
      <c r="H298" s="118" t="s">
        <v>63</v>
      </c>
      <c r="N298" s="118" t="s">
        <v>2262</v>
      </c>
      <c r="O298" s="118" t="s">
        <v>402</v>
      </c>
      <c r="P298" s="118" t="s">
        <v>2263</v>
      </c>
      <c r="R298" s="118" t="s">
        <v>441</v>
      </c>
      <c r="T298" s="118" t="s">
        <v>2264</v>
      </c>
      <c r="U298" s="118" t="s">
        <v>1059</v>
      </c>
      <c r="V298" s="118" t="s">
        <v>1026</v>
      </c>
      <c r="X298" s="118" t="s">
        <v>1680</v>
      </c>
    </row>
    <row r="299">
      <c r="A299" s="158">
        <v>43713.48872883102</v>
      </c>
      <c r="B299" s="118" t="s">
        <v>2265</v>
      </c>
      <c r="C299" s="118" t="s">
        <v>2266</v>
      </c>
      <c r="E299" s="118" t="s">
        <v>2267</v>
      </c>
      <c r="F299" s="118" t="s">
        <v>491</v>
      </c>
      <c r="G299" s="118" t="s">
        <v>1433</v>
      </c>
      <c r="H299" s="118" t="s">
        <v>63</v>
      </c>
      <c r="I299" s="118" t="s">
        <v>288</v>
      </c>
      <c r="J299" s="118" t="s">
        <v>400</v>
      </c>
      <c r="K299" s="118" t="s">
        <v>399</v>
      </c>
      <c r="N299" s="118" t="s">
        <v>2268</v>
      </c>
      <c r="O299" s="118" t="s">
        <v>402</v>
      </c>
      <c r="P299" s="118" t="s">
        <v>2269</v>
      </c>
      <c r="R299" s="118" t="s">
        <v>404</v>
      </c>
      <c r="S299" s="118" t="s">
        <v>2270</v>
      </c>
      <c r="T299" s="118" t="s">
        <v>2271</v>
      </c>
      <c r="U299" s="118" t="s">
        <v>1059</v>
      </c>
      <c r="V299" s="118" t="s">
        <v>1088</v>
      </c>
      <c r="W299" s="118" t="s">
        <v>1101</v>
      </c>
      <c r="X299" s="118" t="s">
        <v>1825</v>
      </c>
    </row>
    <row r="300">
      <c r="A300" s="158">
        <v>43714.55424548611</v>
      </c>
      <c r="B300" s="118" t="s">
        <v>2272</v>
      </c>
      <c r="C300" s="118" t="s">
        <v>2273</v>
      </c>
      <c r="D300" s="118" t="s">
        <v>2274</v>
      </c>
      <c r="E300" s="118" t="s">
        <v>2275</v>
      </c>
      <c r="F300" s="118" t="s">
        <v>1403</v>
      </c>
      <c r="G300" s="118" t="s">
        <v>2276</v>
      </c>
      <c r="H300" s="118" t="s">
        <v>63</v>
      </c>
      <c r="I300" s="118" t="s">
        <v>150</v>
      </c>
      <c r="J300" s="118" t="s">
        <v>399</v>
      </c>
      <c r="K300" s="118" t="s">
        <v>400</v>
      </c>
      <c r="L300" s="118" t="s">
        <v>283</v>
      </c>
      <c r="M300" s="118" t="s">
        <v>288</v>
      </c>
      <c r="N300" s="118" t="s">
        <v>2277</v>
      </c>
      <c r="O300" s="118" t="s">
        <v>277</v>
      </c>
      <c r="P300" s="118" t="s">
        <v>2278</v>
      </c>
      <c r="R300" s="118" t="s">
        <v>450</v>
      </c>
      <c r="S300" s="118" t="s">
        <v>2279</v>
      </c>
      <c r="T300" s="118" t="s">
        <v>2280</v>
      </c>
      <c r="U300" s="118" t="s">
        <v>1025</v>
      </c>
      <c r="V300" s="118" t="s">
        <v>1813</v>
      </c>
      <c r="X300" s="118" t="s">
        <v>1815</v>
      </c>
    </row>
    <row r="301">
      <c r="A301" s="158">
        <v>43714.701527233796</v>
      </c>
      <c r="B301" s="118" t="s">
        <v>2281</v>
      </c>
      <c r="C301" s="118" t="s">
        <v>2282</v>
      </c>
      <c r="D301" s="118" t="s">
        <v>2283</v>
      </c>
      <c r="E301" s="118" t="s">
        <v>2284</v>
      </c>
      <c r="F301" s="118" t="s">
        <v>460</v>
      </c>
      <c r="G301" s="118" t="s">
        <v>1098</v>
      </c>
      <c r="H301" s="118" t="s">
        <v>276</v>
      </c>
      <c r="N301" s="118" t="s">
        <v>2285</v>
      </c>
      <c r="O301" s="118" t="s">
        <v>402</v>
      </c>
      <c r="P301" s="118" t="s">
        <v>182</v>
      </c>
      <c r="R301" s="118" t="s">
        <v>404</v>
      </c>
      <c r="S301" s="118" t="s">
        <v>2286</v>
      </c>
      <c r="T301" s="118" t="s">
        <v>2287</v>
      </c>
      <c r="U301" s="118" t="s">
        <v>2288</v>
      </c>
      <c r="V301" s="118" t="s">
        <v>1026</v>
      </c>
      <c r="X301" s="118" t="s">
        <v>2289</v>
      </c>
    </row>
    <row r="302">
      <c r="A302" s="158">
        <v>43716.695717106486</v>
      </c>
      <c r="B302" s="118" t="s">
        <v>2290</v>
      </c>
      <c r="C302" s="118" t="s">
        <v>2291</v>
      </c>
      <c r="D302" s="118" t="s">
        <v>2292</v>
      </c>
      <c r="E302" s="118" t="s">
        <v>2293</v>
      </c>
      <c r="F302" s="118" t="s">
        <v>1403</v>
      </c>
      <c r="G302" s="118" t="s">
        <v>1876</v>
      </c>
      <c r="H302" s="118" t="s">
        <v>63</v>
      </c>
      <c r="I302" s="118" t="s">
        <v>150</v>
      </c>
      <c r="J302" s="118" t="s">
        <v>399</v>
      </c>
      <c r="K302" s="118" t="s">
        <v>288</v>
      </c>
      <c r="L302" s="118" t="s">
        <v>400</v>
      </c>
      <c r="M302" s="118" t="s">
        <v>283</v>
      </c>
      <c r="N302" s="118" t="s">
        <v>2294</v>
      </c>
      <c r="O302" s="118" t="s">
        <v>402</v>
      </c>
      <c r="P302" s="118" t="s">
        <v>2295</v>
      </c>
      <c r="R302" s="118" t="s">
        <v>404</v>
      </c>
      <c r="S302" s="118" t="s">
        <v>2296</v>
      </c>
      <c r="T302" s="118" t="s">
        <v>2297</v>
      </c>
      <c r="U302" s="118" t="s">
        <v>1094</v>
      </c>
      <c r="V302" s="118" t="s">
        <v>1813</v>
      </c>
      <c r="X302" s="118" t="s">
        <v>1815</v>
      </c>
    </row>
    <row r="303">
      <c r="A303" s="158">
        <v>43717.72172622685</v>
      </c>
      <c r="B303" s="118" t="s">
        <v>2298</v>
      </c>
      <c r="C303" s="118" t="s">
        <v>2299</v>
      </c>
      <c r="D303" s="118" t="s">
        <v>2300</v>
      </c>
      <c r="E303" s="118" t="s">
        <v>2301</v>
      </c>
      <c r="F303" s="118" t="s">
        <v>417</v>
      </c>
      <c r="G303" s="118" t="s">
        <v>2074</v>
      </c>
      <c r="H303" s="118" t="s">
        <v>63</v>
      </c>
      <c r="I303" s="118" t="s">
        <v>399</v>
      </c>
      <c r="J303" s="118" t="s">
        <v>288</v>
      </c>
      <c r="K303" s="118" t="s">
        <v>150</v>
      </c>
      <c r="L303" s="118" t="s">
        <v>283</v>
      </c>
      <c r="M303" s="118" t="s">
        <v>400</v>
      </c>
      <c r="O303" s="118" t="s">
        <v>277</v>
      </c>
      <c r="P303" s="118" t="s">
        <v>2302</v>
      </c>
      <c r="R303" s="118" t="s">
        <v>450</v>
      </c>
      <c r="S303" s="118" t="s">
        <v>2303</v>
      </c>
      <c r="T303" s="118" t="s">
        <v>2304</v>
      </c>
      <c r="U303" s="118" t="s">
        <v>1094</v>
      </c>
      <c r="V303" s="118" t="s">
        <v>1026</v>
      </c>
      <c r="X303" s="118" t="s">
        <v>1825</v>
      </c>
    </row>
    <row r="304">
      <c r="A304" s="158">
        <v>43717.77896462963</v>
      </c>
      <c r="B304" s="118" t="s">
        <v>2305</v>
      </c>
      <c r="C304" s="118" t="s">
        <v>2306</v>
      </c>
      <c r="E304" s="118" t="s">
        <v>2307</v>
      </c>
      <c r="F304" s="118" t="s">
        <v>699</v>
      </c>
      <c r="G304" s="118" t="s">
        <v>1098</v>
      </c>
      <c r="H304" s="118" t="s">
        <v>63</v>
      </c>
      <c r="I304" s="118" t="s">
        <v>288</v>
      </c>
      <c r="J304" s="118" t="s">
        <v>399</v>
      </c>
      <c r="K304" s="118" t="s">
        <v>150</v>
      </c>
      <c r="L304" s="118" t="s">
        <v>283</v>
      </c>
      <c r="M304" s="118" t="s">
        <v>400</v>
      </c>
      <c r="O304" s="118" t="s">
        <v>182</v>
      </c>
      <c r="P304" s="118" t="s">
        <v>130</v>
      </c>
      <c r="R304" s="118" t="s">
        <v>450</v>
      </c>
      <c r="S304" s="118" t="s">
        <v>2308</v>
      </c>
      <c r="T304" s="118" t="s">
        <v>2309</v>
      </c>
      <c r="U304" s="118" t="s">
        <v>1287</v>
      </c>
      <c r="V304" s="118" t="s">
        <v>1088</v>
      </c>
      <c r="X304" s="118" t="s">
        <v>2310</v>
      </c>
    </row>
    <row r="305">
      <c r="A305" s="158">
        <v>43718.61678217593</v>
      </c>
      <c r="B305" s="118" t="s">
        <v>2311</v>
      </c>
      <c r="C305" s="118" t="s">
        <v>2312</v>
      </c>
      <c r="D305" s="118" t="s">
        <v>2313</v>
      </c>
      <c r="E305" s="118" t="s">
        <v>2314</v>
      </c>
      <c r="F305" s="118" t="s">
        <v>699</v>
      </c>
      <c r="G305" s="118" t="s">
        <v>2315</v>
      </c>
      <c r="H305" s="118" t="s">
        <v>63</v>
      </c>
      <c r="I305" s="118" t="s">
        <v>400</v>
      </c>
      <c r="J305" s="118" t="s">
        <v>283</v>
      </c>
      <c r="K305" s="118" t="s">
        <v>150</v>
      </c>
      <c r="L305" s="118" t="s">
        <v>288</v>
      </c>
      <c r="M305" s="118" t="s">
        <v>399</v>
      </c>
      <c r="N305" s="118" t="s">
        <v>182</v>
      </c>
      <c r="O305" s="118" t="s">
        <v>277</v>
      </c>
      <c r="R305" s="118" t="s">
        <v>450</v>
      </c>
      <c r="S305" s="118" t="s">
        <v>2316</v>
      </c>
      <c r="T305" s="118" t="s">
        <v>2317</v>
      </c>
      <c r="U305" s="118" t="s">
        <v>1940</v>
      </c>
      <c r="V305" s="118" t="s">
        <v>1288</v>
      </c>
      <c r="X305" s="118" t="s">
        <v>1670</v>
      </c>
    </row>
    <row r="306">
      <c r="A306" s="158">
        <v>43720.90226984954</v>
      </c>
      <c r="B306" s="118" t="s">
        <v>2318</v>
      </c>
      <c r="C306" s="118" t="s">
        <v>2319</v>
      </c>
      <c r="D306" s="118" t="s">
        <v>2320</v>
      </c>
      <c r="E306" s="118" t="s">
        <v>2321</v>
      </c>
      <c r="F306" s="118" t="s">
        <v>417</v>
      </c>
      <c r="G306" s="118" t="s">
        <v>1098</v>
      </c>
      <c r="H306" s="118" t="s">
        <v>63</v>
      </c>
      <c r="I306" s="118" t="s">
        <v>288</v>
      </c>
      <c r="J306" s="118" t="s">
        <v>283</v>
      </c>
      <c r="K306" s="118" t="s">
        <v>399</v>
      </c>
      <c r="L306" s="118" t="s">
        <v>400</v>
      </c>
      <c r="N306" s="118" t="s">
        <v>2322</v>
      </c>
      <c r="O306" s="118" t="s">
        <v>402</v>
      </c>
      <c r="P306" s="118" t="s">
        <v>2323</v>
      </c>
      <c r="R306" s="118" t="s">
        <v>404</v>
      </c>
      <c r="S306" s="118" t="s">
        <v>2324</v>
      </c>
      <c r="T306" s="118" t="s">
        <v>2325</v>
      </c>
      <c r="U306" s="118" t="s">
        <v>1287</v>
      </c>
      <c r="V306" s="118" t="s">
        <v>1147</v>
      </c>
      <c r="W306" s="118" t="s">
        <v>2326</v>
      </c>
      <c r="X306" s="118" t="s">
        <v>2327</v>
      </c>
    </row>
    <row r="307">
      <c r="A307" s="158">
        <v>43721.408467650464</v>
      </c>
      <c r="B307" s="118" t="s">
        <v>2328</v>
      </c>
      <c r="C307" s="118" t="s">
        <v>452</v>
      </c>
      <c r="D307" s="118" t="s">
        <v>2329</v>
      </c>
      <c r="E307" s="118" t="s">
        <v>2330</v>
      </c>
      <c r="F307" s="118" t="s">
        <v>2331</v>
      </c>
      <c r="G307" s="118" t="s">
        <v>1020</v>
      </c>
      <c r="H307" s="118" t="s">
        <v>63</v>
      </c>
      <c r="I307" s="118" t="s">
        <v>288</v>
      </c>
      <c r="J307" s="118" t="s">
        <v>399</v>
      </c>
      <c r="N307" s="118" t="s">
        <v>2332</v>
      </c>
      <c r="O307" s="118" t="s">
        <v>402</v>
      </c>
      <c r="R307" s="118" t="s">
        <v>404</v>
      </c>
      <c r="S307" s="118" t="s">
        <v>2333</v>
      </c>
      <c r="T307" s="118" t="s">
        <v>2334</v>
      </c>
      <c r="U307" s="118" t="s">
        <v>1059</v>
      </c>
      <c r="V307" s="118" t="s">
        <v>1026</v>
      </c>
      <c r="W307" s="118" t="s">
        <v>2335</v>
      </c>
      <c r="X307" s="118" t="s">
        <v>2336</v>
      </c>
    </row>
    <row r="308">
      <c r="A308" s="158">
        <v>43721.66220423611</v>
      </c>
      <c r="B308" s="118" t="s">
        <v>2337</v>
      </c>
      <c r="C308" s="118" t="s">
        <v>680</v>
      </c>
      <c r="D308" s="118" t="s">
        <v>2338</v>
      </c>
      <c r="E308" s="118" t="s">
        <v>2339</v>
      </c>
      <c r="F308" s="118" t="s">
        <v>1065</v>
      </c>
      <c r="G308" s="118" t="s">
        <v>1098</v>
      </c>
      <c r="H308" s="118" t="s">
        <v>63</v>
      </c>
      <c r="I308" s="118" t="s">
        <v>288</v>
      </c>
      <c r="N308" s="118" t="s">
        <v>2340</v>
      </c>
      <c r="O308" s="118" t="s">
        <v>182</v>
      </c>
      <c r="P308" s="118" t="s">
        <v>184</v>
      </c>
      <c r="R308" s="118" t="s">
        <v>441</v>
      </c>
      <c r="S308" s="118" t="s">
        <v>2341</v>
      </c>
      <c r="T308" s="118" t="s">
        <v>184</v>
      </c>
      <c r="U308" s="118" t="s">
        <v>1758</v>
      </c>
      <c r="V308" s="118" t="s">
        <v>1026</v>
      </c>
      <c r="X308" s="118" t="s">
        <v>1680</v>
      </c>
    </row>
    <row r="309">
      <c r="A309" s="158">
        <v>43724.55539652778</v>
      </c>
      <c r="B309" s="118" t="s">
        <v>2342</v>
      </c>
      <c r="C309" s="118" t="s">
        <v>2343</v>
      </c>
      <c r="D309" s="118" t="s">
        <v>2344</v>
      </c>
      <c r="E309" s="118" t="s">
        <v>2345</v>
      </c>
      <c r="F309" s="118" t="s">
        <v>2346</v>
      </c>
      <c r="G309" s="118" t="s">
        <v>1020</v>
      </c>
      <c r="H309" s="118" t="s">
        <v>63</v>
      </c>
      <c r="I309" s="118" t="s">
        <v>283</v>
      </c>
      <c r="J309" s="118" t="s">
        <v>288</v>
      </c>
      <c r="K309" s="118" t="s">
        <v>399</v>
      </c>
      <c r="L309" s="118" t="s">
        <v>400</v>
      </c>
      <c r="M309" s="118" t="s">
        <v>150</v>
      </c>
      <c r="N309" s="118" t="s">
        <v>2347</v>
      </c>
      <c r="O309" s="118" t="s">
        <v>277</v>
      </c>
      <c r="P309" s="118" t="s">
        <v>2348</v>
      </c>
      <c r="R309" s="118" t="s">
        <v>450</v>
      </c>
      <c r="S309" s="118" t="s">
        <v>2349</v>
      </c>
      <c r="T309" s="118" t="s">
        <v>715</v>
      </c>
      <c r="U309" s="118" t="s">
        <v>1130</v>
      </c>
      <c r="V309" s="118" t="s">
        <v>1026</v>
      </c>
      <c r="W309" s="118" t="s">
        <v>2350</v>
      </c>
      <c r="X309" s="118" t="s">
        <v>2351</v>
      </c>
    </row>
    <row r="310">
      <c r="A310" s="158">
        <v>43724.684086863424</v>
      </c>
      <c r="B310" s="118" t="s">
        <v>2352</v>
      </c>
      <c r="C310" s="118" t="s">
        <v>2353</v>
      </c>
      <c r="D310" s="118" t="s">
        <v>2354</v>
      </c>
      <c r="E310" s="118" t="s">
        <v>2355</v>
      </c>
      <c r="F310" s="118" t="s">
        <v>1403</v>
      </c>
      <c r="G310" s="118" t="s">
        <v>2356</v>
      </c>
      <c r="H310" s="118" t="s">
        <v>63</v>
      </c>
      <c r="I310" s="118" t="s">
        <v>288</v>
      </c>
      <c r="J310" s="118" t="s">
        <v>283</v>
      </c>
      <c r="K310" s="118" t="s">
        <v>400</v>
      </c>
      <c r="L310" s="118" t="s">
        <v>399</v>
      </c>
      <c r="M310" s="118" t="s">
        <v>150</v>
      </c>
      <c r="O310" s="118" t="s">
        <v>277</v>
      </c>
      <c r="P310" s="118" t="s">
        <v>689</v>
      </c>
      <c r="R310" s="118" t="s">
        <v>450</v>
      </c>
      <c r="S310" s="118" t="s">
        <v>2357</v>
      </c>
      <c r="T310" s="118" t="s">
        <v>2358</v>
      </c>
      <c r="U310" s="118" t="s">
        <v>1034</v>
      </c>
      <c r="V310" s="118" t="s">
        <v>1288</v>
      </c>
      <c r="X310" s="118" t="s">
        <v>2336</v>
      </c>
    </row>
    <row r="311">
      <c r="A311" s="158">
        <v>43725.59430077546</v>
      </c>
      <c r="B311" s="118" t="s">
        <v>2359</v>
      </c>
      <c r="C311" s="118" t="s">
        <v>2360</v>
      </c>
      <c r="D311" s="118" t="s">
        <v>2361</v>
      </c>
      <c r="E311" s="118" t="s">
        <v>2362</v>
      </c>
      <c r="F311" s="118" t="s">
        <v>2363</v>
      </c>
      <c r="G311" s="118" t="s">
        <v>2364</v>
      </c>
      <c r="H311" s="118" t="s">
        <v>276</v>
      </c>
      <c r="I311" s="118" t="s">
        <v>399</v>
      </c>
      <c r="J311" s="118" t="s">
        <v>288</v>
      </c>
      <c r="K311" s="118" t="s">
        <v>150</v>
      </c>
      <c r="L311" s="118" t="s">
        <v>283</v>
      </c>
      <c r="M311" s="118" t="s">
        <v>400</v>
      </c>
      <c r="O311" s="118" t="s">
        <v>277</v>
      </c>
      <c r="S311" s="118" t="s">
        <v>2365</v>
      </c>
      <c r="U311" s="118" t="s">
        <v>1094</v>
      </c>
      <c r="V311" s="118" t="s">
        <v>1088</v>
      </c>
      <c r="X311" s="118" t="s">
        <v>1825</v>
      </c>
    </row>
    <row r="312">
      <c r="A312" s="158">
        <v>43727.825285231476</v>
      </c>
      <c r="B312" s="118" t="s">
        <v>2366</v>
      </c>
      <c r="C312" s="118" t="s">
        <v>2367</v>
      </c>
      <c r="D312" s="118" t="s">
        <v>2368</v>
      </c>
      <c r="E312" s="118" t="s">
        <v>2369</v>
      </c>
      <c r="F312" s="118" t="s">
        <v>1754</v>
      </c>
      <c r="G312" s="118" t="s">
        <v>2370</v>
      </c>
      <c r="H312" s="118" t="s">
        <v>63</v>
      </c>
      <c r="I312" s="118" t="s">
        <v>400</v>
      </c>
      <c r="J312" s="118" t="s">
        <v>399</v>
      </c>
      <c r="K312" s="118" t="s">
        <v>288</v>
      </c>
      <c r="L312" s="118" t="s">
        <v>283</v>
      </c>
      <c r="M312" s="118" t="s">
        <v>150</v>
      </c>
      <c r="N312" s="118" t="s">
        <v>182</v>
      </c>
      <c r="O312" s="118" t="s">
        <v>277</v>
      </c>
      <c r="P312" s="118" t="s">
        <v>2371</v>
      </c>
      <c r="R312" s="118" t="s">
        <v>450</v>
      </c>
      <c r="S312" s="118" t="s">
        <v>2372</v>
      </c>
      <c r="T312" s="118" t="s">
        <v>2373</v>
      </c>
      <c r="U312" s="118" t="s">
        <v>1287</v>
      </c>
      <c r="V312" s="118" t="s">
        <v>1288</v>
      </c>
      <c r="W312" s="118" t="s">
        <v>35</v>
      </c>
      <c r="X312" s="118" t="s">
        <v>1670</v>
      </c>
    </row>
    <row r="313">
      <c r="A313" s="158">
        <v>43727.94947332176</v>
      </c>
      <c r="B313" s="118" t="s">
        <v>2374</v>
      </c>
      <c r="C313" s="118" t="s">
        <v>2375</v>
      </c>
      <c r="E313" s="118" t="s">
        <v>2376</v>
      </c>
      <c r="F313" s="118" t="s">
        <v>417</v>
      </c>
      <c r="G313" s="118" t="s">
        <v>2377</v>
      </c>
      <c r="H313" s="118" t="s">
        <v>63</v>
      </c>
      <c r="I313" s="118" t="s">
        <v>399</v>
      </c>
      <c r="J313" s="118" t="s">
        <v>288</v>
      </c>
      <c r="K313" s="118" t="s">
        <v>400</v>
      </c>
      <c r="L313" s="118" t="s">
        <v>283</v>
      </c>
      <c r="M313" s="118" t="s">
        <v>150</v>
      </c>
      <c r="O313" s="118" t="s">
        <v>182</v>
      </c>
      <c r="R313" s="118" t="s">
        <v>441</v>
      </c>
      <c r="S313" s="118" t="s">
        <v>2378</v>
      </c>
      <c r="T313" s="118" t="s">
        <v>2379</v>
      </c>
      <c r="U313" s="118" t="s">
        <v>1094</v>
      </c>
      <c r="V313" s="118" t="s">
        <v>1026</v>
      </c>
      <c r="W313" s="118" t="s">
        <v>2380</v>
      </c>
      <c r="X313" s="118" t="s">
        <v>1670</v>
      </c>
    </row>
    <row r="314">
      <c r="A314" s="158">
        <v>43731.70247251158</v>
      </c>
      <c r="B314" s="118" t="s">
        <v>2381</v>
      </c>
      <c r="C314" s="118" t="s">
        <v>2382</v>
      </c>
      <c r="D314" s="118" t="s">
        <v>2383</v>
      </c>
      <c r="E314" s="118" t="s">
        <v>2384</v>
      </c>
      <c r="F314" s="118" t="s">
        <v>2385</v>
      </c>
      <c r="G314" s="118" t="s">
        <v>2386</v>
      </c>
      <c r="H314" s="118" t="s">
        <v>63</v>
      </c>
      <c r="I314" s="118" t="s">
        <v>399</v>
      </c>
      <c r="J314" s="118" t="s">
        <v>400</v>
      </c>
      <c r="O314" s="118" t="s">
        <v>182</v>
      </c>
      <c r="P314" s="118" t="s">
        <v>2387</v>
      </c>
      <c r="R314" s="118" t="s">
        <v>450</v>
      </c>
      <c r="S314" s="118" t="s">
        <v>2388</v>
      </c>
      <c r="T314" s="118" t="s">
        <v>2389</v>
      </c>
      <c r="U314" s="118" t="s">
        <v>1094</v>
      </c>
      <c r="V314" s="118" t="s">
        <v>1288</v>
      </c>
      <c r="X314" s="118" t="s">
        <v>2390</v>
      </c>
    </row>
    <row r="315">
      <c r="A315" s="158">
        <v>43733.739980405095</v>
      </c>
      <c r="B315" s="118" t="s">
        <v>2391</v>
      </c>
      <c r="C315" s="118" t="s">
        <v>2392</v>
      </c>
      <c r="D315" s="118" t="s">
        <v>2393</v>
      </c>
      <c r="E315" s="118" t="s">
        <v>2394</v>
      </c>
      <c r="F315" s="118" t="s">
        <v>460</v>
      </c>
      <c r="G315" s="118" t="s">
        <v>2395</v>
      </c>
      <c r="H315" s="118" t="s">
        <v>63</v>
      </c>
      <c r="I315" s="118" t="s">
        <v>288</v>
      </c>
      <c r="J315" s="118" t="s">
        <v>399</v>
      </c>
      <c r="K315" s="118" t="s">
        <v>150</v>
      </c>
      <c r="L315" s="118" t="s">
        <v>400</v>
      </c>
      <c r="M315" s="118" t="s">
        <v>283</v>
      </c>
      <c r="N315" s="118" t="s">
        <v>2396</v>
      </c>
      <c r="O315" s="118" t="s">
        <v>402</v>
      </c>
      <c r="P315" s="118" t="s">
        <v>2397</v>
      </c>
      <c r="R315" s="118" t="s">
        <v>450</v>
      </c>
      <c r="S315" s="118" t="s">
        <v>2398</v>
      </c>
      <c r="T315" s="118" t="s">
        <v>2399</v>
      </c>
      <c r="U315" s="118" t="s">
        <v>1034</v>
      </c>
      <c r="V315" s="118" t="s">
        <v>1026</v>
      </c>
      <c r="X315" s="118" t="s">
        <v>2400</v>
      </c>
    </row>
    <row r="316">
      <c r="A316" s="158">
        <v>43734.34401487268</v>
      </c>
      <c r="B316" s="118" t="s">
        <v>2401</v>
      </c>
      <c r="C316" s="118" t="s">
        <v>2402</v>
      </c>
      <c r="D316" s="118" t="s">
        <v>2403</v>
      </c>
      <c r="E316" s="118" t="s">
        <v>2404</v>
      </c>
      <c r="F316" s="118" t="s">
        <v>1019</v>
      </c>
      <c r="G316" s="118" t="s">
        <v>2364</v>
      </c>
      <c r="H316" s="118" t="s">
        <v>63</v>
      </c>
      <c r="I316" s="118" t="s">
        <v>288</v>
      </c>
      <c r="J316" s="118" t="s">
        <v>399</v>
      </c>
      <c r="K316" s="118" t="s">
        <v>400</v>
      </c>
      <c r="L316" s="118" t="s">
        <v>283</v>
      </c>
      <c r="M316" s="118" t="s">
        <v>150</v>
      </c>
      <c r="O316" s="118" t="s">
        <v>182</v>
      </c>
      <c r="P316" s="118" t="s">
        <v>2405</v>
      </c>
      <c r="R316" s="118" t="s">
        <v>441</v>
      </c>
      <c r="T316" s="118" t="s">
        <v>2406</v>
      </c>
      <c r="U316" s="118" t="s">
        <v>1130</v>
      </c>
      <c r="V316" s="118" t="s">
        <v>1026</v>
      </c>
      <c r="X316" s="118" t="s">
        <v>2407</v>
      </c>
    </row>
    <row r="317">
      <c r="A317" s="158">
        <v>43734.38644290509</v>
      </c>
      <c r="B317" s="118" t="s">
        <v>2408</v>
      </c>
      <c r="C317" s="118" t="s">
        <v>712</v>
      </c>
      <c r="E317" s="118" t="s">
        <v>2409</v>
      </c>
      <c r="F317" s="118" t="s">
        <v>460</v>
      </c>
      <c r="G317" s="118" t="s">
        <v>1098</v>
      </c>
      <c r="H317" s="118" t="s">
        <v>276</v>
      </c>
      <c r="I317" s="118" t="s">
        <v>288</v>
      </c>
      <c r="J317" s="118" t="s">
        <v>400</v>
      </c>
      <c r="K317" s="118" t="s">
        <v>399</v>
      </c>
      <c r="L317" s="118" t="s">
        <v>283</v>
      </c>
      <c r="M317" s="118" t="s">
        <v>150</v>
      </c>
      <c r="O317" s="118" t="s">
        <v>182</v>
      </c>
      <c r="P317" s="118" t="s">
        <v>2410</v>
      </c>
      <c r="R317" s="118" t="s">
        <v>441</v>
      </c>
      <c r="S317" s="118" t="s">
        <v>2411</v>
      </c>
      <c r="T317" s="118" t="s">
        <v>2412</v>
      </c>
      <c r="U317" s="118" t="s">
        <v>1059</v>
      </c>
      <c r="V317" s="118" t="s">
        <v>1288</v>
      </c>
      <c r="X317" s="118" t="s">
        <v>1749</v>
      </c>
    </row>
    <row r="318">
      <c r="A318" s="158">
        <v>43735.7369703125</v>
      </c>
      <c r="B318" s="118" t="s">
        <v>2413</v>
      </c>
      <c r="C318" s="118" t="s">
        <v>2414</v>
      </c>
      <c r="D318" s="118" t="s">
        <v>2415</v>
      </c>
      <c r="E318" s="118" t="s">
        <v>2416</v>
      </c>
      <c r="F318" s="118" t="s">
        <v>1019</v>
      </c>
      <c r="G318" s="118" t="s">
        <v>2417</v>
      </c>
      <c r="H318" s="118" t="s">
        <v>63</v>
      </c>
      <c r="I318" s="118" t="s">
        <v>150</v>
      </c>
      <c r="J318" s="118" t="s">
        <v>288</v>
      </c>
      <c r="K318" s="118" t="s">
        <v>400</v>
      </c>
      <c r="L318" s="118" t="s">
        <v>399</v>
      </c>
      <c r="M318" s="118" t="s">
        <v>283</v>
      </c>
      <c r="N318" s="118" t="s">
        <v>2418</v>
      </c>
      <c r="O318" s="118" t="s">
        <v>402</v>
      </c>
      <c r="P318" s="118" t="s">
        <v>2419</v>
      </c>
      <c r="R318" s="118" t="s">
        <v>450</v>
      </c>
      <c r="S318" s="118" t="s">
        <v>2420</v>
      </c>
      <c r="T318" s="118" t="s">
        <v>2421</v>
      </c>
      <c r="U318" s="118" t="s">
        <v>1025</v>
      </c>
      <c r="V318" s="118" t="s">
        <v>1026</v>
      </c>
      <c r="X318" s="118" t="s">
        <v>2400</v>
      </c>
    </row>
    <row r="319">
      <c r="A319" s="158">
        <v>43736.418810243056</v>
      </c>
      <c r="B319" s="118" t="s">
        <v>2422</v>
      </c>
      <c r="C319" s="118" t="s">
        <v>2423</v>
      </c>
      <c r="D319" s="118" t="s">
        <v>2424</v>
      </c>
      <c r="E319" s="118" t="s">
        <v>2425</v>
      </c>
      <c r="F319" s="118" t="s">
        <v>430</v>
      </c>
      <c r="G319" s="118" t="s">
        <v>2426</v>
      </c>
      <c r="H319" s="118" t="s">
        <v>63</v>
      </c>
      <c r="I319" s="118" t="s">
        <v>288</v>
      </c>
      <c r="J319" s="118" t="s">
        <v>283</v>
      </c>
      <c r="K319" s="118" t="s">
        <v>399</v>
      </c>
      <c r="L319" s="118" t="s">
        <v>400</v>
      </c>
      <c r="M319" s="118" t="s">
        <v>150</v>
      </c>
      <c r="N319" s="118" t="s">
        <v>2427</v>
      </c>
      <c r="O319" s="118" t="s">
        <v>277</v>
      </c>
      <c r="P319" s="118" t="s">
        <v>2428</v>
      </c>
      <c r="R319" s="118" t="s">
        <v>450</v>
      </c>
      <c r="S319" s="118" t="s">
        <v>2429</v>
      </c>
      <c r="T319" s="118" t="s">
        <v>2430</v>
      </c>
      <c r="U319" s="118" t="s">
        <v>1059</v>
      </c>
      <c r="V319" s="118" t="s">
        <v>1026</v>
      </c>
      <c r="X319" s="118" t="s">
        <v>2431</v>
      </c>
    </row>
    <row r="320">
      <c r="A320" s="158">
        <v>43739.038227233796</v>
      </c>
      <c r="B320" s="118" t="s">
        <v>2432</v>
      </c>
      <c r="C320" s="118" t="s">
        <v>2433</v>
      </c>
      <c r="D320" s="118" t="s">
        <v>2434</v>
      </c>
      <c r="E320" s="118" t="s">
        <v>2435</v>
      </c>
      <c r="F320" s="118" t="s">
        <v>699</v>
      </c>
      <c r="G320" s="118" t="s">
        <v>1020</v>
      </c>
      <c r="H320" s="118" t="s">
        <v>63</v>
      </c>
      <c r="I320" s="118" t="s">
        <v>288</v>
      </c>
      <c r="J320" s="118" t="s">
        <v>399</v>
      </c>
      <c r="K320" s="118" t="s">
        <v>283</v>
      </c>
      <c r="O320" s="118" t="s">
        <v>182</v>
      </c>
      <c r="P320" s="118" t="s">
        <v>2436</v>
      </c>
      <c r="R320" s="118" t="s">
        <v>450</v>
      </c>
      <c r="S320" s="118" t="s">
        <v>2437</v>
      </c>
      <c r="U320" s="118" t="s">
        <v>1094</v>
      </c>
      <c r="V320" s="118" t="s">
        <v>1088</v>
      </c>
      <c r="X320" s="118" t="s">
        <v>2438</v>
      </c>
    </row>
    <row r="321">
      <c r="A321" s="158">
        <v>43739.38035712963</v>
      </c>
      <c r="B321" s="118" t="s">
        <v>1681</v>
      </c>
      <c r="C321" s="118" t="s">
        <v>2439</v>
      </c>
      <c r="D321" s="118" t="s">
        <v>2440</v>
      </c>
      <c r="E321" s="118" t="s">
        <v>1684</v>
      </c>
      <c r="F321" s="118" t="s">
        <v>430</v>
      </c>
      <c r="G321" s="118" t="s">
        <v>1020</v>
      </c>
      <c r="H321" s="118" t="s">
        <v>276</v>
      </c>
      <c r="I321" s="118" t="s">
        <v>150</v>
      </c>
      <c r="J321" s="118" t="s">
        <v>288</v>
      </c>
      <c r="K321" s="118" t="s">
        <v>400</v>
      </c>
      <c r="L321" s="118" t="s">
        <v>399</v>
      </c>
      <c r="M321" s="118" t="s">
        <v>283</v>
      </c>
      <c r="N321" s="118" t="s">
        <v>2441</v>
      </c>
      <c r="O321" s="118" t="s">
        <v>402</v>
      </c>
      <c r="P321" s="118" t="s">
        <v>2442</v>
      </c>
      <c r="R321" s="118" t="s">
        <v>450</v>
      </c>
      <c r="S321" s="118" t="s">
        <v>2443</v>
      </c>
      <c r="T321" s="118" t="s">
        <v>2444</v>
      </c>
      <c r="U321" s="118" t="s">
        <v>1025</v>
      </c>
      <c r="V321" s="118" t="s">
        <v>1026</v>
      </c>
      <c r="X321" s="118" t="s">
        <v>2445</v>
      </c>
    </row>
    <row r="322">
      <c r="A322" s="158">
        <v>43739.463473854164</v>
      </c>
      <c r="B322" s="118" t="s">
        <v>2446</v>
      </c>
      <c r="C322" s="118" t="s">
        <v>2392</v>
      </c>
      <c r="E322" s="118" t="s">
        <v>2447</v>
      </c>
      <c r="F322" s="118" t="s">
        <v>460</v>
      </c>
      <c r="G322" s="118" t="s">
        <v>1046</v>
      </c>
      <c r="H322" s="118" t="s">
        <v>276</v>
      </c>
      <c r="O322" s="118" t="s">
        <v>402</v>
      </c>
      <c r="P322" s="118" t="s">
        <v>2448</v>
      </c>
      <c r="R322" s="118" t="s">
        <v>404</v>
      </c>
      <c r="S322" s="118" t="s">
        <v>2449</v>
      </c>
      <c r="T322" s="118" t="s">
        <v>2399</v>
      </c>
      <c r="U322" s="118" t="s">
        <v>1034</v>
      </c>
      <c r="V322" s="118" t="s">
        <v>1026</v>
      </c>
      <c r="X322" s="118" t="s">
        <v>2450</v>
      </c>
    </row>
    <row r="323">
      <c r="A323" s="158">
        <v>43742.05410947917</v>
      </c>
      <c r="B323" s="118" t="s">
        <v>2451</v>
      </c>
      <c r="C323" s="118" t="s">
        <v>2452</v>
      </c>
      <c r="D323" s="118" t="s">
        <v>2453</v>
      </c>
      <c r="E323" s="118" t="s">
        <v>2454</v>
      </c>
      <c r="F323" s="118" t="s">
        <v>1754</v>
      </c>
      <c r="G323" s="118" t="s">
        <v>2455</v>
      </c>
      <c r="H323" s="118" t="s">
        <v>276</v>
      </c>
      <c r="I323" s="118" t="s">
        <v>399</v>
      </c>
      <c r="J323" s="118" t="s">
        <v>400</v>
      </c>
      <c r="K323" s="118" t="s">
        <v>288</v>
      </c>
      <c r="O323" s="118" t="s">
        <v>402</v>
      </c>
      <c r="R323" s="118" t="s">
        <v>404</v>
      </c>
      <c r="S323" s="118" t="s">
        <v>2456</v>
      </c>
      <c r="T323" s="118" t="s">
        <v>2457</v>
      </c>
      <c r="U323" s="118" t="s">
        <v>1059</v>
      </c>
      <c r="V323" s="118" t="s">
        <v>1088</v>
      </c>
      <c r="X323" s="118" t="s">
        <v>2400</v>
      </c>
    </row>
    <row r="324">
      <c r="A324" s="158">
        <v>43742.66885350694</v>
      </c>
      <c r="B324" s="118" t="s">
        <v>2458</v>
      </c>
      <c r="C324" s="118" t="s">
        <v>2459</v>
      </c>
      <c r="D324" s="118" t="s">
        <v>2460</v>
      </c>
      <c r="E324" s="118" t="s">
        <v>2461</v>
      </c>
      <c r="F324" s="118" t="s">
        <v>491</v>
      </c>
      <c r="G324" s="118" t="s">
        <v>2462</v>
      </c>
      <c r="H324" s="118" t="s">
        <v>63</v>
      </c>
      <c r="I324" s="118" t="s">
        <v>288</v>
      </c>
      <c r="J324" s="118" t="s">
        <v>400</v>
      </c>
      <c r="K324" s="118" t="s">
        <v>399</v>
      </c>
      <c r="L324" s="118" t="s">
        <v>150</v>
      </c>
      <c r="M324" s="118" t="s">
        <v>283</v>
      </c>
      <c r="N324" s="118" t="s">
        <v>2463</v>
      </c>
      <c r="O324" s="118" t="s">
        <v>182</v>
      </c>
      <c r="P324" s="118" t="s">
        <v>2253</v>
      </c>
      <c r="S324" s="118" t="s">
        <v>2464</v>
      </c>
      <c r="U324" s="118" t="s">
        <v>1059</v>
      </c>
      <c r="V324" s="118" t="s">
        <v>1088</v>
      </c>
      <c r="W324" s="118" t="s">
        <v>2465</v>
      </c>
      <c r="X324" s="118" t="s">
        <v>2466</v>
      </c>
    </row>
    <row r="325">
      <c r="A325" s="158">
        <v>43744.754777407405</v>
      </c>
      <c r="B325" s="118" t="s">
        <v>2467</v>
      </c>
      <c r="C325" s="118" t="s">
        <v>406</v>
      </c>
      <c r="D325" s="118" t="s">
        <v>2468</v>
      </c>
      <c r="E325" s="118" t="s">
        <v>2469</v>
      </c>
      <c r="F325" s="118" t="s">
        <v>2470</v>
      </c>
      <c r="G325" s="118" t="s">
        <v>2471</v>
      </c>
      <c r="H325" s="118" t="s">
        <v>276</v>
      </c>
      <c r="I325" s="118" t="s">
        <v>288</v>
      </c>
      <c r="J325" s="118" t="s">
        <v>399</v>
      </c>
      <c r="K325" s="118" t="s">
        <v>400</v>
      </c>
      <c r="N325" s="118" t="s">
        <v>2472</v>
      </c>
      <c r="O325" s="118" t="s">
        <v>402</v>
      </c>
      <c r="P325" s="118" t="s">
        <v>2473</v>
      </c>
      <c r="R325" s="118" t="s">
        <v>441</v>
      </c>
      <c r="S325" s="118" t="s">
        <v>2474</v>
      </c>
      <c r="T325" s="118" t="s">
        <v>2475</v>
      </c>
      <c r="U325" s="118" t="s">
        <v>1025</v>
      </c>
      <c r="V325" s="118" t="s">
        <v>1244</v>
      </c>
      <c r="W325" s="118" t="s">
        <v>2476</v>
      </c>
      <c r="X325" s="118" t="s">
        <v>2477</v>
      </c>
    </row>
    <row r="326">
      <c r="A326" s="158">
        <v>43745.651729861114</v>
      </c>
      <c r="B326" s="118" t="s">
        <v>2478</v>
      </c>
      <c r="C326" s="118" t="s">
        <v>2479</v>
      </c>
      <c r="D326" s="118" t="s">
        <v>2480</v>
      </c>
      <c r="E326" s="118" t="s">
        <v>2481</v>
      </c>
      <c r="F326" s="118" t="s">
        <v>430</v>
      </c>
      <c r="G326" s="118" t="s">
        <v>1215</v>
      </c>
      <c r="H326" s="118" t="s">
        <v>63</v>
      </c>
      <c r="I326" s="118" t="s">
        <v>288</v>
      </c>
      <c r="J326" s="118" t="s">
        <v>399</v>
      </c>
      <c r="K326" s="118" t="s">
        <v>283</v>
      </c>
      <c r="L326" s="118" t="s">
        <v>400</v>
      </c>
      <c r="O326" s="118" t="s">
        <v>402</v>
      </c>
      <c r="R326" s="118" t="s">
        <v>404</v>
      </c>
      <c r="S326" s="118" t="s">
        <v>2482</v>
      </c>
      <c r="T326" s="118" t="s">
        <v>2483</v>
      </c>
      <c r="U326" s="118" t="s">
        <v>1059</v>
      </c>
      <c r="V326" s="118" t="s">
        <v>1026</v>
      </c>
      <c r="W326" s="118" t="s">
        <v>2484</v>
      </c>
      <c r="X326" s="118" t="s">
        <v>1749</v>
      </c>
    </row>
    <row r="327">
      <c r="A327" s="158">
        <v>43746.86382482639</v>
      </c>
      <c r="B327" s="118" t="s">
        <v>2485</v>
      </c>
      <c r="C327" s="118" t="s">
        <v>2486</v>
      </c>
      <c r="D327" s="118" t="s">
        <v>2487</v>
      </c>
      <c r="E327" s="118" t="s">
        <v>2488</v>
      </c>
      <c r="F327" s="118" t="s">
        <v>417</v>
      </c>
      <c r="G327" s="118" t="s">
        <v>2074</v>
      </c>
      <c r="H327" s="118" t="s">
        <v>63</v>
      </c>
      <c r="I327" s="118" t="s">
        <v>288</v>
      </c>
      <c r="J327" s="118" t="s">
        <v>399</v>
      </c>
      <c r="K327" s="118" t="s">
        <v>283</v>
      </c>
      <c r="L327" s="118" t="s">
        <v>400</v>
      </c>
      <c r="N327" s="118" t="s">
        <v>2489</v>
      </c>
      <c r="O327" s="118" t="s">
        <v>402</v>
      </c>
      <c r="P327" s="118" t="s">
        <v>2490</v>
      </c>
      <c r="R327" s="118" t="s">
        <v>450</v>
      </c>
      <c r="S327" s="118" t="s">
        <v>2491</v>
      </c>
      <c r="T327" s="118" t="s">
        <v>715</v>
      </c>
      <c r="U327" s="118" t="s">
        <v>1059</v>
      </c>
      <c r="V327" s="118" t="s">
        <v>1088</v>
      </c>
      <c r="X327" s="118" t="s">
        <v>2492</v>
      </c>
    </row>
    <row r="328">
      <c r="A328" s="158">
        <v>43747.54224105324</v>
      </c>
      <c r="B328" s="118" t="s">
        <v>2493</v>
      </c>
      <c r="C328" s="118" t="s">
        <v>2494</v>
      </c>
      <c r="D328" s="118" t="s">
        <v>2495</v>
      </c>
      <c r="E328" s="118" t="s">
        <v>2496</v>
      </c>
      <c r="F328" s="118" t="s">
        <v>699</v>
      </c>
      <c r="G328" s="118" t="s">
        <v>2497</v>
      </c>
      <c r="H328" s="118" t="s">
        <v>63</v>
      </c>
      <c r="I328" s="118" t="s">
        <v>399</v>
      </c>
      <c r="J328" s="118" t="s">
        <v>288</v>
      </c>
      <c r="K328" s="118" t="s">
        <v>283</v>
      </c>
      <c r="L328" s="118" t="s">
        <v>400</v>
      </c>
      <c r="M328" s="118" t="s">
        <v>150</v>
      </c>
      <c r="N328" s="118" t="s">
        <v>2498</v>
      </c>
      <c r="O328" s="118" t="s">
        <v>402</v>
      </c>
      <c r="P328" s="118" t="s">
        <v>2499</v>
      </c>
      <c r="R328" s="118" t="s">
        <v>404</v>
      </c>
      <c r="S328" s="118" t="s">
        <v>2500</v>
      </c>
      <c r="T328" s="118" t="s">
        <v>2501</v>
      </c>
      <c r="U328" s="118" t="s">
        <v>1758</v>
      </c>
      <c r="V328" s="118" t="s">
        <v>1288</v>
      </c>
      <c r="X328" s="118" t="s">
        <v>1825</v>
      </c>
    </row>
    <row r="329">
      <c r="A329" s="158">
        <v>43749.681813414354</v>
      </c>
      <c r="B329" s="118" t="s">
        <v>2502</v>
      </c>
      <c r="C329" s="118" t="s">
        <v>2503</v>
      </c>
      <c r="D329" s="118" t="s">
        <v>2504</v>
      </c>
      <c r="E329" s="118" t="s">
        <v>2505</v>
      </c>
      <c r="F329" s="118" t="s">
        <v>491</v>
      </c>
      <c r="G329" s="118" t="s">
        <v>2506</v>
      </c>
      <c r="H329" s="118" t="s">
        <v>63</v>
      </c>
      <c r="I329" s="118" t="s">
        <v>288</v>
      </c>
      <c r="J329" s="118" t="s">
        <v>400</v>
      </c>
      <c r="K329" s="118" t="s">
        <v>399</v>
      </c>
      <c r="N329" s="118" t="s">
        <v>2507</v>
      </c>
      <c r="O329" s="118" t="s">
        <v>182</v>
      </c>
      <c r="R329" s="118" t="s">
        <v>404</v>
      </c>
      <c r="S329" s="118" t="s">
        <v>2508</v>
      </c>
      <c r="T329" s="118" t="s">
        <v>2509</v>
      </c>
      <c r="U329" s="118" t="s">
        <v>2510</v>
      </c>
      <c r="V329" s="118" t="s">
        <v>1088</v>
      </c>
      <c r="W329" s="118" t="s">
        <v>2511</v>
      </c>
      <c r="X329" s="118" t="s">
        <v>2512</v>
      </c>
    </row>
    <row r="330">
      <c r="A330" s="158">
        <v>43753.64100532407</v>
      </c>
      <c r="B330" s="118" t="s">
        <v>2513</v>
      </c>
      <c r="C330" s="118" t="s">
        <v>2514</v>
      </c>
      <c r="D330" s="118" t="s">
        <v>2515</v>
      </c>
      <c r="E330" s="118" t="s">
        <v>2516</v>
      </c>
      <c r="F330" s="118" t="s">
        <v>430</v>
      </c>
      <c r="G330" s="118" t="s">
        <v>1074</v>
      </c>
      <c r="H330" s="118" t="s">
        <v>63</v>
      </c>
      <c r="I330" s="118" t="s">
        <v>150</v>
      </c>
      <c r="J330" s="118" t="s">
        <v>400</v>
      </c>
      <c r="K330" s="118" t="s">
        <v>399</v>
      </c>
      <c r="L330" s="118" t="s">
        <v>283</v>
      </c>
      <c r="M330" s="118" t="s">
        <v>288</v>
      </c>
      <c r="N330" s="118" t="s">
        <v>2517</v>
      </c>
      <c r="O330" s="118" t="s">
        <v>402</v>
      </c>
      <c r="P330" s="118" t="s">
        <v>2518</v>
      </c>
      <c r="R330" s="118" t="s">
        <v>404</v>
      </c>
      <c r="S330" s="118" t="s">
        <v>2519</v>
      </c>
      <c r="T330" s="118" t="s">
        <v>2520</v>
      </c>
      <c r="U330" s="118" t="s">
        <v>1025</v>
      </c>
      <c r="V330" s="118" t="s">
        <v>1026</v>
      </c>
      <c r="W330" s="118" t="s">
        <v>2521</v>
      </c>
    </row>
    <row r="331">
      <c r="A331" s="158">
        <v>43755.53738363426</v>
      </c>
      <c r="B331" s="118" t="s">
        <v>2522</v>
      </c>
      <c r="C331" s="118" t="s">
        <v>2523</v>
      </c>
      <c r="D331" s="118" t="s">
        <v>2524</v>
      </c>
      <c r="E331" s="118" t="s">
        <v>2525</v>
      </c>
      <c r="F331" s="118" t="s">
        <v>1065</v>
      </c>
      <c r="G331" s="118" t="s">
        <v>2526</v>
      </c>
      <c r="H331" s="118" t="s">
        <v>63</v>
      </c>
      <c r="I331" s="118" t="s">
        <v>288</v>
      </c>
      <c r="J331" s="118" t="s">
        <v>399</v>
      </c>
      <c r="K331" s="118" t="s">
        <v>400</v>
      </c>
      <c r="L331" s="118" t="s">
        <v>150</v>
      </c>
      <c r="M331" s="118" t="s">
        <v>283</v>
      </c>
      <c r="N331" s="118" t="s">
        <v>2527</v>
      </c>
      <c r="O331" s="118" t="s">
        <v>402</v>
      </c>
      <c r="R331" s="118" t="s">
        <v>450</v>
      </c>
      <c r="S331" s="118" t="s">
        <v>2528</v>
      </c>
      <c r="T331" s="118" t="s">
        <v>2143</v>
      </c>
      <c r="U331" s="118" t="s">
        <v>1025</v>
      </c>
      <c r="V331" s="118" t="s">
        <v>1026</v>
      </c>
      <c r="X331" s="118" t="s">
        <v>2529</v>
      </c>
    </row>
    <row r="332">
      <c r="A332" s="158">
        <v>43755.58982958333</v>
      </c>
      <c r="B332" s="118" t="s">
        <v>2530</v>
      </c>
      <c r="C332" s="118" t="s">
        <v>2531</v>
      </c>
      <c r="E332" s="118" t="s">
        <v>2532</v>
      </c>
      <c r="F332" s="118" t="s">
        <v>1065</v>
      </c>
      <c r="G332" s="118" t="s">
        <v>2533</v>
      </c>
      <c r="H332" s="118" t="s">
        <v>276</v>
      </c>
      <c r="I332" s="118" t="s">
        <v>288</v>
      </c>
      <c r="J332" s="118" t="s">
        <v>399</v>
      </c>
      <c r="K332" s="118" t="s">
        <v>400</v>
      </c>
      <c r="L332" s="118" t="s">
        <v>150</v>
      </c>
      <c r="M332" s="118" t="s">
        <v>283</v>
      </c>
      <c r="N332" s="118" t="s">
        <v>2534</v>
      </c>
      <c r="O332" s="118" t="s">
        <v>277</v>
      </c>
      <c r="R332" s="118" t="s">
        <v>404</v>
      </c>
      <c r="S332" s="118" t="s">
        <v>2535</v>
      </c>
      <c r="T332" s="118" t="s">
        <v>2536</v>
      </c>
      <c r="U332" s="118" t="s">
        <v>1025</v>
      </c>
      <c r="V332" s="118" t="s">
        <v>1088</v>
      </c>
      <c r="X332" s="118" t="s">
        <v>2228</v>
      </c>
    </row>
    <row r="333">
      <c r="A333" s="158">
        <v>43755.77478533565</v>
      </c>
      <c r="B333" s="118" t="s">
        <v>2537</v>
      </c>
      <c r="C333" s="118" t="s">
        <v>2538</v>
      </c>
      <c r="E333" s="118" t="s">
        <v>2539</v>
      </c>
      <c r="F333" s="118" t="s">
        <v>1754</v>
      </c>
      <c r="G333" s="118" t="s">
        <v>2533</v>
      </c>
      <c r="H333" s="118" t="s">
        <v>63</v>
      </c>
      <c r="I333" s="118" t="s">
        <v>150</v>
      </c>
      <c r="J333" s="118" t="s">
        <v>399</v>
      </c>
      <c r="K333" s="118" t="s">
        <v>400</v>
      </c>
      <c r="L333" s="118" t="s">
        <v>283</v>
      </c>
      <c r="M333" s="118" t="s">
        <v>288</v>
      </c>
      <c r="N333" s="118" t="s">
        <v>2540</v>
      </c>
      <c r="O333" s="118" t="s">
        <v>402</v>
      </c>
      <c r="R333" s="118" t="s">
        <v>404</v>
      </c>
      <c r="U333" s="118" t="s">
        <v>1025</v>
      </c>
      <c r="V333" s="118" t="s">
        <v>1026</v>
      </c>
      <c r="X333" s="118" t="s">
        <v>1703</v>
      </c>
    </row>
    <row r="334">
      <c r="A334" s="158">
        <v>43756.68047160879</v>
      </c>
      <c r="B334" s="118" t="s">
        <v>2541</v>
      </c>
      <c r="C334" s="118" t="s">
        <v>2542</v>
      </c>
      <c r="E334" s="118" t="s">
        <v>2543</v>
      </c>
      <c r="F334" s="118" t="s">
        <v>417</v>
      </c>
      <c r="G334" s="118" t="s">
        <v>2544</v>
      </c>
      <c r="H334" s="118" t="s">
        <v>276</v>
      </c>
      <c r="I334" s="118" t="s">
        <v>399</v>
      </c>
      <c r="J334" s="118" t="s">
        <v>288</v>
      </c>
      <c r="K334" s="118" t="s">
        <v>400</v>
      </c>
      <c r="N334" s="118" t="s">
        <v>2545</v>
      </c>
      <c r="O334" s="118" t="s">
        <v>277</v>
      </c>
      <c r="R334" s="118" t="s">
        <v>441</v>
      </c>
      <c r="U334" s="118" t="s">
        <v>1025</v>
      </c>
      <c r="V334" s="118" t="s">
        <v>1088</v>
      </c>
    </row>
    <row r="335">
      <c r="A335" s="158">
        <v>43758.70282898148</v>
      </c>
      <c r="B335" s="118" t="s">
        <v>2546</v>
      </c>
      <c r="C335" s="118" t="s">
        <v>2547</v>
      </c>
      <c r="D335" s="118" t="s">
        <v>2548</v>
      </c>
      <c r="E335" s="118" t="s">
        <v>2549</v>
      </c>
      <c r="F335" s="118" t="s">
        <v>460</v>
      </c>
      <c r="G335" s="118" t="s">
        <v>1020</v>
      </c>
      <c r="H335" s="118" t="s">
        <v>63</v>
      </c>
      <c r="I335" s="118" t="s">
        <v>399</v>
      </c>
      <c r="J335" s="118" t="s">
        <v>288</v>
      </c>
      <c r="K335" s="118" t="s">
        <v>400</v>
      </c>
      <c r="L335" s="118" t="s">
        <v>150</v>
      </c>
      <c r="M335" s="118" t="s">
        <v>283</v>
      </c>
      <c r="N335" s="118" t="s">
        <v>2550</v>
      </c>
      <c r="O335" s="118" t="s">
        <v>402</v>
      </c>
      <c r="P335" s="118" t="s">
        <v>2551</v>
      </c>
      <c r="R335" s="118" t="s">
        <v>450</v>
      </c>
      <c r="S335" s="118" t="s">
        <v>2552</v>
      </c>
      <c r="T335" s="118" t="s">
        <v>144</v>
      </c>
      <c r="U335" s="118" t="s">
        <v>1287</v>
      </c>
      <c r="V335" s="118" t="s">
        <v>1026</v>
      </c>
      <c r="X335" s="118" t="s">
        <v>2553</v>
      </c>
    </row>
    <row r="336">
      <c r="A336" s="158">
        <v>43759.36184341436</v>
      </c>
      <c r="B336" s="118" t="s">
        <v>2554</v>
      </c>
      <c r="C336" s="118" t="s">
        <v>2555</v>
      </c>
      <c r="D336" s="118" t="s">
        <v>2556</v>
      </c>
      <c r="E336" s="118" t="s">
        <v>2557</v>
      </c>
      <c r="F336" s="118" t="s">
        <v>1019</v>
      </c>
      <c r="G336" s="118" t="s">
        <v>1020</v>
      </c>
      <c r="H336" s="118" t="s">
        <v>63</v>
      </c>
      <c r="I336" s="118" t="s">
        <v>150</v>
      </c>
      <c r="J336" s="118" t="s">
        <v>400</v>
      </c>
      <c r="K336" s="118" t="s">
        <v>283</v>
      </c>
      <c r="L336" s="118" t="s">
        <v>288</v>
      </c>
      <c r="M336" s="118" t="s">
        <v>399</v>
      </c>
      <c r="N336" s="118" t="s">
        <v>2558</v>
      </c>
      <c r="O336" s="118" t="s">
        <v>277</v>
      </c>
      <c r="P336" s="118" t="s">
        <v>2559</v>
      </c>
      <c r="R336" s="118" t="s">
        <v>450</v>
      </c>
      <c r="S336" s="118" t="s">
        <v>2560</v>
      </c>
      <c r="T336" s="118" t="s">
        <v>2561</v>
      </c>
      <c r="U336" s="118" t="s">
        <v>1025</v>
      </c>
      <c r="V336" s="118" t="s">
        <v>1026</v>
      </c>
    </row>
    <row r="337">
      <c r="A337" s="158">
        <v>43760.48148934028</v>
      </c>
      <c r="B337" s="118" t="s">
        <v>2562</v>
      </c>
      <c r="C337" s="118" t="s">
        <v>2382</v>
      </c>
      <c r="D337" s="118" t="s">
        <v>2563</v>
      </c>
      <c r="E337" s="118" t="s">
        <v>2564</v>
      </c>
      <c r="F337" s="118" t="s">
        <v>491</v>
      </c>
      <c r="G337" s="118" t="s">
        <v>1046</v>
      </c>
      <c r="H337" s="118" t="s">
        <v>63</v>
      </c>
      <c r="I337" s="118" t="s">
        <v>288</v>
      </c>
      <c r="J337" s="118" t="s">
        <v>399</v>
      </c>
      <c r="K337" s="118" t="s">
        <v>400</v>
      </c>
      <c r="L337" s="118" t="s">
        <v>283</v>
      </c>
      <c r="M337" s="118" t="s">
        <v>150</v>
      </c>
      <c r="N337" s="118" t="s">
        <v>2565</v>
      </c>
      <c r="O337" s="118" t="s">
        <v>402</v>
      </c>
      <c r="P337" s="118" t="s">
        <v>2566</v>
      </c>
      <c r="R337" s="118" t="s">
        <v>404</v>
      </c>
      <c r="S337" s="118" t="s">
        <v>2567</v>
      </c>
      <c r="T337" s="118" t="s">
        <v>2568</v>
      </c>
      <c r="U337" s="118" t="s">
        <v>1059</v>
      </c>
      <c r="V337" s="118" t="s">
        <v>1026</v>
      </c>
      <c r="W337" s="118" t="s">
        <v>2569</v>
      </c>
      <c r="X337" s="118" t="s">
        <v>1670</v>
      </c>
    </row>
    <row r="338">
      <c r="A338" s="158">
        <v>43761.40069155092</v>
      </c>
      <c r="B338" s="118" t="s">
        <v>2570</v>
      </c>
      <c r="C338" s="118" t="s">
        <v>1254</v>
      </c>
      <c r="D338" s="118" t="s">
        <v>2571</v>
      </c>
      <c r="E338" s="118" t="s">
        <v>2572</v>
      </c>
      <c r="F338" s="118" t="s">
        <v>2573</v>
      </c>
      <c r="G338" s="118" t="s">
        <v>1055</v>
      </c>
      <c r="H338" s="118" t="s">
        <v>63</v>
      </c>
      <c r="I338" s="118" t="s">
        <v>399</v>
      </c>
      <c r="J338" s="118" t="s">
        <v>288</v>
      </c>
      <c r="K338" s="118" t="s">
        <v>150</v>
      </c>
      <c r="N338" s="118" t="s">
        <v>2574</v>
      </c>
      <c r="O338" s="118" t="s">
        <v>402</v>
      </c>
      <c r="P338" s="118" t="s">
        <v>2575</v>
      </c>
      <c r="R338" s="118" t="s">
        <v>450</v>
      </c>
      <c r="S338" s="118" t="s">
        <v>2576</v>
      </c>
      <c r="T338" s="118" t="s">
        <v>2577</v>
      </c>
      <c r="U338" s="118" t="s">
        <v>1025</v>
      </c>
      <c r="V338" s="118" t="s">
        <v>1026</v>
      </c>
      <c r="X338" s="118" t="s">
        <v>1680</v>
      </c>
    </row>
    <row r="339">
      <c r="A339" s="158">
        <v>43761.512264895835</v>
      </c>
      <c r="B339" s="118" t="s">
        <v>2578</v>
      </c>
      <c r="C339" s="118" t="s">
        <v>2579</v>
      </c>
      <c r="D339" s="118" t="s">
        <v>2580</v>
      </c>
      <c r="E339" s="118" t="s">
        <v>2581</v>
      </c>
      <c r="F339" s="118" t="s">
        <v>491</v>
      </c>
      <c r="G339" s="118" t="s">
        <v>2074</v>
      </c>
      <c r="H339" s="118" t="s">
        <v>63</v>
      </c>
      <c r="I339" s="118" t="s">
        <v>288</v>
      </c>
      <c r="J339" s="118" t="s">
        <v>400</v>
      </c>
      <c r="K339" s="118" t="s">
        <v>150</v>
      </c>
      <c r="L339" s="118" t="s">
        <v>283</v>
      </c>
      <c r="M339" s="118" t="s">
        <v>399</v>
      </c>
      <c r="N339" s="118" t="s">
        <v>2582</v>
      </c>
      <c r="O339" s="118" t="s">
        <v>277</v>
      </c>
      <c r="S339" s="118" t="s">
        <v>2583</v>
      </c>
      <c r="T339" s="118" t="s">
        <v>2584</v>
      </c>
      <c r="U339" s="118" t="s">
        <v>2585</v>
      </c>
      <c r="V339" s="118" t="s">
        <v>1088</v>
      </c>
      <c r="X339" s="118" t="s">
        <v>2586</v>
      </c>
    </row>
    <row r="340">
      <c r="A340" s="158">
        <v>43762.71625583334</v>
      </c>
      <c r="B340" s="118" t="s">
        <v>2587</v>
      </c>
      <c r="C340" s="118" t="s">
        <v>2588</v>
      </c>
      <c r="D340" s="118" t="s">
        <v>2589</v>
      </c>
      <c r="E340" s="118" t="s">
        <v>2590</v>
      </c>
      <c r="F340" s="118" t="s">
        <v>460</v>
      </c>
      <c r="G340" s="118" t="s">
        <v>1098</v>
      </c>
      <c r="H340" s="118" t="s">
        <v>63</v>
      </c>
      <c r="I340" s="118" t="s">
        <v>288</v>
      </c>
      <c r="J340" s="118" t="s">
        <v>399</v>
      </c>
      <c r="K340" s="118" t="s">
        <v>400</v>
      </c>
      <c r="L340" s="118" t="s">
        <v>283</v>
      </c>
      <c r="M340" s="118" t="s">
        <v>150</v>
      </c>
      <c r="N340" s="118" t="s">
        <v>2591</v>
      </c>
      <c r="O340" s="118" t="s">
        <v>277</v>
      </c>
      <c r="P340" s="118" t="s">
        <v>2592</v>
      </c>
      <c r="R340" s="118" t="s">
        <v>441</v>
      </c>
      <c r="S340" s="118" t="s">
        <v>2593</v>
      </c>
      <c r="T340" s="118" t="s">
        <v>2594</v>
      </c>
      <c r="U340" s="118" t="s">
        <v>1758</v>
      </c>
      <c r="V340" s="118" t="s">
        <v>1026</v>
      </c>
      <c r="X340" s="118" t="s">
        <v>1670</v>
      </c>
    </row>
    <row r="341">
      <c r="A341" s="158">
        <v>43765.72616362269</v>
      </c>
      <c r="B341" s="118" t="s">
        <v>2595</v>
      </c>
      <c r="C341" s="118" t="s">
        <v>2596</v>
      </c>
      <c r="E341" s="118" t="s">
        <v>2597</v>
      </c>
      <c r="F341" s="118" t="s">
        <v>430</v>
      </c>
      <c r="G341" s="118" t="s">
        <v>1603</v>
      </c>
      <c r="H341" s="118" t="s">
        <v>63</v>
      </c>
      <c r="I341" s="118" t="s">
        <v>399</v>
      </c>
      <c r="J341" s="118" t="s">
        <v>288</v>
      </c>
      <c r="K341" s="118" t="s">
        <v>283</v>
      </c>
      <c r="L341" s="118" t="s">
        <v>400</v>
      </c>
      <c r="M341" s="118" t="s">
        <v>150</v>
      </c>
      <c r="N341" s="118" t="s">
        <v>2598</v>
      </c>
      <c r="O341" s="118" t="s">
        <v>277</v>
      </c>
      <c r="P341" s="118" t="s">
        <v>2599</v>
      </c>
      <c r="R341" s="118" t="s">
        <v>404</v>
      </c>
      <c r="S341" s="118" t="s">
        <v>2600</v>
      </c>
      <c r="T341" s="118" t="s">
        <v>2601</v>
      </c>
      <c r="U341" s="118" t="s">
        <v>1034</v>
      </c>
      <c r="V341" s="118" t="s">
        <v>1026</v>
      </c>
      <c r="W341" s="118" t="s">
        <v>1078</v>
      </c>
    </row>
    <row r="342">
      <c r="A342" s="158">
        <v>43766.53192383102</v>
      </c>
      <c r="B342" s="118" t="s">
        <v>2602</v>
      </c>
      <c r="C342" s="118" t="s">
        <v>2603</v>
      </c>
      <c r="E342" s="118" t="s">
        <v>2604</v>
      </c>
      <c r="F342" s="118" t="s">
        <v>417</v>
      </c>
      <c r="G342" s="118" t="s">
        <v>1046</v>
      </c>
      <c r="H342" s="118" t="s">
        <v>276</v>
      </c>
      <c r="I342" s="118" t="s">
        <v>2605</v>
      </c>
      <c r="J342" s="118" t="s">
        <v>400</v>
      </c>
      <c r="K342" s="118" t="s">
        <v>283</v>
      </c>
      <c r="L342" s="118" t="s">
        <v>150</v>
      </c>
      <c r="O342" s="118" t="s">
        <v>182</v>
      </c>
      <c r="R342" s="118" t="s">
        <v>441</v>
      </c>
      <c r="T342" s="118" t="s">
        <v>2606</v>
      </c>
      <c r="U342" s="118" t="s">
        <v>1758</v>
      </c>
      <c r="V342" s="118" t="s">
        <v>1244</v>
      </c>
      <c r="X342" s="118" t="s">
        <v>2607</v>
      </c>
    </row>
    <row r="343">
      <c r="A343" s="158">
        <v>43767.202232766205</v>
      </c>
      <c r="B343" s="118" t="s">
        <v>2608</v>
      </c>
      <c r="C343" s="118" t="s">
        <v>2609</v>
      </c>
      <c r="D343" s="118" t="s">
        <v>2610</v>
      </c>
      <c r="E343" s="118" t="s">
        <v>2611</v>
      </c>
      <c r="F343" s="118" t="s">
        <v>417</v>
      </c>
      <c r="G343" s="118" t="s">
        <v>1459</v>
      </c>
      <c r="H343" s="118" t="s">
        <v>276</v>
      </c>
      <c r="I343" s="118" t="s">
        <v>288</v>
      </c>
      <c r="J343" s="118" t="s">
        <v>283</v>
      </c>
      <c r="K343" s="118" t="s">
        <v>399</v>
      </c>
      <c r="N343" s="118" t="s">
        <v>2612</v>
      </c>
      <c r="O343" s="118" t="s">
        <v>402</v>
      </c>
      <c r="R343" s="118" t="s">
        <v>450</v>
      </c>
      <c r="S343" s="118" t="s">
        <v>2613</v>
      </c>
      <c r="T343" s="118" t="s">
        <v>2614</v>
      </c>
      <c r="U343" s="118" t="s">
        <v>1025</v>
      </c>
      <c r="V343" s="118" t="s">
        <v>1026</v>
      </c>
      <c r="X343" s="118" t="s">
        <v>2615</v>
      </c>
    </row>
    <row r="344">
      <c r="A344" s="158">
        <v>43767.624537407406</v>
      </c>
      <c r="B344" s="118" t="s">
        <v>2616</v>
      </c>
      <c r="C344" s="118" t="s">
        <v>2617</v>
      </c>
      <c r="D344" s="118" t="s">
        <v>2618</v>
      </c>
      <c r="E344" s="118" t="s">
        <v>2619</v>
      </c>
      <c r="F344" s="118" t="s">
        <v>460</v>
      </c>
      <c r="G344" s="118" t="s">
        <v>2620</v>
      </c>
      <c r="H344" s="118" t="s">
        <v>63</v>
      </c>
      <c r="I344" s="118" t="s">
        <v>399</v>
      </c>
      <c r="J344" s="118" t="s">
        <v>400</v>
      </c>
      <c r="N344" s="118" t="s">
        <v>2621</v>
      </c>
      <c r="O344" s="118" t="s">
        <v>182</v>
      </c>
      <c r="P344" s="118" t="s">
        <v>2622</v>
      </c>
      <c r="R344" s="118" t="s">
        <v>450</v>
      </c>
      <c r="S344" s="118" t="s">
        <v>2623</v>
      </c>
      <c r="T344" s="118" t="s">
        <v>2624</v>
      </c>
      <c r="U344" s="118" t="s">
        <v>1025</v>
      </c>
      <c r="V344" s="118" t="s">
        <v>1026</v>
      </c>
      <c r="X344" s="118" t="s">
        <v>1880</v>
      </c>
    </row>
    <row r="345">
      <c r="A345" s="158">
        <v>43769.5390624537</v>
      </c>
      <c r="B345" s="118" t="s">
        <v>1817</v>
      </c>
      <c r="C345" s="118" t="s">
        <v>1818</v>
      </c>
      <c r="D345" s="118" t="s">
        <v>2625</v>
      </c>
      <c r="E345" s="118" t="s">
        <v>1820</v>
      </c>
      <c r="F345" s="118" t="s">
        <v>417</v>
      </c>
      <c r="G345" s="118" t="s">
        <v>1215</v>
      </c>
      <c r="H345" s="118" t="s">
        <v>63</v>
      </c>
      <c r="I345" s="118" t="s">
        <v>288</v>
      </c>
      <c r="O345" s="118" t="s">
        <v>277</v>
      </c>
      <c r="R345" s="118" t="s">
        <v>450</v>
      </c>
      <c r="S345" s="118" t="s">
        <v>1821</v>
      </c>
      <c r="T345" s="118" t="s">
        <v>17</v>
      </c>
      <c r="U345" s="118" t="s">
        <v>1034</v>
      </c>
      <c r="V345" s="118" t="s">
        <v>1026</v>
      </c>
      <c r="X345" s="118" t="s">
        <v>1670</v>
      </c>
    </row>
    <row r="346">
      <c r="A346" s="158">
        <v>43769.889063877315</v>
      </c>
      <c r="B346" s="118" t="s">
        <v>2626</v>
      </c>
      <c r="C346" s="118" t="s">
        <v>2627</v>
      </c>
      <c r="E346" s="118" t="s">
        <v>2628</v>
      </c>
      <c r="F346" s="118" t="s">
        <v>528</v>
      </c>
      <c r="G346" s="118" t="s">
        <v>1098</v>
      </c>
      <c r="H346" s="118" t="s">
        <v>276</v>
      </c>
      <c r="O346" s="118" t="s">
        <v>182</v>
      </c>
      <c r="P346" s="118" t="s">
        <v>2629</v>
      </c>
      <c r="R346" s="118" t="s">
        <v>441</v>
      </c>
      <c r="S346" s="118" t="s">
        <v>2630</v>
      </c>
      <c r="T346" s="118" t="s">
        <v>2631</v>
      </c>
      <c r="U346" s="118" t="s">
        <v>1094</v>
      </c>
      <c r="V346" s="118" t="s">
        <v>1026</v>
      </c>
      <c r="X346" s="118" t="s">
        <v>2632</v>
      </c>
    </row>
    <row r="347">
      <c r="A347" s="158">
        <v>43772.945721909724</v>
      </c>
      <c r="B347" s="118" t="s">
        <v>2633</v>
      </c>
      <c r="C347" s="118" t="s">
        <v>2634</v>
      </c>
      <c r="E347" s="118" t="s">
        <v>2635</v>
      </c>
      <c r="F347" s="118" t="s">
        <v>430</v>
      </c>
      <c r="G347" s="118" t="s">
        <v>1046</v>
      </c>
      <c r="H347" s="118" t="s">
        <v>276</v>
      </c>
      <c r="I347" s="118" t="s">
        <v>288</v>
      </c>
      <c r="J347" s="118" t="s">
        <v>399</v>
      </c>
      <c r="K347" s="118" t="s">
        <v>150</v>
      </c>
      <c r="L347" s="118" t="s">
        <v>283</v>
      </c>
      <c r="M347" s="118" t="s">
        <v>400</v>
      </c>
      <c r="O347" s="118" t="s">
        <v>277</v>
      </c>
      <c r="R347" s="118" t="s">
        <v>450</v>
      </c>
      <c r="U347" s="118" t="s">
        <v>1025</v>
      </c>
      <c r="V347" s="118" t="s">
        <v>1088</v>
      </c>
      <c r="X347" s="118" t="s">
        <v>2636</v>
      </c>
    </row>
    <row r="348">
      <c r="A348" s="158">
        <v>43773.58556355324</v>
      </c>
      <c r="B348" s="118" t="s">
        <v>2637</v>
      </c>
      <c r="C348" s="118" t="s">
        <v>35</v>
      </c>
      <c r="D348" s="118" t="s">
        <v>2638</v>
      </c>
      <c r="E348" s="118" t="s">
        <v>2639</v>
      </c>
      <c r="F348" s="118" t="s">
        <v>430</v>
      </c>
      <c r="G348" s="118" t="s">
        <v>1046</v>
      </c>
      <c r="H348" s="118" t="s">
        <v>276</v>
      </c>
      <c r="I348" s="118" t="s">
        <v>400</v>
      </c>
      <c r="J348" s="118" t="s">
        <v>399</v>
      </c>
      <c r="K348" s="118" t="s">
        <v>288</v>
      </c>
      <c r="L348" s="118" t="s">
        <v>150</v>
      </c>
      <c r="M348" s="118" t="s">
        <v>283</v>
      </c>
      <c r="N348" s="118" t="s">
        <v>2640</v>
      </c>
      <c r="O348" s="118" t="s">
        <v>402</v>
      </c>
      <c r="P348" s="118" t="s">
        <v>2641</v>
      </c>
      <c r="R348" s="118" t="s">
        <v>404</v>
      </c>
      <c r="S348" s="118" t="s">
        <v>2642</v>
      </c>
      <c r="T348" s="118" t="s">
        <v>2643</v>
      </c>
      <c r="U348" s="118" t="s">
        <v>1130</v>
      </c>
      <c r="V348" s="118" t="s">
        <v>1026</v>
      </c>
      <c r="X348" s="118" t="s">
        <v>2644</v>
      </c>
    </row>
    <row r="349">
      <c r="A349" s="158">
        <v>43773.596221053245</v>
      </c>
      <c r="B349" s="118" t="s">
        <v>2645</v>
      </c>
      <c r="C349" s="118" t="s">
        <v>2646</v>
      </c>
      <c r="E349" s="118" t="s">
        <v>2647</v>
      </c>
      <c r="F349" s="118" t="s">
        <v>460</v>
      </c>
      <c r="G349" s="118" t="s">
        <v>1046</v>
      </c>
      <c r="H349" s="118" t="s">
        <v>63</v>
      </c>
      <c r="I349" s="118" t="s">
        <v>150</v>
      </c>
      <c r="J349" s="118" t="s">
        <v>288</v>
      </c>
      <c r="K349" s="118" t="s">
        <v>400</v>
      </c>
      <c r="O349" s="118" t="s">
        <v>402</v>
      </c>
      <c r="P349" s="118" t="s">
        <v>877</v>
      </c>
      <c r="R349" s="118" t="s">
        <v>404</v>
      </c>
      <c r="S349" s="118" t="s">
        <v>2648</v>
      </c>
      <c r="T349" s="118" t="s">
        <v>2649</v>
      </c>
      <c r="U349" s="118" t="s">
        <v>1034</v>
      </c>
      <c r="V349" s="118" t="s">
        <v>1088</v>
      </c>
      <c r="X349" s="118" t="s">
        <v>1680</v>
      </c>
    </row>
    <row r="350">
      <c r="A350" s="158">
        <v>43775.928431423614</v>
      </c>
      <c r="B350" s="118" t="s">
        <v>2650</v>
      </c>
      <c r="C350" s="118" t="s">
        <v>2651</v>
      </c>
      <c r="D350" s="118" t="s">
        <v>2652</v>
      </c>
      <c r="E350" s="118" t="s">
        <v>2653</v>
      </c>
      <c r="F350" s="118" t="s">
        <v>2654</v>
      </c>
      <c r="G350" s="118" t="s">
        <v>2655</v>
      </c>
      <c r="H350" s="118" t="s">
        <v>63</v>
      </c>
      <c r="I350" s="118" t="s">
        <v>283</v>
      </c>
      <c r="J350" s="118" t="s">
        <v>400</v>
      </c>
      <c r="K350" s="118" t="s">
        <v>399</v>
      </c>
      <c r="L350" s="118" t="s">
        <v>288</v>
      </c>
      <c r="M350" s="118" t="s">
        <v>150</v>
      </c>
      <c r="N350" s="118" t="s">
        <v>2656</v>
      </c>
      <c r="O350" s="118" t="s">
        <v>402</v>
      </c>
      <c r="S350" s="118" t="s">
        <v>2657</v>
      </c>
      <c r="T350" s="118" t="s">
        <v>2658</v>
      </c>
      <c r="U350" s="118" t="s">
        <v>1059</v>
      </c>
      <c r="V350" s="118" t="s">
        <v>1026</v>
      </c>
      <c r="X350" s="118" t="s">
        <v>2659</v>
      </c>
    </row>
    <row r="351">
      <c r="A351" s="158">
        <v>43776.037574699076</v>
      </c>
      <c r="B351" s="118" t="s">
        <v>2660</v>
      </c>
      <c r="C351" s="118" t="s">
        <v>2661</v>
      </c>
      <c r="E351" s="118" t="s">
        <v>2662</v>
      </c>
      <c r="F351" s="118" t="s">
        <v>699</v>
      </c>
      <c r="G351" s="118" t="s">
        <v>2663</v>
      </c>
      <c r="H351" s="118" t="s">
        <v>276</v>
      </c>
      <c r="O351" s="118" t="s">
        <v>277</v>
      </c>
      <c r="R351" s="118" t="s">
        <v>450</v>
      </c>
      <c r="S351" s="118" t="s">
        <v>2664</v>
      </c>
      <c r="U351" s="118" t="s">
        <v>1025</v>
      </c>
      <c r="V351" s="118" t="s">
        <v>1288</v>
      </c>
      <c r="X351" s="118" t="s">
        <v>2665</v>
      </c>
    </row>
    <row r="352">
      <c r="A352" s="158">
        <v>43776.55508767361</v>
      </c>
      <c r="B352" s="118" t="s">
        <v>2666</v>
      </c>
      <c r="C352" s="118" t="s">
        <v>2667</v>
      </c>
      <c r="D352" s="118" t="s">
        <v>2668</v>
      </c>
      <c r="E352" s="118" t="s">
        <v>2669</v>
      </c>
      <c r="F352" s="118" t="s">
        <v>430</v>
      </c>
      <c r="G352" s="118" t="s">
        <v>2670</v>
      </c>
      <c r="H352" s="118" t="s">
        <v>276</v>
      </c>
      <c r="O352" s="118" t="s">
        <v>402</v>
      </c>
      <c r="P352" s="118" t="s">
        <v>2671</v>
      </c>
      <c r="R352" s="118" t="s">
        <v>404</v>
      </c>
      <c r="S352" s="118" t="s">
        <v>2672</v>
      </c>
      <c r="T352" s="118" t="s">
        <v>2673</v>
      </c>
      <c r="U352" s="118" t="s">
        <v>1059</v>
      </c>
      <c r="V352" s="118" t="s">
        <v>1026</v>
      </c>
      <c r="X352" s="118" t="s">
        <v>2400</v>
      </c>
    </row>
    <row r="353">
      <c r="A353" s="158">
        <v>43777.21710978009</v>
      </c>
      <c r="B353" s="118" t="s">
        <v>2674</v>
      </c>
      <c r="C353" s="118" t="s">
        <v>2675</v>
      </c>
      <c r="D353" s="118" t="s">
        <v>2676</v>
      </c>
      <c r="E353" s="118" t="s">
        <v>2677</v>
      </c>
      <c r="F353" s="118" t="s">
        <v>430</v>
      </c>
      <c r="G353" s="118" t="s">
        <v>1046</v>
      </c>
      <c r="H353" s="118" t="s">
        <v>63</v>
      </c>
      <c r="I353" s="118" t="s">
        <v>288</v>
      </c>
      <c r="J353" s="118" t="s">
        <v>399</v>
      </c>
      <c r="K353" s="118" t="s">
        <v>400</v>
      </c>
      <c r="L353" s="118" t="s">
        <v>283</v>
      </c>
      <c r="M353" s="118" t="s">
        <v>150</v>
      </c>
      <c r="N353" s="118" t="s">
        <v>2678</v>
      </c>
      <c r="O353" s="118" t="s">
        <v>402</v>
      </c>
      <c r="P353" s="118" t="s">
        <v>2679</v>
      </c>
      <c r="R353" s="118" t="s">
        <v>441</v>
      </c>
      <c r="S353" s="118" t="s">
        <v>2680</v>
      </c>
      <c r="T353" s="118" t="s">
        <v>2681</v>
      </c>
      <c r="U353" s="118" t="s">
        <v>1034</v>
      </c>
      <c r="V353" s="118" t="s">
        <v>1026</v>
      </c>
      <c r="W353" s="118" t="s">
        <v>2682</v>
      </c>
      <c r="X353" s="118" t="s">
        <v>2683</v>
      </c>
    </row>
    <row r="354">
      <c r="A354" s="158">
        <v>43777.537821550926</v>
      </c>
      <c r="B354" s="118" t="s">
        <v>2684</v>
      </c>
      <c r="C354" s="118" t="s">
        <v>2685</v>
      </c>
      <c r="D354" s="118" t="s">
        <v>2686</v>
      </c>
      <c r="E354" s="118" t="s">
        <v>2687</v>
      </c>
      <c r="F354" s="118" t="s">
        <v>430</v>
      </c>
      <c r="G354" s="118" t="s">
        <v>2688</v>
      </c>
      <c r="H354" s="118" t="s">
        <v>63</v>
      </c>
      <c r="I354" s="118" t="s">
        <v>150</v>
      </c>
      <c r="O354" s="118" t="s">
        <v>182</v>
      </c>
      <c r="P354" s="118" t="s">
        <v>150</v>
      </c>
      <c r="R354" s="118" t="s">
        <v>404</v>
      </c>
      <c r="T354" s="118" t="s">
        <v>2689</v>
      </c>
      <c r="U354" s="118" t="s">
        <v>1034</v>
      </c>
      <c r="V354" s="118" t="s">
        <v>2690</v>
      </c>
      <c r="W354" s="118" t="s">
        <v>1078</v>
      </c>
      <c r="X354" s="118" t="s">
        <v>2691</v>
      </c>
    </row>
    <row r="355">
      <c r="A355" s="158">
        <v>43777.94741894676</v>
      </c>
      <c r="B355" s="118" t="s">
        <v>2692</v>
      </c>
      <c r="C355" s="118" t="s">
        <v>2693</v>
      </c>
      <c r="D355" s="118" t="s">
        <v>2694</v>
      </c>
      <c r="E355" s="118" t="s">
        <v>2695</v>
      </c>
      <c r="F355" s="118" t="s">
        <v>430</v>
      </c>
      <c r="G355" s="118" t="s">
        <v>1630</v>
      </c>
      <c r="H355" s="118" t="s">
        <v>276</v>
      </c>
      <c r="I355" s="118" t="s">
        <v>288</v>
      </c>
      <c r="J355" s="118" t="s">
        <v>399</v>
      </c>
      <c r="K355" s="118" t="s">
        <v>283</v>
      </c>
      <c r="L355" s="118" t="s">
        <v>400</v>
      </c>
      <c r="M355" s="118" t="s">
        <v>150</v>
      </c>
      <c r="N355" s="118" t="s">
        <v>2696</v>
      </c>
      <c r="O355" s="118" t="s">
        <v>402</v>
      </c>
      <c r="P355" s="118" t="s">
        <v>2697</v>
      </c>
      <c r="R355" s="118" t="s">
        <v>404</v>
      </c>
      <c r="S355" s="118" t="s">
        <v>2698</v>
      </c>
      <c r="T355" s="118" t="s">
        <v>2699</v>
      </c>
      <c r="U355" s="118" t="s">
        <v>1034</v>
      </c>
      <c r="V355" s="118" t="s">
        <v>1026</v>
      </c>
      <c r="W355" s="118" t="s">
        <v>2700</v>
      </c>
      <c r="X355" s="118" t="s">
        <v>2701</v>
      </c>
    </row>
    <row r="356">
      <c r="A356" s="158">
        <v>43778.843209189814</v>
      </c>
      <c r="B356" s="118" t="s">
        <v>2702</v>
      </c>
      <c r="C356" s="118" t="s">
        <v>435</v>
      </c>
      <c r="D356" s="118" t="s">
        <v>2703</v>
      </c>
      <c r="E356" s="118" t="s">
        <v>2704</v>
      </c>
      <c r="F356" s="118" t="s">
        <v>491</v>
      </c>
      <c r="G356" s="118" t="s">
        <v>2655</v>
      </c>
      <c r="H356" s="118" t="s">
        <v>63</v>
      </c>
      <c r="I356" s="118" t="s">
        <v>400</v>
      </c>
      <c r="J356" s="118" t="s">
        <v>399</v>
      </c>
      <c r="K356" s="118" t="s">
        <v>150</v>
      </c>
      <c r="L356" s="118" t="s">
        <v>288</v>
      </c>
      <c r="M356" s="118" t="s">
        <v>283</v>
      </c>
      <c r="O356" s="118" t="s">
        <v>182</v>
      </c>
      <c r="P356" s="118" t="s">
        <v>2705</v>
      </c>
      <c r="R356" s="118" t="s">
        <v>404</v>
      </c>
      <c r="S356" s="118" t="s">
        <v>2706</v>
      </c>
      <c r="T356" s="118" t="s">
        <v>2707</v>
      </c>
      <c r="U356" s="118" t="s">
        <v>1025</v>
      </c>
      <c r="V356" s="118" t="s">
        <v>1088</v>
      </c>
      <c r="W356" s="118" t="s">
        <v>1101</v>
      </c>
      <c r="X356" s="118" t="s">
        <v>1670</v>
      </c>
    </row>
    <row r="357">
      <c r="A357" s="158">
        <v>43779.014280324074</v>
      </c>
      <c r="B357" s="118" t="s">
        <v>2708</v>
      </c>
      <c r="C357" s="118" t="s">
        <v>2709</v>
      </c>
      <c r="D357" s="118" t="s">
        <v>2710</v>
      </c>
      <c r="E357" s="118" t="s">
        <v>2711</v>
      </c>
      <c r="F357" s="118" t="s">
        <v>417</v>
      </c>
      <c r="G357" s="118" t="s">
        <v>1603</v>
      </c>
      <c r="H357" s="118" t="s">
        <v>63</v>
      </c>
      <c r="I357" s="118" t="s">
        <v>288</v>
      </c>
      <c r="J357" s="118" t="s">
        <v>399</v>
      </c>
      <c r="K357" s="118" t="s">
        <v>150</v>
      </c>
      <c r="L357" s="118" t="s">
        <v>283</v>
      </c>
      <c r="M357" s="118" t="s">
        <v>400</v>
      </c>
      <c r="O357" s="118" t="s">
        <v>402</v>
      </c>
      <c r="P357" s="118" t="s">
        <v>2712</v>
      </c>
      <c r="R357" s="118" t="s">
        <v>450</v>
      </c>
      <c r="S357" s="118" t="s">
        <v>2713</v>
      </c>
      <c r="T357" s="118" t="s">
        <v>2714</v>
      </c>
      <c r="U357" s="118" t="s">
        <v>1094</v>
      </c>
      <c r="V357" s="118" t="s">
        <v>1026</v>
      </c>
      <c r="X357" s="118" t="s">
        <v>2715</v>
      </c>
    </row>
    <row r="358">
      <c r="A358" s="158">
        <v>43780.19700046296</v>
      </c>
      <c r="B358" s="118" t="s">
        <v>580</v>
      </c>
      <c r="C358" s="118" t="s">
        <v>2716</v>
      </c>
      <c r="D358" s="118" t="s">
        <v>2717</v>
      </c>
      <c r="E358" s="118" t="s">
        <v>583</v>
      </c>
      <c r="F358" s="118" t="s">
        <v>430</v>
      </c>
      <c r="G358" s="118" t="s">
        <v>2718</v>
      </c>
      <c r="H358" s="118" t="s">
        <v>63</v>
      </c>
      <c r="I358" s="118" t="s">
        <v>399</v>
      </c>
      <c r="J358" s="118" t="s">
        <v>288</v>
      </c>
      <c r="K358" s="118" t="s">
        <v>150</v>
      </c>
      <c r="L358" s="118" t="s">
        <v>400</v>
      </c>
      <c r="M358" s="118" t="s">
        <v>283</v>
      </c>
      <c r="N358" s="118" t="s">
        <v>2719</v>
      </c>
      <c r="O358" s="118" t="s">
        <v>277</v>
      </c>
      <c r="R358" s="118" t="s">
        <v>404</v>
      </c>
      <c r="S358" s="118" t="s">
        <v>2720</v>
      </c>
      <c r="T358" s="118" t="s">
        <v>2721</v>
      </c>
      <c r="U358" s="118" t="s">
        <v>1059</v>
      </c>
      <c r="V358" s="118" t="s">
        <v>1026</v>
      </c>
      <c r="W358" s="118" t="s">
        <v>2722</v>
      </c>
      <c r="X358" s="118" t="s">
        <v>2723</v>
      </c>
    </row>
    <row r="359">
      <c r="A359" s="158">
        <v>43780.37467388889</v>
      </c>
      <c r="B359" s="118" t="s">
        <v>2724</v>
      </c>
      <c r="C359" s="118" t="s">
        <v>2725</v>
      </c>
      <c r="E359" s="118" t="s">
        <v>2726</v>
      </c>
      <c r="F359" s="118" t="s">
        <v>2727</v>
      </c>
      <c r="G359" s="118" t="s">
        <v>2728</v>
      </c>
      <c r="H359" s="118" t="s">
        <v>63</v>
      </c>
      <c r="I359" s="118" t="s">
        <v>400</v>
      </c>
      <c r="J359" s="118" t="s">
        <v>288</v>
      </c>
      <c r="K359" s="118" t="s">
        <v>150</v>
      </c>
      <c r="L359" s="118" t="s">
        <v>399</v>
      </c>
      <c r="M359" s="118" t="s">
        <v>283</v>
      </c>
      <c r="N359" s="118" t="s">
        <v>2729</v>
      </c>
      <c r="O359" s="118" t="s">
        <v>277</v>
      </c>
      <c r="R359" s="118" t="s">
        <v>450</v>
      </c>
      <c r="S359" s="118" t="s">
        <v>2730</v>
      </c>
      <c r="U359" s="118" t="s">
        <v>1034</v>
      </c>
      <c r="V359" s="118" t="s">
        <v>1026</v>
      </c>
      <c r="X359" s="118" t="s">
        <v>2731</v>
      </c>
    </row>
    <row r="360">
      <c r="A360" s="158">
        <v>43782.56913421296</v>
      </c>
      <c r="B360" s="118" t="s">
        <v>2732</v>
      </c>
      <c r="C360" s="118" t="s">
        <v>2733</v>
      </c>
      <c r="D360" s="118" t="s">
        <v>2734</v>
      </c>
      <c r="E360" s="118" t="s">
        <v>2735</v>
      </c>
      <c r="F360" s="118" t="s">
        <v>528</v>
      </c>
      <c r="G360" s="118" t="s">
        <v>2736</v>
      </c>
      <c r="H360" s="118" t="s">
        <v>63</v>
      </c>
      <c r="I360" s="118" t="s">
        <v>399</v>
      </c>
      <c r="J360" s="118" t="s">
        <v>288</v>
      </c>
      <c r="K360" s="118" t="s">
        <v>283</v>
      </c>
      <c r="L360" s="118" t="s">
        <v>400</v>
      </c>
      <c r="M360" s="118" t="s">
        <v>150</v>
      </c>
      <c r="N360" s="118" t="s">
        <v>2737</v>
      </c>
      <c r="O360" s="118" t="s">
        <v>277</v>
      </c>
      <c r="P360" s="118" t="s">
        <v>2738</v>
      </c>
      <c r="R360" s="118" t="s">
        <v>450</v>
      </c>
      <c r="S360" s="118" t="s">
        <v>2739</v>
      </c>
      <c r="T360" s="118" t="s">
        <v>2740</v>
      </c>
      <c r="U360" s="118" t="s">
        <v>1059</v>
      </c>
      <c r="V360" s="118" t="s">
        <v>1147</v>
      </c>
      <c r="X360" s="118" t="s">
        <v>1670</v>
      </c>
    </row>
    <row r="361">
      <c r="A361" s="158">
        <v>43789.379284305556</v>
      </c>
      <c r="B361" s="118" t="s">
        <v>2741</v>
      </c>
      <c r="C361" s="118" t="s">
        <v>2742</v>
      </c>
      <c r="D361" s="118" t="s">
        <v>2743</v>
      </c>
      <c r="E361" s="118" t="s">
        <v>2744</v>
      </c>
      <c r="F361" s="118" t="s">
        <v>491</v>
      </c>
      <c r="G361" s="118" t="s">
        <v>2655</v>
      </c>
      <c r="H361" s="118" t="s">
        <v>63</v>
      </c>
      <c r="I361" s="118" t="s">
        <v>288</v>
      </c>
      <c r="J361" s="118" t="s">
        <v>400</v>
      </c>
      <c r="K361" s="118" t="s">
        <v>399</v>
      </c>
      <c r="L361" s="118" t="s">
        <v>283</v>
      </c>
      <c r="M361" s="118" t="s">
        <v>150</v>
      </c>
      <c r="N361" s="118" t="s">
        <v>462</v>
      </c>
      <c r="O361" s="118" t="s">
        <v>277</v>
      </c>
      <c r="P361" s="118" t="s">
        <v>144</v>
      </c>
      <c r="R361" s="118" t="s">
        <v>450</v>
      </c>
      <c r="S361" s="118" t="s">
        <v>2745</v>
      </c>
      <c r="T361" s="118" t="s">
        <v>2746</v>
      </c>
      <c r="U361" s="118" t="s">
        <v>1094</v>
      </c>
      <c r="V361" s="118" t="s">
        <v>1088</v>
      </c>
      <c r="W361" s="118" t="s">
        <v>1101</v>
      </c>
      <c r="X361" s="118" t="s">
        <v>2400</v>
      </c>
    </row>
    <row r="362">
      <c r="A362" s="158">
        <v>43789.561137233795</v>
      </c>
      <c r="B362" s="118" t="s">
        <v>2747</v>
      </c>
      <c r="C362" s="118" t="s">
        <v>1166</v>
      </c>
      <c r="E362" s="118" t="s">
        <v>2748</v>
      </c>
      <c r="F362" s="118" t="s">
        <v>699</v>
      </c>
      <c r="G362" s="118" t="s">
        <v>2749</v>
      </c>
      <c r="H362" s="118" t="s">
        <v>63</v>
      </c>
      <c r="I362" s="118" t="s">
        <v>288</v>
      </c>
      <c r="J362" s="118" t="s">
        <v>399</v>
      </c>
      <c r="K362" s="118" t="s">
        <v>400</v>
      </c>
      <c r="N362" s="118" t="s">
        <v>2750</v>
      </c>
      <c r="O362" s="118" t="s">
        <v>402</v>
      </c>
      <c r="P362" s="118" t="s">
        <v>35</v>
      </c>
      <c r="R362" s="118" t="s">
        <v>450</v>
      </c>
      <c r="S362" s="118" t="s">
        <v>2751</v>
      </c>
      <c r="U362" s="118" t="s">
        <v>1059</v>
      </c>
      <c r="V362" s="118" t="s">
        <v>1088</v>
      </c>
      <c r="X362" s="118" t="s">
        <v>1680</v>
      </c>
    </row>
    <row r="363">
      <c r="A363" s="158">
        <v>43790.71008880787</v>
      </c>
      <c r="B363" s="118" t="s">
        <v>2752</v>
      </c>
      <c r="C363" s="118" t="s">
        <v>2753</v>
      </c>
      <c r="D363" s="118" t="s">
        <v>2754</v>
      </c>
      <c r="E363" s="118" t="s">
        <v>2755</v>
      </c>
      <c r="F363" s="118" t="s">
        <v>699</v>
      </c>
      <c r="G363" s="118" t="s">
        <v>1020</v>
      </c>
      <c r="H363" s="118" t="s">
        <v>63</v>
      </c>
      <c r="I363" s="118" t="s">
        <v>288</v>
      </c>
      <c r="J363" s="118" t="s">
        <v>400</v>
      </c>
      <c r="K363" s="118" t="s">
        <v>399</v>
      </c>
      <c r="L363" s="118" t="s">
        <v>150</v>
      </c>
      <c r="M363" s="118" t="s">
        <v>283</v>
      </c>
      <c r="N363" s="118" t="s">
        <v>2756</v>
      </c>
      <c r="O363" s="118" t="s">
        <v>277</v>
      </c>
      <c r="R363" s="118" t="s">
        <v>450</v>
      </c>
      <c r="S363" s="118" t="s">
        <v>2757</v>
      </c>
      <c r="T363" s="118" t="s">
        <v>2135</v>
      </c>
      <c r="U363" s="118" t="s">
        <v>1094</v>
      </c>
      <c r="V363" s="118" t="s">
        <v>1147</v>
      </c>
    </row>
    <row r="364">
      <c r="A364" s="158">
        <v>43794.31350851852</v>
      </c>
      <c r="B364" s="118" t="s">
        <v>2758</v>
      </c>
      <c r="C364" s="118" t="s">
        <v>2759</v>
      </c>
      <c r="D364" s="118" t="s">
        <v>2760</v>
      </c>
      <c r="E364" s="118" t="s">
        <v>2761</v>
      </c>
      <c r="F364" s="118" t="s">
        <v>460</v>
      </c>
      <c r="G364" s="118" t="s">
        <v>1020</v>
      </c>
      <c r="H364" s="118" t="s">
        <v>63</v>
      </c>
      <c r="I364" s="118" t="s">
        <v>399</v>
      </c>
      <c r="J364" s="118" t="s">
        <v>288</v>
      </c>
      <c r="K364" s="118" t="s">
        <v>400</v>
      </c>
      <c r="L364" s="118" t="s">
        <v>283</v>
      </c>
      <c r="M364" s="118" t="s">
        <v>150</v>
      </c>
      <c r="N364" s="118" t="s">
        <v>2762</v>
      </c>
      <c r="O364" s="118" t="s">
        <v>277</v>
      </c>
      <c r="P364" s="118" t="s">
        <v>2763</v>
      </c>
      <c r="R364" s="118" t="s">
        <v>450</v>
      </c>
      <c r="S364" s="118" t="s">
        <v>2764</v>
      </c>
      <c r="T364" s="118" t="s">
        <v>2765</v>
      </c>
      <c r="U364" s="118" t="s">
        <v>1025</v>
      </c>
      <c r="V364" s="118" t="s">
        <v>1026</v>
      </c>
      <c r="X364" s="118" t="s">
        <v>2766</v>
      </c>
    </row>
    <row r="365">
      <c r="A365" s="158">
        <v>43795.466076805555</v>
      </c>
      <c r="B365" s="118" t="s">
        <v>2767</v>
      </c>
      <c r="C365" s="118" t="s">
        <v>858</v>
      </c>
      <c r="D365" s="118" t="s">
        <v>2768</v>
      </c>
      <c r="E365" s="118" t="s">
        <v>2769</v>
      </c>
      <c r="F365" s="118" t="s">
        <v>460</v>
      </c>
      <c r="G365" s="118" t="s">
        <v>1098</v>
      </c>
      <c r="H365" s="118" t="s">
        <v>63</v>
      </c>
      <c r="I365" s="118" t="s">
        <v>399</v>
      </c>
      <c r="J365" s="118" t="s">
        <v>288</v>
      </c>
      <c r="K365" s="118" t="s">
        <v>400</v>
      </c>
      <c r="L365" s="118" t="s">
        <v>283</v>
      </c>
      <c r="N365" s="118" t="s">
        <v>2770</v>
      </c>
      <c r="O365" s="118" t="s">
        <v>277</v>
      </c>
      <c r="P365" s="118" t="s">
        <v>1199</v>
      </c>
      <c r="R365" s="118" t="s">
        <v>404</v>
      </c>
      <c r="S365" s="118" t="s">
        <v>2771</v>
      </c>
      <c r="T365" s="118" t="s">
        <v>2772</v>
      </c>
      <c r="U365" s="118" t="s">
        <v>1034</v>
      </c>
      <c r="V365" s="118" t="s">
        <v>1026</v>
      </c>
      <c r="X365" s="118" t="s">
        <v>2351</v>
      </c>
    </row>
    <row r="366">
      <c r="A366" s="158">
        <v>43796.31597033565</v>
      </c>
      <c r="B366" s="118" t="s">
        <v>2773</v>
      </c>
      <c r="C366" s="118" t="s">
        <v>1664</v>
      </c>
      <c r="D366" s="118" t="s">
        <v>2774</v>
      </c>
      <c r="E366" s="118" t="s">
        <v>2775</v>
      </c>
      <c r="F366" s="118" t="s">
        <v>2776</v>
      </c>
      <c r="G366" s="118" t="s">
        <v>1657</v>
      </c>
      <c r="H366" s="118" t="s">
        <v>63</v>
      </c>
      <c r="I366" s="118" t="s">
        <v>150</v>
      </c>
      <c r="J366" s="118" t="s">
        <v>399</v>
      </c>
      <c r="K366" s="118" t="s">
        <v>400</v>
      </c>
      <c r="L366" s="118" t="s">
        <v>288</v>
      </c>
      <c r="M366" s="118" t="s">
        <v>283</v>
      </c>
      <c r="N366" s="118" t="s">
        <v>2777</v>
      </c>
      <c r="O366" s="118" t="s">
        <v>402</v>
      </c>
      <c r="P366" s="118" t="s">
        <v>2778</v>
      </c>
      <c r="R366" s="118" t="s">
        <v>450</v>
      </c>
      <c r="S366" s="118" t="s">
        <v>2779</v>
      </c>
      <c r="T366" s="118" t="s">
        <v>2780</v>
      </c>
      <c r="U366" s="118" t="s">
        <v>1094</v>
      </c>
      <c r="V366" s="118" t="s">
        <v>1026</v>
      </c>
      <c r="X366" s="118" t="s">
        <v>1670</v>
      </c>
    </row>
    <row r="367">
      <c r="A367" s="158">
        <v>43796.44863079861</v>
      </c>
      <c r="B367" s="118" t="s">
        <v>2781</v>
      </c>
      <c r="C367" s="118" t="s">
        <v>2782</v>
      </c>
      <c r="E367" s="118" t="s">
        <v>2783</v>
      </c>
      <c r="F367" s="118" t="s">
        <v>430</v>
      </c>
      <c r="G367" s="118" t="s">
        <v>1020</v>
      </c>
      <c r="H367" s="118" t="s">
        <v>63</v>
      </c>
      <c r="I367" s="118" t="s">
        <v>283</v>
      </c>
      <c r="J367" s="118" t="s">
        <v>288</v>
      </c>
      <c r="O367" s="118" t="s">
        <v>402</v>
      </c>
      <c r="R367" s="118" t="s">
        <v>404</v>
      </c>
      <c r="S367" s="118" t="s">
        <v>2784</v>
      </c>
      <c r="U367" s="118" t="s">
        <v>1059</v>
      </c>
      <c r="V367" s="118" t="s">
        <v>1026</v>
      </c>
      <c r="W367" s="118" t="s">
        <v>1078</v>
      </c>
      <c r="X367" s="118" t="s">
        <v>1670</v>
      </c>
    </row>
    <row r="368">
      <c r="A368" s="158">
        <v>43803.37856755787</v>
      </c>
      <c r="B368" s="118" t="s">
        <v>2785</v>
      </c>
      <c r="C368" s="118" t="s">
        <v>2786</v>
      </c>
      <c r="D368" s="118" t="s">
        <v>2787</v>
      </c>
      <c r="E368" s="118" t="s">
        <v>2788</v>
      </c>
      <c r="F368" s="118" t="s">
        <v>2789</v>
      </c>
      <c r="G368" s="118" t="s">
        <v>1603</v>
      </c>
      <c r="H368" s="118" t="s">
        <v>63</v>
      </c>
      <c r="I368" s="118" t="s">
        <v>400</v>
      </c>
      <c r="J368" s="118" t="s">
        <v>288</v>
      </c>
      <c r="K368" s="118" t="s">
        <v>399</v>
      </c>
      <c r="L368" s="118" t="s">
        <v>150</v>
      </c>
      <c r="M368" s="118" t="s">
        <v>283</v>
      </c>
      <c r="N368" s="118" t="s">
        <v>182</v>
      </c>
      <c r="O368" s="118" t="s">
        <v>277</v>
      </c>
      <c r="P368" s="118" t="s">
        <v>2790</v>
      </c>
      <c r="R368" s="118" t="s">
        <v>404</v>
      </c>
      <c r="S368" s="118" t="s">
        <v>2791</v>
      </c>
      <c r="T368" s="118" t="s">
        <v>2792</v>
      </c>
      <c r="U368" s="118" t="s">
        <v>1025</v>
      </c>
      <c r="V368" s="118" t="s">
        <v>2793</v>
      </c>
      <c r="W368" s="118" t="s">
        <v>2794</v>
      </c>
      <c r="X368" s="118" t="s">
        <v>2795</v>
      </c>
    </row>
    <row r="369">
      <c r="A369" s="158">
        <v>43809.80670207176</v>
      </c>
      <c r="B369" s="118" t="s">
        <v>2796</v>
      </c>
      <c r="C369" s="118" t="s">
        <v>663</v>
      </c>
      <c r="E369" s="118" t="s">
        <v>2797</v>
      </c>
      <c r="F369" s="118" t="s">
        <v>417</v>
      </c>
      <c r="G369" s="118" t="s">
        <v>1459</v>
      </c>
      <c r="H369" s="118" t="s">
        <v>276</v>
      </c>
      <c r="I369" s="118" t="s">
        <v>283</v>
      </c>
      <c r="N369" s="118" t="s">
        <v>2798</v>
      </c>
      <c r="O369" s="118" t="s">
        <v>402</v>
      </c>
      <c r="R369" s="118" t="s">
        <v>404</v>
      </c>
      <c r="T369" s="118" t="s">
        <v>2799</v>
      </c>
      <c r="U369" s="118" t="s">
        <v>1287</v>
      </c>
      <c r="V369" s="118" t="s">
        <v>1026</v>
      </c>
      <c r="W369" s="118" t="s">
        <v>2800</v>
      </c>
    </row>
    <row r="370">
      <c r="A370" s="158">
        <v>43810.62789938657</v>
      </c>
      <c r="B370" s="118" t="s">
        <v>2801</v>
      </c>
      <c r="C370" s="118" t="s">
        <v>2802</v>
      </c>
      <c r="D370" s="118" t="s">
        <v>2803</v>
      </c>
      <c r="E370" s="118" t="s">
        <v>2804</v>
      </c>
      <c r="F370" s="118" t="s">
        <v>491</v>
      </c>
      <c r="G370" s="118" t="s">
        <v>1046</v>
      </c>
      <c r="H370" s="118" t="s">
        <v>63</v>
      </c>
      <c r="I370" s="118" t="s">
        <v>399</v>
      </c>
      <c r="N370" s="118" t="s">
        <v>2805</v>
      </c>
      <c r="O370" s="118" t="s">
        <v>402</v>
      </c>
      <c r="P370" s="118" t="s">
        <v>2806</v>
      </c>
      <c r="R370" s="118" t="s">
        <v>404</v>
      </c>
      <c r="S370" s="118" t="s">
        <v>2807</v>
      </c>
      <c r="T370" s="118" t="s">
        <v>2808</v>
      </c>
      <c r="U370" s="118" t="s">
        <v>1034</v>
      </c>
      <c r="V370" s="118" t="s">
        <v>1088</v>
      </c>
      <c r="X370" s="118" t="s">
        <v>1670</v>
      </c>
    </row>
    <row r="371">
      <c r="A371" s="158">
        <v>43811.14995009259</v>
      </c>
      <c r="B371" s="118" t="s">
        <v>2809</v>
      </c>
      <c r="C371" s="118" t="s">
        <v>2810</v>
      </c>
      <c r="E371" s="118" t="s">
        <v>2811</v>
      </c>
      <c r="F371" s="118" t="s">
        <v>417</v>
      </c>
      <c r="G371" s="118" t="s">
        <v>1020</v>
      </c>
      <c r="H371" s="118" t="s">
        <v>63</v>
      </c>
      <c r="I371" s="118" t="s">
        <v>399</v>
      </c>
      <c r="J371" s="118" t="s">
        <v>288</v>
      </c>
      <c r="K371" s="118" t="s">
        <v>283</v>
      </c>
      <c r="L371" s="118" t="s">
        <v>150</v>
      </c>
      <c r="M371" s="118" t="s">
        <v>400</v>
      </c>
      <c r="O371" s="118" t="s">
        <v>402</v>
      </c>
      <c r="R371" s="118" t="s">
        <v>450</v>
      </c>
      <c r="T371" s="118" t="s">
        <v>2812</v>
      </c>
      <c r="U371" s="118" t="s">
        <v>1094</v>
      </c>
      <c r="V371" s="118" t="s">
        <v>1026</v>
      </c>
    </row>
    <row r="372">
      <c r="A372" s="158">
        <v>43811.796518055555</v>
      </c>
      <c r="B372" s="118" t="s">
        <v>2813</v>
      </c>
      <c r="C372" s="118" t="s">
        <v>663</v>
      </c>
      <c r="D372" s="118" t="s">
        <v>2814</v>
      </c>
      <c r="E372" s="118" t="s">
        <v>2815</v>
      </c>
      <c r="F372" s="118" t="s">
        <v>1065</v>
      </c>
      <c r="G372" s="118" t="s">
        <v>2364</v>
      </c>
      <c r="H372" s="118" t="s">
        <v>63</v>
      </c>
      <c r="I372" s="118" t="s">
        <v>283</v>
      </c>
      <c r="J372" s="118" t="s">
        <v>150</v>
      </c>
      <c r="P372" s="118" t="s">
        <v>2816</v>
      </c>
      <c r="R372" s="118" t="s">
        <v>404</v>
      </c>
      <c r="S372" s="118" t="s">
        <v>2817</v>
      </c>
      <c r="T372" s="118" t="s">
        <v>2818</v>
      </c>
      <c r="U372" s="118" t="s">
        <v>1094</v>
      </c>
      <c r="V372" s="118" t="s">
        <v>1088</v>
      </c>
      <c r="X372" s="118" t="s">
        <v>2819</v>
      </c>
    </row>
    <row r="373">
      <c r="A373" s="158">
        <v>43815.79704074074</v>
      </c>
      <c r="B373" s="118" t="s">
        <v>2820</v>
      </c>
      <c r="C373" s="118" t="s">
        <v>2821</v>
      </c>
      <c r="D373" s="118" t="s">
        <v>2822</v>
      </c>
      <c r="E373" s="118" t="s">
        <v>2823</v>
      </c>
      <c r="F373" s="118" t="s">
        <v>2824</v>
      </c>
      <c r="G373" s="118" t="s">
        <v>1046</v>
      </c>
      <c r="H373" s="118" t="s">
        <v>63</v>
      </c>
      <c r="I373" s="118" t="s">
        <v>150</v>
      </c>
      <c r="J373" s="118" t="s">
        <v>400</v>
      </c>
      <c r="K373" s="118" t="s">
        <v>288</v>
      </c>
      <c r="L373" s="118" t="s">
        <v>399</v>
      </c>
      <c r="M373" s="118" t="s">
        <v>283</v>
      </c>
      <c r="N373" s="118" t="s">
        <v>2825</v>
      </c>
      <c r="O373" s="118" t="s">
        <v>277</v>
      </c>
      <c r="R373" s="118" t="s">
        <v>404</v>
      </c>
      <c r="S373" s="118" t="s">
        <v>2826</v>
      </c>
      <c r="T373" s="118" t="s">
        <v>2827</v>
      </c>
      <c r="U373" s="118" t="s">
        <v>1094</v>
      </c>
      <c r="V373" s="118" t="s">
        <v>1288</v>
      </c>
      <c r="X373" s="118" t="s">
        <v>2665</v>
      </c>
    </row>
    <row r="374">
      <c r="A374" s="158">
        <v>43817.62045903935</v>
      </c>
      <c r="B374" s="118" t="s">
        <v>760</v>
      </c>
      <c r="C374" s="118" t="s">
        <v>2514</v>
      </c>
      <c r="D374" s="118" t="s">
        <v>2828</v>
      </c>
      <c r="E374" s="118" t="s">
        <v>2829</v>
      </c>
      <c r="F374" s="118" t="s">
        <v>430</v>
      </c>
      <c r="G374" s="118" t="s">
        <v>1215</v>
      </c>
      <c r="H374" s="118" t="s">
        <v>63</v>
      </c>
      <c r="I374" s="118" t="s">
        <v>399</v>
      </c>
      <c r="J374" s="118" t="s">
        <v>288</v>
      </c>
      <c r="K374" s="118" t="s">
        <v>400</v>
      </c>
      <c r="L374" s="118" t="s">
        <v>283</v>
      </c>
      <c r="M374" s="118" t="s">
        <v>150</v>
      </c>
      <c r="N374" s="118" t="s">
        <v>2830</v>
      </c>
      <c r="O374" s="118" t="s">
        <v>277</v>
      </c>
      <c r="R374" s="118" t="s">
        <v>450</v>
      </c>
      <c r="S374" s="118" t="s">
        <v>2831</v>
      </c>
      <c r="T374" s="118" t="s">
        <v>1678</v>
      </c>
      <c r="U374" s="118" t="s">
        <v>1034</v>
      </c>
      <c r="V374" s="118" t="s">
        <v>1026</v>
      </c>
      <c r="W374" s="118" t="s">
        <v>2832</v>
      </c>
      <c r="X374" s="118" t="s">
        <v>1670</v>
      </c>
    </row>
    <row r="375">
      <c r="A375" s="158">
        <v>43817.63383155093</v>
      </c>
      <c r="B375" s="118" t="s">
        <v>2833</v>
      </c>
      <c r="C375" s="118" t="s">
        <v>712</v>
      </c>
      <c r="D375" s="118" t="s">
        <v>2834</v>
      </c>
      <c r="E375" s="118" t="s">
        <v>2835</v>
      </c>
      <c r="F375" s="118" t="s">
        <v>699</v>
      </c>
      <c r="G375" s="118" t="s">
        <v>2395</v>
      </c>
      <c r="H375" s="118" t="s">
        <v>276</v>
      </c>
      <c r="I375" s="118" t="s">
        <v>288</v>
      </c>
      <c r="J375" s="118" t="s">
        <v>399</v>
      </c>
      <c r="K375" s="118" t="s">
        <v>150</v>
      </c>
      <c r="L375" s="118" t="s">
        <v>400</v>
      </c>
      <c r="M375" s="118" t="s">
        <v>283</v>
      </c>
      <c r="O375" s="118" t="s">
        <v>277</v>
      </c>
      <c r="P375" s="118" t="s">
        <v>2836</v>
      </c>
      <c r="R375" s="118" t="s">
        <v>450</v>
      </c>
      <c r="S375" s="118" t="s">
        <v>2837</v>
      </c>
      <c r="T375" s="118" t="s">
        <v>487</v>
      </c>
      <c r="U375" s="118" t="s">
        <v>1034</v>
      </c>
      <c r="V375" s="118" t="s">
        <v>1026</v>
      </c>
      <c r="X375" s="118" t="s">
        <v>2400</v>
      </c>
    </row>
    <row r="376">
      <c r="A376" s="158">
        <v>43818.519401909725</v>
      </c>
      <c r="B376" s="118" t="s">
        <v>2838</v>
      </c>
      <c r="C376" s="118" t="s">
        <v>2839</v>
      </c>
      <c r="D376" s="118" t="s">
        <v>2840</v>
      </c>
      <c r="E376" s="118" t="s">
        <v>2841</v>
      </c>
      <c r="F376" s="118" t="s">
        <v>491</v>
      </c>
      <c r="G376" s="118" t="s">
        <v>1098</v>
      </c>
      <c r="H376" s="118" t="s">
        <v>63</v>
      </c>
      <c r="I376" s="118" t="s">
        <v>399</v>
      </c>
      <c r="J376" s="118" t="s">
        <v>288</v>
      </c>
      <c r="K376" s="118" t="s">
        <v>400</v>
      </c>
      <c r="L376" s="118" t="s">
        <v>283</v>
      </c>
      <c r="M376" s="118" t="s">
        <v>150</v>
      </c>
      <c r="N376" s="118" t="s">
        <v>1998</v>
      </c>
      <c r="O376" s="118" t="s">
        <v>402</v>
      </c>
      <c r="P376" s="118" t="s">
        <v>2842</v>
      </c>
      <c r="R376" s="118" t="s">
        <v>404</v>
      </c>
      <c r="S376" s="118" t="s">
        <v>2843</v>
      </c>
      <c r="T376" s="118" t="s">
        <v>2844</v>
      </c>
      <c r="U376" s="118" t="s">
        <v>1094</v>
      </c>
      <c r="V376" s="118" t="s">
        <v>1088</v>
      </c>
      <c r="X376" s="118" t="s">
        <v>1670</v>
      </c>
    </row>
    <row r="377">
      <c r="A377" s="158">
        <v>43822.780956111106</v>
      </c>
      <c r="B377" s="118" t="s">
        <v>2845</v>
      </c>
      <c r="C377" s="118" t="s">
        <v>2547</v>
      </c>
      <c r="D377" s="118" t="s">
        <v>2846</v>
      </c>
      <c r="E377" s="118" t="s">
        <v>2847</v>
      </c>
      <c r="F377" s="118" t="s">
        <v>699</v>
      </c>
      <c r="G377" s="118" t="s">
        <v>1098</v>
      </c>
      <c r="H377" s="118" t="s">
        <v>63</v>
      </c>
      <c r="I377" s="118" t="s">
        <v>400</v>
      </c>
      <c r="J377" s="118" t="s">
        <v>399</v>
      </c>
      <c r="K377" s="118" t="s">
        <v>288</v>
      </c>
      <c r="L377" s="118" t="s">
        <v>283</v>
      </c>
      <c r="M377" s="118" t="s">
        <v>150</v>
      </c>
      <c r="N377" s="118" t="s">
        <v>182</v>
      </c>
      <c r="O377" s="118" t="s">
        <v>277</v>
      </c>
      <c r="P377" s="118" t="s">
        <v>2848</v>
      </c>
      <c r="R377" s="118" t="s">
        <v>450</v>
      </c>
      <c r="S377" s="118" t="s">
        <v>2849</v>
      </c>
      <c r="T377" s="118" t="s">
        <v>2850</v>
      </c>
      <c r="U377" s="118" t="s">
        <v>1094</v>
      </c>
      <c r="V377" s="118" t="s">
        <v>1288</v>
      </c>
      <c r="W377" s="118" t="s">
        <v>2851</v>
      </c>
      <c r="X377" s="118" t="s">
        <v>1804</v>
      </c>
    </row>
    <row r="378">
      <c r="A378" s="158">
        <v>43833.4417677662</v>
      </c>
      <c r="B378" s="118" t="s">
        <v>2852</v>
      </c>
      <c r="C378" s="118" t="s">
        <v>2853</v>
      </c>
      <c r="D378" s="118" t="s">
        <v>2854</v>
      </c>
      <c r="E378" s="118" t="s">
        <v>2855</v>
      </c>
      <c r="F378" s="118" t="s">
        <v>430</v>
      </c>
      <c r="G378" s="118" t="s">
        <v>2718</v>
      </c>
      <c r="H378" s="118" t="s">
        <v>63</v>
      </c>
      <c r="I378" s="118" t="s">
        <v>399</v>
      </c>
      <c r="J378" s="118" t="s">
        <v>150</v>
      </c>
      <c r="K378" s="118" t="s">
        <v>288</v>
      </c>
      <c r="L378" s="118" t="s">
        <v>283</v>
      </c>
      <c r="M378" s="118" t="s">
        <v>400</v>
      </c>
      <c r="N378" s="118" t="s">
        <v>2856</v>
      </c>
      <c r="O378" s="118" t="s">
        <v>277</v>
      </c>
      <c r="P378" s="118" t="s">
        <v>2857</v>
      </c>
      <c r="R378" s="118" t="s">
        <v>450</v>
      </c>
      <c r="S378" s="118" t="s">
        <v>2858</v>
      </c>
      <c r="T378" s="118" t="s">
        <v>2859</v>
      </c>
      <c r="U378" s="118" t="s">
        <v>1025</v>
      </c>
      <c r="V378" s="118" t="s">
        <v>1026</v>
      </c>
      <c r="W378" s="118" t="s">
        <v>2860</v>
      </c>
      <c r="X378" s="118" t="s">
        <v>2861</v>
      </c>
    </row>
    <row r="379">
      <c r="A379" s="158">
        <v>43833.71189856481</v>
      </c>
      <c r="B379" s="118" t="s">
        <v>843</v>
      </c>
      <c r="C379" s="118" t="s">
        <v>546</v>
      </c>
      <c r="D379" s="118" t="s">
        <v>546</v>
      </c>
      <c r="E379" s="118" t="s">
        <v>2862</v>
      </c>
      <c r="F379" s="118" t="s">
        <v>417</v>
      </c>
      <c r="G379" s="118" t="s">
        <v>1098</v>
      </c>
      <c r="H379" s="118" t="s">
        <v>63</v>
      </c>
      <c r="I379" s="118" t="s">
        <v>150</v>
      </c>
      <c r="J379" s="118" t="s">
        <v>399</v>
      </c>
      <c r="K379" s="118" t="s">
        <v>400</v>
      </c>
      <c r="L379" s="118" t="s">
        <v>288</v>
      </c>
      <c r="M379" s="118" t="s">
        <v>283</v>
      </c>
      <c r="N379" s="118" t="s">
        <v>2863</v>
      </c>
      <c r="O379" s="118" t="s">
        <v>277</v>
      </c>
      <c r="P379" s="118" t="s">
        <v>2864</v>
      </c>
      <c r="R379" s="118" t="s">
        <v>450</v>
      </c>
      <c r="S379" s="118" t="s">
        <v>2865</v>
      </c>
      <c r="T379" s="118" t="s">
        <v>2866</v>
      </c>
      <c r="U379" s="118" t="s">
        <v>1940</v>
      </c>
      <c r="V379" s="118" t="s">
        <v>1026</v>
      </c>
      <c r="W379" s="118" t="s">
        <v>2867</v>
      </c>
      <c r="X379" s="118" t="s">
        <v>1970</v>
      </c>
    </row>
    <row r="380">
      <c r="A380" s="158">
        <v>43836.64994055555</v>
      </c>
      <c r="B380" s="118" t="s">
        <v>2868</v>
      </c>
      <c r="C380" s="118" t="s">
        <v>1530</v>
      </c>
      <c r="D380" s="118" t="s">
        <v>2869</v>
      </c>
      <c r="E380" s="118" t="s">
        <v>2870</v>
      </c>
      <c r="F380" s="118" t="s">
        <v>430</v>
      </c>
      <c r="G380" s="118" t="s">
        <v>1020</v>
      </c>
      <c r="H380" s="118" t="s">
        <v>63</v>
      </c>
      <c r="I380" s="118" t="s">
        <v>283</v>
      </c>
      <c r="N380" s="118" t="s">
        <v>2871</v>
      </c>
      <c r="O380" s="118" t="s">
        <v>182</v>
      </c>
      <c r="P380" s="118" t="s">
        <v>2872</v>
      </c>
      <c r="R380" s="118" t="s">
        <v>404</v>
      </c>
      <c r="S380" s="118" t="s">
        <v>2873</v>
      </c>
      <c r="U380" s="118" t="s">
        <v>1034</v>
      </c>
      <c r="V380" s="118" t="s">
        <v>1026</v>
      </c>
      <c r="W380" s="118" t="s">
        <v>2874</v>
      </c>
      <c r="X380" s="118" t="s">
        <v>2400</v>
      </c>
    </row>
    <row r="381">
      <c r="A381" s="158">
        <v>43838.04942578704</v>
      </c>
      <c r="B381" s="118" t="s">
        <v>464</v>
      </c>
      <c r="C381" s="118" t="s">
        <v>465</v>
      </c>
      <c r="E381" s="118" t="s">
        <v>466</v>
      </c>
      <c r="F381" s="118" t="s">
        <v>2875</v>
      </c>
      <c r="G381" s="118" t="s">
        <v>1020</v>
      </c>
      <c r="H381" s="118" t="s">
        <v>63</v>
      </c>
      <c r="I381" s="118" t="s">
        <v>399</v>
      </c>
      <c r="J381" s="118" t="s">
        <v>400</v>
      </c>
      <c r="K381" s="118" t="s">
        <v>288</v>
      </c>
      <c r="L381" s="118" t="s">
        <v>283</v>
      </c>
      <c r="N381" s="118" t="s">
        <v>182</v>
      </c>
      <c r="O381" s="118" t="s">
        <v>402</v>
      </c>
      <c r="P381" s="118" t="s">
        <v>2876</v>
      </c>
      <c r="R381" s="118" t="s">
        <v>450</v>
      </c>
      <c r="S381" s="118" t="s">
        <v>2877</v>
      </c>
      <c r="T381" s="118" t="s">
        <v>2878</v>
      </c>
      <c r="U381" s="118" t="s">
        <v>1034</v>
      </c>
      <c r="V381" s="118" t="s">
        <v>1088</v>
      </c>
      <c r="W381" s="118" t="s">
        <v>2879</v>
      </c>
      <c r="X381" s="118" t="s">
        <v>2880</v>
      </c>
    </row>
    <row r="382">
      <c r="A382" s="158">
        <v>43838.591925925924</v>
      </c>
      <c r="B382" s="118" t="s">
        <v>2881</v>
      </c>
      <c r="C382" s="118" t="s">
        <v>2882</v>
      </c>
      <c r="D382" s="118" t="s">
        <v>2883</v>
      </c>
      <c r="E382" s="118" t="s">
        <v>2884</v>
      </c>
      <c r="F382" s="118" t="s">
        <v>460</v>
      </c>
      <c r="G382" s="118" t="s">
        <v>2885</v>
      </c>
      <c r="H382" s="118" t="s">
        <v>63</v>
      </c>
      <c r="I382" s="118" t="s">
        <v>288</v>
      </c>
      <c r="J382" s="118" t="s">
        <v>399</v>
      </c>
      <c r="N382" s="118" t="s">
        <v>2886</v>
      </c>
      <c r="O382" s="118" t="s">
        <v>402</v>
      </c>
      <c r="P382" s="118" t="s">
        <v>2887</v>
      </c>
      <c r="R382" s="118" t="s">
        <v>404</v>
      </c>
      <c r="S382" s="118" t="s">
        <v>2888</v>
      </c>
      <c r="T382" s="118" t="s">
        <v>2889</v>
      </c>
      <c r="U382" s="118" t="s">
        <v>1034</v>
      </c>
      <c r="V382" s="118" t="s">
        <v>1088</v>
      </c>
      <c r="X382" s="118" t="s">
        <v>1670</v>
      </c>
    </row>
    <row r="383">
      <c r="A383" s="158">
        <v>43840.35674295139</v>
      </c>
      <c r="B383" s="118" t="s">
        <v>2890</v>
      </c>
      <c r="C383" s="118" t="s">
        <v>2891</v>
      </c>
      <c r="D383" s="118" t="s">
        <v>2892</v>
      </c>
      <c r="E383" s="118" t="s">
        <v>2893</v>
      </c>
      <c r="F383" s="118" t="s">
        <v>460</v>
      </c>
      <c r="G383" s="118" t="s">
        <v>1098</v>
      </c>
      <c r="H383" s="118" t="s">
        <v>63</v>
      </c>
      <c r="I383" s="118" t="s">
        <v>399</v>
      </c>
      <c r="J383" s="118" t="s">
        <v>400</v>
      </c>
      <c r="K383" s="118" t="s">
        <v>288</v>
      </c>
      <c r="L383" s="118" t="s">
        <v>283</v>
      </c>
      <c r="M383" s="118" t="s">
        <v>150</v>
      </c>
      <c r="O383" s="118" t="s">
        <v>402</v>
      </c>
      <c r="P383" s="118" t="s">
        <v>2894</v>
      </c>
      <c r="R383" s="118" t="s">
        <v>450</v>
      </c>
      <c r="S383" s="118" t="s">
        <v>2895</v>
      </c>
      <c r="T383" s="118" t="s">
        <v>2896</v>
      </c>
      <c r="U383" s="118" t="s">
        <v>1059</v>
      </c>
      <c r="V383" s="118" t="s">
        <v>1088</v>
      </c>
      <c r="W383" s="118" t="s">
        <v>2897</v>
      </c>
      <c r="X383" s="118" t="s">
        <v>1670</v>
      </c>
    </row>
    <row r="384">
      <c r="A384" s="158">
        <v>43842.70257400463</v>
      </c>
      <c r="B384" s="118" t="s">
        <v>2898</v>
      </c>
      <c r="C384" s="118" t="s">
        <v>2899</v>
      </c>
      <c r="E384" s="118" t="s">
        <v>2900</v>
      </c>
      <c r="F384" s="118" t="s">
        <v>699</v>
      </c>
      <c r="G384" s="118" t="s">
        <v>1630</v>
      </c>
      <c r="H384" s="118" t="s">
        <v>276</v>
      </c>
      <c r="O384" s="118" t="s">
        <v>402</v>
      </c>
      <c r="P384" s="118" t="s">
        <v>1306</v>
      </c>
      <c r="R384" s="118" t="s">
        <v>450</v>
      </c>
      <c r="T384" s="118" t="s">
        <v>2901</v>
      </c>
      <c r="U384" s="118" t="s">
        <v>1094</v>
      </c>
      <c r="V384" s="118" t="s">
        <v>1088</v>
      </c>
      <c r="X384" s="118" t="s">
        <v>1680</v>
      </c>
    </row>
    <row r="385">
      <c r="A385" s="158">
        <v>43846.638648900465</v>
      </c>
      <c r="B385" s="118" t="s">
        <v>2902</v>
      </c>
      <c r="C385" s="118" t="s">
        <v>2903</v>
      </c>
      <c r="D385" s="118" t="s">
        <v>2904</v>
      </c>
      <c r="E385" s="118" t="s">
        <v>2905</v>
      </c>
      <c r="F385" s="118" t="s">
        <v>417</v>
      </c>
      <c r="G385" s="118" t="s">
        <v>2364</v>
      </c>
      <c r="H385" s="118" t="s">
        <v>276</v>
      </c>
      <c r="I385" s="118" t="s">
        <v>399</v>
      </c>
      <c r="J385" s="118" t="s">
        <v>288</v>
      </c>
      <c r="K385" s="118" t="s">
        <v>400</v>
      </c>
      <c r="L385" s="118" t="s">
        <v>283</v>
      </c>
      <c r="M385" s="118" t="s">
        <v>150</v>
      </c>
      <c r="N385" s="118" t="s">
        <v>1051</v>
      </c>
      <c r="O385" s="118" t="s">
        <v>277</v>
      </c>
      <c r="P385" s="118" t="s">
        <v>2906</v>
      </c>
      <c r="R385" s="118" t="s">
        <v>441</v>
      </c>
      <c r="S385" s="118" t="s">
        <v>2907</v>
      </c>
      <c r="T385" s="118" t="s">
        <v>2908</v>
      </c>
      <c r="U385" s="118" t="s">
        <v>1059</v>
      </c>
      <c r="V385" s="118" t="s">
        <v>1147</v>
      </c>
      <c r="X385" s="118" t="s">
        <v>1970</v>
      </c>
    </row>
    <row r="386">
      <c r="A386" s="158">
        <v>43846.63989085648</v>
      </c>
      <c r="B386" s="118" t="s">
        <v>1309</v>
      </c>
      <c r="C386" s="118" t="s">
        <v>2909</v>
      </c>
      <c r="D386" s="118" t="s">
        <v>2910</v>
      </c>
      <c r="E386" s="118" t="s">
        <v>1312</v>
      </c>
      <c r="F386" s="118" t="s">
        <v>491</v>
      </c>
      <c r="G386" s="118" t="s">
        <v>1215</v>
      </c>
      <c r="H386" s="118" t="s">
        <v>63</v>
      </c>
      <c r="I386" s="118" t="s">
        <v>399</v>
      </c>
      <c r="J386" s="118" t="s">
        <v>288</v>
      </c>
      <c r="K386" s="118" t="s">
        <v>400</v>
      </c>
      <c r="L386" s="118" t="s">
        <v>283</v>
      </c>
      <c r="M386" s="118" t="s">
        <v>150</v>
      </c>
      <c r="O386" s="118" t="s">
        <v>182</v>
      </c>
      <c r="P386" s="118" t="s">
        <v>177</v>
      </c>
      <c r="R386" s="118" t="s">
        <v>404</v>
      </c>
      <c r="S386" s="118" t="s">
        <v>2911</v>
      </c>
      <c r="T386" s="118" t="s">
        <v>2912</v>
      </c>
      <c r="U386" s="118" t="s">
        <v>1034</v>
      </c>
      <c r="V386" s="118" t="s">
        <v>1088</v>
      </c>
      <c r="X386" s="118" t="s">
        <v>1680</v>
      </c>
    </row>
    <row r="387">
      <c r="A387" s="158">
        <v>43846.65032980324</v>
      </c>
      <c r="B387" s="118" t="s">
        <v>2913</v>
      </c>
      <c r="C387" s="118" t="s">
        <v>2914</v>
      </c>
      <c r="D387" s="118" t="s">
        <v>2915</v>
      </c>
      <c r="E387" s="118" t="s">
        <v>2916</v>
      </c>
      <c r="F387" s="118" t="s">
        <v>491</v>
      </c>
      <c r="G387" s="118" t="s">
        <v>2620</v>
      </c>
      <c r="H387" s="118" t="s">
        <v>63</v>
      </c>
      <c r="I387" s="118" t="s">
        <v>399</v>
      </c>
      <c r="J387" s="118" t="s">
        <v>288</v>
      </c>
      <c r="K387" s="118" t="s">
        <v>150</v>
      </c>
      <c r="L387" s="118" t="s">
        <v>400</v>
      </c>
      <c r="M387" s="118" t="s">
        <v>283</v>
      </c>
      <c r="N387" s="118" t="s">
        <v>2917</v>
      </c>
      <c r="O387" s="118" t="s">
        <v>182</v>
      </c>
      <c r="R387" s="118" t="s">
        <v>450</v>
      </c>
      <c r="S387" s="118" t="s">
        <v>2918</v>
      </c>
      <c r="T387" s="118" t="s">
        <v>2919</v>
      </c>
      <c r="U387" s="118" t="s">
        <v>1059</v>
      </c>
      <c r="V387" s="118" t="s">
        <v>1088</v>
      </c>
      <c r="W387" s="118" t="s">
        <v>1101</v>
      </c>
      <c r="X387" s="118" t="s">
        <v>1880</v>
      </c>
    </row>
    <row r="388">
      <c r="A388" s="158">
        <v>43847.437877812496</v>
      </c>
      <c r="B388" s="118" t="s">
        <v>2758</v>
      </c>
      <c r="C388" s="118" t="s">
        <v>2759</v>
      </c>
      <c r="D388" s="118" t="s">
        <v>2760</v>
      </c>
      <c r="E388" s="118" t="s">
        <v>2761</v>
      </c>
      <c r="F388" s="118" t="s">
        <v>460</v>
      </c>
      <c r="G388" s="118" t="s">
        <v>1020</v>
      </c>
      <c r="H388" s="118" t="s">
        <v>63</v>
      </c>
      <c r="I388" s="118" t="s">
        <v>288</v>
      </c>
      <c r="N388" s="118" t="s">
        <v>2762</v>
      </c>
      <c r="O388" s="118" t="s">
        <v>277</v>
      </c>
      <c r="P388" s="118" t="s">
        <v>2763</v>
      </c>
      <c r="R388" s="118" t="s">
        <v>450</v>
      </c>
      <c r="S388" s="118" t="s">
        <v>2764</v>
      </c>
      <c r="T388" s="118" t="s">
        <v>2765</v>
      </c>
      <c r="U388" s="118" t="s">
        <v>1025</v>
      </c>
      <c r="V388" s="118" t="s">
        <v>1026</v>
      </c>
      <c r="X388" s="118" t="s">
        <v>2766</v>
      </c>
    </row>
    <row r="389">
      <c r="A389" s="158">
        <v>43847.669551747684</v>
      </c>
      <c r="B389" s="118" t="s">
        <v>2920</v>
      </c>
      <c r="C389" s="118" t="s">
        <v>702</v>
      </c>
      <c r="D389" s="118" t="s">
        <v>2921</v>
      </c>
      <c r="E389" s="118" t="s">
        <v>2922</v>
      </c>
      <c r="F389" s="118" t="s">
        <v>1065</v>
      </c>
      <c r="G389" s="118" t="s">
        <v>1098</v>
      </c>
      <c r="H389" s="118" t="s">
        <v>63</v>
      </c>
      <c r="I389" s="118" t="s">
        <v>399</v>
      </c>
      <c r="J389" s="118" t="s">
        <v>288</v>
      </c>
      <c r="N389" s="118" t="s">
        <v>2923</v>
      </c>
      <c r="O389" s="118" t="s">
        <v>182</v>
      </c>
      <c r="P389" s="118" t="s">
        <v>2924</v>
      </c>
      <c r="R389" s="118" t="s">
        <v>404</v>
      </c>
      <c r="S389" s="118" t="s">
        <v>2925</v>
      </c>
      <c r="T389" s="118" t="s">
        <v>2926</v>
      </c>
      <c r="U389" s="118" t="s">
        <v>1050</v>
      </c>
      <c r="V389" s="118" t="s">
        <v>2690</v>
      </c>
      <c r="W389" s="118" t="s">
        <v>715</v>
      </c>
      <c r="X389" s="118" t="s">
        <v>1680</v>
      </c>
    </row>
    <row r="390">
      <c r="A390" s="158">
        <v>43847.82158326389</v>
      </c>
      <c r="B390" s="118" t="s">
        <v>2927</v>
      </c>
      <c r="C390" s="118" t="s">
        <v>702</v>
      </c>
      <c r="E390" s="118" t="s">
        <v>2928</v>
      </c>
      <c r="F390" s="118" t="s">
        <v>1065</v>
      </c>
      <c r="G390" s="118" t="s">
        <v>1046</v>
      </c>
      <c r="H390" s="118" t="s">
        <v>63</v>
      </c>
      <c r="I390" s="118" t="s">
        <v>399</v>
      </c>
      <c r="J390" s="118" t="s">
        <v>288</v>
      </c>
      <c r="N390" s="118" t="s">
        <v>2929</v>
      </c>
      <c r="O390" s="118" t="s">
        <v>402</v>
      </c>
      <c r="P390" s="118" t="s">
        <v>2930</v>
      </c>
      <c r="R390" s="118" t="s">
        <v>404</v>
      </c>
      <c r="S390" s="118" t="s">
        <v>2931</v>
      </c>
      <c r="T390" s="118" t="s">
        <v>2926</v>
      </c>
      <c r="U390" s="118" t="s">
        <v>1130</v>
      </c>
      <c r="V390" s="118" t="s">
        <v>1088</v>
      </c>
      <c r="W390" s="118" t="s">
        <v>1101</v>
      </c>
      <c r="X390" s="118" t="s">
        <v>2289</v>
      </c>
    </row>
    <row r="391">
      <c r="A391" s="158">
        <v>43851.400375983794</v>
      </c>
      <c r="B391" s="118" t="s">
        <v>2932</v>
      </c>
      <c r="C391" s="118" t="s">
        <v>2933</v>
      </c>
      <c r="D391" s="118" t="s">
        <v>2934</v>
      </c>
      <c r="E391" s="118" t="s">
        <v>2935</v>
      </c>
      <c r="F391" s="118" t="s">
        <v>409</v>
      </c>
      <c r="G391" s="118" t="s">
        <v>1098</v>
      </c>
      <c r="H391" s="118" t="s">
        <v>276</v>
      </c>
      <c r="I391" s="118" t="s">
        <v>400</v>
      </c>
      <c r="J391" s="118" t="s">
        <v>150</v>
      </c>
      <c r="K391" s="118" t="s">
        <v>399</v>
      </c>
      <c r="L391" s="118" t="s">
        <v>288</v>
      </c>
      <c r="N391" s="118" t="s">
        <v>2936</v>
      </c>
      <c r="O391" s="118" t="s">
        <v>277</v>
      </c>
      <c r="P391" s="118" t="s">
        <v>2937</v>
      </c>
      <c r="R391" s="118" t="s">
        <v>404</v>
      </c>
      <c r="S391" s="118" t="s">
        <v>2938</v>
      </c>
      <c r="T391" s="118" t="s">
        <v>2939</v>
      </c>
      <c r="U391" s="118" t="s">
        <v>1025</v>
      </c>
      <c r="V391" s="118" t="s">
        <v>1147</v>
      </c>
      <c r="W391" s="118" t="s">
        <v>2940</v>
      </c>
      <c r="X391" s="118" t="s">
        <v>1670</v>
      </c>
    </row>
    <row r="392">
      <c r="A392" s="158">
        <v>43851.415571122685</v>
      </c>
      <c r="B392" s="118" t="s">
        <v>2932</v>
      </c>
      <c r="C392" s="118" t="s">
        <v>2933</v>
      </c>
      <c r="D392" s="118" t="s">
        <v>2934</v>
      </c>
      <c r="E392" s="118" t="s">
        <v>2935</v>
      </c>
      <c r="F392" s="118" t="s">
        <v>409</v>
      </c>
      <c r="G392" s="118" t="s">
        <v>1098</v>
      </c>
      <c r="H392" s="118" t="s">
        <v>276</v>
      </c>
      <c r="I392" s="118" t="s">
        <v>400</v>
      </c>
      <c r="J392" s="118" t="s">
        <v>150</v>
      </c>
      <c r="K392" s="118" t="s">
        <v>399</v>
      </c>
      <c r="L392" s="118" t="s">
        <v>288</v>
      </c>
      <c r="N392" s="118" t="s">
        <v>2936</v>
      </c>
      <c r="O392" s="118" t="s">
        <v>277</v>
      </c>
      <c r="P392" s="118" t="s">
        <v>2937</v>
      </c>
      <c r="R392" s="118" t="s">
        <v>404</v>
      </c>
      <c r="S392" s="118" t="s">
        <v>2938</v>
      </c>
      <c r="T392" s="118" t="s">
        <v>2939</v>
      </c>
      <c r="U392" s="118" t="s">
        <v>1025</v>
      </c>
      <c r="V392" s="118" t="s">
        <v>1147</v>
      </c>
      <c r="W392" s="118" t="s">
        <v>2940</v>
      </c>
      <c r="X392" s="118" t="s">
        <v>1670</v>
      </c>
    </row>
    <row r="393">
      <c r="A393" s="158">
        <v>43851.81640460648</v>
      </c>
      <c r="B393" s="118" t="s">
        <v>2941</v>
      </c>
      <c r="C393" s="118" t="s">
        <v>2942</v>
      </c>
      <c r="D393" s="118" t="s">
        <v>2943</v>
      </c>
      <c r="E393" s="118" t="s">
        <v>2944</v>
      </c>
      <c r="F393" s="118" t="s">
        <v>491</v>
      </c>
      <c r="G393" s="118" t="s">
        <v>1098</v>
      </c>
      <c r="H393" s="118" t="s">
        <v>63</v>
      </c>
      <c r="I393" s="118" t="s">
        <v>288</v>
      </c>
      <c r="J393" s="118" t="s">
        <v>400</v>
      </c>
      <c r="K393" s="118" t="s">
        <v>399</v>
      </c>
      <c r="L393" s="118" t="s">
        <v>283</v>
      </c>
      <c r="N393" s="118" t="s">
        <v>2945</v>
      </c>
      <c r="O393" s="118" t="s">
        <v>402</v>
      </c>
      <c r="P393" s="118" t="s">
        <v>251</v>
      </c>
      <c r="R393" s="118" t="s">
        <v>441</v>
      </c>
      <c r="S393" s="118" t="s">
        <v>2946</v>
      </c>
      <c r="T393" s="118" t="s">
        <v>251</v>
      </c>
      <c r="U393" s="118" t="s">
        <v>1758</v>
      </c>
      <c r="V393" s="118" t="s">
        <v>1088</v>
      </c>
      <c r="W393" s="118" t="s">
        <v>1101</v>
      </c>
      <c r="X393" s="118" t="s">
        <v>1880</v>
      </c>
    </row>
    <row r="394">
      <c r="A394" s="158">
        <v>43852.43157675926</v>
      </c>
      <c r="B394" s="118" t="s">
        <v>2947</v>
      </c>
      <c r="C394" s="118" t="s">
        <v>2948</v>
      </c>
      <c r="D394" s="118" t="s">
        <v>2949</v>
      </c>
      <c r="E394" s="118" t="s">
        <v>2950</v>
      </c>
      <c r="F394" s="118" t="s">
        <v>2951</v>
      </c>
      <c r="G394" s="118" t="s">
        <v>2952</v>
      </c>
      <c r="H394" s="118" t="s">
        <v>63</v>
      </c>
      <c r="I394" s="118" t="s">
        <v>399</v>
      </c>
      <c r="J394" s="118" t="s">
        <v>288</v>
      </c>
      <c r="K394" s="118" t="s">
        <v>150</v>
      </c>
      <c r="L394" s="118" t="s">
        <v>283</v>
      </c>
      <c r="M394" s="118" t="s">
        <v>400</v>
      </c>
      <c r="N394" s="118" t="s">
        <v>2953</v>
      </c>
      <c r="O394" s="118" t="s">
        <v>402</v>
      </c>
      <c r="S394" s="118" t="s">
        <v>2954</v>
      </c>
      <c r="T394" s="118" t="s">
        <v>2955</v>
      </c>
      <c r="U394" s="118" t="s">
        <v>1094</v>
      </c>
      <c r="V394" s="118" t="s">
        <v>1026</v>
      </c>
      <c r="X394" s="118" t="s">
        <v>2956</v>
      </c>
    </row>
    <row r="395">
      <c r="A395" s="158">
        <v>43852.75240540509</v>
      </c>
      <c r="B395" s="118" t="s">
        <v>2957</v>
      </c>
      <c r="C395" s="118" t="s">
        <v>2958</v>
      </c>
      <c r="E395" s="118" t="s">
        <v>2959</v>
      </c>
      <c r="F395" s="118" t="s">
        <v>460</v>
      </c>
      <c r="G395" s="118" t="s">
        <v>1020</v>
      </c>
      <c r="H395" s="118" t="s">
        <v>63</v>
      </c>
      <c r="I395" s="118" t="s">
        <v>399</v>
      </c>
      <c r="J395" s="118" t="s">
        <v>288</v>
      </c>
      <c r="N395" s="118" t="s">
        <v>2960</v>
      </c>
      <c r="O395" s="118" t="s">
        <v>277</v>
      </c>
      <c r="R395" s="118" t="s">
        <v>450</v>
      </c>
      <c r="S395" s="118" t="s">
        <v>2961</v>
      </c>
      <c r="U395" s="118" t="s">
        <v>1094</v>
      </c>
      <c r="V395" s="118" t="s">
        <v>1026</v>
      </c>
      <c r="X395" s="118" t="s">
        <v>2962</v>
      </c>
    </row>
    <row r="396">
      <c r="A396" s="158">
        <v>43853.673584606484</v>
      </c>
      <c r="B396" s="118" t="s">
        <v>2963</v>
      </c>
      <c r="C396" s="118" t="s">
        <v>246</v>
      </c>
      <c r="D396" s="118" t="s">
        <v>2964</v>
      </c>
      <c r="E396" s="118" t="s">
        <v>2965</v>
      </c>
      <c r="F396" s="118" t="s">
        <v>2966</v>
      </c>
      <c r="G396" s="118" t="s">
        <v>1098</v>
      </c>
      <c r="H396" s="118" t="s">
        <v>63</v>
      </c>
      <c r="I396" s="118" t="s">
        <v>399</v>
      </c>
      <c r="J396" s="118" t="s">
        <v>400</v>
      </c>
      <c r="K396" s="118" t="s">
        <v>288</v>
      </c>
      <c r="L396" s="118" t="s">
        <v>150</v>
      </c>
      <c r="M396" s="118" t="s">
        <v>283</v>
      </c>
      <c r="N396" s="118" t="s">
        <v>182</v>
      </c>
      <c r="O396" s="118" t="s">
        <v>402</v>
      </c>
      <c r="P396" s="118" t="s">
        <v>2967</v>
      </c>
      <c r="R396" s="118" t="s">
        <v>450</v>
      </c>
      <c r="S396" s="118" t="s">
        <v>2968</v>
      </c>
      <c r="T396" s="118" t="s">
        <v>2969</v>
      </c>
      <c r="U396" s="118" t="s">
        <v>1059</v>
      </c>
      <c r="V396" s="118" t="s">
        <v>1288</v>
      </c>
      <c r="X396" s="118" t="s">
        <v>1970</v>
      </c>
    </row>
    <row r="397">
      <c r="A397" s="158">
        <v>43855.67079949074</v>
      </c>
      <c r="B397" s="118" t="s">
        <v>2970</v>
      </c>
      <c r="C397" s="118" t="s">
        <v>2971</v>
      </c>
      <c r="D397" s="118" t="s">
        <v>2972</v>
      </c>
      <c r="E397" s="118" t="s">
        <v>2973</v>
      </c>
      <c r="F397" s="118" t="s">
        <v>417</v>
      </c>
      <c r="G397" s="118" t="s">
        <v>1098</v>
      </c>
      <c r="H397" s="118" t="s">
        <v>63</v>
      </c>
      <c r="I397" s="118" t="s">
        <v>150</v>
      </c>
      <c r="J397" s="118" t="s">
        <v>288</v>
      </c>
      <c r="K397" s="118" t="s">
        <v>283</v>
      </c>
      <c r="L397" s="118" t="s">
        <v>400</v>
      </c>
      <c r="M397" s="118" t="s">
        <v>399</v>
      </c>
      <c r="N397" s="118" t="s">
        <v>2974</v>
      </c>
      <c r="O397" s="118" t="s">
        <v>277</v>
      </c>
      <c r="P397" s="118" t="s">
        <v>2975</v>
      </c>
      <c r="R397" s="118" t="s">
        <v>450</v>
      </c>
      <c r="S397" s="118" t="s">
        <v>2976</v>
      </c>
      <c r="T397" s="118" t="s">
        <v>2977</v>
      </c>
      <c r="U397" s="118" t="s">
        <v>1130</v>
      </c>
      <c r="V397" s="118" t="s">
        <v>2978</v>
      </c>
      <c r="W397" s="118" t="s">
        <v>2979</v>
      </c>
      <c r="X397" s="118" t="s">
        <v>2980</v>
      </c>
    </row>
    <row r="398">
      <c r="A398" s="158">
        <v>43855.81422399306</v>
      </c>
      <c r="B398" s="118" t="s">
        <v>2981</v>
      </c>
      <c r="C398" s="118" t="s">
        <v>611</v>
      </c>
      <c r="D398" s="118" t="s">
        <v>2982</v>
      </c>
      <c r="E398" s="118" t="s">
        <v>2983</v>
      </c>
      <c r="F398" s="118" t="s">
        <v>430</v>
      </c>
      <c r="G398" s="118" t="s">
        <v>2984</v>
      </c>
      <c r="H398" s="118" t="s">
        <v>276</v>
      </c>
      <c r="I398" s="118" t="s">
        <v>288</v>
      </c>
      <c r="J398" s="118" t="s">
        <v>399</v>
      </c>
      <c r="K398" s="118" t="s">
        <v>400</v>
      </c>
      <c r="L398" s="118" t="s">
        <v>283</v>
      </c>
      <c r="N398" s="118" t="s">
        <v>2985</v>
      </c>
      <c r="O398" s="118" t="s">
        <v>277</v>
      </c>
      <c r="P398" s="118" t="s">
        <v>2986</v>
      </c>
      <c r="R398" s="118" t="s">
        <v>404</v>
      </c>
      <c r="T398" s="118" t="s">
        <v>2987</v>
      </c>
      <c r="U398" s="118" t="s">
        <v>1025</v>
      </c>
      <c r="V398" s="118" t="s">
        <v>1026</v>
      </c>
      <c r="W398" s="118" t="s">
        <v>1078</v>
      </c>
      <c r="X398" s="118" t="s">
        <v>2988</v>
      </c>
    </row>
    <row r="399">
      <c r="A399" s="158">
        <v>43856.76751327547</v>
      </c>
      <c r="B399" s="118" t="s">
        <v>2989</v>
      </c>
      <c r="C399" s="118" t="s">
        <v>1166</v>
      </c>
      <c r="D399" s="118" t="s">
        <v>2990</v>
      </c>
      <c r="E399" s="118" t="s">
        <v>2991</v>
      </c>
      <c r="F399" s="118" t="s">
        <v>699</v>
      </c>
      <c r="G399" s="118" t="s">
        <v>1459</v>
      </c>
      <c r="H399" s="118" t="s">
        <v>276</v>
      </c>
      <c r="I399" s="118" t="s">
        <v>288</v>
      </c>
      <c r="J399" s="118" t="s">
        <v>400</v>
      </c>
      <c r="K399" s="118" t="s">
        <v>399</v>
      </c>
      <c r="L399" s="118" t="s">
        <v>283</v>
      </c>
      <c r="M399" s="118" t="s">
        <v>150</v>
      </c>
      <c r="O399" s="118" t="s">
        <v>402</v>
      </c>
      <c r="R399" s="118" t="s">
        <v>450</v>
      </c>
      <c r="S399" s="118" t="s">
        <v>2992</v>
      </c>
      <c r="T399" s="118" t="s">
        <v>2993</v>
      </c>
      <c r="U399" s="118" t="s">
        <v>1130</v>
      </c>
      <c r="V399" s="118" t="s">
        <v>1288</v>
      </c>
      <c r="X399" s="118" t="s">
        <v>2665</v>
      </c>
    </row>
    <row r="400">
      <c r="A400" s="158">
        <v>43859.26483828704</v>
      </c>
      <c r="B400" s="118" t="s">
        <v>2305</v>
      </c>
      <c r="C400" s="118" t="s">
        <v>2306</v>
      </c>
      <c r="E400" s="118" t="s">
        <v>2307</v>
      </c>
      <c r="F400" s="118" t="s">
        <v>699</v>
      </c>
      <c r="G400" s="118" t="s">
        <v>1020</v>
      </c>
      <c r="H400" s="118" t="s">
        <v>63</v>
      </c>
      <c r="I400" s="118" t="s">
        <v>399</v>
      </c>
      <c r="J400" s="118" t="s">
        <v>288</v>
      </c>
      <c r="K400" s="118" t="s">
        <v>150</v>
      </c>
      <c r="L400" s="118" t="s">
        <v>283</v>
      </c>
      <c r="M400" s="118" t="s">
        <v>400</v>
      </c>
      <c r="O400" s="118" t="s">
        <v>402</v>
      </c>
      <c r="P400" s="118" t="s">
        <v>2994</v>
      </c>
      <c r="R400" s="118" t="s">
        <v>450</v>
      </c>
      <c r="S400" s="118" t="s">
        <v>2995</v>
      </c>
      <c r="U400" s="118" t="s">
        <v>1025</v>
      </c>
      <c r="V400" s="118" t="s">
        <v>1088</v>
      </c>
      <c r="X400" s="118" t="s">
        <v>2996</v>
      </c>
    </row>
    <row r="401">
      <c r="A401" s="158">
        <v>43860.45192450231</v>
      </c>
      <c r="B401" s="118" t="s">
        <v>2997</v>
      </c>
      <c r="C401" s="118" t="s">
        <v>2759</v>
      </c>
      <c r="D401" s="118" t="s">
        <v>2998</v>
      </c>
      <c r="E401" s="118" t="s">
        <v>2999</v>
      </c>
      <c r="F401" s="118" t="s">
        <v>417</v>
      </c>
      <c r="G401" s="118" t="s">
        <v>1098</v>
      </c>
      <c r="H401" s="118" t="s">
        <v>63</v>
      </c>
      <c r="I401" s="118" t="s">
        <v>288</v>
      </c>
      <c r="J401" s="118" t="s">
        <v>399</v>
      </c>
      <c r="K401" s="118" t="s">
        <v>400</v>
      </c>
      <c r="N401" s="118" t="s">
        <v>3000</v>
      </c>
      <c r="O401" s="118" t="s">
        <v>402</v>
      </c>
      <c r="P401" s="118" t="s">
        <v>3001</v>
      </c>
      <c r="R401" s="118" t="s">
        <v>404</v>
      </c>
      <c r="S401" s="118" t="s">
        <v>3002</v>
      </c>
      <c r="T401" s="118" t="s">
        <v>3003</v>
      </c>
      <c r="U401" s="118" t="s">
        <v>1025</v>
      </c>
      <c r="V401" s="118" t="s">
        <v>1026</v>
      </c>
      <c r="X401" s="118" t="s">
        <v>3004</v>
      </c>
    </row>
    <row r="402">
      <c r="A402" s="158">
        <v>43861.467030115746</v>
      </c>
      <c r="B402" s="118" t="s">
        <v>3005</v>
      </c>
      <c r="C402" s="118" t="s">
        <v>3006</v>
      </c>
      <c r="D402" s="118" t="s">
        <v>3007</v>
      </c>
      <c r="E402" s="118" t="s">
        <v>3008</v>
      </c>
      <c r="F402" s="118" t="s">
        <v>1019</v>
      </c>
      <c r="G402" s="118" t="s">
        <v>1459</v>
      </c>
      <c r="H402" s="118" t="s">
        <v>63</v>
      </c>
      <c r="I402" s="118" t="s">
        <v>288</v>
      </c>
      <c r="J402" s="118" t="s">
        <v>399</v>
      </c>
      <c r="N402" s="118" t="s">
        <v>3009</v>
      </c>
      <c r="O402" s="118" t="s">
        <v>182</v>
      </c>
      <c r="R402" s="118" t="s">
        <v>441</v>
      </c>
      <c r="S402" s="118" t="s">
        <v>3010</v>
      </c>
      <c r="T402" s="118" t="s">
        <v>3011</v>
      </c>
      <c r="U402" s="118" t="s">
        <v>1025</v>
      </c>
      <c r="V402" s="118" t="s">
        <v>1088</v>
      </c>
      <c r="X402" s="118" t="s">
        <v>3012</v>
      </c>
    </row>
    <row r="403">
      <c r="A403" s="158">
        <v>43861.726854016204</v>
      </c>
      <c r="B403" s="118" t="s">
        <v>3013</v>
      </c>
      <c r="C403" s="118" t="s">
        <v>1166</v>
      </c>
      <c r="D403" s="118" t="s">
        <v>3014</v>
      </c>
      <c r="E403" s="118" t="s">
        <v>3015</v>
      </c>
      <c r="F403" s="118" t="s">
        <v>699</v>
      </c>
      <c r="G403" s="118" t="s">
        <v>1020</v>
      </c>
      <c r="H403" s="118" t="s">
        <v>63</v>
      </c>
      <c r="I403" s="118" t="s">
        <v>399</v>
      </c>
      <c r="J403" s="118" t="s">
        <v>288</v>
      </c>
      <c r="K403" s="118" t="s">
        <v>150</v>
      </c>
      <c r="L403" s="118" t="s">
        <v>283</v>
      </c>
      <c r="M403" s="118" t="s">
        <v>400</v>
      </c>
      <c r="O403" s="118" t="s">
        <v>277</v>
      </c>
      <c r="R403" s="118" t="s">
        <v>450</v>
      </c>
      <c r="S403" s="118" t="s">
        <v>3016</v>
      </c>
      <c r="T403" s="118" t="s">
        <v>715</v>
      </c>
      <c r="U403" s="118" t="s">
        <v>1094</v>
      </c>
      <c r="V403" s="118" t="s">
        <v>1088</v>
      </c>
      <c r="X403" s="118" t="s">
        <v>2289</v>
      </c>
    </row>
    <row r="404">
      <c r="A404" s="158">
        <v>43864.262984016204</v>
      </c>
      <c r="B404" s="118" t="s">
        <v>3017</v>
      </c>
      <c r="C404" s="118" t="s">
        <v>3018</v>
      </c>
      <c r="E404" s="118" t="s">
        <v>3019</v>
      </c>
      <c r="F404" s="118" t="s">
        <v>460</v>
      </c>
      <c r="G404" s="118" t="s">
        <v>1020</v>
      </c>
      <c r="H404" s="118" t="s">
        <v>276</v>
      </c>
      <c r="I404" s="118" t="s">
        <v>288</v>
      </c>
      <c r="J404" s="118" t="s">
        <v>283</v>
      </c>
      <c r="K404" s="118" t="s">
        <v>399</v>
      </c>
      <c r="N404" s="118" t="s">
        <v>3020</v>
      </c>
      <c r="O404" s="118" t="s">
        <v>277</v>
      </c>
      <c r="P404" s="118" t="s">
        <v>3021</v>
      </c>
      <c r="R404" s="118" t="s">
        <v>450</v>
      </c>
      <c r="T404" s="118" t="s">
        <v>3022</v>
      </c>
      <c r="U404" s="118" t="s">
        <v>1094</v>
      </c>
      <c r="V404" s="118" t="s">
        <v>1147</v>
      </c>
      <c r="X404" s="118" t="s">
        <v>3023</v>
      </c>
    </row>
    <row r="405">
      <c r="A405" s="158">
        <v>43865.9567553588</v>
      </c>
      <c r="B405" s="118" t="s">
        <v>3024</v>
      </c>
      <c r="C405" s="118" t="s">
        <v>3025</v>
      </c>
      <c r="D405" s="118" t="s">
        <v>3026</v>
      </c>
      <c r="E405" s="118" t="s">
        <v>3027</v>
      </c>
      <c r="F405" s="118" t="s">
        <v>3028</v>
      </c>
      <c r="G405" s="118" t="s">
        <v>1098</v>
      </c>
      <c r="H405" s="118" t="s">
        <v>63</v>
      </c>
      <c r="I405" s="118" t="s">
        <v>400</v>
      </c>
      <c r="J405" s="118" t="s">
        <v>3029</v>
      </c>
      <c r="O405" s="118" t="s">
        <v>402</v>
      </c>
      <c r="P405" s="118" t="s">
        <v>3030</v>
      </c>
      <c r="R405" s="118" t="s">
        <v>450</v>
      </c>
      <c r="T405" s="118" t="s">
        <v>3031</v>
      </c>
      <c r="U405" s="118" t="s">
        <v>1287</v>
      </c>
      <c r="V405" s="118" t="s">
        <v>1147</v>
      </c>
      <c r="X405" s="118" t="s">
        <v>3032</v>
      </c>
    </row>
    <row r="406">
      <c r="A406" s="158">
        <v>43866.44147280093</v>
      </c>
      <c r="B406" s="118" t="s">
        <v>3033</v>
      </c>
      <c r="C406" s="118" t="s">
        <v>3034</v>
      </c>
      <c r="D406" s="118" t="s">
        <v>3035</v>
      </c>
      <c r="E406" s="118" t="s">
        <v>3036</v>
      </c>
      <c r="F406" s="118" t="s">
        <v>430</v>
      </c>
      <c r="G406" s="118" t="s">
        <v>1098</v>
      </c>
      <c r="H406" s="118" t="s">
        <v>63</v>
      </c>
      <c r="I406" s="118" t="s">
        <v>283</v>
      </c>
      <c r="N406" s="118" t="s">
        <v>3037</v>
      </c>
      <c r="O406" s="118" t="s">
        <v>402</v>
      </c>
      <c r="P406" s="118" t="s">
        <v>3038</v>
      </c>
      <c r="R406" s="118" t="s">
        <v>404</v>
      </c>
      <c r="S406" s="118" t="s">
        <v>3039</v>
      </c>
      <c r="U406" s="118" t="s">
        <v>1034</v>
      </c>
      <c r="V406" s="118" t="s">
        <v>1288</v>
      </c>
      <c r="W406" s="118" t="s">
        <v>3040</v>
      </c>
      <c r="X406" s="118" t="s">
        <v>3041</v>
      </c>
    </row>
    <row r="407">
      <c r="A407" s="158">
        <v>43866.64748186343</v>
      </c>
      <c r="B407" s="118" t="s">
        <v>3042</v>
      </c>
      <c r="C407" s="118" t="s">
        <v>3043</v>
      </c>
      <c r="E407" s="118" t="s">
        <v>3044</v>
      </c>
      <c r="F407" s="118" t="s">
        <v>3045</v>
      </c>
      <c r="G407" s="118" t="s">
        <v>2074</v>
      </c>
      <c r="H407" s="118" t="s">
        <v>276</v>
      </c>
      <c r="I407" s="118" t="s">
        <v>288</v>
      </c>
      <c r="J407" s="118" t="s">
        <v>400</v>
      </c>
      <c r="K407" s="118" t="s">
        <v>399</v>
      </c>
      <c r="O407" s="118" t="s">
        <v>402</v>
      </c>
      <c r="R407" s="118" t="s">
        <v>450</v>
      </c>
      <c r="S407" s="118" t="s">
        <v>3046</v>
      </c>
      <c r="U407" s="118" t="s">
        <v>1094</v>
      </c>
      <c r="V407" s="118" t="s">
        <v>1088</v>
      </c>
      <c r="X407" s="118" t="s">
        <v>2228</v>
      </c>
    </row>
    <row r="408">
      <c r="A408" s="158">
        <v>43867.47342606481</v>
      </c>
      <c r="B408" s="118" t="s">
        <v>3047</v>
      </c>
      <c r="C408" s="118" t="s">
        <v>3048</v>
      </c>
      <c r="D408" s="118" t="s">
        <v>3049</v>
      </c>
      <c r="E408" s="118" t="s">
        <v>3050</v>
      </c>
      <c r="F408" s="118" t="s">
        <v>430</v>
      </c>
      <c r="G408" s="118" t="s">
        <v>3051</v>
      </c>
      <c r="H408" s="118" t="s">
        <v>63</v>
      </c>
      <c r="I408" s="118" t="s">
        <v>399</v>
      </c>
      <c r="J408" s="118" t="s">
        <v>288</v>
      </c>
      <c r="K408" s="118" t="s">
        <v>400</v>
      </c>
      <c r="L408" s="118" t="s">
        <v>283</v>
      </c>
      <c r="N408" s="118" t="s">
        <v>3052</v>
      </c>
      <c r="O408" s="118" t="s">
        <v>402</v>
      </c>
      <c r="P408" s="118" t="s">
        <v>50</v>
      </c>
      <c r="R408" s="118" t="s">
        <v>404</v>
      </c>
      <c r="S408" s="118" t="s">
        <v>3053</v>
      </c>
      <c r="T408" s="118" t="s">
        <v>3054</v>
      </c>
      <c r="U408" s="118" t="s">
        <v>1034</v>
      </c>
      <c r="V408" s="118" t="s">
        <v>1026</v>
      </c>
      <c r="W408" s="118" t="s">
        <v>1078</v>
      </c>
      <c r="X408" s="118" t="s">
        <v>2400</v>
      </c>
    </row>
    <row r="409">
      <c r="A409" s="158">
        <v>43872.95169854167</v>
      </c>
      <c r="B409" s="118" t="s">
        <v>3055</v>
      </c>
      <c r="C409" s="118" t="s">
        <v>879</v>
      </c>
      <c r="D409" s="118" t="s">
        <v>3056</v>
      </c>
      <c r="E409" s="118" t="s">
        <v>3057</v>
      </c>
      <c r="F409" s="118" t="s">
        <v>430</v>
      </c>
      <c r="G409" s="118" t="s">
        <v>1630</v>
      </c>
      <c r="H409" s="118" t="s">
        <v>63</v>
      </c>
      <c r="I409" s="118" t="s">
        <v>288</v>
      </c>
      <c r="J409" s="118" t="s">
        <v>150</v>
      </c>
      <c r="K409" s="118" t="s">
        <v>400</v>
      </c>
      <c r="L409" s="118" t="s">
        <v>283</v>
      </c>
      <c r="M409" s="118" t="s">
        <v>399</v>
      </c>
      <c r="N409" s="118" t="s">
        <v>3058</v>
      </c>
      <c r="O409" s="118" t="s">
        <v>402</v>
      </c>
      <c r="P409" s="118" t="s">
        <v>277</v>
      </c>
      <c r="R409" s="118" t="s">
        <v>404</v>
      </c>
      <c r="S409" s="118" t="s">
        <v>3059</v>
      </c>
      <c r="T409" s="118" t="s">
        <v>3060</v>
      </c>
      <c r="U409" s="118" t="s">
        <v>1025</v>
      </c>
      <c r="V409" s="118" t="s">
        <v>1026</v>
      </c>
      <c r="W409" s="118" t="s">
        <v>3061</v>
      </c>
      <c r="X409" s="118" t="s">
        <v>1680</v>
      </c>
    </row>
    <row r="410">
      <c r="Y410" s="129"/>
    </row>
    <row r="411">
      <c r="Y411" s="129"/>
    </row>
    <row r="412">
      <c r="Y412" s="129"/>
    </row>
    <row r="413">
      <c r="Y413" s="129"/>
    </row>
    <row r="414">
      <c r="Y414" s="129"/>
    </row>
    <row r="415">
      <c r="Y415" s="129"/>
    </row>
    <row r="416">
      <c r="Y416" s="129"/>
    </row>
    <row r="417">
      <c r="Y417" s="129"/>
    </row>
    <row r="418">
      <c r="Y418" s="129"/>
    </row>
    <row r="419">
      <c r="Y419" s="129"/>
    </row>
    <row r="420">
      <c r="Y420" s="129"/>
    </row>
    <row r="421">
      <c r="Y421" s="129"/>
    </row>
    <row r="422">
      <c r="Y422" s="129"/>
    </row>
    <row r="423">
      <c r="Y423" s="129"/>
    </row>
    <row r="424">
      <c r="Y424" s="129"/>
    </row>
    <row r="425">
      <c r="Y425" s="129"/>
    </row>
    <row r="426">
      <c r="Y426" s="129"/>
    </row>
    <row r="427">
      <c r="Y427" s="129"/>
    </row>
    <row r="428">
      <c r="Y428" s="129"/>
    </row>
    <row r="429">
      <c r="Y429" s="129"/>
    </row>
    <row r="430">
      <c r="Y430" s="129"/>
    </row>
    <row r="431">
      <c r="Y431" s="129"/>
    </row>
    <row r="432">
      <c r="Y432" s="129"/>
    </row>
    <row r="433">
      <c r="Y433" s="129"/>
    </row>
    <row r="434">
      <c r="Y434" s="129"/>
    </row>
    <row r="435">
      <c r="Y435" s="129"/>
    </row>
    <row r="436">
      <c r="Y436" s="129"/>
    </row>
    <row r="437">
      <c r="Y437" s="129"/>
    </row>
    <row r="438">
      <c r="Y438" s="129"/>
    </row>
    <row r="439">
      <c r="Y439" s="129"/>
    </row>
    <row r="440">
      <c r="Y440" s="129"/>
    </row>
    <row r="441">
      <c r="Y441" s="129"/>
    </row>
    <row r="442">
      <c r="Y442" s="129"/>
    </row>
    <row r="443">
      <c r="Y443" s="129"/>
    </row>
    <row r="444">
      <c r="Y444" s="129"/>
    </row>
    <row r="445">
      <c r="Y445" s="129"/>
    </row>
    <row r="446">
      <c r="Y446" s="129"/>
    </row>
    <row r="447">
      <c r="Y447" s="129"/>
    </row>
    <row r="448">
      <c r="Y448" s="129"/>
    </row>
    <row r="449">
      <c r="Y449" s="129"/>
    </row>
    <row r="450">
      <c r="Y450" s="129"/>
    </row>
    <row r="451">
      <c r="Y451" s="129"/>
    </row>
    <row r="452">
      <c r="Y452" s="129"/>
    </row>
    <row r="453">
      <c r="Y453" s="129"/>
    </row>
    <row r="454">
      <c r="Y454" s="129"/>
    </row>
    <row r="455">
      <c r="Y455" s="129"/>
    </row>
    <row r="456">
      <c r="Y456" s="129"/>
    </row>
    <row r="457">
      <c r="Y457" s="129"/>
    </row>
    <row r="458">
      <c r="Y458" s="129"/>
    </row>
    <row r="459">
      <c r="Y459" s="129"/>
    </row>
    <row r="460">
      <c r="Y460" s="129"/>
    </row>
    <row r="461">
      <c r="Y461" s="129"/>
    </row>
    <row r="462">
      <c r="Y462" s="129"/>
    </row>
    <row r="463">
      <c r="Y463" s="129"/>
    </row>
    <row r="464">
      <c r="Y464" s="129"/>
    </row>
    <row r="465">
      <c r="Y465" s="129"/>
    </row>
    <row r="466">
      <c r="Y466" s="129"/>
    </row>
    <row r="467">
      <c r="Y467" s="129"/>
    </row>
    <row r="468">
      <c r="Y468" s="129"/>
    </row>
    <row r="469">
      <c r="Y469" s="129"/>
    </row>
    <row r="470">
      <c r="Y470" s="129"/>
    </row>
    <row r="471">
      <c r="Y471" s="129"/>
    </row>
    <row r="472">
      <c r="Y472" s="129"/>
    </row>
    <row r="473">
      <c r="Y473" s="129"/>
    </row>
    <row r="474">
      <c r="Y474" s="129"/>
    </row>
    <row r="475">
      <c r="Y475" s="129"/>
    </row>
    <row r="476">
      <c r="Y476" s="129"/>
    </row>
    <row r="477">
      <c r="Y477" s="129"/>
    </row>
    <row r="478">
      <c r="Y478" s="129"/>
    </row>
    <row r="479">
      <c r="Y479" s="129"/>
    </row>
    <row r="480">
      <c r="Y480" s="129"/>
    </row>
    <row r="481">
      <c r="Y481" s="129"/>
    </row>
    <row r="482">
      <c r="Y482" s="129"/>
    </row>
    <row r="483">
      <c r="Y483" s="129"/>
    </row>
    <row r="484">
      <c r="Y484" s="129"/>
    </row>
    <row r="485">
      <c r="Y485" s="129"/>
    </row>
    <row r="486">
      <c r="Y486" s="129"/>
    </row>
    <row r="487">
      <c r="Y487" s="129"/>
    </row>
    <row r="488">
      <c r="Y488" s="129"/>
    </row>
    <row r="489">
      <c r="Y489" s="129"/>
    </row>
    <row r="490">
      <c r="Y490" s="129"/>
    </row>
    <row r="491">
      <c r="Y491" s="129"/>
    </row>
    <row r="492">
      <c r="Y492" s="129"/>
    </row>
    <row r="493">
      <c r="Y493" s="129"/>
    </row>
    <row r="494">
      <c r="Y494" s="129"/>
    </row>
    <row r="495">
      <c r="Y495" s="129"/>
    </row>
    <row r="496">
      <c r="Y496" s="129"/>
    </row>
    <row r="497">
      <c r="Y497" s="129"/>
    </row>
    <row r="498">
      <c r="Y498" s="129"/>
    </row>
    <row r="499">
      <c r="Y499" s="129"/>
    </row>
    <row r="500">
      <c r="Y500" s="129"/>
    </row>
    <row r="501">
      <c r="Y501" s="129"/>
    </row>
    <row r="502">
      <c r="Y502" s="129"/>
    </row>
    <row r="503">
      <c r="Y503" s="129"/>
    </row>
    <row r="504">
      <c r="Y504" s="129"/>
    </row>
    <row r="505">
      <c r="Y505" s="129"/>
    </row>
    <row r="506">
      <c r="Y506" s="129"/>
    </row>
    <row r="507">
      <c r="Y507" s="129"/>
    </row>
    <row r="508">
      <c r="Y508" s="129"/>
    </row>
    <row r="509">
      <c r="Y509" s="129"/>
    </row>
    <row r="510">
      <c r="Y510" s="129"/>
    </row>
    <row r="511">
      <c r="Y511" s="129"/>
    </row>
    <row r="512">
      <c r="Y512" s="129"/>
    </row>
    <row r="513">
      <c r="Y513" s="129"/>
    </row>
    <row r="514">
      <c r="Y514" s="129"/>
    </row>
    <row r="515">
      <c r="Y515" s="129"/>
    </row>
    <row r="516">
      <c r="Y516" s="129"/>
    </row>
    <row r="517">
      <c r="Y517" s="129"/>
    </row>
    <row r="518">
      <c r="Y518" s="129"/>
    </row>
    <row r="519">
      <c r="Y519" s="129"/>
    </row>
    <row r="520">
      <c r="Y520" s="129"/>
    </row>
    <row r="521">
      <c r="Y521" s="129"/>
    </row>
    <row r="522">
      <c r="Y522" s="129"/>
    </row>
    <row r="523">
      <c r="Y523" s="129"/>
    </row>
    <row r="524">
      <c r="Y524" s="129"/>
    </row>
    <row r="525">
      <c r="Y525" s="129"/>
    </row>
    <row r="526">
      <c r="Y526" s="129"/>
    </row>
    <row r="527">
      <c r="Y527" s="129"/>
    </row>
    <row r="528">
      <c r="Y528" s="129"/>
    </row>
    <row r="529">
      <c r="Y529" s="129"/>
    </row>
    <row r="530">
      <c r="Y530" s="129"/>
    </row>
    <row r="531">
      <c r="Y531" s="129"/>
    </row>
    <row r="532">
      <c r="Y532" s="129"/>
    </row>
    <row r="533">
      <c r="Y533" s="129"/>
    </row>
    <row r="534">
      <c r="Y534" s="129"/>
    </row>
    <row r="535">
      <c r="Y535" s="129"/>
    </row>
    <row r="536">
      <c r="Y536" s="129"/>
    </row>
    <row r="537">
      <c r="Y537" s="129"/>
    </row>
    <row r="538">
      <c r="Y538" s="129"/>
    </row>
    <row r="539">
      <c r="Y539" s="129"/>
    </row>
    <row r="540">
      <c r="Y540" s="129"/>
    </row>
    <row r="541">
      <c r="Y541" s="129"/>
    </row>
    <row r="542">
      <c r="Y542" s="129"/>
    </row>
    <row r="543">
      <c r="Y543" s="129"/>
    </row>
    <row r="544">
      <c r="Y544" s="129"/>
    </row>
    <row r="545">
      <c r="Y545" s="129"/>
    </row>
    <row r="546">
      <c r="Y546" s="129"/>
    </row>
    <row r="547">
      <c r="Y547" s="129"/>
    </row>
    <row r="548">
      <c r="Y548" s="129"/>
    </row>
    <row r="549">
      <c r="Y549" s="129"/>
    </row>
    <row r="550">
      <c r="Y550" s="129"/>
    </row>
    <row r="551">
      <c r="Y551" s="129"/>
    </row>
    <row r="552">
      <c r="Y552" s="129"/>
    </row>
    <row r="553">
      <c r="Y553" s="129"/>
    </row>
    <row r="554">
      <c r="Y554" s="129"/>
    </row>
    <row r="555">
      <c r="Y555" s="129"/>
    </row>
    <row r="556">
      <c r="Y556" s="129"/>
    </row>
    <row r="557">
      <c r="Y557" s="129"/>
    </row>
    <row r="558">
      <c r="Y558" s="129"/>
    </row>
    <row r="559">
      <c r="Y559" s="129"/>
    </row>
    <row r="560">
      <c r="Y560" s="129"/>
    </row>
    <row r="561">
      <c r="Y561" s="129"/>
    </row>
    <row r="562">
      <c r="Y562" s="129"/>
    </row>
    <row r="563">
      <c r="Y563" s="129"/>
    </row>
    <row r="564">
      <c r="Y564" s="129"/>
    </row>
    <row r="565">
      <c r="Y565" s="129"/>
    </row>
    <row r="566">
      <c r="Y566" s="129"/>
    </row>
    <row r="567">
      <c r="Y567" s="129"/>
    </row>
    <row r="568">
      <c r="Y568" s="129"/>
    </row>
    <row r="569">
      <c r="Y569" s="129"/>
    </row>
    <row r="570">
      <c r="Y570" s="129"/>
    </row>
    <row r="571">
      <c r="Y571" s="129"/>
    </row>
    <row r="572">
      <c r="Y572" s="129"/>
    </row>
    <row r="573">
      <c r="Y573" s="129"/>
    </row>
    <row r="574">
      <c r="Y574" s="129"/>
    </row>
    <row r="575">
      <c r="Y575" s="129"/>
    </row>
    <row r="576">
      <c r="Y576" s="129"/>
    </row>
    <row r="577">
      <c r="Y577" s="129"/>
    </row>
    <row r="578">
      <c r="Y578" s="129"/>
    </row>
    <row r="579">
      <c r="Y579" s="129"/>
    </row>
    <row r="580">
      <c r="Y580" s="129"/>
    </row>
    <row r="581">
      <c r="Y581" s="129"/>
    </row>
    <row r="582">
      <c r="Y582" s="129"/>
    </row>
    <row r="583">
      <c r="Y583" s="129"/>
    </row>
    <row r="584">
      <c r="Y584" s="129"/>
    </row>
    <row r="585">
      <c r="Y585" s="129"/>
    </row>
    <row r="586">
      <c r="Y586" s="129"/>
    </row>
    <row r="587">
      <c r="Y587" s="129"/>
    </row>
    <row r="588">
      <c r="Y588" s="129"/>
    </row>
    <row r="589">
      <c r="Y589" s="129"/>
    </row>
    <row r="590">
      <c r="Y590" s="129"/>
    </row>
    <row r="591">
      <c r="Y591" s="129"/>
    </row>
    <row r="592">
      <c r="Y592" s="129"/>
    </row>
    <row r="593">
      <c r="Y593" s="129"/>
    </row>
    <row r="594">
      <c r="Y594" s="129"/>
    </row>
    <row r="595">
      <c r="Y595" s="129"/>
    </row>
    <row r="596">
      <c r="Y596" s="129"/>
    </row>
    <row r="597">
      <c r="Y597" s="129"/>
    </row>
    <row r="598">
      <c r="Y598" s="129"/>
    </row>
    <row r="599">
      <c r="Y599" s="129"/>
    </row>
    <row r="600">
      <c r="Y600" s="129"/>
    </row>
    <row r="601">
      <c r="Y601" s="129"/>
    </row>
    <row r="602">
      <c r="Y602" s="129"/>
    </row>
    <row r="603">
      <c r="Y603" s="129"/>
    </row>
    <row r="604">
      <c r="Y604" s="129"/>
    </row>
    <row r="605">
      <c r="Y605" s="129"/>
    </row>
    <row r="606">
      <c r="Y606" s="129"/>
    </row>
    <row r="607">
      <c r="Y607" s="129"/>
    </row>
    <row r="608">
      <c r="Y608" s="129"/>
    </row>
    <row r="609">
      <c r="Y609" s="129"/>
    </row>
    <row r="610">
      <c r="Y610" s="129"/>
    </row>
    <row r="611">
      <c r="Y611" s="129"/>
    </row>
    <row r="612">
      <c r="Y612" s="129"/>
    </row>
    <row r="613">
      <c r="Y613" s="129"/>
    </row>
    <row r="614">
      <c r="Y614" s="129"/>
    </row>
    <row r="615">
      <c r="Y615" s="129"/>
    </row>
    <row r="616">
      <c r="Y616" s="129"/>
    </row>
    <row r="617">
      <c r="Y617" s="129"/>
    </row>
    <row r="618">
      <c r="Y618" s="129"/>
    </row>
    <row r="619">
      <c r="Y619" s="129"/>
    </row>
    <row r="620">
      <c r="Y620" s="129"/>
    </row>
    <row r="621">
      <c r="Y621" s="129"/>
    </row>
    <row r="622">
      <c r="Y622" s="129"/>
    </row>
    <row r="623">
      <c r="Y623" s="129"/>
    </row>
    <row r="624">
      <c r="Y624" s="129"/>
    </row>
    <row r="625">
      <c r="Y625" s="129"/>
    </row>
    <row r="626">
      <c r="Y626" s="129"/>
    </row>
    <row r="627">
      <c r="Y627" s="129"/>
    </row>
    <row r="628">
      <c r="Y628" s="129"/>
    </row>
    <row r="629">
      <c r="Y629" s="129"/>
    </row>
    <row r="630">
      <c r="Y630" s="129"/>
    </row>
    <row r="631">
      <c r="Y631" s="129"/>
    </row>
    <row r="632">
      <c r="Y632" s="129"/>
    </row>
    <row r="633">
      <c r="Y633" s="129"/>
    </row>
    <row r="634">
      <c r="Y634" s="129"/>
    </row>
    <row r="635">
      <c r="Y635" s="129"/>
    </row>
    <row r="636">
      <c r="Y636" s="129"/>
    </row>
    <row r="637">
      <c r="Y637" s="129"/>
    </row>
    <row r="638">
      <c r="Y638" s="129"/>
    </row>
    <row r="639">
      <c r="Y639" s="129"/>
    </row>
    <row r="640">
      <c r="Y640" s="129"/>
    </row>
    <row r="641">
      <c r="Y641" s="129"/>
    </row>
    <row r="642">
      <c r="Y642" s="129"/>
    </row>
    <row r="643">
      <c r="Y643" s="129"/>
    </row>
    <row r="644">
      <c r="Y644" s="129"/>
    </row>
    <row r="645">
      <c r="Y645" s="129"/>
    </row>
    <row r="646">
      <c r="Y646" s="129"/>
    </row>
    <row r="647">
      <c r="Y647" s="129"/>
    </row>
    <row r="648">
      <c r="Y648" s="129"/>
    </row>
    <row r="649">
      <c r="Y649" s="129"/>
    </row>
    <row r="650">
      <c r="Y650" s="129"/>
    </row>
    <row r="651">
      <c r="Y651" s="129"/>
    </row>
    <row r="652">
      <c r="Y652" s="129"/>
    </row>
    <row r="653">
      <c r="Y653" s="129"/>
    </row>
    <row r="654">
      <c r="Y654" s="129"/>
    </row>
    <row r="655">
      <c r="Y655" s="129"/>
    </row>
    <row r="656">
      <c r="Y656" s="129"/>
    </row>
    <row r="657">
      <c r="Y657" s="129"/>
    </row>
    <row r="658">
      <c r="Y658" s="129"/>
    </row>
    <row r="659">
      <c r="Y659" s="129"/>
    </row>
    <row r="660">
      <c r="Y660" s="129"/>
    </row>
    <row r="661">
      <c r="Y661" s="129"/>
    </row>
    <row r="662">
      <c r="Y662" s="129"/>
    </row>
    <row r="663">
      <c r="Y663" s="129"/>
    </row>
    <row r="664">
      <c r="Y664" s="129"/>
    </row>
    <row r="665">
      <c r="Y665" s="129"/>
    </row>
    <row r="666">
      <c r="Y666" s="129"/>
    </row>
    <row r="667">
      <c r="Y667" s="129"/>
    </row>
    <row r="668">
      <c r="Y668" s="129"/>
    </row>
    <row r="669">
      <c r="Y669" s="129"/>
    </row>
    <row r="670">
      <c r="Y670" s="129"/>
    </row>
    <row r="671">
      <c r="Y671" s="129"/>
    </row>
    <row r="672">
      <c r="Y672" s="129"/>
    </row>
    <row r="673">
      <c r="Y673" s="129"/>
    </row>
    <row r="674">
      <c r="Y674" s="129"/>
    </row>
    <row r="675">
      <c r="Y675" s="129"/>
    </row>
    <row r="676">
      <c r="Y676" s="129"/>
    </row>
    <row r="677">
      <c r="Y677" s="129"/>
    </row>
    <row r="678">
      <c r="Y678" s="129"/>
    </row>
    <row r="679">
      <c r="Y679" s="129"/>
    </row>
    <row r="680">
      <c r="Y680" s="129"/>
    </row>
    <row r="681">
      <c r="Y681" s="129"/>
    </row>
    <row r="682">
      <c r="Y682" s="129"/>
    </row>
    <row r="683">
      <c r="Y683" s="129"/>
    </row>
    <row r="684">
      <c r="Y684" s="129"/>
    </row>
    <row r="685">
      <c r="Y685" s="129"/>
    </row>
    <row r="686">
      <c r="Y686" s="129"/>
    </row>
    <row r="687">
      <c r="Y687" s="129"/>
    </row>
    <row r="688">
      <c r="Y688" s="129"/>
    </row>
    <row r="689">
      <c r="Y689" s="129"/>
    </row>
    <row r="690">
      <c r="Y690" s="129"/>
    </row>
    <row r="691">
      <c r="Y691" s="129"/>
    </row>
    <row r="692">
      <c r="Y692" s="129"/>
    </row>
    <row r="693">
      <c r="Y693" s="129"/>
    </row>
    <row r="694">
      <c r="Y694" s="129"/>
    </row>
    <row r="695">
      <c r="Y695" s="129"/>
    </row>
    <row r="696">
      <c r="Y696" s="129"/>
    </row>
    <row r="697">
      <c r="Y697" s="129"/>
    </row>
    <row r="698">
      <c r="Y698" s="129"/>
    </row>
    <row r="699">
      <c r="Y699" s="129"/>
    </row>
    <row r="700">
      <c r="Y700" s="129"/>
    </row>
    <row r="701">
      <c r="Y701" s="129"/>
    </row>
    <row r="702">
      <c r="Y702" s="129"/>
    </row>
    <row r="703">
      <c r="Y703" s="129"/>
    </row>
    <row r="704">
      <c r="Y704" s="129"/>
    </row>
    <row r="705">
      <c r="Y705" s="129"/>
    </row>
    <row r="706">
      <c r="Y706" s="129"/>
    </row>
    <row r="707">
      <c r="Y707" s="129"/>
    </row>
    <row r="708">
      <c r="Y708" s="129"/>
    </row>
    <row r="709">
      <c r="Y709" s="129"/>
    </row>
    <row r="710">
      <c r="Y710" s="129"/>
    </row>
    <row r="711">
      <c r="Y711" s="129"/>
    </row>
    <row r="712">
      <c r="Y712" s="129"/>
    </row>
    <row r="713">
      <c r="Y713" s="129"/>
    </row>
    <row r="714">
      <c r="Y714" s="129"/>
    </row>
    <row r="715">
      <c r="Y715" s="129"/>
    </row>
    <row r="716">
      <c r="Y716" s="129"/>
    </row>
    <row r="717">
      <c r="Y717" s="129"/>
    </row>
    <row r="718">
      <c r="Y718" s="129"/>
    </row>
    <row r="719">
      <c r="Y719" s="129"/>
    </row>
    <row r="720">
      <c r="Y720" s="129"/>
    </row>
    <row r="721">
      <c r="Y721" s="129"/>
    </row>
    <row r="722">
      <c r="Y722" s="129"/>
    </row>
    <row r="723">
      <c r="Y723" s="129"/>
    </row>
    <row r="724">
      <c r="Y724" s="129"/>
    </row>
    <row r="725">
      <c r="Y725" s="129"/>
    </row>
    <row r="726">
      <c r="Y726" s="129"/>
    </row>
    <row r="727">
      <c r="Y727" s="129"/>
    </row>
    <row r="728">
      <c r="Y728" s="129"/>
    </row>
    <row r="729">
      <c r="Y729" s="129"/>
    </row>
    <row r="730">
      <c r="Y730" s="129"/>
    </row>
    <row r="731">
      <c r="Y731" s="129"/>
    </row>
    <row r="732">
      <c r="Y732" s="129"/>
    </row>
    <row r="733">
      <c r="Y733" s="129"/>
    </row>
    <row r="734">
      <c r="Y734" s="129"/>
    </row>
    <row r="735">
      <c r="Y735" s="129"/>
    </row>
    <row r="736">
      <c r="Y736" s="129"/>
    </row>
    <row r="737">
      <c r="Y737" s="129"/>
    </row>
    <row r="738">
      <c r="Y738" s="129"/>
    </row>
    <row r="739">
      <c r="Y739" s="129"/>
    </row>
    <row r="740">
      <c r="Y740" s="129"/>
    </row>
    <row r="741">
      <c r="Y741" s="129"/>
    </row>
    <row r="742">
      <c r="Y742" s="129"/>
    </row>
    <row r="743">
      <c r="Y743" s="129"/>
    </row>
    <row r="744">
      <c r="Y744" s="129"/>
    </row>
    <row r="745">
      <c r="Y745" s="129"/>
    </row>
    <row r="746">
      <c r="Y746" s="129"/>
    </row>
    <row r="747">
      <c r="Y747" s="129"/>
    </row>
    <row r="748">
      <c r="Y748" s="129"/>
    </row>
    <row r="749">
      <c r="Y749" s="129"/>
    </row>
    <row r="750">
      <c r="Y750" s="129"/>
    </row>
    <row r="751">
      <c r="Y751" s="129"/>
    </row>
    <row r="752">
      <c r="Y752" s="129"/>
    </row>
    <row r="753">
      <c r="Y753" s="129"/>
    </row>
    <row r="754">
      <c r="Y754" s="129"/>
    </row>
    <row r="755">
      <c r="Y755" s="129"/>
    </row>
    <row r="756">
      <c r="Y756" s="129"/>
    </row>
    <row r="757">
      <c r="Y757" s="129"/>
    </row>
    <row r="758">
      <c r="Y758" s="129"/>
    </row>
    <row r="759">
      <c r="Y759" s="129"/>
    </row>
    <row r="760">
      <c r="Y760" s="129"/>
    </row>
    <row r="761">
      <c r="Y761" s="129"/>
    </row>
    <row r="762">
      <c r="Y762" s="129"/>
    </row>
    <row r="763">
      <c r="Y763" s="129"/>
    </row>
    <row r="764">
      <c r="Y764" s="129"/>
    </row>
    <row r="765">
      <c r="Y765" s="129"/>
    </row>
    <row r="766">
      <c r="Y766" s="129"/>
    </row>
    <row r="767">
      <c r="Y767" s="129"/>
    </row>
    <row r="768">
      <c r="Y768" s="129"/>
    </row>
    <row r="769">
      <c r="Y769" s="129"/>
    </row>
    <row r="770">
      <c r="Y770" s="129"/>
    </row>
    <row r="771">
      <c r="Y771" s="129"/>
    </row>
    <row r="772">
      <c r="Y772" s="129"/>
    </row>
    <row r="773">
      <c r="Y773" s="129"/>
    </row>
    <row r="774">
      <c r="Y774" s="129"/>
    </row>
    <row r="775">
      <c r="Y775" s="129"/>
    </row>
    <row r="776">
      <c r="Y776" s="129"/>
    </row>
    <row r="777">
      <c r="Y777" s="129"/>
    </row>
    <row r="778">
      <c r="Y778" s="129"/>
    </row>
    <row r="779">
      <c r="Y779" s="129"/>
    </row>
    <row r="780">
      <c r="Y780" s="129"/>
    </row>
    <row r="781">
      <c r="Y781" s="129"/>
    </row>
    <row r="782">
      <c r="Y782" s="129"/>
    </row>
    <row r="783">
      <c r="Y783" s="129"/>
    </row>
    <row r="784">
      <c r="Y784" s="129"/>
    </row>
    <row r="785">
      <c r="Y785" s="129"/>
    </row>
    <row r="786">
      <c r="Y786" s="129"/>
    </row>
    <row r="787">
      <c r="Y787" s="129"/>
    </row>
    <row r="788">
      <c r="Y788" s="129"/>
    </row>
    <row r="789">
      <c r="Y789" s="129"/>
    </row>
    <row r="790">
      <c r="Y790" s="129"/>
    </row>
    <row r="791">
      <c r="Y791" s="129"/>
    </row>
    <row r="792">
      <c r="Y792" s="129"/>
    </row>
    <row r="793">
      <c r="Y793" s="129"/>
    </row>
    <row r="794">
      <c r="Y794" s="129"/>
    </row>
    <row r="795">
      <c r="Y795" s="129"/>
    </row>
    <row r="796">
      <c r="Y796" s="129"/>
    </row>
    <row r="797">
      <c r="Y797" s="129"/>
    </row>
    <row r="798">
      <c r="Y798" s="129"/>
    </row>
    <row r="799">
      <c r="Y799" s="129"/>
    </row>
    <row r="800">
      <c r="Y800" s="129"/>
    </row>
    <row r="801">
      <c r="Y801" s="129"/>
    </row>
    <row r="802">
      <c r="Y802" s="129"/>
    </row>
    <row r="803">
      <c r="Y803" s="129"/>
    </row>
    <row r="804">
      <c r="Y804" s="129"/>
    </row>
    <row r="805">
      <c r="Y805" s="129"/>
    </row>
    <row r="806">
      <c r="Y806" s="129"/>
    </row>
    <row r="807">
      <c r="Y807" s="129"/>
    </row>
    <row r="808">
      <c r="Y808" s="129"/>
    </row>
    <row r="809">
      <c r="Y809" s="129"/>
    </row>
    <row r="810">
      <c r="Y810" s="129"/>
    </row>
    <row r="811">
      <c r="Y811" s="129"/>
    </row>
    <row r="812">
      <c r="Y812" s="129"/>
    </row>
    <row r="813">
      <c r="Y813" s="129"/>
    </row>
    <row r="814">
      <c r="Y814" s="129"/>
    </row>
    <row r="815">
      <c r="Y815" s="129"/>
    </row>
    <row r="816">
      <c r="Y816" s="129"/>
    </row>
    <row r="817">
      <c r="Y817" s="129"/>
    </row>
    <row r="818">
      <c r="Y818" s="129"/>
    </row>
    <row r="819">
      <c r="Y819" s="129"/>
    </row>
    <row r="820">
      <c r="Y820" s="129"/>
    </row>
    <row r="821">
      <c r="Y821" s="129"/>
    </row>
    <row r="822">
      <c r="Y822" s="129"/>
    </row>
    <row r="823">
      <c r="Y823" s="129"/>
    </row>
    <row r="824">
      <c r="Y824" s="129"/>
    </row>
    <row r="825">
      <c r="Y825" s="129"/>
    </row>
    <row r="826">
      <c r="Y826" s="129"/>
    </row>
    <row r="827">
      <c r="Y827" s="129"/>
    </row>
    <row r="828">
      <c r="Y828" s="129"/>
    </row>
    <row r="829">
      <c r="Y829" s="129"/>
    </row>
    <row r="830">
      <c r="Y830" s="129"/>
    </row>
    <row r="831">
      <c r="Y831" s="129"/>
    </row>
    <row r="832">
      <c r="Y832" s="129"/>
    </row>
    <row r="833">
      <c r="Y833" s="129"/>
    </row>
    <row r="834">
      <c r="Y834" s="129"/>
    </row>
    <row r="835">
      <c r="Y835" s="129"/>
    </row>
    <row r="836">
      <c r="Y836" s="129"/>
    </row>
    <row r="837">
      <c r="Y837" s="129"/>
    </row>
    <row r="838">
      <c r="Y838" s="129"/>
    </row>
    <row r="839">
      <c r="Y839" s="129"/>
    </row>
    <row r="840">
      <c r="Y840" s="129"/>
    </row>
    <row r="841">
      <c r="Y841" s="129"/>
    </row>
    <row r="842">
      <c r="Y842" s="129"/>
    </row>
    <row r="843">
      <c r="Y843" s="129"/>
    </row>
    <row r="844">
      <c r="Y844" s="129"/>
    </row>
    <row r="845">
      <c r="Y845" s="129"/>
    </row>
    <row r="846">
      <c r="Y846" s="129"/>
    </row>
    <row r="847">
      <c r="Y847" s="129"/>
    </row>
    <row r="848">
      <c r="Y848" s="129"/>
    </row>
    <row r="849">
      <c r="Y849" s="129"/>
    </row>
    <row r="850">
      <c r="Y850" s="129"/>
    </row>
    <row r="851">
      <c r="Y851" s="129"/>
    </row>
    <row r="852">
      <c r="Y852" s="129"/>
    </row>
    <row r="853">
      <c r="Y853" s="129"/>
    </row>
    <row r="854">
      <c r="Y854" s="129"/>
    </row>
    <row r="855">
      <c r="Y855" s="129"/>
    </row>
    <row r="856">
      <c r="Y856" s="129"/>
    </row>
    <row r="857">
      <c r="Y857" s="129"/>
    </row>
    <row r="858">
      <c r="Y858" s="129"/>
    </row>
    <row r="859">
      <c r="Y859" s="129"/>
    </row>
    <row r="860">
      <c r="Y860" s="129"/>
    </row>
    <row r="861">
      <c r="Y861" s="129"/>
    </row>
    <row r="862">
      <c r="Y862" s="129"/>
    </row>
    <row r="863">
      <c r="Y863" s="129"/>
    </row>
    <row r="864">
      <c r="Y864" s="129"/>
    </row>
    <row r="865">
      <c r="Y865" s="129"/>
    </row>
    <row r="866">
      <c r="Y866" s="129"/>
    </row>
    <row r="867">
      <c r="Y867" s="129"/>
    </row>
    <row r="868">
      <c r="Y868" s="129"/>
    </row>
    <row r="869">
      <c r="Y869" s="129"/>
    </row>
    <row r="870">
      <c r="Y870" s="129"/>
    </row>
    <row r="871">
      <c r="Y871" s="129"/>
    </row>
    <row r="872">
      <c r="Y872" s="129"/>
    </row>
    <row r="873">
      <c r="Y873" s="129"/>
    </row>
    <row r="874">
      <c r="Y874" s="129"/>
    </row>
    <row r="875">
      <c r="Y875" s="129"/>
    </row>
    <row r="876">
      <c r="Y876" s="129"/>
    </row>
    <row r="877">
      <c r="Y877" s="129"/>
    </row>
    <row r="878">
      <c r="Y878" s="129"/>
    </row>
    <row r="879">
      <c r="Y879" s="129"/>
    </row>
    <row r="880">
      <c r="Y880" s="129"/>
    </row>
    <row r="881">
      <c r="Y881" s="129"/>
    </row>
    <row r="882">
      <c r="Y882" s="129"/>
    </row>
    <row r="883">
      <c r="Y883" s="129"/>
    </row>
    <row r="884">
      <c r="Y884" s="129"/>
    </row>
    <row r="885">
      <c r="Y885" s="129"/>
    </row>
    <row r="886">
      <c r="Y886" s="129"/>
    </row>
    <row r="887">
      <c r="Y887" s="129"/>
    </row>
    <row r="888">
      <c r="Y888" s="129"/>
    </row>
    <row r="889">
      <c r="Y889" s="129"/>
    </row>
    <row r="890">
      <c r="Y890" s="129"/>
    </row>
    <row r="891">
      <c r="Y891" s="129"/>
    </row>
    <row r="892">
      <c r="Y892" s="129"/>
    </row>
    <row r="893">
      <c r="Y893" s="129"/>
    </row>
    <row r="894">
      <c r="Y894" s="129"/>
    </row>
    <row r="895">
      <c r="Y895" s="129"/>
    </row>
    <row r="896">
      <c r="Y896" s="129"/>
    </row>
    <row r="897">
      <c r="Y897" s="129"/>
    </row>
    <row r="898">
      <c r="Y898" s="129"/>
    </row>
    <row r="899">
      <c r="Y899" s="129"/>
    </row>
    <row r="900">
      <c r="Y900" s="129"/>
    </row>
    <row r="901">
      <c r="Y901" s="129"/>
    </row>
    <row r="902">
      <c r="Y902" s="129"/>
    </row>
    <row r="903">
      <c r="Y903" s="129"/>
    </row>
    <row r="904">
      <c r="Y904" s="129"/>
    </row>
    <row r="905">
      <c r="Y905" s="129"/>
    </row>
    <row r="906">
      <c r="Y906" s="129"/>
    </row>
    <row r="907">
      <c r="Y907" s="129"/>
    </row>
    <row r="908">
      <c r="Y908" s="129"/>
    </row>
    <row r="909">
      <c r="Y909" s="129"/>
    </row>
    <row r="910">
      <c r="Y910" s="129"/>
    </row>
    <row r="911">
      <c r="Y911" s="129"/>
    </row>
    <row r="912">
      <c r="Y912" s="129"/>
    </row>
    <row r="913">
      <c r="Y913" s="129"/>
    </row>
    <row r="914">
      <c r="Y914" s="129"/>
    </row>
    <row r="915">
      <c r="Y915" s="129"/>
    </row>
    <row r="916">
      <c r="Y916" s="129"/>
    </row>
    <row r="917">
      <c r="Y917" s="129"/>
    </row>
    <row r="918">
      <c r="Y918" s="129"/>
    </row>
    <row r="919">
      <c r="Y919" s="129"/>
    </row>
    <row r="920">
      <c r="Y920" s="129"/>
    </row>
    <row r="921">
      <c r="Y921" s="129"/>
    </row>
    <row r="922">
      <c r="Y922" s="129"/>
    </row>
    <row r="923">
      <c r="Y923" s="129"/>
    </row>
    <row r="924">
      <c r="Y924" s="129"/>
    </row>
    <row r="925">
      <c r="Y925" s="129"/>
    </row>
    <row r="926">
      <c r="Y926" s="129"/>
    </row>
    <row r="927">
      <c r="Y927" s="129"/>
    </row>
    <row r="928">
      <c r="Y928" s="129"/>
    </row>
    <row r="929">
      <c r="Y929" s="129"/>
    </row>
    <row r="930">
      <c r="Y930" s="129"/>
    </row>
    <row r="931">
      <c r="Y931" s="129"/>
    </row>
    <row r="932">
      <c r="Y932" s="129"/>
    </row>
    <row r="933">
      <c r="Y933" s="129"/>
    </row>
    <row r="934">
      <c r="Y934" s="129"/>
    </row>
    <row r="935">
      <c r="Y935" s="129"/>
    </row>
    <row r="936">
      <c r="Y936" s="129"/>
    </row>
    <row r="937">
      <c r="Y937" s="129"/>
    </row>
    <row r="938">
      <c r="Y938" s="129"/>
    </row>
    <row r="939">
      <c r="Y939" s="129"/>
    </row>
    <row r="940">
      <c r="Y940" s="129"/>
    </row>
    <row r="941">
      <c r="Y941" s="129"/>
    </row>
    <row r="942">
      <c r="Y942" s="129"/>
    </row>
    <row r="943">
      <c r="Y943" s="129"/>
    </row>
    <row r="944">
      <c r="Y944" s="129"/>
    </row>
    <row r="945">
      <c r="Y945" s="129"/>
    </row>
    <row r="946">
      <c r="Y946" s="129"/>
    </row>
    <row r="947">
      <c r="Y947" s="129"/>
    </row>
    <row r="948">
      <c r="Y948" s="129"/>
    </row>
    <row r="949">
      <c r="Y949" s="129"/>
    </row>
    <row r="950">
      <c r="Y950" s="129"/>
    </row>
    <row r="951">
      <c r="Y951" s="129"/>
    </row>
    <row r="952">
      <c r="Y952" s="129"/>
    </row>
    <row r="953">
      <c r="Y953" s="129"/>
    </row>
    <row r="954">
      <c r="Y954" s="129"/>
    </row>
    <row r="955">
      <c r="Y955" s="129"/>
    </row>
    <row r="956">
      <c r="Y956" s="129"/>
    </row>
    <row r="957">
      <c r="Y957" s="129"/>
    </row>
    <row r="958">
      <c r="Y958" s="129"/>
    </row>
    <row r="959">
      <c r="Y959" s="129"/>
    </row>
    <row r="960">
      <c r="Y960" s="129"/>
    </row>
    <row r="961">
      <c r="Y961" s="129"/>
    </row>
    <row r="962">
      <c r="Y962" s="129"/>
    </row>
    <row r="963">
      <c r="Y963" s="129"/>
    </row>
    <row r="964">
      <c r="Y964" s="129"/>
    </row>
    <row r="965">
      <c r="Y965" s="129"/>
    </row>
    <row r="966">
      <c r="Y966" s="129"/>
    </row>
    <row r="967">
      <c r="Y967" s="129"/>
    </row>
    <row r="968">
      <c r="Y968" s="129"/>
    </row>
    <row r="969">
      <c r="Y969" s="129"/>
    </row>
    <row r="970">
      <c r="Y970" s="129"/>
    </row>
    <row r="971">
      <c r="Y971" s="129"/>
    </row>
    <row r="972">
      <c r="Y972" s="129"/>
    </row>
    <row r="973">
      <c r="Y973" s="129"/>
    </row>
    <row r="974">
      <c r="Y974" s="129"/>
    </row>
    <row r="975">
      <c r="Y975" s="129"/>
    </row>
    <row r="976">
      <c r="Y976" s="129"/>
    </row>
    <row r="977">
      <c r="Y977" s="129"/>
    </row>
    <row r="978">
      <c r="Y978" s="129"/>
    </row>
    <row r="979">
      <c r="Y979" s="129"/>
    </row>
    <row r="980">
      <c r="Y980" s="129"/>
    </row>
    <row r="981">
      <c r="Y981" s="129"/>
    </row>
    <row r="982">
      <c r="Y982" s="129"/>
    </row>
    <row r="983">
      <c r="Y983" s="129"/>
    </row>
    <row r="984">
      <c r="Y984" s="129"/>
    </row>
    <row r="985">
      <c r="Y985" s="129"/>
    </row>
    <row r="986">
      <c r="Y986" s="129"/>
    </row>
    <row r="987">
      <c r="Y987" s="129"/>
    </row>
    <row r="988">
      <c r="Y988" s="129"/>
    </row>
    <row r="989">
      <c r="Y989" s="129"/>
    </row>
    <row r="990">
      <c r="Y990" s="129"/>
    </row>
    <row r="991">
      <c r="Y991" s="129"/>
    </row>
    <row r="992">
      <c r="Y992" s="129"/>
    </row>
    <row r="993">
      <c r="Y993" s="129"/>
    </row>
    <row r="994">
      <c r="Y994" s="129"/>
    </row>
    <row r="995">
      <c r="Y995" s="129"/>
    </row>
    <row r="996">
      <c r="Y996" s="129"/>
    </row>
    <row r="997">
      <c r="Y997" s="129"/>
    </row>
    <row r="998">
      <c r="Y998" s="129"/>
    </row>
    <row r="999">
      <c r="Y999" s="129"/>
    </row>
    <row r="1000">
      <c r="Y1000" s="129"/>
    </row>
    <row r="1001">
      <c r="Y1001" s="129"/>
    </row>
    <row r="1002">
      <c r="Y1002" s="129"/>
    </row>
    <row r="1003">
      <c r="Y1003" s="129"/>
    </row>
    <row r="1004">
      <c r="Y1004" s="129"/>
    </row>
    <row r="1005">
      <c r="Y1005" s="129"/>
    </row>
    <row r="1006">
      <c r="Y1006" s="129"/>
    </row>
    <row r="1007">
      <c r="Y1007" s="129"/>
    </row>
    <row r="1008">
      <c r="Y1008" s="129"/>
    </row>
    <row r="1009">
      <c r="Y1009" s="129"/>
    </row>
    <row r="1010">
      <c r="Y1010" s="129"/>
    </row>
    <row r="1011">
      <c r="Y1011" s="129"/>
    </row>
    <row r="1012">
      <c r="Y1012" s="129"/>
    </row>
    <row r="1013">
      <c r="Y1013" s="129"/>
    </row>
    <row r="1014">
      <c r="Y1014" s="129"/>
    </row>
    <row r="1015">
      <c r="Y1015" s="129"/>
    </row>
    <row r="1016">
      <c r="Y1016" s="129"/>
    </row>
    <row r="1017">
      <c r="Y1017" s="129"/>
    </row>
    <row r="1018">
      <c r="Y1018" s="129"/>
    </row>
    <row r="1019">
      <c r="Y1019" s="129"/>
    </row>
    <row r="1020">
      <c r="Y1020" s="129"/>
    </row>
    <row r="1021">
      <c r="Y1021" s="129"/>
    </row>
    <row r="1022">
      <c r="Y1022" s="129"/>
    </row>
    <row r="1023">
      <c r="Y1023" s="129"/>
    </row>
    <row r="1024">
      <c r="Y1024" s="129"/>
    </row>
    <row r="1025">
      <c r="Y1025" s="129"/>
    </row>
    <row r="1026">
      <c r="Y1026" s="129"/>
    </row>
    <row r="1027">
      <c r="Y1027" s="129"/>
    </row>
    <row r="1028">
      <c r="Y1028" s="129"/>
    </row>
    <row r="1029">
      <c r="Y1029" s="129"/>
    </row>
    <row r="1030">
      <c r="Y1030" s="129"/>
    </row>
    <row r="1031">
      <c r="Y1031" s="129"/>
    </row>
    <row r="1032">
      <c r="Y1032" s="129"/>
    </row>
    <row r="1033">
      <c r="Y1033" s="129"/>
    </row>
    <row r="1034">
      <c r="Y1034" s="129"/>
    </row>
    <row r="1035">
      <c r="Y1035" s="129"/>
    </row>
    <row r="1036">
      <c r="Y1036" s="129"/>
    </row>
    <row r="1037">
      <c r="Y1037" s="129"/>
    </row>
    <row r="1038">
      <c r="Y1038" s="129"/>
    </row>
    <row r="1039">
      <c r="Y1039" s="129"/>
    </row>
    <row r="1040">
      <c r="Y1040" s="129"/>
    </row>
    <row r="1041">
      <c r="Y1041" s="129"/>
    </row>
    <row r="1042">
      <c r="Y1042" s="129"/>
    </row>
    <row r="1043">
      <c r="Y1043" s="129"/>
    </row>
    <row r="1044">
      <c r="Y1044" s="129"/>
    </row>
    <row r="1045">
      <c r="Y1045" s="129"/>
    </row>
    <row r="1046">
      <c r="Y1046" s="129"/>
    </row>
    <row r="1047">
      <c r="Y1047" s="129"/>
    </row>
    <row r="1048">
      <c r="Y1048" s="129"/>
    </row>
    <row r="1049">
      <c r="Y1049" s="129"/>
    </row>
    <row r="1050">
      <c r="Y1050" s="129"/>
    </row>
    <row r="1051">
      <c r="Y1051" s="129"/>
    </row>
    <row r="1052">
      <c r="Y1052" s="129"/>
    </row>
    <row r="1053">
      <c r="Y1053" s="129"/>
    </row>
    <row r="1054">
      <c r="Y1054" s="129"/>
    </row>
    <row r="1055">
      <c r="Y1055" s="129"/>
    </row>
    <row r="1056">
      <c r="Y1056" s="129"/>
    </row>
    <row r="1057">
      <c r="Y1057" s="129"/>
    </row>
    <row r="1058">
      <c r="Y1058" s="129"/>
    </row>
    <row r="1059">
      <c r="Y1059" s="129"/>
    </row>
    <row r="1060">
      <c r="Y1060" s="129"/>
    </row>
    <row r="1061">
      <c r="Y1061" s="129"/>
    </row>
    <row r="1062">
      <c r="Y1062" s="129"/>
    </row>
    <row r="1063">
      <c r="Y1063" s="129"/>
    </row>
    <row r="1064">
      <c r="Y1064" s="129"/>
    </row>
    <row r="1065">
      <c r="Y1065" s="129"/>
    </row>
    <row r="1066">
      <c r="Y1066" s="129"/>
    </row>
    <row r="1067">
      <c r="Y1067" s="129"/>
    </row>
    <row r="1068">
      <c r="Y1068" s="129"/>
    </row>
    <row r="1069">
      <c r="Y1069" s="129"/>
    </row>
    <row r="1070">
      <c r="Y1070" s="129"/>
    </row>
    <row r="1071">
      <c r="Y1071" s="129"/>
    </row>
    <row r="1072">
      <c r="Y1072" s="129"/>
    </row>
    <row r="1073">
      <c r="Y1073" s="129"/>
    </row>
    <row r="1074">
      <c r="Y1074" s="129"/>
    </row>
    <row r="1075">
      <c r="Y1075" s="129"/>
    </row>
    <row r="1076">
      <c r="Y1076" s="129"/>
    </row>
    <row r="1077">
      <c r="Y1077" s="129"/>
    </row>
    <row r="1078">
      <c r="Y1078" s="129"/>
    </row>
    <row r="1079">
      <c r="Y1079" s="129"/>
    </row>
    <row r="1080">
      <c r="Y1080" s="129"/>
    </row>
    <row r="1081">
      <c r="Y1081" s="129"/>
    </row>
    <row r="1082">
      <c r="Y1082" s="129"/>
    </row>
    <row r="1083">
      <c r="Y1083" s="129"/>
    </row>
    <row r="1084">
      <c r="Y1084" s="129"/>
    </row>
    <row r="1085">
      <c r="Y1085" s="129"/>
    </row>
    <row r="1086">
      <c r="Y1086" s="129"/>
    </row>
    <row r="1087">
      <c r="Y1087" s="129"/>
    </row>
    <row r="1088">
      <c r="Y1088" s="129"/>
    </row>
    <row r="1089">
      <c r="Y1089" s="129"/>
    </row>
    <row r="1090">
      <c r="Y1090" s="129"/>
    </row>
    <row r="1091">
      <c r="Y1091" s="129"/>
    </row>
    <row r="1092">
      <c r="Y1092" s="129"/>
    </row>
    <row r="1093">
      <c r="Y1093" s="129"/>
    </row>
    <row r="1094">
      <c r="Y1094" s="129"/>
    </row>
    <row r="1095">
      <c r="Y1095" s="129"/>
    </row>
    <row r="1096">
      <c r="Y1096" s="129"/>
    </row>
    <row r="1097">
      <c r="Y1097" s="129"/>
    </row>
    <row r="1098">
      <c r="Y1098" s="129"/>
    </row>
    <row r="1099">
      <c r="Y1099" s="129"/>
    </row>
    <row r="1100">
      <c r="Y1100" s="129"/>
    </row>
    <row r="1101">
      <c r="Y1101" s="129"/>
    </row>
    <row r="1102">
      <c r="Y1102" s="129"/>
    </row>
    <row r="1103">
      <c r="Y1103" s="129"/>
    </row>
    <row r="1104">
      <c r="Y1104" s="129"/>
    </row>
    <row r="1105">
      <c r="Y1105" s="129"/>
    </row>
    <row r="1106">
      <c r="Y1106" s="129"/>
    </row>
    <row r="1107">
      <c r="Y1107" s="129"/>
    </row>
    <row r="1108">
      <c r="Y1108" s="129"/>
    </row>
    <row r="1109">
      <c r="Y1109" s="129"/>
    </row>
    <row r="1110">
      <c r="Y1110" s="129"/>
    </row>
    <row r="1111">
      <c r="Y1111" s="129"/>
    </row>
    <row r="1112">
      <c r="Y1112" s="129"/>
    </row>
    <row r="1113">
      <c r="Y1113" s="129"/>
    </row>
    <row r="1114">
      <c r="Y1114" s="129"/>
    </row>
    <row r="1115">
      <c r="Y1115" s="129"/>
    </row>
    <row r="1116">
      <c r="Y1116" s="129"/>
    </row>
    <row r="1117">
      <c r="Y1117" s="129"/>
    </row>
    <row r="1118">
      <c r="Y1118" s="129"/>
    </row>
    <row r="1119">
      <c r="Y1119" s="129"/>
    </row>
    <row r="1120">
      <c r="Y1120" s="129"/>
    </row>
    <row r="1121">
      <c r="Y1121" s="129"/>
    </row>
    <row r="1122">
      <c r="Y1122" s="129"/>
    </row>
    <row r="1123">
      <c r="Y1123" s="129"/>
    </row>
    <row r="1124">
      <c r="Y1124" s="129"/>
    </row>
    <row r="1125">
      <c r="Y1125" s="129"/>
    </row>
    <row r="1126">
      <c r="Y1126" s="129"/>
    </row>
    <row r="1127">
      <c r="Y1127" s="129"/>
    </row>
    <row r="1128">
      <c r="Y1128" s="129"/>
    </row>
    <row r="1129">
      <c r="Y1129" s="129"/>
    </row>
    <row r="1130">
      <c r="Y1130" s="129"/>
    </row>
    <row r="1131">
      <c r="Y1131" s="129"/>
    </row>
    <row r="1132">
      <c r="Y1132" s="129"/>
    </row>
    <row r="1133">
      <c r="Y1133" s="129"/>
    </row>
    <row r="1134">
      <c r="Y1134" s="129"/>
    </row>
    <row r="1135">
      <c r="Y1135" s="129"/>
    </row>
    <row r="1136">
      <c r="Y1136" s="129"/>
    </row>
    <row r="1137">
      <c r="Y1137" s="129"/>
    </row>
    <row r="1138">
      <c r="Y1138" s="129"/>
    </row>
    <row r="1139">
      <c r="Y1139" s="129"/>
    </row>
    <row r="1140">
      <c r="Y1140" s="129"/>
    </row>
    <row r="1141">
      <c r="Y1141" s="129"/>
    </row>
    <row r="1142">
      <c r="Y1142" s="129"/>
    </row>
    <row r="1143">
      <c r="Y1143" s="129"/>
    </row>
    <row r="1144">
      <c r="Y1144" s="129"/>
    </row>
    <row r="1145">
      <c r="Y1145" s="129"/>
    </row>
    <row r="1146">
      <c r="Y1146" s="129"/>
    </row>
    <row r="1147">
      <c r="Y1147" s="129"/>
    </row>
    <row r="1148">
      <c r="Y1148" s="129"/>
    </row>
    <row r="1149">
      <c r="Y1149" s="129"/>
    </row>
    <row r="1150">
      <c r="Y1150" s="129"/>
    </row>
    <row r="1151">
      <c r="Y1151" s="129"/>
    </row>
    <row r="1152">
      <c r="Y1152" s="129"/>
    </row>
    <row r="1153">
      <c r="Y1153" s="129"/>
    </row>
    <row r="1154">
      <c r="Y1154" s="129"/>
    </row>
    <row r="1155">
      <c r="Y1155" s="129"/>
    </row>
    <row r="1156">
      <c r="Y1156" s="129"/>
    </row>
    <row r="1157">
      <c r="Y1157" s="129"/>
    </row>
    <row r="1158">
      <c r="Y1158" s="129"/>
    </row>
    <row r="1159">
      <c r="Y1159" s="129"/>
    </row>
    <row r="1160">
      <c r="Y1160" s="129"/>
    </row>
    <row r="1161">
      <c r="Y1161" s="129"/>
    </row>
    <row r="1162">
      <c r="Y1162" s="129"/>
    </row>
    <row r="1163">
      <c r="Y1163" s="129"/>
    </row>
    <row r="1164">
      <c r="Y1164" s="129"/>
    </row>
    <row r="1165">
      <c r="Y1165" s="129"/>
    </row>
    <row r="1166">
      <c r="Y1166" s="129"/>
    </row>
    <row r="1167">
      <c r="Y1167" s="129"/>
    </row>
    <row r="1168">
      <c r="Y1168" s="129"/>
    </row>
    <row r="1169">
      <c r="Y1169" s="129"/>
    </row>
    <row r="1170">
      <c r="Y1170" s="129"/>
    </row>
    <row r="1171">
      <c r="Y1171" s="129"/>
    </row>
    <row r="1172">
      <c r="Y1172" s="129"/>
    </row>
    <row r="1173">
      <c r="Y1173" s="129"/>
    </row>
    <row r="1174">
      <c r="Y1174" s="129"/>
    </row>
    <row r="1175">
      <c r="Y1175" s="129"/>
    </row>
    <row r="1176">
      <c r="Y1176" s="129"/>
    </row>
    <row r="1177">
      <c r="Y1177" s="129"/>
    </row>
    <row r="1178">
      <c r="Y1178" s="129"/>
    </row>
    <row r="1179">
      <c r="Y1179" s="129"/>
    </row>
    <row r="1180">
      <c r="Y1180" s="129"/>
    </row>
    <row r="1181">
      <c r="Y1181" s="129"/>
    </row>
    <row r="1182">
      <c r="Y1182" s="129"/>
    </row>
    <row r="1183">
      <c r="Y1183" s="129"/>
    </row>
    <row r="1184">
      <c r="Y1184" s="129"/>
    </row>
    <row r="1185">
      <c r="Y1185" s="129"/>
    </row>
    <row r="1186">
      <c r="Y1186" s="129"/>
    </row>
    <row r="1187">
      <c r="Y1187" s="129"/>
    </row>
    <row r="1188">
      <c r="Y1188" s="129"/>
    </row>
    <row r="1189">
      <c r="Y1189" s="129"/>
    </row>
    <row r="1190">
      <c r="Y1190" s="129"/>
    </row>
    <row r="1191">
      <c r="Y1191" s="129"/>
    </row>
    <row r="1192">
      <c r="Y1192" s="129"/>
    </row>
    <row r="1193">
      <c r="Y1193" s="129"/>
    </row>
    <row r="1194">
      <c r="Y1194" s="129"/>
    </row>
    <row r="1195">
      <c r="Y1195" s="129"/>
    </row>
    <row r="1196">
      <c r="Y1196" s="129"/>
    </row>
    <row r="1197">
      <c r="Y1197" s="129"/>
    </row>
    <row r="1198">
      <c r="Y1198" s="129"/>
    </row>
    <row r="1199">
      <c r="Y1199" s="129"/>
    </row>
    <row r="1200">
      <c r="Y1200" s="129"/>
    </row>
    <row r="1201">
      <c r="Y1201" s="129"/>
    </row>
    <row r="1202">
      <c r="Y1202" s="129"/>
    </row>
    <row r="1203">
      <c r="Y1203" s="129"/>
    </row>
    <row r="1204">
      <c r="Y1204" s="129"/>
    </row>
    <row r="1205">
      <c r="Y1205" s="129"/>
    </row>
    <row r="1206">
      <c r="Y1206" s="129"/>
    </row>
    <row r="1207">
      <c r="Y1207" s="129"/>
    </row>
    <row r="1208">
      <c r="Y1208" s="129"/>
    </row>
    <row r="1209">
      <c r="Y1209" s="129"/>
    </row>
    <row r="1210">
      <c r="Y1210" s="129"/>
    </row>
    <row r="1211">
      <c r="Y1211" s="129"/>
    </row>
    <row r="1212">
      <c r="Y1212" s="129"/>
    </row>
    <row r="1213">
      <c r="Y1213" s="129"/>
    </row>
    <row r="1214">
      <c r="Y1214" s="129"/>
    </row>
    <row r="1215">
      <c r="Y1215" s="129"/>
    </row>
    <row r="1216">
      <c r="Y1216" s="129"/>
    </row>
    <row r="1217">
      <c r="Y1217" s="129"/>
    </row>
    <row r="1218">
      <c r="Y1218" s="129"/>
    </row>
    <row r="1219">
      <c r="Y1219" s="129"/>
    </row>
    <row r="1220">
      <c r="Y1220" s="129"/>
    </row>
    <row r="1221">
      <c r="Y1221" s="129"/>
    </row>
    <row r="1222">
      <c r="Y1222" s="129"/>
    </row>
    <row r="1223">
      <c r="Y1223" s="129"/>
    </row>
    <row r="1224">
      <c r="Y1224" s="129"/>
    </row>
    <row r="1225">
      <c r="Y1225" s="129"/>
    </row>
    <row r="1226">
      <c r="Y1226" s="129"/>
    </row>
    <row r="1227">
      <c r="Y1227" s="129"/>
    </row>
    <row r="1228">
      <c r="Y1228" s="129"/>
    </row>
    <row r="1229">
      <c r="Y1229" s="129"/>
    </row>
    <row r="1230">
      <c r="Y1230" s="129"/>
    </row>
    <row r="1231">
      <c r="Y1231" s="129"/>
    </row>
    <row r="1232">
      <c r="Y1232" s="129"/>
    </row>
    <row r="1233">
      <c r="Y1233" s="129"/>
    </row>
    <row r="1234">
      <c r="Y1234" s="129"/>
    </row>
    <row r="1235">
      <c r="Y1235" s="129"/>
    </row>
    <row r="1236">
      <c r="Y1236" s="129"/>
    </row>
    <row r="1237">
      <c r="Y1237" s="129"/>
    </row>
    <row r="1238">
      <c r="Y1238" s="129"/>
    </row>
    <row r="1239">
      <c r="Y1239" s="129"/>
    </row>
    <row r="1240">
      <c r="Y1240" s="129"/>
    </row>
    <row r="1241">
      <c r="Y1241" s="129"/>
    </row>
    <row r="1242">
      <c r="Y1242" s="129"/>
    </row>
    <row r="1243">
      <c r="Y1243" s="129"/>
    </row>
    <row r="1244">
      <c r="Y1244" s="129"/>
    </row>
    <row r="1245">
      <c r="Y1245" s="129"/>
    </row>
    <row r="1246">
      <c r="Y1246" s="129"/>
    </row>
    <row r="1247">
      <c r="Y1247" s="129"/>
    </row>
    <row r="1248">
      <c r="Y1248" s="129"/>
    </row>
    <row r="1249">
      <c r="Y1249" s="129"/>
    </row>
    <row r="1250">
      <c r="Y1250" s="129"/>
    </row>
    <row r="1251">
      <c r="Y1251" s="129"/>
    </row>
    <row r="1252">
      <c r="Y1252" s="129"/>
    </row>
    <row r="1253">
      <c r="Y1253" s="129"/>
    </row>
    <row r="1254">
      <c r="Y1254" s="129"/>
    </row>
    <row r="1255">
      <c r="Y1255" s="129"/>
    </row>
    <row r="1256">
      <c r="Y1256" s="129"/>
    </row>
    <row r="1257">
      <c r="Y1257" s="129"/>
    </row>
    <row r="1258">
      <c r="Y1258" s="129"/>
    </row>
    <row r="1259">
      <c r="Y1259" s="129"/>
    </row>
    <row r="1260">
      <c r="Y1260" s="129"/>
    </row>
    <row r="1261">
      <c r="Y1261" s="129"/>
    </row>
    <row r="1262">
      <c r="Y1262" s="129"/>
    </row>
    <row r="1263">
      <c r="Y1263" s="129"/>
    </row>
    <row r="1264">
      <c r="Y1264" s="129"/>
    </row>
    <row r="1265">
      <c r="Y1265" s="129"/>
    </row>
    <row r="1266">
      <c r="Y1266" s="129"/>
    </row>
    <row r="1267">
      <c r="Y1267" s="129"/>
    </row>
    <row r="1268">
      <c r="Y1268" s="129"/>
    </row>
    <row r="1269">
      <c r="Y1269" s="129"/>
    </row>
    <row r="1270">
      <c r="Y1270" s="129"/>
    </row>
    <row r="1271">
      <c r="Y1271" s="129"/>
    </row>
    <row r="1272">
      <c r="Y1272" s="129"/>
    </row>
    <row r="1273">
      <c r="Y1273" s="129"/>
    </row>
    <row r="1274">
      <c r="Y1274" s="129"/>
    </row>
    <row r="1275">
      <c r="Y1275" s="129"/>
    </row>
    <row r="1276">
      <c r="Y1276" s="129"/>
    </row>
    <row r="1277">
      <c r="Y1277" s="129"/>
    </row>
    <row r="1278">
      <c r="Y1278" s="129"/>
    </row>
    <row r="1279">
      <c r="Y1279" s="129"/>
    </row>
    <row r="1280">
      <c r="Y1280" s="129"/>
    </row>
    <row r="1281">
      <c r="Y1281" s="129"/>
    </row>
    <row r="1282">
      <c r="Y1282" s="129"/>
    </row>
    <row r="1283">
      <c r="Y1283" s="129"/>
    </row>
    <row r="1284">
      <c r="Y1284" s="129"/>
    </row>
    <row r="1285">
      <c r="Y1285" s="129"/>
    </row>
    <row r="1286">
      <c r="Y1286" s="129"/>
    </row>
    <row r="1287">
      <c r="Y1287" s="129"/>
    </row>
    <row r="1288">
      <c r="Y1288" s="129"/>
    </row>
    <row r="1289">
      <c r="Y1289" s="129"/>
    </row>
    <row r="1290">
      <c r="Y1290" s="129"/>
    </row>
    <row r="1291">
      <c r="Y1291" s="129"/>
    </row>
    <row r="1292">
      <c r="Y1292" s="129"/>
    </row>
    <row r="1293">
      <c r="Y1293" s="129"/>
    </row>
    <row r="1294">
      <c r="Y1294" s="129"/>
    </row>
    <row r="1295">
      <c r="Y1295" s="129"/>
    </row>
    <row r="1296">
      <c r="Y1296" s="129"/>
    </row>
    <row r="1297">
      <c r="Y1297" s="129"/>
    </row>
    <row r="1298">
      <c r="Y1298" s="129"/>
    </row>
    <row r="1299">
      <c r="Y1299" s="129"/>
    </row>
    <row r="1300">
      <c r="Y1300" s="129"/>
    </row>
    <row r="1301">
      <c r="Y1301" s="129"/>
    </row>
    <row r="1302">
      <c r="Y1302" s="129"/>
    </row>
    <row r="1303">
      <c r="Y1303" s="129"/>
    </row>
    <row r="1304">
      <c r="Y1304" s="129"/>
    </row>
    <row r="1305">
      <c r="Y1305" s="129"/>
    </row>
    <row r="1306">
      <c r="Y1306" s="129"/>
    </row>
    <row r="1307">
      <c r="Y1307" s="129"/>
    </row>
    <row r="1308">
      <c r="Y1308" s="129"/>
    </row>
    <row r="1309">
      <c r="Y1309" s="129"/>
    </row>
    <row r="1310">
      <c r="Y1310" s="129"/>
    </row>
    <row r="1311">
      <c r="Y1311" s="129"/>
    </row>
    <row r="1312">
      <c r="Y1312" s="129"/>
    </row>
    <row r="1313">
      <c r="Y1313" s="129"/>
    </row>
    <row r="1314">
      <c r="Y1314" s="129"/>
    </row>
    <row r="1315">
      <c r="Y1315" s="129"/>
    </row>
    <row r="1316">
      <c r="Y1316" s="129"/>
    </row>
    <row r="1317">
      <c r="Y1317" s="129"/>
    </row>
    <row r="1318">
      <c r="Y1318" s="129"/>
    </row>
    <row r="1319">
      <c r="Y1319" s="129"/>
    </row>
    <row r="1320">
      <c r="Y1320" s="129"/>
    </row>
    <row r="1321">
      <c r="Y1321" s="129"/>
    </row>
    <row r="1322">
      <c r="Y1322" s="129"/>
    </row>
    <row r="1323">
      <c r="Y1323" s="129"/>
    </row>
    <row r="1324">
      <c r="Y1324" s="129"/>
    </row>
    <row r="1325">
      <c r="Y1325" s="129"/>
    </row>
    <row r="1326">
      <c r="Y1326" s="129"/>
    </row>
    <row r="1327">
      <c r="Y1327" s="129"/>
    </row>
    <row r="1328">
      <c r="Y1328" s="129"/>
    </row>
    <row r="1329">
      <c r="Y1329" s="129"/>
    </row>
    <row r="1330">
      <c r="Y1330" s="129"/>
    </row>
    <row r="1331">
      <c r="Y1331" s="129"/>
    </row>
    <row r="1332">
      <c r="Y1332" s="129"/>
    </row>
    <row r="1333">
      <c r="Y1333" s="129"/>
    </row>
    <row r="1334">
      <c r="Y1334" s="129"/>
    </row>
    <row r="1335">
      <c r="Y1335" s="129"/>
    </row>
    <row r="1336">
      <c r="Y1336" s="129"/>
    </row>
    <row r="1337">
      <c r="Y1337" s="129"/>
    </row>
    <row r="1338">
      <c r="Y1338" s="129"/>
    </row>
    <row r="1339">
      <c r="Y1339" s="129"/>
    </row>
    <row r="1340">
      <c r="Y1340" s="129"/>
    </row>
    <row r="1341">
      <c r="Y1341" s="129"/>
    </row>
    <row r="1342">
      <c r="Y1342" s="129"/>
    </row>
    <row r="1343">
      <c r="Y1343" s="129"/>
    </row>
    <row r="1344">
      <c r="Y1344" s="129"/>
    </row>
    <row r="1345">
      <c r="Y1345" s="129"/>
    </row>
    <row r="1346">
      <c r="Y1346" s="129"/>
    </row>
    <row r="1347">
      <c r="Y1347" s="129"/>
    </row>
    <row r="1348">
      <c r="Y1348" s="129"/>
    </row>
    <row r="1349">
      <c r="Y1349" s="129"/>
    </row>
    <row r="1350">
      <c r="Y1350" s="129"/>
    </row>
    <row r="1351">
      <c r="Y1351" s="129"/>
    </row>
    <row r="1352">
      <c r="Y1352" s="129"/>
    </row>
    <row r="1353">
      <c r="Y1353" s="129"/>
    </row>
    <row r="1354">
      <c r="Y1354" s="129"/>
    </row>
    <row r="1355">
      <c r="Y1355" s="129"/>
    </row>
    <row r="1356">
      <c r="Y1356" s="129"/>
    </row>
    <row r="1357">
      <c r="Y1357" s="129"/>
    </row>
    <row r="1358">
      <c r="Y1358" s="129"/>
    </row>
    <row r="1359">
      <c r="Y1359" s="129"/>
    </row>
    <row r="1360">
      <c r="Y1360" s="129"/>
    </row>
    <row r="1361">
      <c r="Y1361" s="129"/>
    </row>
    <row r="1362">
      <c r="Y1362" s="129"/>
    </row>
    <row r="1363">
      <c r="Y1363" s="129"/>
    </row>
    <row r="1364">
      <c r="Y1364" s="129"/>
    </row>
    <row r="1365">
      <c r="Y1365" s="129"/>
    </row>
    <row r="1366">
      <c r="Y1366" s="129"/>
    </row>
    <row r="1367">
      <c r="Y1367" s="129"/>
    </row>
    <row r="1368">
      <c r="Y1368" s="129"/>
    </row>
    <row r="1369">
      <c r="Y1369" s="129"/>
    </row>
    <row r="1370">
      <c r="Y1370" s="129"/>
    </row>
    <row r="1371">
      <c r="Y1371" s="129"/>
    </row>
    <row r="1372">
      <c r="Y1372" s="129"/>
    </row>
    <row r="1373">
      <c r="Y1373" s="129"/>
    </row>
    <row r="1374">
      <c r="Y1374" s="129"/>
    </row>
    <row r="1375">
      <c r="Y1375" s="129"/>
    </row>
    <row r="1376">
      <c r="Y1376" s="129"/>
    </row>
    <row r="1377">
      <c r="Y1377" s="129"/>
    </row>
    <row r="1378">
      <c r="Y1378" s="129"/>
    </row>
    <row r="1379">
      <c r="Y1379" s="129"/>
    </row>
    <row r="1380">
      <c r="Y1380" s="129"/>
    </row>
    <row r="1381">
      <c r="Y1381" s="129"/>
    </row>
    <row r="1382">
      <c r="Y1382" s="129"/>
    </row>
    <row r="1383">
      <c r="Y1383" s="129"/>
    </row>
    <row r="1384">
      <c r="Y1384" s="129"/>
    </row>
    <row r="1385">
      <c r="Y1385" s="129"/>
    </row>
    <row r="1386">
      <c r="Y1386" s="129"/>
    </row>
    <row r="1387">
      <c r="Y1387" s="129"/>
    </row>
    <row r="1388">
      <c r="Y1388" s="129"/>
    </row>
    <row r="1389">
      <c r="Y1389" s="129"/>
    </row>
    <row r="1390">
      <c r="Y1390" s="129"/>
    </row>
    <row r="1391">
      <c r="Y1391" s="129"/>
    </row>
    <row r="1392">
      <c r="Y1392" s="129"/>
    </row>
    <row r="1393">
      <c r="Y1393" s="129"/>
    </row>
    <row r="1394">
      <c r="Y1394" s="129"/>
    </row>
    <row r="1395">
      <c r="Y1395" s="129"/>
    </row>
    <row r="1396">
      <c r="Y1396" s="129"/>
    </row>
    <row r="1397">
      <c r="Y1397" s="129"/>
    </row>
    <row r="1398">
      <c r="Y1398" s="129"/>
    </row>
    <row r="1399">
      <c r="Y1399" s="129"/>
    </row>
    <row r="1400">
      <c r="Y1400" s="129"/>
    </row>
    <row r="1401">
      <c r="Y1401" s="129"/>
    </row>
    <row r="1402">
      <c r="Y1402" s="129"/>
    </row>
    <row r="1403">
      <c r="Y1403" s="129"/>
    </row>
    <row r="1404">
      <c r="Y1404" s="129"/>
    </row>
    <row r="1405">
      <c r="Y1405" s="129"/>
    </row>
    <row r="1406">
      <c r="Y1406" s="129"/>
    </row>
    <row r="1407">
      <c r="Y1407" s="129"/>
    </row>
    <row r="1408">
      <c r="Y1408" s="129"/>
    </row>
    <row r="1409">
      <c r="Y1409" s="129"/>
    </row>
  </sheetData>
  <conditionalFormatting sqref="B1:B1409">
    <cfRule type="expression" dxfId="1" priority="1">
      <formula>countif(B:B,B1)&gt;1</formula>
    </cfRule>
  </conditionalFormatting>
  <hyperlinks>
    <hyperlink r:id="rId1" ref="E80"/>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16" width="21.57"/>
  </cols>
  <sheetData>
    <row r="1">
      <c r="A1" t="s">
        <v>65</v>
      </c>
      <c r="B1" s="118" t="s">
        <v>3062</v>
      </c>
      <c r="C1" s="118" t="s">
        <v>3063</v>
      </c>
      <c r="D1" s="118" t="s">
        <v>3064</v>
      </c>
      <c r="E1" s="118" t="s">
        <v>3065</v>
      </c>
      <c r="F1" s="118" t="s">
        <v>3066</v>
      </c>
      <c r="G1" s="118" t="s">
        <v>3067</v>
      </c>
      <c r="H1" s="118" t="s">
        <v>3068</v>
      </c>
      <c r="I1" s="118" t="s">
        <v>3069</v>
      </c>
      <c r="J1" s="118" t="s">
        <v>386</v>
      </c>
    </row>
    <row r="2">
      <c r="A2" s="158">
        <v>43446.62677905093</v>
      </c>
      <c r="B2" s="118" t="s">
        <v>277</v>
      </c>
      <c r="C2" s="118" t="s">
        <v>277</v>
      </c>
      <c r="D2" s="118" t="s">
        <v>277</v>
      </c>
      <c r="E2" s="118" t="s">
        <v>277</v>
      </c>
      <c r="F2" s="118" t="s">
        <v>277</v>
      </c>
      <c r="G2" s="118" t="s">
        <v>277</v>
      </c>
      <c r="H2" s="118" t="s">
        <v>561</v>
      </c>
      <c r="I2" s="159"/>
      <c r="J2" s="159"/>
    </row>
    <row r="3">
      <c r="A3" s="158">
        <v>43446.62907452547</v>
      </c>
      <c r="B3" s="118" t="s">
        <v>277</v>
      </c>
      <c r="C3" s="118" t="s">
        <v>277</v>
      </c>
      <c r="D3" s="118" t="s">
        <v>277</v>
      </c>
      <c r="E3" s="118" t="s">
        <v>277</v>
      </c>
      <c r="F3" s="118" t="s">
        <v>277</v>
      </c>
      <c r="G3" s="118" t="s">
        <v>277</v>
      </c>
      <c r="H3" s="118" t="s">
        <v>3070</v>
      </c>
      <c r="I3" s="159"/>
      <c r="J3" s="159"/>
    </row>
    <row r="4">
      <c r="A4" s="158">
        <v>43446.631300532405</v>
      </c>
      <c r="B4" s="118" t="s">
        <v>277</v>
      </c>
      <c r="C4" s="118" t="s">
        <v>277</v>
      </c>
      <c r="D4" s="118" t="s">
        <v>277</v>
      </c>
      <c r="E4" s="118" t="s">
        <v>277</v>
      </c>
      <c r="F4" s="118" t="s">
        <v>277</v>
      </c>
      <c r="G4" s="118" t="s">
        <v>277</v>
      </c>
      <c r="H4" s="118" t="s">
        <v>3071</v>
      </c>
      <c r="I4" s="159"/>
      <c r="J4" s="159"/>
    </row>
    <row r="5">
      <c r="A5" s="158">
        <v>43446.63245420139</v>
      </c>
      <c r="B5" s="118" t="s">
        <v>277</v>
      </c>
      <c r="C5" s="118" t="s">
        <v>277</v>
      </c>
      <c r="D5" s="118" t="s">
        <v>277</v>
      </c>
      <c r="E5" s="118" t="s">
        <v>277</v>
      </c>
      <c r="F5" s="118" t="s">
        <v>277</v>
      </c>
      <c r="G5" s="118" t="s">
        <v>277</v>
      </c>
      <c r="H5" s="118" t="s">
        <v>3072</v>
      </c>
      <c r="I5" s="159"/>
      <c r="J5" s="159"/>
    </row>
    <row r="6">
      <c r="A6" s="158">
        <v>43446.63413777778</v>
      </c>
      <c r="B6" s="118" t="s">
        <v>277</v>
      </c>
      <c r="C6" s="118" t="s">
        <v>277</v>
      </c>
      <c r="D6" s="118" t="s">
        <v>277</v>
      </c>
      <c r="E6" s="118" t="s">
        <v>277</v>
      </c>
      <c r="F6" s="118" t="s">
        <v>277</v>
      </c>
      <c r="G6" s="118" t="s">
        <v>277</v>
      </c>
      <c r="H6" s="118" t="s">
        <v>3073</v>
      </c>
      <c r="I6" s="159"/>
      <c r="J6" s="159"/>
    </row>
    <row r="7">
      <c r="A7" s="158">
        <v>43446.63591109954</v>
      </c>
      <c r="B7" s="118" t="s">
        <v>277</v>
      </c>
      <c r="C7" s="118" t="s">
        <v>277</v>
      </c>
      <c r="D7" s="118" t="s">
        <v>277</v>
      </c>
      <c r="E7" s="118" t="s">
        <v>277</v>
      </c>
      <c r="F7" s="118" t="s">
        <v>277</v>
      </c>
      <c r="G7" s="118" t="s">
        <v>277</v>
      </c>
      <c r="H7" s="118" t="s">
        <v>3074</v>
      </c>
      <c r="I7" s="159"/>
      <c r="J7" s="159"/>
    </row>
    <row r="8">
      <c r="A8" s="158">
        <v>43446.63707864583</v>
      </c>
      <c r="B8" s="118" t="s">
        <v>277</v>
      </c>
      <c r="C8" s="118" t="s">
        <v>277</v>
      </c>
      <c r="D8" s="118" t="s">
        <v>277</v>
      </c>
      <c r="E8" s="118" t="s">
        <v>277</v>
      </c>
      <c r="F8" s="118" t="s">
        <v>277</v>
      </c>
      <c r="G8" s="118" t="s">
        <v>277</v>
      </c>
      <c r="H8" s="118" t="s">
        <v>3075</v>
      </c>
      <c r="I8" s="159"/>
      <c r="J8" s="159"/>
    </row>
    <row r="9">
      <c r="A9" s="158">
        <v>43446.69779826389</v>
      </c>
      <c r="B9" s="118" t="s">
        <v>277</v>
      </c>
      <c r="C9" s="118" t="s">
        <v>277</v>
      </c>
      <c r="D9" s="118" t="s">
        <v>277</v>
      </c>
      <c r="E9" s="118" t="s">
        <v>277</v>
      </c>
      <c r="F9" s="118" t="s">
        <v>277</v>
      </c>
      <c r="G9" s="118" t="s">
        <v>277</v>
      </c>
      <c r="H9" s="118" t="s">
        <v>3076</v>
      </c>
      <c r="I9" s="159"/>
      <c r="J9" s="159"/>
    </row>
    <row r="10">
      <c r="A10" s="158">
        <v>43446.699898125</v>
      </c>
      <c r="B10" s="118" t="s">
        <v>277</v>
      </c>
      <c r="C10" s="118" t="s">
        <v>277</v>
      </c>
      <c r="D10" s="118" t="s">
        <v>277</v>
      </c>
      <c r="E10" s="118" t="s">
        <v>277</v>
      </c>
      <c r="F10" s="118" t="s">
        <v>277</v>
      </c>
      <c r="G10" s="118" t="s">
        <v>277</v>
      </c>
      <c r="H10" s="118" t="s">
        <v>3077</v>
      </c>
      <c r="I10" s="159"/>
      <c r="J10" s="159"/>
    </row>
    <row r="11">
      <c r="A11" s="158">
        <v>43447.669400300925</v>
      </c>
      <c r="B11" s="118" t="s">
        <v>277</v>
      </c>
      <c r="C11" s="118" t="s">
        <v>277</v>
      </c>
      <c r="D11" s="118" t="s">
        <v>277</v>
      </c>
      <c r="E11" s="118" t="s">
        <v>277</v>
      </c>
      <c r="F11" s="118" t="s">
        <v>277</v>
      </c>
      <c r="G11" s="118" t="s">
        <v>277</v>
      </c>
      <c r="H11" s="118" t="s">
        <v>3078</v>
      </c>
      <c r="I11" s="159"/>
      <c r="J11" s="159"/>
    </row>
    <row r="12">
      <c r="A12" s="158">
        <v>43447.69257778935</v>
      </c>
      <c r="B12" s="118" t="s">
        <v>277</v>
      </c>
      <c r="C12" s="118" t="s">
        <v>277</v>
      </c>
      <c r="D12" s="118" t="s">
        <v>277</v>
      </c>
      <c r="E12" s="118" t="s">
        <v>277</v>
      </c>
      <c r="F12" s="118" t="s">
        <v>277</v>
      </c>
      <c r="G12" s="118" t="s">
        <v>277</v>
      </c>
      <c r="H12" s="118" t="s">
        <v>277</v>
      </c>
      <c r="I12" s="159"/>
      <c r="J12" s="159"/>
    </row>
    <row r="13">
      <c r="A13" s="158">
        <v>43452.59458203704</v>
      </c>
      <c r="B13" s="118" t="s">
        <v>277</v>
      </c>
      <c r="C13" s="118" t="s">
        <v>277</v>
      </c>
      <c r="D13" s="118" t="s">
        <v>277</v>
      </c>
      <c r="E13" s="118" t="s">
        <v>277</v>
      </c>
      <c r="F13" s="118" t="s">
        <v>277</v>
      </c>
      <c r="G13" s="118" t="s">
        <v>277</v>
      </c>
      <c r="H13" s="118" t="s">
        <v>434</v>
      </c>
    </row>
    <row r="14">
      <c r="A14" s="158">
        <v>43452.654316064814</v>
      </c>
      <c r="B14" s="118" t="s">
        <v>277</v>
      </c>
      <c r="C14" s="118" t="s">
        <v>277</v>
      </c>
      <c r="D14" s="118" t="s">
        <v>277</v>
      </c>
      <c r="E14" s="118" t="s">
        <v>277</v>
      </c>
      <c r="F14" s="118" t="s">
        <v>277</v>
      </c>
      <c r="G14" s="118" t="s">
        <v>277</v>
      </c>
      <c r="H14" s="118" t="s">
        <v>508</v>
      </c>
    </row>
    <row r="15">
      <c r="A15" s="158">
        <v>43452.76578810185</v>
      </c>
      <c r="B15" s="118" t="s">
        <v>277</v>
      </c>
      <c r="C15" s="118" t="s">
        <v>277</v>
      </c>
      <c r="D15" s="118" t="s">
        <v>277</v>
      </c>
      <c r="E15" s="118" t="s">
        <v>277</v>
      </c>
      <c r="F15" s="118" t="s">
        <v>277</v>
      </c>
      <c r="G15" s="118" t="s">
        <v>277</v>
      </c>
      <c r="H15" s="118" t="s">
        <v>641</v>
      </c>
    </row>
    <row r="16">
      <c r="A16" s="158">
        <v>43452.87377723379</v>
      </c>
      <c r="B16" s="118" t="s">
        <v>277</v>
      </c>
      <c r="C16" s="118" t="s">
        <v>182</v>
      </c>
      <c r="D16" s="118" t="s">
        <v>277</v>
      </c>
      <c r="E16" s="118" t="s">
        <v>277</v>
      </c>
      <c r="F16" s="118" t="s">
        <v>277</v>
      </c>
      <c r="G16" s="118" t="s">
        <v>277</v>
      </c>
      <c r="H16" s="118" t="s">
        <v>3079</v>
      </c>
    </row>
    <row r="17">
      <c r="A17" s="158">
        <v>43578.71138594908</v>
      </c>
      <c r="B17" s="118" t="s">
        <v>277</v>
      </c>
      <c r="C17" s="118" t="s">
        <v>277</v>
      </c>
      <c r="D17" s="118" t="s">
        <v>277</v>
      </c>
      <c r="E17" s="118" t="s">
        <v>277</v>
      </c>
      <c r="F17" s="118" t="s">
        <v>277</v>
      </c>
      <c r="G17" s="118" t="s">
        <v>277</v>
      </c>
      <c r="H17" s="118" t="s">
        <v>420</v>
      </c>
    </row>
    <row r="18">
      <c r="A18" s="158">
        <v>43578.711775324075</v>
      </c>
      <c r="B18" s="118" t="s">
        <v>277</v>
      </c>
      <c r="C18" s="118" t="s">
        <v>277</v>
      </c>
      <c r="D18" s="118" t="s">
        <v>277</v>
      </c>
      <c r="E18" s="118" t="s">
        <v>277</v>
      </c>
      <c r="F18" s="118" t="s">
        <v>277</v>
      </c>
      <c r="G18" s="118" t="s">
        <v>277</v>
      </c>
      <c r="H18" s="118" t="s">
        <v>469</v>
      </c>
    </row>
    <row r="19">
      <c r="A19" s="158">
        <v>43578.732538738426</v>
      </c>
      <c r="B19" s="118" t="s">
        <v>277</v>
      </c>
      <c r="C19" s="118" t="s">
        <v>277</v>
      </c>
      <c r="D19" s="118" t="s">
        <v>277</v>
      </c>
      <c r="E19" s="118" t="s">
        <v>277</v>
      </c>
      <c r="F19" s="118" t="s">
        <v>277</v>
      </c>
      <c r="G19" s="118" t="s">
        <v>277</v>
      </c>
      <c r="H19" s="118" t="s">
        <v>488</v>
      </c>
    </row>
    <row r="20">
      <c r="A20" s="158">
        <v>43578.76346618056</v>
      </c>
      <c r="B20" s="118" t="s">
        <v>277</v>
      </c>
      <c r="C20" s="118" t="s">
        <v>277</v>
      </c>
      <c r="D20" s="118" t="s">
        <v>277</v>
      </c>
      <c r="E20" s="118" t="s">
        <v>277</v>
      </c>
      <c r="F20" s="118" t="s">
        <v>277</v>
      </c>
      <c r="G20" s="118" t="s">
        <v>277</v>
      </c>
      <c r="H20" s="118" t="s">
        <v>3095</v>
      </c>
    </row>
    <row r="21">
      <c r="A21" s="158">
        <v>43585.552765138884</v>
      </c>
      <c r="B21" s="118" t="s">
        <v>277</v>
      </c>
      <c r="C21" s="118" t="s">
        <v>277</v>
      </c>
      <c r="D21" s="118" t="s">
        <v>277</v>
      </c>
      <c r="E21" s="118" t="s">
        <v>277</v>
      </c>
      <c r="F21" s="118" t="s">
        <v>277</v>
      </c>
      <c r="G21" s="118" t="s">
        <v>277</v>
      </c>
      <c r="H21" s="118" t="s">
        <v>3097</v>
      </c>
    </row>
    <row r="22">
      <c r="A22" s="158">
        <v>43585.65788024306</v>
      </c>
      <c r="B22" s="118" t="s">
        <v>277</v>
      </c>
      <c r="C22" s="118" t="s">
        <v>277</v>
      </c>
      <c r="D22" s="118" t="s">
        <v>277</v>
      </c>
      <c r="E22" s="118" t="s">
        <v>277</v>
      </c>
      <c r="F22" s="118" t="s">
        <v>277</v>
      </c>
      <c r="G22" s="118" t="s">
        <v>277</v>
      </c>
      <c r="H22" s="118" t="s">
        <v>1095</v>
      </c>
    </row>
    <row r="23">
      <c r="A23" s="158">
        <v>43586.584147789355</v>
      </c>
      <c r="B23" s="118" t="s">
        <v>277</v>
      </c>
      <c r="C23" s="118" t="s">
        <v>277</v>
      </c>
      <c r="D23" s="118" t="s">
        <v>277</v>
      </c>
      <c r="E23" s="118" t="s">
        <v>277</v>
      </c>
      <c r="F23" s="118" t="s">
        <v>277</v>
      </c>
      <c r="G23" s="118" t="s">
        <v>277</v>
      </c>
      <c r="H23" s="118" t="s">
        <v>1337</v>
      </c>
    </row>
    <row r="24">
      <c r="A24" s="158">
        <v>43587.16917846065</v>
      </c>
      <c r="B24" s="118" t="s">
        <v>277</v>
      </c>
      <c r="C24" s="118" t="s">
        <v>277</v>
      </c>
      <c r="D24" s="118" t="s">
        <v>277</v>
      </c>
      <c r="E24" s="118" t="s">
        <v>277</v>
      </c>
      <c r="F24" s="118" t="s">
        <v>277</v>
      </c>
      <c r="G24" s="118" t="s">
        <v>277</v>
      </c>
      <c r="H24" s="118" t="s">
        <v>502</v>
      </c>
    </row>
    <row r="25">
      <c r="A25" s="158">
        <v>43588.377019328706</v>
      </c>
      <c r="B25" s="118" t="s">
        <v>277</v>
      </c>
      <c r="C25" s="118" t="s">
        <v>277</v>
      </c>
      <c r="D25" s="118" t="s">
        <v>277</v>
      </c>
      <c r="E25" s="118" t="s">
        <v>277</v>
      </c>
      <c r="F25" s="118" t="s">
        <v>277</v>
      </c>
      <c r="G25" s="118" t="s">
        <v>277</v>
      </c>
      <c r="H25" s="118" t="s">
        <v>1476</v>
      </c>
    </row>
    <row r="26">
      <c r="A26" s="158">
        <v>43588.417145810185</v>
      </c>
      <c r="B26" s="118" t="s">
        <v>277</v>
      </c>
      <c r="C26" s="118" t="s">
        <v>277</v>
      </c>
      <c r="D26" s="118" t="s">
        <v>277</v>
      </c>
      <c r="E26" s="118" t="s">
        <v>277</v>
      </c>
      <c r="F26" s="118" t="s">
        <v>277</v>
      </c>
      <c r="G26" s="118" t="s">
        <v>277</v>
      </c>
      <c r="H26" s="118" t="s">
        <v>469</v>
      </c>
    </row>
    <row r="27">
      <c r="A27" s="158">
        <v>43592.48856376157</v>
      </c>
      <c r="B27" s="118" t="s">
        <v>277</v>
      </c>
      <c r="C27" s="118" t="s">
        <v>277</v>
      </c>
      <c r="D27" s="118" t="s">
        <v>277</v>
      </c>
      <c r="E27" s="118" t="s">
        <v>277</v>
      </c>
      <c r="F27" s="118" t="s">
        <v>277</v>
      </c>
      <c r="G27" s="118" t="s">
        <v>277</v>
      </c>
      <c r="H27" s="118" t="s">
        <v>3103</v>
      </c>
    </row>
    <row r="28">
      <c r="A28" s="158">
        <v>43609.62103260416</v>
      </c>
      <c r="B28" s="118" t="s">
        <v>277</v>
      </c>
      <c r="C28" s="118" t="s">
        <v>277</v>
      </c>
      <c r="D28" s="118" t="s">
        <v>277</v>
      </c>
      <c r="E28" s="118" t="s">
        <v>277</v>
      </c>
      <c r="F28" s="118" t="s">
        <v>277</v>
      </c>
      <c r="G28" s="118" t="s">
        <v>277</v>
      </c>
      <c r="H28" s="118" t="s">
        <v>591</v>
      </c>
    </row>
    <row r="29">
      <c r="A29" s="158">
        <v>43616.689492060184</v>
      </c>
      <c r="B29" s="118" t="s">
        <v>277</v>
      </c>
      <c r="C29" s="118" t="s">
        <v>277</v>
      </c>
      <c r="D29" s="118" t="s">
        <v>277</v>
      </c>
      <c r="E29" s="118" t="s">
        <v>277</v>
      </c>
      <c r="F29" s="118" t="s">
        <v>277</v>
      </c>
      <c r="G29" s="118" t="s">
        <v>277</v>
      </c>
      <c r="H29" s="118" t="s">
        <v>1322</v>
      </c>
    </row>
    <row r="30">
      <c r="A30" s="158">
        <v>43619.8697678125</v>
      </c>
      <c r="B30" s="118" t="s">
        <v>277</v>
      </c>
      <c r="C30" s="118" t="s">
        <v>277</v>
      </c>
      <c r="D30" s="118" t="s">
        <v>277</v>
      </c>
      <c r="E30" s="118" t="s">
        <v>277</v>
      </c>
      <c r="F30" s="118" t="s">
        <v>277</v>
      </c>
      <c r="G30" s="118" t="s">
        <v>277</v>
      </c>
      <c r="H30" s="118" t="s">
        <v>1229</v>
      </c>
    </row>
    <row r="31">
      <c r="A31" s="158">
        <v>43619.96142047454</v>
      </c>
      <c r="B31" s="118" t="s">
        <v>277</v>
      </c>
      <c r="C31" s="118" t="s">
        <v>277</v>
      </c>
      <c r="D31" s="118" t="s">
        <v>277</v>
      </c>
      <c r="E31" s="118" t="s">
        <v>277</v>
      </c>
      <c r="F31" s="118" t="s">
        <v>277</v>
      </c>
      <c r="G31" s="118" t="s">
        <v>277</v>
      </c>
      <c r="H31" s="118" t="s">
        <v>1061</v>
      </c>
    </row>
    <row r="32">
      <c r="A32" s="158">
        <v>43670.14370570602</v>
      </c>
      <c r="B32" s="118" t="s">
        <v>277</v>
      </c>
      <c r="C32" s="118" t="s">
        <v>277</v>
      </c>
      <c r="D32" s="118" t="s">
        <v>277</v>
      </c>
      <c r="E32" s="118" t="s">
        <v>277</v>
      </c>
      <c r="F32" s="118" t="s">
        <v>277</v>
      </c>
      <c r="G32" s="118" t="s">
        <v>277</v>
      </c>
      <c r="H32" s="118" t="s">
        <v>1704</v>
      </c>
    </row>
    <row r="33">
      <c r="A33" s="158">
        <v>43692.67830410879</v>
      </c>
      <c r="B33" s="118" t="s">
        <v>277</v>
      </c>
      <c r="C33" s="118" t="s">
        <v>277</v>
      </c>
      <c r="D33" s="118" t="s">
        <v>277</v>
      </c>
      <c r="E33" s="118" t="s">
        <v>277</v>
      </c>
      <c r="F33" s="118" t="s">
        <v>277</v>
      </c>
      <c r="G33" s="118" t="s">
        <v>277</v>
      </c>
      <c r="H33" s="118" t="s">
        <v>1941</v>
      </c>
    </row>
    <row r="34">
      <c r="A34" s="158">
        <v>43692.69786398148</v>
      </c>
      <c r="B34" s="118" t="s">
        <v>277</v>
      </c>
      <c r="C34" s="118" t="s">
        <v>277</v>
      </c>
      <c r="D34" s="118" t="s">
        <v>277</v>
      </c>
      <c r="E34" s="118" t="s">
        <v>277</v>
      </c>
      <c r="F34" s="118" t="s">
        <v>277</v>
      </c>
      <c r="G34" s="118" t="s">
        <v>277</v>
      </c>
      <c r="H34" s="118" t="s">
        <v>1864</v>
      </c>
    </row>
    <row r="35">
      <c r="A35" s="158">
        <v>43692.701648738424</v>
      </c>
      <c r="B35" s="118" t="s">
        <v>277</v>
      </c>
      <c r="C35" s="118" t="s">
        <v>277</v>
      </c>
      <c r="D35" s="118" t="s">
        <v>277</v>
      </c>
      <c r="E35" s="118" t="s">
        <v>277</v>
      </c>
      <c r="F35" s="118" t="s">
        <v>277</v>
      </c>
      <c r="G35" s="118" t="s">
        <v>277</v>
      </c>
      <c r="H35" s="118" t="s">
        <v>1614</v>
      </c>
    </row>
    <row r="36">
      <c r="A36" s="158">
        <v>43692.75934019676</v>
      </c>
      <c r="B36" s="118" t="s">
        <v>277</v>
      </c>
      <c r="C36" s="118" t="s">
        <v>277</v>
      </c>
      <c r="D36" s="118" t="s">
        <v>277</v>
      </c>
      <c r="E36" s="118" t="s">
        <v>277</v>
      </c>
      <c r="F36" s="118" t="s">
        <v>277</v>
      </c>
      <c r="G36" s="118" t="s">
        <v>277</v>
      </c>
      <c r="H36" s="118" t="s">
        <v>2120</v>
      </c>
    </row>
    <row r="37">
      <c r="A37" s="158">
        <v>43693.35946533565</v>
      </c>
      <c r="B37" s="118" t="s">
        <v>277</v>
      </c>
      <c r="C37" s="118" t="s">
        <v>277</v>
      </c>
      <c r="D37" s="118" t="s">
        <v>277</v>
      </c>
      <c r="E37" s="118" t="s">
        <v>277</v>
      </c>
      <c r="F37" s="118" t="s">
        <v>277</v>
      </c>
      <c r="G37" s="118" t="s">
        <v>277</v>
      </c>
      <c r="H37" s="118" t="s">
        <v>3099</v>
      </c>
    </row>
    <row r="38">
      <c r="A38" s="158">
        <v>43693.37116692129</v>
      </c>
      <c r="B38" s="118" t="s">
        <v>277</v>
      </c>
      <c r="C38" s="118" t="s">
        <v>277</v>
      </c>
      <c r="D38" s="118" t="s">
        <v>277</v>
      </c>
      <c r="E38" s="118" t="s">
        <v>277</v>
      </c>
      <c r="F38" s="118" t="s">
        <v>277</v>
      </c>
      <c r="G38" s="118" t="s">
        <v>277</v>
      </c>
      <c r="H38" s="118" t="s">
        <v>1931</v>
      </c>
    </row>
    <row r="39">
      <c r="A39" s="158">
        <v>43693.51040568287</v>
      </c>
      <c r="B39" s="118" t="s">
        <v>277</v>
      </c>
      <c r="C39" s="118" t="s">
        <v>277</v>
      </c>
      <c r="D39" s="118" t="s">
        <v>277</v>
      </c>
      <c r="E39" s="118" t="s">
        <v>277</v>
      </c>
      <c r="F39" s="118" t="s">
        <v>277</v>
      </c>
      <c r="G39" s="118" t="s">
        <v>277</v>
      </c>
      <c r="H39" s="118" t="s">
        <v>3101</v>
      </c>
    </row>
    <row r="40">
      <c r="A40" s="158">
        <v>43693.5191621875</v>
      </c>
      <c r="B40" s="118" t="s">
        <v>277</v>
      </c>
      <c r="C40" s="118" t="s">
        <v>277</v>
      </c>
      <c r="D40" s="118" t="s">
        <v>277</v>
      </c>
      <c r="E40" s="118" t="s">
        <v>277</v>
      </c>
      <c r="F40" s="118" t="s">
        <v>277</v>
      </c>
      <c r="G40" s="118" t="s">
        <v>277</v>
      </c>
      <c r="H40" s="118" t="s">
        <v>1695</v>
      </c>
    </row>
    <row r="41">
      <c r="A41" s="158">
        <v>43727.487001898146</v>
      </c>
      <c r="B41" s="118" t="s">
        <v>277</v>
      </c>
      <c r="C41" s="118" t="s">
        <v>277</v>
      </c>
      <c r="D41" s="118" t="s">
        <v>277</v>
      </c>
      <c r="E41" s="118" t="s">
        <v>277</v>
      </c>
      <c r="F41" s="118" t="s">
        <v>277</v>
      </c>
      <c r="G41" s="118" t="s">
        <v>277</v>
      </c>
      <c r="H41" s="118" t="s">
        <v>3110</v>
      </c>
    </row>
    <row r="42">
      <c r="A42" s="158">
        <v>43755.64912555556</v>
      </c>
      <c r="B42" s="118" t="s">
        <v>277</v>
      </c>
      <c r="C42" s="118" t="s">
        <v>277</v>
      </c>
      <c r="D42" s="118" t="s">
        <v>277</v>
      </c>
      <c r="E42" s="118" t="s">
        <v>277</v>
      </c>
      <c r="F42" s="118" t="s">
        <v>277</v>
      </c>
      <c r="G42" s="118" t="s">
        <v>277</v>
      </c>
      <c r="H42" s="118" t="s">
        <v>1376</v>
      </c>
    </row>
    <row r="43">
      <c r="A43" s="158">
        <v>43846.68129896991</v>
      </c>
      <c r="B43" s="118" t="s">
        <v>277</v>
      </c>
      <c r="C43" s="118" t="s">
        <v>277</v>
      </c>
      <c r="D43" s="118" t="s">
        <v>277</v>
      </c>
      <c r="E43" s="118" t="s">
        <v>277</v>
      </c>
      <c r="F43" s="118" t="s">
        <v>277</v>
      </c>
      <c r="G43" s="118" t="s">
        <v>277</v>
      </c>
      <c r="H43" s="118" t="s">
        <v>3111</v>
      </c>
    </row>
    <row r="44">
      <c r="A44" s="158">
        <v>43846.772450578705</v>
      </c>
      <c r="B44" s="118" t="s">
        <v>277</v>
      </c>
      <c r="C44" s="118" t="s">
        <v>277</v>
      </c>
      <c r="D44" s="118" t="s">
        <v>277</v>
      </c>
      <c r="E44" s="118" t="s">
        <v>277</v>
      </c>
      <c r="F44" s="118" t="s">
        <v>277</v>
      </c>
      <c r="G44" s="118" t="s">
        <v>277</v>
      </c>
      <c r="H44" s="118" t="s">
        <v>141</v>
      </c>
    </row>
    <row r="45">
      <c r="A45" s="158">
        <v>43846.796634791666</v>
      </c>
      <c r="B45" s="118" t="s">
        <v>277</v>
      </c>
      <c r="C45" s="118" t="s">
        <v>277</v>
      </c>
      <c r="D45" s="118" t="s">
        <v>277</v>
      </c>
      <c r="E45" s="118" t="s">
        <v>277</v>
      </c>
      <c r="F45" s="118" t="s">
        <v>277</v>
      </c>
      <c r="G45" s="118" t="s">
        <v>277</v>
      </c>
      <c r="H45" s="118" t="s">
        <v>2920</v>
      </c>
    </row>
    <row r="46">
      <c r="A46" s="158">
        <v>43847.25339388889</v>
      </c>
      <c r="B46" s="118" t="s">
        <v>277</v>
      </c>
      <c r="C46" s="118" t="s">
        <v>277</v>
      </c>
      <c r="D46" s="118" t="s">
        <v>277</v>
      </c>
      <c r="E46" s="118" t="s">
        <v>277</v>
      </c>
      <c r="F46" s="118" t="s">
        <v>277</v>
      </c>
      <c r="G46" s="118" t="s">
        <v>277</v>
      </c>
      <c r="H46" s="118" t="s">
        <v>2758</v>
      </c>
    </row>
    <row r="47">
      <c r="A47" s="158">
        <v>43847.32013474537</v>
      </c>
      <c r="B47" s="118" t="s">
        <v>277</v>
      </c>
      <c r="C47" s="118" t="s">
        <v>277</v>
      </c>
      <c r="D47" s="118" t="s">
        <v>277</v>
      </c>
      <c r="E47" s="118" t="s">
        <v>277</v>
      </c>
      <c r="F47" s="118" t="s">
        <v>277</v>
      </c>
      <c r="G47" s="118" t="s">
        <v>277</v>
      </c>
      <c r="H47" s="118" t="s">
        <v>2838</v>
      </c>
    </row>
    <row r="48">
      <c r="A48" s="158">
        <v>43847.50849502315</v>
      </c>
      <c r="B48" s="118" t="s">
        <v>277</v>
      </c>
      <c r="C48" s="118" t="s">
        <v>277</v>
      </c>
      <c r="D48" s="118" t="s">
        <v>277</v>
      </c>
      <c r="E48" s="118" t="s">
        <v>277</v>
      </c>
      <c r="F48" s="118" t="s">
        <v>277</v>
      </c>
      <c r="G48" s="118" t="s">
        <v>277</v>
      </c>
      <c r="H48" s="118" t="s">
        <v>3112</v>
      </c>
    </row>
    <row r="49">
      <c r="A49" s="158">
        <v>43847.67273668981</v>
      </c>
      <c r="B49" s="118" t="s">
        <v>277</v>
      </c>
      <c r="C49" s="118" t="s">
        <v>277</v>
      </c>
      <c r="D49" s="118" t="s">
        <v>277</v>
      </c>
      <c r="E49" s="118" t="s">
        <v>277</v>
      </c>
      <c r="F49" s="118" t="s">
        <v>277</v>
      </c>
      <c r="G49" s="118" t="s">
        <v>277</v>
      </c>
      <c r="H49" s="118" t="s">
        <v>1309</v>
      </c>
    </row>
    <row r="50">
      <c r="A50" s="158">
        <v>43847.82472682871</v>
      </c>
      <c r="B50" s="118" t="s">
        <v>277</v>
      </c>
      <c r="C50" s="118" t="s">
        <v>277</v>
      </c>
      <c r="D50" s="118" t="s">
        <v>277</v>
      </c>
      <c r="E50" s="118" t="s">
        <v>277</v>
      </c>
      <c r="F50" s="118" t="s">
        <v>277</v>
      </c>
      <c r="G50" s="118" t="s">
        <v>277</v>
      </c>
      <c r="H50" s="118" t="s">
        <v>3113</v>
      </c>
    </row>
    <row r="51">
      <c r="A51" s="158">
        <v>43849.53606846065</v>
      </c>
      <c r="B51" s="118" t="s">
        <v>277</v>
      </c>
      <c r="C51" s="118" t="s">
        <v>277</v>
      </c>
      <c r="D51" s="118" t="s">
        <v>277</v>
      </c>
      <c r="E51" s="118" t="s">
        <v>277</v>
      </c>
      <c r="F51" s="118" t="s">
        <v>277</v>
      </c>
      <c r="G51" s="118" t="s">
        <v>277</v>
      </c>
      <c r="H51" s="118" t="s">
        <v>3114</v>
      </c>
    </row>
    <row r="52">
      <c r="A52" s="158">
        <v>43849.85318614583</v>
      </c>
      <c r="B52" s="118" t="s">
        <v>277</v>
      </c>
      <c r="C52" s="118" t="s">
        <v>277</v>
      </c>
      <c r="D52" s="118" t="s">
        <v>277</v>
      </c>
      <c r="E52" s="118" t="s">
        <v>277</v>
      </c>
      <c r="F52" s="118" t="s">
        <v>277</v>
      </c>
      <c r="G52" s="118" t="s">
        <v>277</v>
      </c>
      <c r="H52" s="118" t="s">
        <v>3115</v>
      </c>
    </row>
    <row r="53">
      <c r="A53" s="158">
        <v>43851.3275359375</v>
      </c>
      <c r="B53" s="118" t="s">
        <v>277</v>
      </c>
      <c r="C53" s="118" t="s">
        <v>277</v>
      </c>
      <c r="D53" s="118" t="s">
        <v>277</v>
      </c>
      <c r="E53" s="118" t="s">
        <v>277</v>
      </c>
      <c r="F53" s="118" t="s">
        <v>277</v>
      </c>
      <c r="G53" s="118" t="s">
        <v>277</v>
      </c>
      <c r="H53" s="118" t="s">
        <v>2732</v>
      </c>
    </row>
    <row r="54">
      <c r="A54" s="158">
        <v>43851.33091240741</v>
      </c>
      <c r="B54" s="118" t="s">
        <v>277</v>
      </c>
      <c r="C54" s="118" t="s">
        <v>277</v>
      </c>
      <c r="D54" s="118" t="s">
        <v>277</v>
      </c>
      <c r="E54" s="118" t="s">
        <v>277</v>
      </c>
      <c r="F54" s="118" t="s">
        <v>182</v>
      </c>
      <c r="G54" s="118" t="s">
        <v>277</v>
      </c>
      <c r="H54" s="118" t="s">
        <v>3116</v>
      </c>
    </row>
    <row r="55">
      <c r="A55" s="158">
        <v>43852.54922920139</v>
      </c>
      <c r="B55" s="118" t="s">
        <v>277</v>
      </c>
      <c r="C55" s="118" t="s">
        <v>277</v>
      </c>
      <c r="D55" s="118" t="s">
        <v>277</v>
      </c>
      <c r="E55" s="118" t="s">
        <v>277</v>
      </c>
      <c r="F55" s="118" t="s">
        <v>277</v>
      </c>
      <c r="G55" s="118" t="s">
        <v>277</v>
      </c>
      <c r="H55" s="118" t="s">
        <v>3117</v>
      </c>
    </row>
    <row r="56">
      <c r="A56" s="158">
        <v>43853.19108815972</v>
      </c>
      <c r="B56" s="118" t="s">
        <v>277</v>
      </c>
      <c r="C56" s="118" t="s">
        <v>277</v>
      </c>
      <c r="D56" s="118" t="s">
        <v>277</v>
      </c>
      <c r="E56" s="118" t="s">
        <v>277</v>
      </c>
      <c r="F56" s="118" t="s">
        <v>277</v>
      </c>
      <c r="G56" s="118" t="s">
        <v>277</v>
      </c>
      <c r="H56" s="118" t="s">
        <v>3118</v>
      </c>
    </row>
    <row r="57">
      <c r="A57" s="158">
        <v>43853.48103869213</v>
      </c>
      <c r="B57" s="118" t="s">
        <v>277</v>
      </c>
      <c r="C57" s="118" t="s">
        <v>277</v>
      </c>
      <c r="D57" s="118" t="s">
        <v>277</v>
      </c>
      <c r="E57" s="118" t="s">
        <v>277</v>
      </c>
      <c r="F57" s="118" t="s">
        <v>277</v>
      </c>
      <c r="G57" s="118" t="s">
        <v>277</v>
      </c>
      <c r="H57" s="118" t="s">
        <v>3119</v>
      </c>
    </row>
    <row r="58">
      <c r="A58" s="158">
        <v>43858.20131579861</v>
      </c>
      <c r="B58" s="118" t="s">
        <v>277</v>
      </c>
      <c r="C58" s="118" t="s">
        <v>277</v>
      </c>
      <c r="D58" s="118" t="s">
        <v>277</v>
      </c>
      <c r="E58" s="118" t="s">
        <v>277</v>
      </c>
      <c r="F58" s="118" t="s">
        <v>277</v>
      </c>
      <c r="G58" s="118" t="s">
        <v>277</v>
      </c>
      <c r="H58" s="118" t="s">
        <v>3120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21.57"/>
  </cols>
  <sheetData>
    <row r="1">
      <c r="A1" t="s">
        <v>65</v>
      </c>
      <c r="B1" s="118" t="s">
        <v>3080</v>
      </c>
      <c r="C1" s="118" t="s">
        <v>3081</v>
      </c>
      <c r="D1" s="118" t="s">
        <v>3082</v>
      </c>
      <c r="E1" s="118" t="s">
        <v>3083</v>
      </c>
    </row>
    <row r="2">
      <c r="A2" s="158">
        <v>43454.33938903935</v>
      </c>
      <c r="B2" s="118" t="s">
        <v>277</v>
      </c>
      <c r="C2" s="118" t="s">
        <v>277</v>
      </c>
      <c r="D2" s="118" t="s">
        <v>673</v>
      </c>
      <c r="E2" s="118" t="s">
        <v>3084</v>
      </c>
    </row>
    <row r="3">
      <c r="A3" s="158">
        <v>43454.46055502315</v>
      </c>
      <c r="B3" s="118" t="s">
        <v>277</v>
      </c>
      <c r="C3" s="118" t="s">
        <v>277</v>
      </c>
      <c r="D3" s="118" t="s">
        <v>656</v>
      </c>
      <c r="E3" s="118" t="s">
        <v>3084</v>
      </c>
    </row>
    <row r="4">
      <c r="A4" s="158">
        <v>43458.5481325463</v>
      </c>
      <c r="B4" s="118" t="s">
        <v>277</v>
      </c>
      <c r="C4" s="118" t="s">
        <v>277</v>
      </c>
      <c r="D4" s="118" t="s">
        <v>662</v>
      </c>
      <c r="E4" s="174" t="s">
        <v>3085</v>
      </c>
    </row>
    <row r="5">
      <c r="A5" s="158">
        <v>43468.989018900465</v>
      </c>
      <c r="B5" s="118" t="s">
        <v>277</v>
      </c>
      <c r="C5" s="118" t="s">
        <v>277</v>
      </c>
      <c r="D5" s="118" t="s">
        <v>667</v>
      </c>
      <c r="E5" s="174" t="s">
        <v>3086</v>
      </c>
    </row>
    <row r="6">
      <c r="A6" s="158">
        <v>43473.42547134259</v>
      </c>
      <c r="B6" s="118" t="s">
        <v>277</v>
      </c>
      <c r="C6" s="118" t="s">
        <v>277</v>
      </c>
      <c r="D6" s="118" t="s">
        <v>647</v>
      </c>
      <c r="E6" s="174" t="s">
        <v>3087</v>
      </c>
    </row>
    <row r="7">
      <c r="A7" s="158">
        <v>43473.49965528936</v>
      </c>
      <c r="B7" s="118" t="s">
        <v>277</v>
      </c>
      <c r="C7" s="118" t="s">
        <v>277</v>
      </c>
      <c r="D7" s="118" t="s">
        <v>3088</v>
      </c>
      <c r="E7" s="174" t="s">
        <v>3087</v>
      </c>
    </row>
    <row r="8">
      <c r="A8" s="158">
        <v>43504.566812812496</v>
      </c>
      <c r="B8" s="118" t="s">
        <v>277</v>
      </c>
      <c r="C8" s="118" t="s">
        <v>277</v>
      </c>
      <c r="D8" s="118" t="s">
        <v>3089</v>
      </c>
      <c r="E8" s="174" t="s">
        <v>3090</v>
      </c>
    </row>
    <row r="9">
      <c r="A9" s="158">
        <v>43584.51845253472</v>
      </c>
      <c r="B9" s="118" t="s">
        <v>277</v>
      </c>
      <c r="C9" s="118" t="s">
        <v>277</v>
      </c>
      <c r="D9" s="118" t="s">
        <v>1303</v>
      </c>
      <c r="E9" s="174" t="s">
        <v>3091</v>
      </c>
    </row>
    <row r="10">
      <c r="A10" s="158">
        <v>43585.55783424768</v>
      </c>
      <c r="B10" s="118" t="s">
        <v>277</v>
      </c>
      <c r="C10" s="118" t="s">
        <v>277</v>
      </c>
      <c r="D10" s="118" t="s">
        <v>3092</v>
      </c>
      <c r="E10" s="174" t="s">
        <v>3093</v>
      </c>
    </row>
    <row r="11">
      <c r="A11" s="158">
        <v>43593.54579412037</v>
      </c>
      <c r="B11" s="118" t="s">
        <v>277</v>
      </c>
      <c r="C11" s="118" t="s">
        <v>277</v>
      </c>
      <c r="D11" s="118" t="s">
        <v>843</v>
      </c>
      <c r="E11" s="174" t="s">
        <v>3094</v>
      </c>
    </row>
    <row r="12">
      <c r="A12" s="158">
        <v>43718.44045336806</v>
      </c>
      <c r="B12" s="118" t="s">
        <v>277</v>
      </c>
      <c r="C12" s="118" t="s">
        <v>277</v>
      </c>
      <c r="D12" s="118" t="s">
        <v>2152</v>
      </c>
      <c r="E12" s="174" t="s">
        <v>3096</v>
      </c>
    </row>
    <row r="13">
      <c r="A13" s="158">
        <v>43718.478234016206</v>
      </c>
      <c r="B13" s="118" t="s">
        <v>277</v>
      </c>
      <c r="C13" s="118" t="s">
        <v>277</v>
      </c>
      <c r="D13" s="118" t="s">
        <v>1931</v>
      </c>
      <c r="E13" s="174" t="s">
        <v>3098</v>
      </c>
    </row>
    <row r="14">
      <c r="A14" s="158">
        <v>43718.692504942126</v>
      </c>
      <c r="B14" s="118" t="s">
        <v>277</v>
      </c>
      <c r="C14" s="118" t="s">
        <v>277</v>
      </c>
      <c r="D14" s="118" t="s">
        <v>1663</v>
      </c>
      <c r="E14" s="174" t="s">
        <v>3096</v>
      </c>
    </row>
    <row r="15">
      <c r="A15" s="158">
        <v>43719.357022303244</v>
      </c>
      <c r="B15" s="118" t="s">
        <v>277</v>
      </c>
      <c r="C15" s="118" t="s">
        <v>277</v>
      </c>
      <c r="D15" s="118" t="s">
        <v>3099</v>
      </c>
      <c r="E15" s="174" t="s">
        <v>3100</v>
      </c>
    </row>
    <row r="16">
      <c r="A16" s="158">
        <v>43731.4109152662</v>
      </c>
      <c r="B16" s="118" t="s">
        <v>277</v>
      </c>
      <c r="C16" s="118" t="s">
        <v>277</v>
      </c>
      <c r="D16" s="118" t="s">
        <v>3101</v>
      </c>
      <c r="E16" s="174" t="s">
        <v>3102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21.57"/>
    <col customWidth="1" hidden="1" min="4" max="5" width="21.57"/>
    <col customWidth="1" min="6" max="15" width="21.57"/>
  </cols>
  <sheetData>
    <row r="1">
      <c r="A1" t="s">
        <v>65</v>
      </c>
      <c r="B1" s="118" t="s">
        <v>3104</v>
      </c>
      <c r="C1" s="118" t="s">
        <v>3105</v>
      </c>
      <c r="F1" s="118" t="s">
        <v>3106</v>
      </c>
      <c r="G1" s="118" t="s">
        <v>3107</v>
      </c>
      <c r="H1" s="118" t="s">
        <v>3108</v>
      </c>
      <c r="I1" s="118" t="s">
        <v>3109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30.14"/>
    <col customWidth="1" min="3" max="3" width="41.57"/>
  </cols>
  <sheetData>
    <row r="1">
      <c r="A1" s="177" t="s">
        <v>3121</v>
      </c>
      <c r="B1" s="178" t="s">
        <v>89</v>
      </c>
      <c r="C1" s="179" t="s">
        <v>3147</v>
      </c>
      <c r="D1" s="180"/>
      <c r="E1" s="180"/>
      <c r="F1" s="180"/>
      <c r="G1" s="17"/>
      <c r="H1" s="17"/>
    </row>
    <row r="2">
      <c r="A2" s="181">
        <v>43606.83295516204</v>
      </c>
      <c r="B2" s="182" t="s">
        <v>1221</v>
      </c>
      <c r="C2" s="60" t="s">
        <v>1223</v>
      </c>
      <c r="D2" s="17"/>
      <c r="E2" s="17"/>
      <c r="F2" s="17"/>
      <c r="G2" s="17"/>
      <c r="H2" s="17"/>
    </row>
    <row r="3">
      <c r="A3" s="181">
        <v>43606.84869193287</v>
      </c>
      <c r="B3" s="182" t="s">
        <v>532</v>
      </c>
      <c r="C3" s="60" t="s">
        <v>535</v>
      </c>
      <c r="D3" s="17"/>
      <c r="E3" s="17"/>
      <c r="F3" s="17"/>
      <c r="G3" s="17"/>
      <c r="H3" s="17"/>
    </row>
    <row r="4">
      <c r="A4" s="181">
        <v>43606.85512582176</v>
      </c>
      <c r="B4" s="182" t="s">
        <v>1455</v>
      </c>
      <c r="C4" s="209" t="s">
        <v>1458</v>
      </c>
      <c r="D4" s="17"/>
      <c r="E4" s="17"/>
      <c r="F4" s="17"/>
      <c r="G4" s="17"/>
      <c r="H4" s="17"/>
    </row>
    <row r="5">
      <c r="A5" s="181">
        <v>43606.86013601852</v>
      </c>
      <c r="B5" s="182" t="s">
        <v>3196</v>
      </c>
      <c r="C5" s="60" t="s">
        <v>745</v>
      </c>
      <c r="D5" s="17"/>
      <c r="E5" s="17"/>
      <c r="F5" s="17"/>
      <c r="G5" s="17"/>
      <c r="H5" s="17"/>
    </row>
    <row r="6">
      <c r="A6" s="181">
        <v>43606.869311875</v>
      </c>
      <c r="B6" s="182" t="s">
        <v>1245</v>
      </c>
      <c r="C6" s="209" t="s">
        <v>1247</v>
      </c>
      <c r="D6" s="17"/>
      <c r="E6" s="17"/>
      <c r="F6" s="17"/>
      <c r="G6" s="17"/>
      <c r="H6" s="17"/>
    </row>
    <row r="7">
      <c r="A7" s="181">
        <v>43607.823823796294</v>
      </c>
      <c r="B7" s="182" t="s">
        <v>3197</v>
      </c>
      <c r="C7" s="60" t="s">
        <v>2488</v>
      </c>
      <c r="D7" s="17"/>
      <c r="E7" s="17"/>
      <c r="F7" s="17"/>
      <c r="G7" s="17"/>
      <c r="H7" s="17"/>
    </row>
    <row r="8">
      <c r="A8" s="181">
        <v>43609.81901695602</v>
      </c>
      <c r="B8" s="182" t="s">
        <v>673</v>
      </c>
      <c r="C8" s="209" t="s">
        <v>676</v>
      </c>
      <c r="D8" s="17"/>
      <c r="E8" s="17"/>
      <c r="F8" s="17"/>
      <c r="G8" s="17"/>
      <c r="H8" s="17"/>
    </row>
    <row r="9">
      <c r="A9" s="181">
        <v>43609.82628671297</v>
      </c>
      <c r="B9" s="182" t="s">
        <v>1036</v>
      </c>
      <c r="C9" s="60" t="s">
        <v>1039</v>
      </c>
      <c r="D9" s="17"/>
      <c r="E9" s="17"/>
      <c r="F9" s="17"/>
      <c r="G9" s="17"/>
      <c r="H9" s="17"/>
    </row>
    <row r="10">
      <c r="A10" s="181">
        <v>43609.841427719904</v>
      </c>
      <c r="B10" s="182" t="s">
        <v>805</v>
      </c>
      <c r="C10" s="209" t="s">
        <v>808</v>
      </c>
      <c r="D10" s="17"/>
      <c r="E10" s="17"/>
      <c r="F10" s="17"/>
      <c r="G10" s="17"/>
      <c r="H10" s="17"/>
    </row>
    <row r="11">
      <c r="A11" s="181">
        <v>43609.848321006946</v>
      </c>
      <c r="B11" s="182" t="s">
        <v>779</v>
      </c>
      <c r="C11" s="60" t="s">
        <v>781</v>
      </c>
      <c r="D11" s="17"/>
      <c r="E11" s="17"/>
      <c r="F11" s="17"/>
      <c r="G11" s="17"/>
      <c r="H11" s="17"/>
    </row>
    <row r="12">
      <c r="A12" s="181">
        <v>43610.00209804398</v>
      </c>
      <c r="B12" s="182" t="s">
        <v>3198</v>
      </c>
      <c r="C12" s="60" t="s">
        <v>682</v>
      </c>
      <c r="D12" s="17"/>
      <c r="E12" s="17"/>
      <c r="F12" s="17"/>
      <c r="G12" s="17"/>
      <c r="H12" s="17"/>
    </row>
    <row r="13">
      <c r="A13" s="181">
        <v>43610.046382430555</v>
      </c>
      <c r="B13" s="182" t="s">
        <v>1469</v>
      </c>
      <c r="C13" s="209" t="s">
        <v>1471</v>
      </c>
      <c r="D13" s="17"/>
      <c r="E13" s="17"/>
      <c r="F13" s="17"/>
      <c r="G13" s="17"/>
      <c r="H13" s="17"/>
    </row>
    <row r="14">
      <c r="A14" s="181">
        <v>43610.66632017361</v>
      </c>
      <c r="B14" s="182" t="s">
        <v>1590</v>
      </c>
      <c r="C14" s="60" t="s">
        <v>773</v>
      </c>
      <c r="D14" s="17"/>
      <c r="E14" s="17"/>
      <c r="F14" s="17"/>
      <c r="G14" s="17"/>
      <c r="H14" s="17"/>
    </row>
    <row r="15">
      <c r="A15" s="181">
        <v>43612.51712109953</v>
      </c>
      <c r="B15" s="209" t="s">
        <v>625</v>
      </c>
      <c r="C15" s="182" t="s">
        <v>626</v>
      </c>
      <c r="D15" s="17"/>
      <c r="E15" s="17"/>
      <c r="F15" s="17"/>
      <c r="G15" s="17"/>
      <c r="H15" s="17"/>
    </row>
    <row r="16">
      <c r="A16" s="181">
        <v>43613.769009456024</v>
      </c>
      <c r="B16" s="182" t="s">
        <v>787</v>
      </c>
      <c r="C16" s="60" t="s">
        <v>790</v>
      </c>
      <c r="D16" s="17"/>
      <c r="E16" s="17"/>
      <c r="F16" s="17"/>
      <c r="G16" s="17"/>
      <c r="H16" s="17"/>
    </row>
    <row r="17">
      <c r="A17" s="181">
        <v>43614.86265355324</v>
      </c>
      <c r="B17" s="182" t="s">
        <v>662</v>
      </c>
      <c r="C17" s="60" t="s">
        <v>665</v>
      </c>
      <c r="D17" s="17"/>
      <c r="E17" s="17"/>
      <c r="F17" s="17"/>
      <c r="G17" s="17"/>
      <c r="H17" s="17"/>
    </row>
    <row r="18">
      <c r="A18" s="181">
        <v>43622.545171226855</v>
      </c>
      <c r="B18" s="182" t="s">
        <v>3199</v>
      </c>
      <c r="C18" s="182"/>
      <c r="D18" s="17"/>
      <c r="E18" s="17"/>
      <c r="F18" s="17"/>
      <c r="G18" s="17"/>
      <c r="H18" s="17"/>
    </row>
    <row r="19">
      <c r="A19" s="181">
        <v>43622.5581910301</v>
      </c>
      <c r="B19" s="182" t="s">
        <v>1102</v>
      </c>
      <c r="C19" s="182"/>
      <c r="D19" s="17"/>
      <c r="E19" s="17"/>
      <c r="F19" s="17"/>
      <c r="G19" s="17"/>
      <c r="H19" s="17"/>
    </row>
    <row r="20">
      <c r="A20" s="181">
        <v>43622.5761445949</v>
      </c>
      <c r="B20" s="182" t="s">
        <v>3200</v>
      </c>
      <c r="C20" s="182"/>
      <c r="D20" s="17"/>
      <c r="E20" s="17"/>
      <c r="F20" s="17"/>
      <c r="G20" s="17"/>
      <c r="H20" s="17"/>
    </row>
    <row r="21">
      <c r="A21" s="181">
        <v>43622.580830127314</v>
      </c>
      <c r="B21" s="182" t="s">
        <v>1362</v>
      </c>
      <c r="C21" s="182"/>
      <c r="D21" s="17"/>
      <c r="E21" s="17"/>
      <c r="F21" s="17"/>
      <c r="G21" s="17"/>
      <c r="H21" s="17"/>
    </row>
    <row r="22">
      <c r="A22" s="181">
        <v>43622.60561431713</v>
      </c>
      <c r="B22" s="182" t="s">
        <v>3201</v>
      </c>
      <c r="C22" s="182"/>
      <c r="D22" s="17"/>
      <c r="E22" s="17"/>
      <c r="F22" s="17"/>
      <c r="G22" s="17"/>
      <c r="H22" s="17"/>
    </row>
    <row r="23">
      <c r="A23" s="181">
        <v>43622.613283645835</v>
      </c>
      <c r="B23" s="182" t="s">
        <v>3202</v>
      </c>
      <c r="C23" s="182"/>
      <c r="D23" s="17"/>
      <c r="E23" s="17"/>
      <c r="F23" s="17"/>
      <c r="G23" s="17"/>
      <c r="H23" s="17"/>
    </row>
    <row r="24">
      <c r="A24" s="181">
        <v>43622.612057754624</v>
      </c>
      <c r="B24" s="182" t="s">
        <v>3203</v>
      </c>
      <c r="C24" s="182"/>
      <c r="D24" s="17"/>
      <c r="E24" s="17"/>
      <c r="F24" s="17"/>
      <c r="G24" s="17"/>
      <c r="H24" s="17"/>
    </row>
    <row r="25">
      <c r="A25" s="181">
        <v>43622.67880447917</v>
      </c>
      <c r="B25" s="182" t="s">
        <v>768</v>
      </c>
      <c r="C25" s="182"/>
      <c r="D25" s="17"/>
      <c r="E25" s="17"/>
      <c r="F25" s="17"/>
      <c r="G25" s="17"/>
      <c r="H25" s="17"/>
    </row>
    <row r="26">
      <c r="A26" s="181">
        <v>43622.87217685185</v>
      </c>
      <c r="B26" s="182" t="s">
        <v>3204</v>
      </c>
      <c r="C26" s="182"/>
      <c r="D26" s="17"/>
      <c r="E26" s="17"/>
      <c r="F26" s="17"/>
      <c r="G26" s="17"/>
      <c r="H26" s="17"/>
    </row>
    <row r="27">
      <c r="A27" s="181">
        <v>43622.87421476852</v>
      </c>
      <c r="B27" s="182" t="s">
        <v>206</v>
      </c>
      <c r="C27" s="182"/>
      <c r="D27" s="17"/>
      <c r="E27" s="17"/>
      <c r="F27" s="17"/>
      <c r="G27" s="17"/>
      <c r="H27" s="17"/>
    </row>
    <row r="28">
      <c r="A28" s="181">
        <v>43622.987492500004</v>
      </c>
      <c r="B28" s="182" t="s">
        <v>3205</v>
      </c>
      <c r="C28" s="182"/>
      <c r="D28" s="17"/>
      <c r="E28" s="17"/>
      <c r="F28" s="17"/>
      <c r="G28" s="17"/>
      <c r="H28" s="17"/>
    </row>
    <row r="29">
      <c r="A29" s="181">
        <v>43623.2914149537</v>
      </c>
      <c r="B29" s="182" t="s">
        <v>3206</v>
      </c>
      <c r="C29" s="182"/>
      <c r="D29" s="17"/>
      <c r="E29" s="17"/>
      <c r="F29" s="17"/>
      <c r="G29" s="17"/>
      <c r="H29" s="17"/>
    </row>
    <row r="30">
      <c r="A30" s="181">
        <v>43623.776647025465</v>
      </c>
      <c r="B30" s="182" t="s">
        <v>3207</v>
      </c>
      <c r="C30" s="182"/>
      <c r="D30" s="17"/>
      <c r="E30" s="17"/>
      <c r="F30" s="17"/>
      <c r="G30" s="17"/>
      <c r="H30" s="17"/>
    </row>
    <row r="31">
      <c r="A31" s="181">
        <v>43624.644960949074</v>
      </c>
      <c r="B31" s="182" t="s">
        <v>747</v>
      </c>
      <c r="C31" s="182"/>
      <c r="D31" s="17"/>
      <c r="E31" s="17"/>
      <c r="F31" s="17"/>
      <c r="G31" s="17"/>
      <c r="H31" s="17"/>
    </row>
    <row r="32">
      <c r="A32" s="181">
        <v>43626.04728320602</v>
      </c>
      <c r="B32" s="182" t="s">
        <v>3208</v>
      </c>
      <c r="C32" s="182"/>
      <c r="D32" s="17"/>
      <c r="E32" s="17"/>
      <c r="F32" s="17"/>
      <c r="G32" s="17"/>
      <c r="H32" s="17"/>
    </row>
    <row r="33">
      <c r="A33" s="181">
        <v>43626.524608078704</v>
      </c>
      <c r="B33" s="182" t="s">
        <v>3209</v>
      </c>
      <c r="C33" s="182"/>
      <c r="D33" s="17"/>
      <c r="E33" s="17"/>
      <c r="F33" s="17"/>
      <c r="G33" s="17"/>
      <c r="H33" s="17"/>
    </row>
    <row r="34">
      <c r="A34" s="181">
        <v>43626.88748871528</v>
      </c>
      <c r="B34" s="182" t="s">
        <v>3210</v>
      </c>
      <c r="C34" s="182"/>
      <c r="D34" s="17"/>
      <c r="E34" s="17"/>
      <c r="F34" s="17"/>
      <c r="G34" s="17"/>
      <c r="H34" s="17"/>
    </row>
    <row r="35">
      <c r="A35" s="181">
        <v>43627.30421983796</v>
      </c>
      <c r="B35" s="182" t="s">
        <v>1156</v>
      </c>
      <c r="C35" s="182"/>
      <c r="D35" s="17"/>
      <c r="E35" s="17"/>
      <c r="F35" s="17"/>
      <c r="G35" s="17"/>
      <c r="H35" s="17"/>
    </row>
    <row r="36">
      <c r="A36" s="181">
        <v>43627.47867195602</v>
      </c>
      <c r="B36" s="211" t="s">
        <v>3211</v>
      </c>
      <c r="C36" s="182"/>
      <c r="D36" s="17"/>
      <c r="E36" s="17"/>
      <c r="F36" s="17"/>
      <c r="G36" s="17"/>
      <c r="H36" s="17"/>
    </row>
    <row r="37">
      <c r="A37" s="181">
        <v>43627.493022731476</v>
      </c>
      <c r="B37" s="182" t="s">
        <v>3212</v>
      </c>
      <c r="C37" s="182"/>
      <c r="D37" s="17"/>
      <c r="E37" s="17"/>
      <c r="F37" s="17"/>
      <c r="G37" s="17"/>
      <c r="H37" s="17"/>
    </row>
    <row r="38">
      <c r="A38" s="181">
        <v>43627.55836372685</v>
      </c>
      <c r="B38" s="182" t="s">
        <v>469</v>
      </c>
      <c r="C38" s="182"/>
      <c r="D38" s="17"/>
      <c r="E38" s="17"/>
      <c r="F38" s="17"/>
      <c r="G38" s="17"/>
      <c r="H38" s="17"/>
    </row>
    <row r="39">
      <c r="A39" s="181">
        <v>43627.57990453704</v>
      </c>
      <c r="B39" s="182" t="s">
        <v>3213</v>
      </c>
      <c r="C39" s="182"/>
      <c r="D39" s="17"/>
      <c r="E39" s="17"/>
      <c r="F39" s="17"/>
      <c r="G39" s="17"/>
      <c r="H39" s="17"/>
    </row>
    <row r="40">
      <c r="A40" s="181">
        <v>43627.67862157407</v>
      </c>
      <c r="B40" s="182" t="s">
        <v>907</v>
      </c>
      <c r="C40" s="182"/>
      <c r="D40" s="17"/>
      <c r="E40" s="17"/>
      <c r="F40" s="17"/>
      <c r="G40" s="17"/>
      <c r="H40" s="17"/>
    </row>
    <row r="41">
      <c r="A41" s="181">
        <v>43627.78545269676</v>
      </c>
      <c r="B41" s="182" t="s">
        <v>3214</v>
      </c>
      <c r="C41" s="182"/>
      <c r="D41" s="17"/>
      <c r="E41" s="17"/>
      <c r="F41" s="17"/>
      <c r="G41" s="17"/>
      <c r="H41" s="17"/>
    </row>
    <row r="42">
      <c r="A42" s="181">
        <v>43627.80882740741</v>
      </c>
      <c r="B42" s="182" t="s">
        <v>3215</v>
      </c>
      <c r="C42" s="182"/>
      <c r="D42" s="17"/>
      <c r="E42" s="17"/>
      <c r="F42" s="17"/>
      <c r="G42" s="17"/>
      <c r="H42" s="17"/>
    </row>
    <row r="43">
      <c r="A43" s="181">
        <v>43627.902094641206</v>
      </c>
      <c r="B43" s="182" t="s">
        <v>1608</v>
      </c>
      <c r="C43" s="182"/>
      <c r="D43" s="17"/>
      <c r="E43" s="17"/>
      <c r="F43" s="17"/>
      <c r="G43" s="17"/>
      <c r="H43" s="17"/>
    </row>
    <row r="44">
      <c r="A44" s="181">
        <v>43628.39137694445</v>
      </c>
      <c r="B44" s="182" t="s">
        <v>3216</v>
      </c>
      <c r="C44" s="182"/>
      <c r="D44" s="17"/>
      <c r="E44" s="17"/>
      <c r="F44" s="17"/>
      <c r="G44" s="17"/>
      <c r="H44" s="17"/>
    </row>
    <row r="45">
      <c r="A45" s="181">
        <v>43628.90701846065</v>
      </c>
      <c r="B45" s="182" t="s">
        <v>738</v>
      </c>
      <c r="C45" s="182"/>
      <c r="D45" s="17"/>
      <c r="E45" s="17"/>
      <c r="F45" s="17"/>
      <c r="G45" s="17"/>
      <c r="H45" s="17"/>
    </row>
    <row r="46">
      <c r="A46" s="181">
        <v>43629.4360644213</v>
      </c>
      <c r="B46" s="182" t="s">
        <v>1681</v>
      </c>
      <c r="C46" s="182"/>
      <c r="D46" s="17"/>
      <c r="E46" s="17"/>
      <c r="F46" s="17"/>
      <c r="G46" s="17"/>
      <c r="H46" s="17"/>
    </row>
    <row r="47">
      <c r="A47" s="181">
        <v>43629.56397962963</v>
      </c>
      <c r="B47" s="182" t="s">
        <v>591</v>
      </c>
      <c r="C47" s="182"/>
      <c r="D47" s="17"/>
      <c r="E47" s="17"/>
      <c r="F47" s="17"/>
      <c r="G47" s="17"/>
      <c r="H47" s="17"/>
    </row>
    <row r="48">
      <c r="A48" s="181">
        <v>43629.643053402775</v>
      </c>
      <c r="B48" s="182" t="s">
        <v>1355</v>
      </c>
      <c r="C48" s="182"/>
      <c r="D48" s="17"/>
      <c r="E48" s="17"/>
      <c r="F48" s="17"/>
      <c r="G48" s="17"/>
      <c r="H48" s="17"/>
    </row>
    <row r="49">
      <c r="A49" s="181">
        <v>43630.32587518518</v>
      </c>
      <c r="B49" s="182" t="s">
        <v>3217</v>
      </c>
      <c r="C49" s="182"/>
      <c r="D49" s="17"/>
      <c r="E49" s="17"/>
      <c r="F49" s="17"/>
      <c r="G49" s="17"/>
      <c r="H49" s="17"/>
    </row>
    <row r="50">
      <c r="A50" s="181">
        <v>43630.80510611111</v>
      </c>
      <c r="B50" s="182" t="s">
        <v>3218</v>
      </c>
      <c r="C50" s="182"/>
      <c r="D50" s="17"/>
      <c r="E50" s="17"/>
      <c r="F50" s="17"/>
      <c r="G50" s="17"/>
      <c r="H50" s="17"/>
    </row>
    <row r="51">
      <c r="A51" s="181">
        <v>43633.69676805555</v>
      </c>
      <c r="B51" s="182" t="s">
        <v>3219</v>
      </c>
      <c r="C51" s="182"/>
      <c r="D51" s="17"/>
      <c r="E51" s="17"/>
      <c r="F51" s="17"/>
      <c r="G51" s="17"/>
      <c r="H51" s="17"/>
    </row>
    <row r="52">
      <c r="A52" s="181">
        <v>43633.727771053236</v>
      </c>
      <c r="B52" s="182" t="s">
        <v>1593</v>
      </c>
      <c r="C52" s="182"/>
      <c r="D52" s="17"/>
      <c r="E52" s="17"/>
      <c r="F52" s="17"/>
      <c r="G52" s="17"/>
      <c r="H52" s="17"/>
    </row>
    <row r="53">
      <c r="A53" s="181">
        <v>43634.831992974534</v>
      </c>
      <c r="B53" s="182" t="s">
        <v>1115</v>
      </c>
      <c r="C53" s="182"/>
      <c r="D53" s="17"/>
      <c r="E53" s="17"/>
      <c r="F53" s="17"/>
      <c r="G53" s="17"/>
      <c r="H53" s="17"/>
    </row>
    <row r="54">
      <c r="A54" s="181">
        <v>43635.610765405094</v>
      </c>
      <c r="B54" s="182" t="s">
        <v>3220</v>
      </c>
      <c r="C54" s="182"/>
      <c r="D54" s="17"/>
      <c r="E54" s="17"/>
      <c r="F54" s="17"/>
      <c r="G54" s="17"/>
      <c r="H54" s="17"/>
    </row>
    <row r="55">
      <c r="A55" s="181">
        <v>43635.90936157407</v>
      </c>
      <c r="B55" s="182" t="s">
        <v>756</v>
      </c>
      <c r="C55" s="182"/>
      <c r="D55" s="17"/>
      <c r="E55" s="17"/>
      <c r="F55" s="17"/>
      <c r="G55" s="17"/>
      <c r="H55" s="17"/>
    </row>
    <row r="56">
      <c r="A56" s="181">
        <v>43636.80729873842</v>
      </c>
      <c r="B56" s="182" t="s">
        <v>2259</v>
      </c>
      <c r="C56" s="182"/>
      <c r="D56" s="17"/>
      <c r="E56" s="17"/>
      <c r="F56" s="17"/>
      <c r="G56" s="17"/>
      <c r="H56" s="17"/>
    </row>
    <row r="57">
      <c r="A57" s="181">
        <v>43648.038942569445</v>
      </c>
      <c r="B57" s="182" t="s">
        <v>3221</v>
      </c>
      <c r="C57" s="182"/>
      <c r="D57" s="17"/>
      <c r="E57" s="17"/>
      <c r="F57" s="17"/>
      <c r="G57" s="17"/>
      <c r="H57" s="17"/>
    </row>
    <row r="58">
      <c r="A58" s="181">
        <v>43655.484675694446</v>
      </c>
      <c r="B58" s="182" t="s">
        <v>1634</v>
      </c>
      <c r="C58" s="182"/>
      <c r="D58" s="17"/>
      <c r="E58" s="17"/>
      <c r="F58" s="17"/>
      <c r="G58" s="17"/>
      <c r="H58" s="17"/>
    </row>
    <row r="59">
      <c r="A59" s="181">
        <v>43658.77493828704</v>
      </c>
      <c r="B59" s="182" t="s">
        <v>3222</v>
      </c>
      <c r="C59" s="182"/>
      <c r="D59" s="17"/>
      <c r="E59" s="17"/>
      <c r="F59" s="17"/>
      <c r="G59" s="17"/>
      <c r="H59" s="17"/>
    </row>
    <row r="60">
      <c r="A60" s="181">
        <v>43661.31023342593</v>
      </c>
      <c r="B60" s="182" t="s">
        <v>3223</v>
      </c>
      <c r="C60" s="182"/>
      <c r="D60" s="17"/>
      <c r="E60" s="17"/>
      <c r="F60" s="17"/>
      <c r="G60" s="17"/>
      <c r="H60" s="17"/>
    </row>
    <row r="61">
      <c r="A61" s="181">
        <v>43672.27088818287</v>
      </c>
      <c r="B61" s="182" t="s">
        <v>3224</v>
      </c>
      <c r="C61" s="182"/>
      <c r="D61" s="17"/>
      <c r="E61" s="17"/>
      <c r="F61" s="17"/>
      <c r="G61" s="17"/>
      <c r="H61" s="17"/>
    </row>
    <row r="62">
      <c r="A62" s="181">
        <v>43705.51419291667</v>
      </c>
      <c r="B62" s="182" t="s">
        <v>1931</v>
      </c>
      <c r="C62" s="182"/>
      <c r="D62" s="17"/>
      <c r="E62" s="17"/>
      <c r="F62" s="17"/>
      <c r="G62" s="17"/>
      <c r="H62" s="17"/>
    </row>
    <row r="63">
      <c r="A63" s="181">
        <v>43705.522694687505</v>
      </c>
      <c r="B63" s="182" t="s">
        <v>3099</v>
      </c>
      <c r="C63" s="182"/>
      <c r="D63" s="17"/>
      <c r="E63" s="17"/>
      <c r="F63" s="17"/>
      <c r="G63" s="17"/>
      <c r="H63" s="17"/>
    </row>
    <row r="64">
      <c r="A64" s="181">
        <v>43721.75214540509</v>
      </c>
      <c r="B64" s="182" t="s">
        <v>3225</v>
      </c>
      <c r="C64" s="182"/>
      <c r="D64" s="17"/>
      <c r="E64" s="17"/>
      <c r="F64" s="17"/>
      <c r="G64" s="17"/>
      <c r="H64" s="17"/>
    </row>
    <row r="65">
      <c r="A65" s="181">
        <v>43721.75659989583</v>
      </c>
      <c r="B65" s="182" t="s">
        <v>2056</v>
      </c>
      <c r="C65" s="182"/>
      <c r="D65" s="17"/>
      <c r="E65" s="17"/>
      <c r="F65" s="17"/>
      <c r="G65" s="17"/>
      <c r="H65" s="17"/>
    </row>
    <row r="66">
      <c r="A66" s="181">
        <v>43721.76198555555</v>
      </c>
      <c r="B66" s="182" t="s">
        <v>3099</v>
      </c>
      <c r="C66" s="182"/>
      <c r="D66" s="17"/>
      <c r="E66" s="17"/>
      <c r="F66" s="17"/>
      <c r="G66" s="17"/>
      <c r="H66" s="17"/>
    </row>
    <row r="67">
      <c r="A67" s="181">
        <v>43721.825968136574</v>
      </c>
      <c r="B67" s="182" t="s">
        <v>2062</v>
      </c>
      <c r="C67" s="182"/>
      <c r="D67" s="17"/>
      <c r="E67" s="17"/>
      <c r="F67" s="17"/>
      <c r="G67" s="17"/>
      <c r="H67" s="17"/>
    </row>
    <row r="68">
      <c r="A68" s="181">
        <v>43721.860820138885</v>
      </c>
      <c r="B68" s="182" t="s">
        <v>1931</v>
      </c>
      <c r="C68" s="182"/>
      <c r="D68" s="17"/>
      <c r="E68" s="17"/>
      <c r="F68" s="17"/>
      <c r="G68" s="17"/>
      <c r="H68" s="17"/>
    </row>
    <row r="69">
      <c r="A69" s="181">
        <v>43724.72225546296</v>
      </c>
      <c r="B69" s="182" t="s">
        <v>3226</v>
      </c>
      <c r="C69" s="182"/>
      <c r="D69" s="17"/>
      <c r="E69" s="17"/>
      <c r="F69" s="17"/>
      <c r="G69" s="17"/>
      <c r="H69" s="17"/>
    </row>
    <row r="70">
      <c r="A70" s="181">
        <v>43724.777714814816</v>
      </c>
      <c r="B70" s="182" t="s">
        <v>3226</v>
      </c>
      <c r="C70" s="182"/>
      <c r="D70" s="17"/>
      <c r="E70" s="17"/>
      <c r="F70" s="17"/>
      <c r="G70" s="17"/>
      <c r="H70" s="17"/>
    </row>
    <row r="71">
      <c r="A71" s="181">
        <v>43724.78301976852</v>
      </c>
      <c r="B71" s="182" t="s">
        <v>2046</v>
      </c>
      <c r="C71" s="182"/>
      <c r="D71" s="17"/>
      <c r="E71" s="17"/>
      <c r="F71" s="17"/>
      <c r="G71" s="17"/>
      <c r="H71" s="17"/>
    </row>
    <row r="72">
      <c r="A72" s="181">
        <v>43724.78750847222</v>
      </c>
      <c r="B72" s="182" t="s">
        <v>3227</v>
      </c>
      <c r="C72" s="182"/>
      <c r="D72" s="17"/>
      <c r="E72" s="17"/>
      <c r="F72" s="17"/>
      <c r="G72" s="17"/>
      <c r="H72" s="17"/>
    </row>
    <row r="73">
      <c r="A73" s="181">
        <v>43724.79318028935</v>
      </c>
      <c r="B73" s="182" t="s">
        <v>2013</v>
      </c>
      <c r="C73" s="182"/>
      <c r="D73" s="17"/>
      <c r="E73" s="17"/>
      <c r="F73" s="17"/>
      <c r="G73" s="17"/>
      <c r="H73" s="17"/>
    </row>
    <row r="74">
      <c r="A74" s="181">
        <v>43724.80930226852</v>
      </c>
      <c r="B74" s="182" t="s">
        <v>3228</v>
      </c>
      <c r="C74" s="182"/>
      <c r="D74" s="17"/>
      <c r="E74" s="17"/>
      <c r="F74" s="17"/>
      <c r="G74" s="17"/>
      <c r="H74" s="17"/>
    </row>
    <row r="75">
      <c r="A75" s="181">
        <v>43724.82160202546</v>
      </c>
      <c r="B75" s="182" t="s">
        <v>3229</v>
      </c>
      <c r="C75" s="182"/>
      <c r="D75" s="17"/>
      <c r="E75" s="17"/>
      <c r="F75" s="17"/>
      <c r="G75" s="17"/>
      <c r="H75" s="17"/>
    </row>
    <row r="76">
      <c r="A76" s="181">
        <v>43724.895553622686</v>
      </c>
      <c r="B76" s="182" t="s">
        <v>1934</v>
      </c>
      <c r="C76" s="182"/>
      <c r="D76" s="17"/>
      <c r="E76" s="17"/>
      <c r="F76" s="17"/>
      <c r="G76" s="17"/>
      <c r="H76" s="17"/>
    </row>
    <row r="77">
      <c r="A77" s="181">
        <v>43724.90342798611</v>
      </c>
      <c r="B77" s="182" t="s">
        <v>3230</v>
      </c>
      <c r="C77" s="182"/>
      <c r="D77" s="17"/>
      <c r="E77" s="17"/>
      <c r="F77" s="17"/>
      <c r="G77" s="17"/>
      <c r="H77" s="17"/>
    </row>
    <row r="78">
      <c r="A78" s="181">
        <v>43725.0144452199</v>
      </c>
      <c r="B78" s="182" t="s">
        <v>3231</v>
      </c>
      <c r="C78" s="182"/>
      <c r="D78" s="17"/>
      <c r="E78" s="17"/>
      <c r="F78" s="17"/>
      <c r="G78" s="17"/>
      <c r="H78" s="17"/>
    </row>
    <row r="79">
      <c r="A79" s="181">
        <v>43725.29180024305</v>
      </c>
      <c r="B79" s="182" t="s">
        <v>2401</v>
      </c>
      <c r="C79" s="182"/>
      <c r="D79" s="17"/>
      <c r="E79" s="17"/>
      <c r="F79" s="17"/>
      <c r="G79" s="17"/>
      <c r="H79" s="17"/>
    </row>
    <row r="80">
      <c r="A80" s="181">
        <v>43725.64968128472</v>
      </c>
      <c r="B80" s="182" t="s">
        <v>1957</v>
      </c>
      <c r="C80" s="182"/>
      <c r="D80" s="17"/>
      <c r="E80" s="17"/>
      <c r="F80" s="17"/>
      <c r="G80" s="17"/>
      <c r="H80" s="17"/>
    </row>
    <row r="81">
      <c r="A81" s="181">
        <v>43725.65501015046</v>
      </c>
      <c r="B81" s="182" t="s">
        <v>3232</v>
      </c>
      <c r="C81" s="182"/>
      <c r="D81" s="17"/>
      <c r="E81" s="17"/>
      <c r="F81" s="17"/>
      <c r="G81" s="17"/>
      <c r="H81" s="17"/>
    </row>
    <row r="82">
      <c r="A82" s="181">
        <v>43725.70102237268</v>
      </c>
      <c r="B82" s="182" t="s">
        <v>3233</v>
      </c>
      <c r="C82" s="182"/>
      <c r="D82" s="17"/>
      <c r="E82" s="17"/>
      <c r="F82" s="17"/>
      <c r="G82" s="17"/>
      <c r="H82" s="17"/>
    </row>
    <row r="83">
      <c r="A83" s="181">
        <v>43726.68797667824</v>
      </c>
      <c r="B83" s="182" t="s">
        <v>3234</v>
      </c>
      <c r="C83" s="182"/>
      <c r="D83" s="17"/>
      <c r="E83" s="17"/>
      <c r="F83" s="17"/>
      <c r="G83" s="17"/>
      <c r="H83" s="17"/>
    </row>
    <row r="84">
      <c r="A84" s="181">
        <v>43726.800413136574</v>
      </c>
      <c r="B84" s="182" t="s">
        <v>3235</v>
      </c>
      <c r="C84" s="182"/>
      <c r="D84" s="17"/>
      <c r="E84" s="17"/>
      <c r="F84" s="17"/>
      <c r="G84" s="17"/>
      <c r="H84" s="17"/>
    </row>
    <row r="85">
      <c r="A85" s="181">
        <v>43727.80325739583</v>
      </c>
      <c r="B85" s="182" t="s">
        <v>2144</v>
      </c>
      <c r="C85" s="182"/>
      <c r="D85" s="17"/>
      <c r="E85" s="17"/>
      <c r="F85" s="17"/>
      <c r="G85" s="17"/>
      <c r="H85" s="17"/>
    </row>
    <row r="86">
      <c r="A86" s="181">
        <v>43728.06039003472</v>
      </c>
      <c r="B86" s="182" t="s">
        <v>1898</v>
      </c>
      <c r="C86" s="182"/>
      <c r="D86" s="17"/>
      <c r="E86" s="17"/>
      <c r="F86" s="17"/>
      <c r="G86" s="17"/>
      <c r="H86" s="17"/>
    </row>
    <row r="87">
      <c r="A87" s="181">
        <v>43728.257553668984</v>
      </c>
      <c r="B87" s="182" t="s">
        <v>3236</v>
      </c>
      <c r="C87" s="182"/>
      <c r="D87" s="17"/>
      <c r="E87" s="17"/>
      <c r="F87" s="17"/>
      <c r="G87" s="17"/>
      <c r="H87" s="17"/>
    </row>
    <row r="88">
      <c r="A88" s="181">
        <v>43728.734389108795</v>
      </c>
      <c r="B88" s="182" t="s">
        <v>3237</v>
      </c>
      <c r="C88" s="182"/>
      <c r="D88" s="17"/>
      <c r="E88" s="17"/>
      <c r="F88" s="17"/>
      <c r="G88" s="17"/>
      <c r="H88" s="17"/>
    </row>
    <row r="89">
      <c r="A89" s="181">
        <v>43731.84083299768</v>
      </c>
      <c r="B89" s="182" t="s">
        <v>2408</v>
      </c>
      <c r="C89" s="182"/>
      <c r="D89" s="17"/>
      <c r="E89" s="17"/>
      <c r="F89" s="17"/>
      <c r="G89" s="17"/>
      <c r="H89" s="17"/>
    </row>
    <row r="90">
      <c r="A90" s="181">
        <v>43732.653568622685</v>
      </c>
      <c r="B90" s="182" t="s">
        <v>2164</v>
      </c>
      <c r="C90" s="182"/>
      <c r="D90" s="17"/>
      <c r="E90" s="17"/>
      <c r="F90" s="17"/>
      <c r="G90" s="17"/>
      <c r="H90" s="17"/>
    </row>
    <row r="91">
      <c r="A91" s="181">
        <v>43733.567035879634</v>
      </c>
      <c r="B91" s="182" t="s">
        <v>3238</v>
      </c>
      <c r="C91" s="182"/>
      <c r="D91" s="17"/>
      <c r="E91" s="17"/>
      <c r="F91" s="17"/>
      <c r="G91" s="17"/>
      <c r="H91" s="17"/>
    </row>
    <row r="92">
      <c r="A92" s="181">
        <v>43733.900052847224</v>
      </c>
      <c r="B92" s="182" t="s">
        <v>2391</v>
      </c>
      <c r="C92" s="182"/>
      <c r="D92" s="17"/>
      <c r="E92" s="17"/>
      <c r="F92" s="17"/>
      <c r="G92" s="17"/>
      <c r="H92" s="17"/>
    </row>
    <row r="93">
      <c r="A93" s="181">
        <v>43741.58668329861</v>
      </c>
      <c r="B93" s="182" t="s">
        <v>3239</v>
      </c>
      <c r="C93" s="182"/>
      <c r="D93" s="17"/>
      <c r="E93" s="17"/>
      <c r="F93" s="17"/>
      <c r="G93" s="17"/>
      <c r="H93" s="17"/>
    </row>
    <row r="94">
      <c r="A94" s="181">
        <v>43747.67435659722</v>
      </c>
      <c r="B94" s="182" t="s">
        <v>3240</v>
      </c>
      <c r="C94" s="182"/>
      <c r="D94" s="17"/>
      <c r="E94" s="17"/>
      <c r="F94" s="17"/>
      <c r="G94" s="17"/>
      <c r="H94" s="17"/>
    </row>
    <row r="95">
      <c r="A95" s="181">
        <v>43760.88850833333</v>
      </c>
      <c r="B95" s="182" t="s">
        <v>3241</v>
      </c>
      <c r="C95" s="182"/>
      <c r="D95" s="17"/>
      <c r="E95" s="17"/>
      <c r="F95" s="17"/>
      <c r="G95" s="17"/>
      <c r="H95" s="17"/>
    </row>
    <row r="96">
      <c r="A96" s="181">
        <v>43773.76631236111</v>
      </c>
      <c r="B96" s="182" t="s">
        <v>2265</v>
      </c>
      <c r="C96" s="182"/>
      <c r="D96" s="17"/>
      <c r="E96" s="17"/>
      <c r="F96" s="17"/>
      <c r="G96" s="17"/>
      <c r="H96" s="17"/>
    </row>
    <row r="97">
      <c r="A97" s="181">
        <v>43776.62712741898</v>
      </c>
      <c r="B97" s="182" t="s">
        <v>3225</v>
      </c>
      <c r="C97" s="182"/>
      <c r="D97" s="17"/>
      <c r="E97" s="17"/>
      <c r="F97" s="17"/>
      <c r="G97" s="17"/>
      <c r="H97" s="17"/>
    </row>
    <row r="98">
      <c r="A98" s="181">
        <v>43788.733190694446</v>
      </c>
      <c r="B98" s="182" t="s">
        <v>3242</v>
      </c>
      <c r="C98" s="182"/>
      <c r="D98" s="17"/>
      <c r="E98" s="17"/>
      <c r="F98" s="17"/>
      <c r="G98" s="17"/>
      <c r="H98" s="17"/>
    </row>
    <row r="99">
      <c r="A99" s="181">
        <v>43791.89252876157</v>
      </c>
      <c r="B99" s="182" t="s">
        <v>145</v>
      </c>
      <c r="C99" s="182"/>
      <c r="D99" s="17"/>
      <c r="E99" s="17"/>
      <c r="F99" s="17"/>
      <c r="G99" s="17"/>
      <c r="H99" s="17"/>
    </row>
    <row r="100">
      <c r="A100" s="181">
        <v>43801.816059108794</v>
      </c>
      <c r="B100" s="182" t="s">
        <v>3243</v>
      </c>
      <c r="C100" s="182"/>
      <c r="D100" s="17"/>
      <c r="E100" s="17"/>
      <c r="F100" s="17"/>
      <c r="G100" s="17"/>
      <c r="H100" s="17"/>
    </row>
    <row r="101">
      <c r="A101" s="181">
        <v>43811.31105020833</v>
      </c>
      <c r="B101" s="182" t="s">
        <v>3244</v>
      </c>
      <c r="C101" s="182"/>
      <c r="D101" s="17"/>
      <c r="E101" s="17"/>
      <c r="F101" s="17"/>
      <c r="G101" s="17"/>
      <c r="H101" s="17"/>
    </row>
    <row r="102">
      <c r="A102" s="181">
        <v>43812.000102418984</v>
      </c>
      <c r="B102" s="182" t="s">
        <v>3245</v>
      </c>
      <c r="C102" s="182"/>
      <c r="D102" s="17"/>
      <c r="E102" s="17"/>
      <c r="F102" s="17"/>
      <c r="G102" s="17"/>
      <c r="H102" s="17"/>
    </row>
    <row r="103">
      <c r="A103" s="181">
        <v>43844.32215568287</v>
      </c>
      <c r="B103" s="182" t="s">
        <v>3246</v>
      </c>
      <c r="C103" s="182"/>
      <c r="D103" s="17"/>
      <c r="E103" s="17"/>
      <c r="F103" s="17"/>
      <c r="G103" s="17"/>
      <c r="H103" s="17"/>
    </row>
    <row r="104">
      <c r="A104" s="181">
        <v>43851.75770920139</v>
      </c>
      <c r="B104" s="182" t="s">
        <v>3247</v>
      </c>
      <c r="C104" s="182"/>
      <c r="D104" s="17"/>
      <c r="E104" s="17"/>
      <c r="F104" s="17"/>
      <c r="G104" s="17"/>
      <c r="H104" s="17"/>
    </row>
    <row r="105">
      <c r="A105" s="181">
        <v>43854.671142453706</v>
      </c>
      <c r="B105" s="182" t="s">
        <v>3248</v>
      </c>
      <c r="C105" s="182"/>
      <c r="D105" s="17"/>
      <c r="E105" s="17"/>
      <c r="F105" s="17"/>
      <c r="G105" s="17"/>
      <c r="H105" s="17"/>
    </row>
    <row r="106">
      <c r="A106" s="181">
        <v>43859.88849388889</v>
      </c>
      <c r="B106" s="182" t="s">
        <v>1817</v>
      </c>
      <c r="C106" s="182"/>
      <c r="D106" s="17"/>
      <c r="E106" s="17"/>
      <c r="F106" s="17"/>
      <c r="G106" s="17"/>
      <c r="H106" s="17"/>
    </row>
    <row r="107">
      <c r="A107" s="181">
        <v>43859.8899346875</v>
      </c>
      <c r="B107" s="182" t="s">
        <v>2522</v>
      </c>
      <c r="C107" s="182"/>
      <c r="D107" s="17"/>
      <c r="E107" s="17"/>
      <c r="F107" s="17"/>
      <c r="G107" s="17"/>
      <c r="H107" s="17"/>
    </row>
    <row r="108">
      <c r="A108" s="181">
        <v>43859.8900812963</v>
      </c>
      <c r="B108" s="182" t="s">
        <v>2305</v>
      </c>
      <c r="C108" s="182"/>
      <c r="D108" s="17"/>
      <c r="E108" s="17"/>
      <c r="F108" s="17"/>
      <c r="G108" s="17"/>
      <c r="H108" s="17"/>
    </row>
    <row r="109">
      <c r="A109" s="181">
        <v>43859.890158298615</v>
      </c>
      <c r="B109" s="182" t="s">
        <v>1671</v>
      </c>
      <c r="C109" s="182"/>
      <c r="D109" s="17"/>
      <c r="E109" s="17"/>
      <c r="F109" s="17"/>
      <c r="G109" s="17"/>
      <c r="H109" s="17"/>
    </row>
    <row r="110">
      <c r="A110" s="181">
        <v>43859.89062320602</v>
      </c>
      <c r="B110" s="182" t="s">
        <v>1297</v>
      </c>
      <c r="C110" s="182"/>
      <c r="D110" s="17"/>
      <c r="E110" s="17"/>
      <c r="F110" s="17"/>
      <c r="G110" s="17"/>
      <c r="H110" s="17"/>
    </row>
    <row r="111">
      <c r="A111" s="181">
        <v>43859.8914721412</v>
      </c>
      <c r="B111" s="182" t="s">
        <v>2318</v>
      </c>
      <c r="C111" s="182"/>
      <c r="D111" s="17"/>
      <c r="E111" s="17"/>
      <c r="F111" s="17"/>
      <c r="G111" s="17"/>
      <c r="H111" s="17"/>
    </row>
    <row r="112">
      <c r="A112" s="181">
        <v>43859.89552252315</v>
      </c>
      <c r="B112" s="182" t="s">
        <v>3249</v>
      </c>
      <c r="C112" s="182"/>
      <c r="D112" s="17"/>
      <c r="E112" s="17"/>
      <c r="F112" s="17"/>
      <c r="G112" s="17"/>
      <c r="H112" s="17"/>
    </row>
    <row r="113">
      <c r="A113" s="181">
        <v>43859.89644107639</v>
      </c>
      <c r="B113" s="182" t="s">
        <v>212</v>
      </c>
      <c r="C113" s="182"/>
      <c r="D113" s="17"/>
      <c r="E113" s="17"/>
      <c r="F113" s="17"/>
      <c r="G113" s="17"/>
      <c r="H113" s="17"/>
    </row>
    <row r="114">
      <c r="A114" s="181">
        <v>43859.89838761574</v>
      </c>
      <c r="B114" s="182" t="s">
        <v>2881</v>
      </c>
      <c r="C114" s="182"/>
      <c r="D114" s="17"/>
      <c r="E114" s="17"/>
      <c r="F114" s="17"/>
      <c r="G114" s="17"/>
      <c r="H114" s="17"/>
    </row>
    <row r="115">
      <c r="A115" s="181">
        <v>43859.90152693287</v>
      </c>
      <c r="B115" s="182" t="s">
        <v>2708</v>
      </c>
      <c r="C115" s="182"/>
      <c r="D115" s="17"/>
      <c r="E115" s="17"/>
      <c r="F115" s="17"/>
      <c r="G115" s="17"/>
      <c r="H115" s="17"/>
    </row>
    <row r="116">
      <c r="A116" s="181">
        <v>43859.901970011575</v>
      </c>
      <c r="B116" s="182" t="s">
        <v>3250</v>
      </c>
      <c r="C116" s="182"/>
      <c r="D116" s="17"/>
      <c r="E116" s="17"/>
      <c r="F116" s="17"/>
      <c r="G116" s="17"/>
      <c r="H116" s="17"/>
    </row>
    <row r="117">
      <c r="A117" s="181">
        <v>43859.909449224535</v>
      </c>
      <c r="B117" s="182" t="s">
        <v>3251</v>
      </c>
      <c r="C117" s="182"/>
      <c r="D117" s="17"/>
      <c r="E117" s="17"/>
      <c r="F117" s="17"/>
      <c r="G117" s="17"/>
      <c r="H117" s="17"/>
    </row>
    <row r="118">
      <c r="A118" s="181">
        <v>43859.956716863424</v>
      </c>
      <c r="B118" s="182" t="s">
        <v>2752</v>
      </c>
      <c r="C118" s="182"/>
      <c r="D118" s="17"/>
      <c r="E118" s="17"/>
      <c r="F118" s="17"/>
      <c r="G118" s="17"/>
      <c r="H118" s="17"/>
    </row>
    <row r="119">
      <c r="A119" s="181">
        <v>43860.0169559375</v>
      </c>
      <c r="B119" s="182" t="s">
        <v>2249</v>
      </c>
      <c r="C119" s="182"/>
      <c r="D119" s="17"/>
      <c r="E119" s="17"/>
      <c r="F119" s="17"/>
      <c r="G119" s="17"/>
      <c r="H119" s="17"/>
    </row>
    <row r="120">
      <c r="A120" s="181">
        <v>43860.22368398149</v>
      </c>
      <c r="B120" s="182" t="s">
        <v>3246</v>
      </c>
      <c r="C120" s="182"/>
      <c r="D120" s="17"/>
      <c r="E120" s="17"/>
      <c r="F120" s="17"/>
      <c r="G120" s="17"/>
      <c r="H120" s="17"/>
    </row>
    <row r="121">
      <c r="A121" s="181">
        <v>43860.49711831019</v>
      </c>
      <c r="B121" s="182" t="s">
        <v>2674</v>
      </c>
      <c r="C121" s="182"/>
      <c r="D121" s="17"/>
      <c r="E121" s="17"/>
      <c r="F121" s="17"/>
      <c r="G121" s="17"/>
      <c r="H121" s="17"/>
    </row>
    <row r="122">
      <c r="A122" s="181">
        <v>43860.580210740736</v>
      </c>
      <c r="B122" s="182" t="s">
        <v>3252</v>
      </c>
      <c r="C122" s="182"/>
      <c r="D122" s="17"/>
      <c r="E122" s="17"/>
      <c r="F122" s="17"/>
      <c r="G122" s="17"/>
      <c r="H122" s="17"/>
    </row>
    <row r="123">
      <c r="A123" s="181">
        <v>43860.58491706019</v>
      </c>
      <c r="B123" s="182" t="s">
        <v>3232</v>
      </c>
      <c r="C123" s="182"/>
      <c r="D123" s="17"/>
      <c r="E123" s="17"/>
      <c r="F123" s="17"/>
      <c r="G123" s="17"/>
      <c r="H123" s="17"/>
    </row>
    <row r="124">
      <c r="A124" s="181">
        <v>43860.80273967593</v>
      </c>
      <c r="B124" s="182" t="s">
        <v>3253</v>
      </c>
      <c r="C124" s="182"/>
      <c r="D124" s="17"/>
      <c r="E124" s="17"/>
      <c r="F124" s="17"/>
      <c r="G124" s="17"/>
      <c r="H124" s="17"/>
    </row>
    <row r="125">
      <c r="A125" s="181">
        <v>43860.82959350695</v>
      </c>
      <c r="B125" s="182" t="s">
        <v>3254</v>
      </c>
      <c r="C125" s="182"/>
      <c r="D125" s="17"/>
      <c r="E125" s="17"/>
      <c r="F125" s="17"/>
      <c r="G125" s="17"/>
      <c r="H125" s="17"/>
    </row>
    <row r="126">
      <c r="A126" s="181">
        <v>43860.8342871412</v>
      </c>
      <c r="B126" s="182" t="s">
        <v>2747</v>
      </c>
      <c r="C126" s="182"/>
      <c r="D126" s="17"/>
      <c r="E126" s="17"/>
      <c r="F126" s="17"/>
      <c r="G126" s="17"/>
      <c r="H126" s="17"/>
    </row>
    <row r="127">
      <c r="A127" s="181">
        <v>43861.586543240745</v>
      </c>
      <c r="B127" s="182" t="s">
        <v>1422</v>
      </c>
      <c r="C127" s="182"/>
      <c r="D127" s="17"/>
      <c r="E127" s="17"/>
      <c r="F127" s="17"/>
      <c r="G127" s="17"/>
      <c r="H127" s="17"/>
    </row>
    <row r="128">
      <c r="A128" s="181">
        <v>43861.589799270834</v>
      </c>
      <c r="B128" s="182" t="s">
        <v>3255</v>
      </c>
      <c r="C128" s="182"/>
      <c r="D128" s="17"/>
      <c r="E128" s="17"/>
      <c r="F128" s="17"/>
      <c r="G128" s="17"/>
      <c r="H128" s="17"/>
    </row>
    <row r="129">
      <c r="A129" s="181">
        <v>43861.63154833333</v>
      </c>
      <c r="B129" s="182" t="s">
        <v>3256</v>
      </c>
      <c r="C129" s="182"/>
      <c r="D129" s="17"/>
      <c r="E129" s="17"/>
      <c r="F129" s="17"/>
      <c r="G129" s="17"/>
      <c r="H129" s="17"/>
    </row>
    <row r="130">
      <c r="A130" s="181">
        <v>43864.663571736106</v>
      </c>
      <c r="B130" s="182" t="s">
        <v>3257</v>
      </c>
      <c r="C130" s="182"/>
      <c r="D130" s="17"/>
      <c r="E130" s="17"/>
      <c r="F130" s="17"/>
      <c r="G130" s="17"/>
      <c r="H130" s="17"/>
    </row>
    <row r="131">
      <c r="A131" s="181">
        <v>43864.83812159722</v>
      </c>
      <c r="B131" s="182" t="s">
        <v>2732</v>
      </c>
      <c r="C131" s="182"/>
      <c r="D131" s="17"/>
      <c r="E131" s="17"/>
      <c r="F131" s="17"/>
      <c r="G131" s="17"/>
      <c r="H131" s="17"/>
    </row>
    <row r="132">
      <c r="A132" s="181">
        <v>43865.70866253472</v>
      </c>
      <c r="B132" s="182" t="s">
        <v>3258</v>
      </c>
      <c r="C132" s="182"/>
      <c r="D132" s="17"/>
      <c r="E132" s="17"/>
      <c r="F132" s="17"/>
      <c r="G132" s="17"/>
      <c r="H132" s="17"/>
    </row>
    <row r="133">
      <c r="A133" s="181">
        <v>43868.8198017824</v>
      </c>
      <c r="B133" s="182" t="s">
        <v>1999</v>
      </c>
      <c r="C133" s="182"/>
      <c r="D133" s="17"/>
      <c r="E133" s="17"/>
      <c r="F133" s="17"/>
      <c r="G133" s="17"/>
      <c r="H133" s="17"/>
    </row>
    <row r="134">
      <c r="A134" s="181">
        <v>43869.8350864699</v>
      </c>
      <c r="B134" s="182" t="s">
        <v>2458</v>
      </c>
      <c r="C134" s="182"/>
      <c r="D134" s="17"/>
      <c r="E134" s="17"/>
      <c r="F134" s="17"/>
      <c r="G134" s="17"/>
      <c r="H134" s="17"/>
    </row>
    <row r="135">
      <c r="A135" s="181">
        <v>43872.71815039351</v>
      </c>
      <c r="B135" s="182" t="s">
        <v>2752</v>
      </c>
      <c r="C135" s="182"/>
      <c r="D135" s="17"/>
      <c r="E135" s="17"/>
      <c r="F135" s="17"/>
      <c r="G135" s="17"/>
      <c r="H135" s="17"/>
    </row>
    <row r="136">
      <c r="A136" s="181">
        <v>43873.9072041551</v>
      </c>
      <c r="B136" s="182" t="s">
        <v>2249</v>
      </c>
      <c r="C136" s="182"/>
      <c r="D136" s="17"/>
      <c r="E136" s="17"/>
      <c r="F136" s="17"/>
      <c r="G136" s="17"/>
      <c r="H136" s="17"/>
    </row>
    <row r="137">
      <c r="A137" s="182"/>
      <c r="B137" s="182"/>
      <c r="C137" s="182"/>
      <c r="D137" s="17"/>
      <c r="E137" s="17"/>
      <c r="F137" s="17"/>
      <c r="G137" s="17"/>
      <c r="H137" s="17"/>
    </row>
    <row r="138">
      <c r="A138" s="182"/>
      <c r="B138" s="182"/>
      <c r="C138" s="182"/>
      <c r="D138" s="17"/>
      <c r="E138" s="17"/>
      <c r="F138" s="17"/>
      <c r="G138" s="17"/>
      <c r="H138" s="17"/>
    </row>
    <row r="139">
      <c r="A139" s="182"/>
      <c r="B139" s="182"/>
      <c r="C139" s="182"/>
      <c r="D139" s="17"/>
      <c r="E139" s="17"/>
      <c r="F139" s="17"/>
      <c r="G139" s="17"/>
      <c r="H139" s="17"/>
    </row>
    <row r="140">
      <c r="A140" s="182"/>
      <c r="B140" s="182"/>
      <c r="C140" s="182"/>
      <c r="D140" s="17"/>
      <c r="E140" s="17"/>
      <c r="F140" s="17"/>
      <c r="G140" s="17"/>
      <c r="H140" s="17"/>
    </row>
    <row r="141">
      <c r="A141" s="182"/>
      <c r="B141" s="182"/>
      <c r="C141" s="182"/>
      <c r="D141" s="17"/>
      <c r="E141" s="17"/>
      <c r="F141" s="17"/>
      <c r="G141" s="17"/>
      <c r="H141" s="17"/>
    </row>
    <row r="142">
      <c r="A142" s="182"/>
      <c r="B142" s="182"/>
      <c r="C142" s="182"/>
      <c r="D142" s="17"/>
      <c r="E142" s="17"/>
      <c r="F142" s="17"/>
      <c r="G142" s="17"/>
      <c r="H142" s="17"/>
    </row>
    <row r="143">
      <c r="A143" s="182"/>
      <c r="B143" s="182"/>
      <c r="C143" s="182"/>
      <c r="D143" s="17"/>
      <c r="E143" s="17"/>
      <c r="F143" s="17"/>
      <c r="G143" s="17"/>
      <c r="H143" s="17"/>
    </row>
    <row r="144">
      <c r="A144" s="182"/>
      <c r="B144" s="182"/>
      <c r="C144" s="182"/>
      <c r="D144" s="17"/>
      <c r="E144" s="17"/>
      <c r="F144" s="17"/>
      <c r="G144" s="17"/>
      <c r="H144" s="17"/>
    </row>
    <row r="145">
      <c r="A145" s="182"/>
      <c r="B145" s="182"/>
      <c r="C145" s="182"/>
      <c r="D145" s="17"/>
      <c r="E145" s="17"/>
      <c r="F145" s="17"/>
      <c r="G145" s="17"/>
      <c r="H145" s="17"/>
    </row>
    <row r="146">
      <c r="A146" s="182"/>
      <c r="B146" s="182"/>
      <c r="C146" s="182"/>
      <c r="D146" s="17"/>
      <c r="E146" s="17"/>
      <c r="F146" s="17"/>
      <c r="G146" s="17"/>
      <c r="H146" s="17"/>
    </row>
    <row r="147">
      <c r="A147" s="182"/>
      <c r="B147" s="182"/>
      <c r="C147" s="182"/>
      <c r="D147" s="17"/>
      <c r="E147" s="17"/>
      <c r="F147" s="17"/>
      <c r="G147" s="17"/>
      <c r="H147" s="17"/>
    </row>
    <row r="148">
      <c r="A148" s="182"/>
      <c r="B148" s="182"/>
      <c r="C148" s="182"/>
      <c r="D148" s="17"/>
      <c r="E148" s="17"/>
      <c r="F148" s="17"/>
      <c r="G148" s="17"/>
      <c r="H148" s="17"/>
    </row>
    <row r="149">
      <c r="A149" s="182"/>
      <c r="B149" s="182"/>
      <c r="C149" s="182"/>
      <c r="D149" s="17"/>
      <c r="E149" s="17"/>
      <c r="F149" s="17"/>
      <c r="G149" s="17"/>
      <c r="H149" s="17"/>
    </row>
    <row r="150">
      <c r="A150" s="182"/>
      <c r="B150" s="182"/>
      <c r="C150" s="182"/>
      <c r="D150" s="17"/>
      <c r="E150" s="17"/>
      <c r="F150" s="17"/>
      <c r="G150" s="17"/>
      <c r="H150" s="17"/>
    </row>
    <row r="151">
      <c r="A151" s="182"/>
      <c r="B151" s="182"/>
      <c r="C151" s="182"/>
      <c r="D151" s="17"/>
      <c r="E151" s="17"/>
      <c r="F151" s="17"/>
      <c r="G151" s="17"/>
      <c r="H151" s="17"/>
    </row>
    <row r="152">
      <c r="A152" s="182"/>
      <c r="B152" s="182"/>
      <c r="C152" s="182"/>
      <c r="D152" s="17"/>
      <c r="E152" s="17"/>
      <c r="F152" s="17"/>
      <c r="G152" s="17"/>
      <c r="H152" s="17"/>
    </row>
    <row r="153">
      <c r="A153" s="182"/>
      <c r="B153" s="182"/>
      <c r="C153" s="182"/>
      <c r="D153" s="17"/>
      <c r="E153" s="17"/>
      <c r="F153" s="17"/>
      <c r="G153" s="17"/>
      <c r="H153" s="17"/>
    </row>
    <row r="154">
      <c r="A154" s="182"/>
      <c r="B154" s="182"/>
      <c r="C154" s="182"/>
      <c r="D154" s="17"/>
      <c r="E154" s="17"/>
      <c r="F154" s="17"/>
      <c r="G154" s="17"/>
      <c r="H154" s="17"/>
    </row>
    <row r="155">
      <c r="A155" s="182"/>
      <c r="B155" s="182"/>
      <c r="C155" s="182"/>
      <c r="D155" s="17"/>
      <c r="E155" s="17"/>
      <c r="F155" s="17"/>
      <c r="G155" s="17"/>
      <c r="H155" s="17"/>
    </row>
    <row r="156">
      <c r="A156" s="182"/>
      <c r="B156" s="182"/>
      <c r="C156" s="182"/>
      <c r="D156" s="17"/>
      <c r="E156" s="17"/>
      <c r="F156" s="17"/>
      <c r="G156" s="17"/>
      <c r="H156" s="17"/>
    </row>
    <row r="157">
      <c r="A157" s="182"/>
      <c r="B157" s="182"/>
      <c r="C157" s="182"/>
      <c r="D157" s="17"/>
      <c r="E157" s="17"/>
      <c r="F157" s="17"/>
      <c r="G157" s="17"/>
      <c r="H157" s="17"/>
    </row>
    <row r="158">
      <c r="A158" s="182"/>
      <c r="B158" s="182"/>
      <c r="C158" s="182"/>
      <c r="D158" s="17"/>
      <c r="E158" s="17"/>
      <c r="F158" s="17"/>
      <c r="G158" s="17"/>
      <c r="H158" s="17"/>
    </row>
    <row r="159">
      <c r="A159" s="182"/>
      <c r="B159" s="182"/>
      <c r="C159" s="182"/>
      <c r="D159" s="17"/>
      <c r="E159" s="17"/>
      <c r="F159" s="17"/>
      <c r="G159" s="17"/>
      <c r="H159" s="17"/>
    </row>
    <row r="160">
      <c r="A160" s="182"/>
      <c r="B160" s="182"/>
      <c r="C160" s="182"/>
      <c r="D160" s="17"/>
      <c r="E160" s="17"/>
      <c r="F160" s="17"/>
      <c r="G160" s="17"/>
      <c r="H160" s="17"/>
    </row>
    <row r="161">
      <c r="A161" s="182"/>
      <c r="B161" s="182"/>
      <c r="C161" s="182"/>
      <c r="D161" s="17"/>
      <c r="E161" s="17"/>
      <c r="F161" s="17"/>
      <c r="G161" s="17"/>
      <c r="H161" s="17"/>
    </row>
    <row r="162">
      <c r="A162" s="182"/>
      <c r="B162" s="182"/>
      <c r="C162" s="182"/>
      <c r="D162" s="17"/>
      <c r="E162" s="17"/>
      <c r="F162" s="17"/>
      <c r="G162" s="17"/>
      <c r="H162" s="17"/>
    </row>
    <row r="163">
      <c r="A163" s="182"/>
      <c r="B163" s="182"/>
      <c r="C163" s="182"/>
      <c r="D163" s="17"/>
      <c r="E163" s="17"/>
      <c r="F163" s="17"/>
      <c r="G163" s="17"/>
      <c r="H163" s="17"/>
    </row>
    <row r="164">
      <c r="A164" s="182"/>
      <c r="B164" s="182"/>
      <c r="C164" s="182"/>
      <c r="D164" s="17"/>
      <c r="E164" s="17"/>
      <c r="F164" s="17"/>
      <c r="G164" s="17"/>
      <c r="H164" s="17"/>
    </row>
    <row r="165">
      <c r="A165" s="182"/>
      <c r="B165" s="182"/>
      <c r="C165" s="182"/>
      <c r="D165" s="17"/>
      <c r="E165" s="17"/>
      <c r="F165" s="17"/>
      <c r="G165" s="17"/>
      <c r="H165" s="17"/>
    </row>
    <row r="166">
      <c r="A166" s="182"/>
      <c r="B166" s="182"/>
      <c r="C166" s="182"/>
      <c r="D166" s="17"/>
      <c r="E166" s="17"/>
      <c r="F166" s="17"/>
      <c r="G166" s="17"/>
      <c r="H166" s="17"/>
    </row>
    <row r="167">
      <c r="A167" s="182"/>
      <c r="B167" s="182"/>
      <c r="C167" s="182"/>
      <c r="D167" s="17"/>
      <c r="E167" s="17"/>
      <c r="F167" s="17"/>
      <c r="G167" s="17"/>
      <c r="H167" s="17"/>
    </row>
    <row r="168">
      <c r="A168" s="182"/>
      <c r="B168" s="182"/>
      <c r="C168" s="182"/>
      <c r="D168" s="17"/>
      <c r="E168" s="17"/>
      <c r="F168" s="17"/>
      <c r="G168" s="17"/>
      <c r="H168" s="17"/>
    </row>
    <row r="169">
      <c r="A169" s="182"/>
      <c r="B169" s="182"/>
      <c r="C169" s="182"/>
      <c r="D169" s="17"/>
      <c r="E169" s="17"/>
      <c r="F169" s="17"/>
      <c r="G169" s="17"/>
      <c r="H169" s="17"/>
    </row>
    <row r="170">
      <c r="A170" s="182"/>
      <c r="B170" s="182"/>
      <c r="C170" s="182"/>
      <c r="D170" s="17"/>
      <c r="E170" s="17"/>
      <c r="F170" s="17"/>
      <c r="G170" s="17"/>
      <c r="H170" s="17"/>
    </row>
    <row r="171">
      <c r="A171" s="182"/>
      <c r="B171" s="182"/>
      <c r="C171" s="182"/>
      <c r="D171" s="17"/>
      <c r="E171" s="17"/>
      <c r="F171" s="17"/>
      <c r="G171" s="17"/>
      <c r="H171" s="17"/>
    </row>
    <row r="172">
      <c r="A172" s="182"/>
      <c r="B172" s="182"/>
      <c r="C172" s="182"/>
      <c r="D172" s="17"/>
      <c r="E172" s="17"/>
      <c r="F172" s="17"/>
      <c r="G172" s="17"/>
      <c r="H172" s="17"/>
    </row>
    <row r="173">
      <c r="A173" s="182"/>
      <c r="B173" s="182"/>
      <c r="C173" s="182"/>
      <c r="D173" s="17"/>
      <c r="E173" s="17"/>
      <c r="F173" s="17"/>
      <c r="G173" s="17"/>
      <c r="H173" s="17"/>
    </row>
    <row r="174">
      <c r="A174" s="182"/>
      <c r="B174" s="182"/>
      <c r="C174" s="182"/>
      <c r="D174" s="17"/>
      <c r="E174" s="17"/>
      <c r="F174" s="17"/>
      <c r="G174" s="17"/>
      <c r="H174" s="17"/>
    </row>
    <row r="175">
      <c r="A175" s="182"/>
      <c r="B175" s="182"/>
      <c r="C175" s="182"/>
      <c r="D175" s="17"/>
      <c r="E175" s="17"/>
      <c r="F175" s="17"/>
      <c r="G175" s="17"/>
      <c r="H175" s="17"/>
    </row>
    <row r="176">
      <c r="A176" s="182"/>
      <c r="B176" s="182"/>
      <c r="C176" s="182"/>
      <c r="D176" s="17"/>
      <c r="E176" s="17"/>
      <c r="F176" s="17"/>
      <c r="G176" s="17"/>
      <c r="H176" s="17"/>
    </row>
    <row r="177">
      <c r="A177" s="182"/>
      <c r="B177" s="182"/>
      <c r="C177" s="182"/>
      <c r="D177" s="17"/>
      <c r="E177" s="17"/>
      <c r="F177" s="17"/>
      <c r="G177" s="17"/>
      <c r="H177" s="17"/>
    </row>
    <row r="178">
      <c r="A178" s="182"/>
      <c r="B178" s="182"/>
      <c r="C178" s="182"/>
      <c r="D178" s="17"/>
      <c r="E178" s="17"/>
      <c r="F178" s="17"/>
      <c r="G178" s="17"/>
      <c r="H178" s="17"/>
    </row>
    <row r="179">
      <c r="A179" s="182"/>
      <c r="B179" s="182"/>
      <c r="C179" s="182"/>
      <c r="D179" s="17"/>
      <c r="E179" s="17"/>
      <c r="F179" s="17"/>
      <c r="G179" s="17"/>
      <c r="H179" s="17"/>
    </row>
    <row r="180">
      <c r="A180" s="182"/>
      <c r="B180" s="182"/>
      <c r="C180" s="182"/>
      <c r="D180" s="17"/>
      <c r="E180" s="17"/>
      <c r="F180" s="17"/>
      <c r="G180" s="17"/>
      <c r="H180" s="17"/>
    </row>
    <row r="181">
      <c r="A181" s="182"/>
      <c r="B181" s="182"/>
      <c r="C181" s="182"/>
      <c r="D181" s="17"/>
      <c r="E181" s="17"/>
      <c r="F181" s="17"/>
      <c r="G181" s="17"/>
      <c r="H181" s="17"/>
    </row>
    <row r="182">
      <c r="A182" s="182"/>
      <c r="B182" s="182"/>
      <c r="C182" s="182"/>
      <c r="D182" s="17"/>
      <c r="E182" s="17"/>
      <c r="F182" s="17"/>
      <c r="G182" s="17"/>
      <c r="H182" s="17"/>
    </row>
    <row r="183">
      <c r="A183" s="182"/>
      <c r="B183" s="182"/>
      <c r="C183" s="182"/>
      <c r="D183" s="17"/>
      <c r="E183" s="17"/>
      <c r="F183" s="17"/>
      <c r="G183" s="17"/>
      <c r="H183" s="17"/>
    </row>
    <row r="184">
      <c r="A184" s="182"/>
      <c r="B184" s="182"/>
      <c r="C184" s="182"/>
      <c r="D184" s="17"/>
      <c r="E184" s="17"/>
      <c r="F184" s="17"/>
      <c r="G184" s="17"/>
      <c r="H184" s="17"/>
    </row>
    <row r="185">
      <c r="A185" s="182"/>
      <c r="B185" s="182"/>
      <c r="C185" s="182"/>
      <c r="D185" s="17"/>
      <c r="E185" s="17"/>
      <c r="F185" s="17"/>
      <c r="G185" s="17"/>
      <c r="H185" s="17"/>
    </row>
    <row r="186">
      <c r="A186" s="182"/>
      <c r="B186" s="182"/>
      <c r="C186" s="182"/>
      <c r="D186" s="17"/>
      <c r="E186" s="17"/>
      <c r="F186" s="17"/>
      <c r="G186" s="17"/>
      <c r="H186" s="17"/>
    </row>
    <row r="187">
      <c r="A187" s="182"/>
      <c r="B187" s="182"/>
      <c r="C187" s="182"/>
      <c r="D187" s="17"/>
      <c r="E187" s="17"/>
      <c r="F187" s="17"/>
      <c r="G187" s="17"/>
      <c r="H187" s="17"/>
    </row>
    <row r="188">
      <c r="A188" s="182"/>
      <c r="B188" s="182"/>
      <c r="C188" s="182"/>
      <c r="D188" s="17"/>
      <c r="E188" s="17"/>
      <c r="F188" s="17"/>
      <c r="G188" s="17"/>
      <c r="H188" s="17"/>
    </row>
    <row r="189">
      <c r="A189" s="182"/>
      <c r="B189" s="182"/>
      <c r="C189" s="182"/>
      <c r="D189" s="17"/>
      <c r="E189" s="17"/>
      <c r="F189" s="17"/>
      <c r="G189" s="17"/>
      <c r="H189" s="17"/>
    </row>
    <row r="190">
      <c r="A190" s="182"/>
      <c r="B190" s="182"/>
      <c r="C190" s="182"/>
      <c r="D190" s="17"/>
      <c r="E190" s="17"/>
      <c r="F190" s="17"/>
      <c r="G190" s="17"/>
      <c r="H190" s="17"/>
    </row>
    <row r="191">
      <c r="A191" s="182"/>
      <c r="B191" s="182"/>
      <c r="C191" s="182"/>
      <c r="D191" s="17"/>
      <c r="E191" s="17"/>
      <c r="F191" s="17"/>
      <c r="G191" s="17"/>
      <c r="H191" s="17"/>
    </row>
    <row r="192">
      <c r="A192" s="182"/>
      <c r="B192" s="182"/>
      <c r="C192" s="182"/>
      <c r="D192" s="17"/>
      <c r="E192" s="17"/>
      <c r="F192" s="17"/>
      <c r="G192" s="17"/>
      <c r="H192" s="17"/>
    </row>
    <row r="193">
      <c r="A193" s="182"/>
      <c r="B193" s="182"/>
      <c r="C193" s="182"/>
      <c r="D193" s="17"/>
      <c r="E193" s="17"/>
      <c r="F193" s="17"/>
      <c r="G193" s="17"/>
      <c r="H193" s="17"/>
    </row>
    <row r="194">
      <c r="A194" s="182"/>
      <c r="B194" s="182"/>
      <c r="C194" s="182"/>
      <c r="D194" s="17"/>
      <c r="E194" s="17"/>
      <c r="F194" s="17"/>
      <c r="G194" s="17"/>
      <c r="H194" s="17"/>
    </row>
    <row r="195">
      <c r="A195" s="182"/>
      <c r="B195" s="182"/>
      <c r="C195" s="182"/>
      <c r="D195" s="17"/>
      <c r="E195" s="17"/>
      <c r="F195" s="17"/>
      <c r="G195" s="17"/>
      <c r="H195" s="17"/>
    </row>
    <row r="196">
      <c r="A196" s="182"/>
      <c r="B196" s="182"/>
      <c r="C196" s="182"/>
      <c r="D196" s="17"/>
      <c r="E196" s="17"/>
      <c r="F196" s="17"/>
      <c r="G196" s="17"/>
      <c r="H196" s="17"/>
    </row>
    <row r="197">
      <c r="A197" s="182"/>
      <c r="B197" s="182"/>
      <c r="C197" s="182"/>
      <c r="D197" s="17"/>
      <c r="E197" s="17"/>
      <c r="F197" s="17"/>
      <c r="G197" s="17"/>
      <c r="H197" s="17"/>
    </row>
    <row r="198">
      <c r="A198" s="182"/>
      <c r="B198" s="182"/>
      <c r="C198" s="182"/>
      <c r="D198" s="17"/>
      <c r="E198" s="17"/>
      <c r="F198" s="17"/>
      <c r="G198" s="17"/>
      <c r="H198" s="17"/>
    </row>
    <row r="199">
      <c r="A199" s="182"/>
      <c r="B199" s="182"/>
      <c r="C199" s="182"/>
      <c r="D199" s="17"/>
      <c r="E199" s="17"/>
      <c r="F199" s="17"/>
      <c r="G199" s="17"/>
      <c r="H199" s="17"/>
    </row>
    <row r="200">
      <c r="A200" s="182"/>
      <c r="B200" s="182"/>
      <c r="C200" s="182"/>
      <c r="D200" s="17"/>
      <c r="E200" s="17"/>
      <c r="F200" s="17"/>
      <c r="G200" s="17"/>
      <c r="H200" s="17"/>
    </row>
    <row r="201">
      <c r="A201" s="182"/>
      <c r="B201" s="182"/>
      <c r="C201" s="182"/>
      <c r="D201" s="17"/>
      <c r="E201" s="17"/>
      <c r="F201" s="17"/>
      <c r="G201" s="17"/>
      <c r="H201" s="17"/>
    </row>
    <row r="202">
      <c r="A202" s="182"/>
      <c r="B202" s="182"/>
      <c r="C202" s="182"/>
      <c r="D202" s="17"/>
      <c r="E202" s="17"/>
      <c r="F202" s="17"/>
      <c r="G202" s="17"/>
      <c r="H202" s="17"/>
    </row>
    <row r="203">
      <c r="A203" s="182"/>
      <c r="B203" s="182"/>
      <c r="C203" s="182"/>
      <c r="D203" s="17"/>
      <c r="E203" s="17"/>
      <c r="F203" s="17"/>
      <c r="G203" s="17"/>
      <c r="H203" s="17"/>
    </row>
    <row r="204">
      <c r="A204" s="182"/>
      <c r="B204" s="182"/>
      <c r="C204" s="182"/>
      <c r="D204" s="17"/>
      <c r="E204" s="17"/>
      <c r="F204" s="17"/>
      <c r="G204" s="17"/>
      <c r="H204" s="17"/>
    </row>
    <row r="205">
      <c r="A205" s="182"/>
      <c r="B205" s="182"/>
      <c r="C205" s="182"/>
      <c r="D205" s="17"/>
      <c r="E205" s="17"/>
      <c r="F205" s="17"/>
      <c r="G205" s="17"/>
      <c r="H205" s="17"/>
    </row>
    <row r="206">
      <c r="A206" s="182"/>
      <c r="B206" s="182"/>
      <c r="C206" s="182"/>
      <c r="D206" s="17"/>
      <c r="E206" s="17"/>
      <c r="F206" s="17"/>
      <c r="G206" s="17"/>
      <c r="H206" s="17"/>
    </row>
    <row r="207">
      <c r="A207" s="182"/>
      <c r="B207" s="182"/>
      <c r="C207" s="182"/>
      <c r="D207" s="17"/>
      <c r="E207" s="17"/>
      <c r="F207" s="17"/>
      <c r="G207" s="17"/>
      <c r="H207" s="17"/>
    </row>
    <row r="208">
      <c r="A208" s="182"/>
      <c r="B208" s="182"/>
      <c r="C208" s="182"/>
      <c r="D208" s="17"/>
      <c r="E208" s="17"/>
      <c r="F208" s="17"/>
      <c r="G208" s="17"/>
      <c r="H208" s="17"/>
    </row>
    <row r="209">
      <c r="A209" s="182"/>
      <c r="B209" s="182"/>
      <c r="C209" s="182"/>
      <c r="D209" s="17"/>
      <c r="E209" s="17"/>
      <c r="F209" s="17"/>
      <c r="G209" s="17"/>
      <c r="H209" s="17"/>
    </row>
    <row r="210">
      <c r="A210" s="182"/>
      <c r="B210" s="182"/>
      <c r="C210" s="182"/>
      <c r="D210" s="17"/>
      <c r="E210" s="17"/>
      <c r="F210" s="17"/>
      <c r="G210" s="17"/>
      <c r="H210" s="17"/>
    </row>
    <row r="211">
      <c r="A211" s="182"/>
      <c r="B211" s="182"/>
      <c r="C211" s="182"/>
      <c r="D211" s="17"/>
      <c r="E211" s="17"/>
      <c r="F211" s="17"/>
      <c r="G211" s="17"/>
      <c r="H211" s="17"/>
    </row>
    <row r="212">
      <c r="A212" s="182"/>
      <c r="B212" s="182"/>
      <c r="C212" s="182"/>
      <c r="D212" s="17"/>
      <c r="E212" s="17"/>
      <c r="F212" s="17"/>
      <c r="G212" s="17"/>
      <c r="H212" s="17"/>
    </row>
    <row r="213">
      <c r="A213" s="182"/>
      <c r="B213" s="182"/>
      <c r="C213" s="182"/>
      <c r="D213" s="17"/>
      <c r="E213" s="17"/>
      <c r="F213" s="17"/>
      <c r="G213" s="17"/>
      <c r="H213" s="17"/>
    </row>
    <row r="214">
      <c r="A214" s="182"/>
      <c r="B214" s="182"/>
      <c r="C214" s="182"/>
      <c r="D214" s="17"/>
      <c r="E214" s="17"/>
      <c r="F214" s="17"/>
      <c r="G214" s="17"/>
      <c r="H214" s="17"/>
    </row>
    <row r="215">
      <c r="A215" s="182"/>
      <c r="B215" s="182"/>
      <c r="C215" s="182"/>
      <c r="D215" s="17"/>
      <c r="E215" s="17"/>
      <c r="F215" s="17"/>
      <c r="G215" s="17"/>
      <c r="H215" s="17"/>
    </row>
    <row r="216">
      <c r="A216" s="182"/>
      <c r="B216" s="182"/>
      <c r="C216" s="182"/>
      <c r="D216" s="17"/>
      <c r="E216" s="17"/>
      <c r="F216" s="17"/>
      <c r="G216" s="17"/>
      <c r="H216" s="17"/>
    </row>
    <row r="217">
      <c r="A217" s="182"/>
      <c r="B217" s="182"/>
      <c r="C217" s="182"/>
      <c r="D217" s="17"/>
      <c r="E217" s="17"/>
      <c r="F217" s="17"/>
      <c r="G217" s="17"/>
      <c r="H217" s="17"/>
    </row>
    <row r="218">
      <c r="A218" s="182"/>
      <c r="B218" s="182"/>
      <c r="C218" s="182"/>
      <c r="D218" s="17"/>
      <c r="E218" s="17"/>
      <c r="F218" s="17"/>
      <c r="G218" s="17"/>
      <c r="H218" s="17"/>
    </row>
    <row r="219">
      <c r="A219" s="182"/>
      <c r="B219" s="182"/>
      <c r="C219" s="182"/>
      <c r="D219" s="17"/>
      <c r="E219" s="17"/>
      <c r="F219" s="17"/>
      <c r="G219" s="17"/>
      <c r="H219" s="17"/>
    </row>
    <row r="220">
      <c r="A220" s="182"/>
      <c r="B220" s="182"/>
      <c r="C220" s="182"/>
      <c r="D220" s="17"/>
      <c r="E220" s="17"/>
      <c r="F220" s="17"/>
      <c r="G220" s="17"/>
      <c r="H220" s="17"/>
    </row>
    <row r="221">
      <c r="A221" s="182"/>
      <c r="B221" s="182"/>
      <c r="C221" s="182"/>
      <c r="D221" s="17"/>
      <c r="E221" s="17"/>
      <c r="F221" s="17"/>
      <c r="G221" s="17"/>
      <c r="H221" s="17"/>
    </row>
    <row r="222">
      <c r="A222" s="182"/>
      <c r="B222" s="182"/>
      <c r="C222" s="182"/>
      <c r="D222" s="17"/>
      <c r="E222" s="17"/>
      <c r="F222" s="17"/>
      <c r="G222" s="17"/>
      <c r="H222" s="17"/>
    </row>
    <row r="223">
      <c r="A223" s="182"/>
      <c r="B223" s="182"/>
      <c r="C223" s="182"/>
      <c r="D223" s="17"/>
      <c r="E223" s="17"/>
      <c r="F223" s="17"/>
      <c r="G223" s="17"/>
      <c r="H223" s="17"/>
    </row>
    <row r="224">
      <c r="A224" s="182"/>
      <c r="B224" s="182"/>
      <c r="C224" s="182"/>
      <c r="D224" s="17"/>
      <c r="E224" s="17"/>
      <c r="F224" s="17"/>
      <c r="G224" s="17"/>
      <c r="H224" s="17"/>
    </row>
    <row r="225">
      <c r="A225" s="182"/>
      <c r="B225" s="182"/>
      <c r="C225" s="182"/>
      <c r="D225" s="17"/>
      <c r="E225" s="17"/>
      <c r="F225" s="17"/>
      <c r="G225" s="17"/>
      <c r="H225" s="17"/>
    </row>
    <row r="226">
      <c r="A226" s="182"/>
      <c r="B226" s="182"/>
      <c r="C226" s="182"/>
      <c r="D226" s="17"/>
      <c r="E226" s="17"/>
      <c r="F226" s="17"/>
      <c r="G226" s="17"/>
      <c r="H226" s="17"/>
    </row>
    <row r="227">
      <c r="A227" s="182"/>
      <c r="B227" s="182"/>
      <c r="C227" s="182"/>
      <c r="D227" s="17"/>
      <c r="E227" s="17"/>
      <c r="F227" s="17"/>
      <c r="G227" s="17"/>
      <c r="H227" s="17"/>
    </row>
    <row r="228">
      <c r="A228" s="182"/>
      <c r="B228" s="182"/>
      <c r="C228" s="182"/>
      <c r="D228" s="17"/>
      <c r="E228" s="17"/>
      <c r="F228" s="17"/>
      <c r="G228" s="17"/>
      <c r="H228" s="17"/>
    </row>
    <row r="229">
      <c r="A229" s="182"/>
      <c r="B229" s="182"/>
      <c r="C229" s="182"/>
      <c r="D229" s="17"/>
      <c r="E229" s="17"/>
      <c r="F229" s="17"/>
      <c r="G229" s="17"/>
      <c r="H229" s="17"/>
    </row>
    <row r="230">
      <c r="A230" s="182"/>
      <c r="B230" s="182"/>
      <c r="C230" s="182"/>
      <c r="D230" s="17"/>
      <c r="E230" s="17"/>
      <c r="F230" s="17"/>
      <c r="G230" s="17"/>
      <c r="H230" s="17"/>
    </row>
    <row r="231">
      <c r="A231" s="182"/>
      <c r="B231" s="182"/>
      <c r="C231" s="182"/>
      <c r="D231" s="17"/>
      <c r="E231" s="17"/>
      <c r="F231" s="17"/>
      <c r="G231" s="17"/>
      <c r="H231" s="17"/>
    </row>
    <row r="232">
      <c r="A232" s="182"/>
      <c r="B232" s="182"/>
      <c r="C232" s="182"/>
      <c r="D232" s="17"/>
      <c r="E232" s="17"/>
      <c r="F232" s="17"/>
      <c r="G232" s="17"/>
      <c r="H232" s="17"/>
    </row>
    <row r="233">
      <c r="A233" s="182"/>
      <c r="B233" s="182"/>
      <c r="C233" s="182"/>
      <c r="D233" s="17"/>
      <c r="E233" s="17"/>
      <c r="F233" s="17"/>
      <c r="G233" s="17"/>
      <c r="H233" s="17"/>
    </row>
    <row r="234">
      <c r="A234" s="182"/>
      <c r="B234" s="182"/>
      <c r="C234" s="182"/>
      <c r="D234" s="17"/>
      <c r="E234" s="17"/>
      <c r="F234" s="17"/>
      <c r="G234" s="17"/>
      <c r="H234" s="17"/>
    </row>
    <row r="235">
      <c r="A235" s="182"/>
      <c r="B235" s="182"/>
      <c r="C235" s="182"/>
      <c r="D235" s="17"/>
      <c r="E235" s="17"/>
      <c r="F235" s="17"/>
      <c r="G235" s="17"/>
      <c r="H235" s="17"/>
    </row>
    <row r="236">
      <c r="A236" s="182"/>
      <c r="B236" s="182"/>
      <c r="C236" s="182"/>
      <c r="D236" s="17"/>
      <c r="E236" s="17"/>
      <c r="F236" s="17"/>
      <c r="G236" s="17"/>
      <c r="H236" s="17"/>
    </row>
    <row r="237">
      <c r="A237" s="62"/>
      <c r="B237" s="62"/>
      <c r="C237" s="62"/>
    </row>
    <row r="238">
      <c r="A238" s="62"/>
      <c r="B238" s="62"/>
      <c r="C238" s="62"/>
    </row>
    <row r="239">
      <c r="A239" s="62"/>
      <c r="B239" s="62"/>
      <c r="C239" s="62"/>
    </row>
    <row r="240">
      <c r="A240" s="62"/>
      <c r="B240" s="62"/>
      <c r="C240" s="62"/>
    </row>
    <row r="241">
      <c r="A241" s="62"/>
      <c r="B241" s="62"/>
      <c r="C241" s="62"/>
    </row>
    <row r="242">
      <c r="A242" s="62"/>
      <c r="B242" s="62"/>
      <c r="C242" s="62"/>
    </row>
    <row r="243">
      <c r="A243" s="62"/>
      <c r="B243" s="62"/>
      <c r="C243" s="62"/>
    </row>
    <row r="244">
      <c r="A244" s="62"/>
      <c r="B244" s="62"/>
      <c r="C244" s="62"/>
    </row>
    <row r="245">
      <c r="A245" s="62"/>
      <c r="B245" s="62"/>
      <c r="C245" s="62"/>
    </row>
    <row r="246">
      <c r="A246" s="62"/>
      <c r="B246" s="62"/>
      <c r="C246" s="62"/>
    </row>
    <row r="247">
      <c r="A247" s="62"/>
      <c r="B247" s="62"/>
      <c r="C247" s="62"/>
    </row>
    <row r="248">
      <c r="A248" s="62"/>
      <c r="B248" s="62"/>
      <c r="C248" s="62"/>
    </row>
    <row r="249">
      <c r="A249" s="62"/>
      <c r="B249" s="62"/>
      <c r="C249" s="62"/>
    </row>
    <row r="250">
      <c r="A250" s="62"/>
      <c r="B250" s="62"/>
      <c r="C250" s="62"/>
    </row>
    <row r="251">
      <c r="A251" s="62"/>
      <c r="B251" s="62"/>
      <c r="C251" s="62"/>
    </row>
    <row r="252">
      <c r="A252" s="62"/>
      <c r="B252" s="62"/>
      <c r="C252" s="62"/>
    </row>
    <row r="253">
      <c r="A253" s="62"/>
      <c r="B253" s="62"/>
      <c r="C253" s="62"/>
    </row>
    <row r="254">
      <c r="A254" s="62"/>
      <c r="B254" s="62"/>
      <c r="C254" s="62"/>
    </row>
    <row r="255">
      <c r="A255" s="62"/>
      <c r="B255" s="62"/>
      <c r="C255" s="62"/>
    </row>
    <row r="256">
      <c r="A256" s="62"/>
      <c r="B256" s="62"/>
      <c r="C256" s="62"/>
    </row>
    <row r="257">
      <c r="A257" s="62"/>
      <c r="B257" s="62"/>
      <c r="C257" s="62"/>
    </row>
    <row r="258">
      <c r="A258" s="62"/>
      <c r="B258" s="62"/>
      <c r="C258" s="62"/>
    </row>
    <row r="259">
      <c r="A259" s="62"/>
      <c r="B259" s="62"/>
      <c r="C259" s="62"/>
    </row>
    <row r="260">
      <c r="A260" s="62"/>
      <c r="B260" s="62"/>
      <c r="C260" s="62"/>
    </row>
    <row r="261">
      <c r="A261" s="62"/>
      <c r="B261" s="62"/>
      <c r="C261" s="62"/>
    </row>
    <row r="262">
      <c r="A262" s="62"/>
      <c r="B262" s="62"/>
      <c r="C262" s="62"/>
    </row>
    <row r="263">
      <c r="A263" s="62"/>
      <c r="B263" s="62"/>
      <c r="C263" s="62"/>
    </row>
    <row r="264">
      <c r="A264" s="62"/>
      <c r="B264" s="62"/>
      <c r="C264" s="62"/>
    </row>
    <row r="265">
      <c r="A265" s="62"/>
      <c r="B265" s="62"/>
      <c r="C265" s="62"/>
    </row>
    <row r="266">
      <c r="A266" s="62"/>
      <c r="B266" s="62"/>
      <c r="C266" s="62"/>
    </row>
    <row r="267">
      <c r="A267" s="62"/>
      <c r="B267" s="62"/>
      <c r="C267" s="62"/>
    </row>
    <row r="268">
      <c r="A268" s="62"/>
      <c r="B268" s="62"/>
      <c r="C268" s="62"/>
    </row>
    <row r="269">
      <c r="A269" s="62"/>
      <c r="B269" s="62"/>
      <c r="C269" s="62"/>
    </row>
    <row r="270">
      <c r="A270" s="62"/>
      <c r="B270" s="62"/>
      <c r="C270" s="62"/>
    </row>
    <row r="271">
      <c r="A271" s="62"/>
      <c r="B271" s="62"/>
      <c r="C271" s="62"/>
    </row>
    <row r="272">
      <c r="A272" s="62"/>
      <c r="B272" s="62"/>
      <c r="C272" s="62"/>
    </row>
    <row r="273">
      <c r="A273" s="62"/>
      <c r="B273" s="62"/>
      <c r="C273" s="62"/>
    </row>
    <row r="274">
      <c r="A274" s="62"/>
      <c r="B274" s="62"/>
      <c r="C274" s="62"/>
    </row>
    <row r="275">
      <c r="A275" s="62"/>
      <c r="B275" s="62"/>
      <c r="C275" s="62"/>
    </row>
    <row r="276">
      <c r="A276" s="62"/>
      <c r="B276" s="62"/>
      <c r="C276" s="62"/>
    </row>
    <row r="277">
      <c r="A277" s="62"/>
      <c r="B277" s="62"/>
      <c r="C277" s="62"/>
    </row>
    <row r="278">
      <c r="A278" s="62"/>
      <c r="B278" s="62"/>
      <c r="C278" s="62"/>
    </row>
    <row r="279">
      <c r="A279" s="62"/>
      <c r="B279" s="62"/>
      <c r="C279" s="62"/>
    </row>
    <row r="280">
      <c r="A280" s="62"/>
      <c r="B280" s="62"/>
      <c r="C280" s="62"/>
    </row>
    <row r="281">
      <c r="A281" s="62"/>
      <c r="B281" s="62"/>
      <c r="C281" s="62"/>
    </row>
    <row r="282">
      <c r="A282" s="62"/>
      <c r="B282" s="62"/>
      <c r="C282" s="62"/>
    </row>
    <row r="283">
      <c r="A283" s="62"/>
      <c r="B283" s="62"/>
      <c r="C283" s="62"/>
    </row>
    <row r="284">
      <c r="A284" s="62"/>
      <c r="B284" s="62"/>
      <c r="C284" s="62"/>
    </row>
    <row r="285">
      <c r="A285" s="62"/>
      <c r="B285" s="62"/>
      <c r="C285" s="62"/>
    </row>
    <row r="286">
      <c r="A286" s="62"/>
      <c r="B286" s="62"/>
      <c r="C286" s="62"/>
    </row>
    <row r="287">
      <c r="A287" s="62"/>
      <c r="B287" s="62"/>
      <c r="C287" s="62"/>
    </row>
    <row r="288">
      <c r="A288" s="62"/>
      <c r="B288" s="62"/>
      <c r="C288" s="62"/>
    </row>
    <row r="289">
      <c r="A289" s="62"/>
      <c r="B289" s="62"/>
      <c r="C289" s="62"/>
    </row>
    <row r="290">
      <c r="A290" s="62"/>
      <c r="B290" s="62"/>
      <c r="C290" s="62"/>
    </row>
    <row r="291">
      <c r="A291" s="62"/>
      <c r="B291" s="62"/>
      <c r="C291" s="62"/>
    </row>
    <row r="292">
      <c r="A292" s="62"/>
      <c r="B292" s="62"/>
      <c r="C292" s="62"/>
    </row>
    <row r="293">
      <c r="A293" s="62"/>
      <c r="B293" s="62"/>
      <c r="C293" s="62"/>
    </row>
    <row r="294">
      <c r="A294" s="62"/>
      <c r="B294" s="62"/>
      <c r="C294" s="62"/>
    </row>
    <row r="295">
      <c r="A295" s="62"/>
      <c r="B295" s="62"/>
      <c r="C295" s="62"/>
    </row>
    <row r="296">
      <c r="A296" s="62"/>
      <c r="B296" s="62"/>
      <c r="C296" s="62"/>
    </row>
    <row r="297">
      <c r="A297" s="62"/>
      <c r="B297" s="62"/>
      <c r="C297" s="62"/>
    </row>
    <row r="298">
      <c r="A298" s="62"/>
      <c r="B298" s="62"/>
      <c r="C298" s="62"/>
    </row>
    <row r="299">
      <c r="A299" s="62"/>
      <c r="B299" s="62"/>
      <c r="C299" s="62"/>
    </row>
    <row r="300">
      <c r="A300" s="62"/>
      <c r="B300" s="62"/>
      <c r="C300" s="62"/>
    </row>
    <row r="301">
      <c r="A301" s="62"/>
      <c r="B301" s="62"/>
      <c r="C301" s="62"/>
    </row>
    <row r="302">
      <c r="A302" s="62"/>
      <c r="B302" s="62"/>
      <c r="C302" s="62"/>
    </row>
    <row r="303">
      <c r="A303" s="62"/>
      <c r="B303" s="62"/>
      <c r="C303" s="62"/>
    </row>
    <row r="304">
      <c r="A304" s="62"/>
      <c r="B304" s="62"/>
      <c r="C304" s="62"/>
    </row>
    <row r="305">
      <c r="A305" s="62"/>
      <c r="B305" s="62"/>
      <c r="C305" s="62"/>
    </row>
    <row r="306">
      <c r="A306" s="62"/>
      <c r="B306" s="62"/>
      <c r="C306" s="62"/>
    </row>
    <row r="307">
      <c r="A307" s="62"/>
      <c r="B307" s="62"/>
      <c r="C307" s="62"/>
    </row>
    <row r="308">
      <c r="A308" s="62"/>
      <c r="B308" s="62"/>
      <c r="C308" s="62"/>
    </row>
    <row r="309">
      <c r="A309" s="62"/>
      <c r="B309" s="62"/>
      <c r="C309" s="62"/>
    </row>
    <row r="310">
      <c r="A310" s="62"/>
      <c r="B310" s="62"/>
      <c r="C310" s="62"/>
    </row>
    <row r="311">
      <c r="A311" s="62"/>
      <c r="B311" s="62"/>
      <c r="C311" s="62"/>
    </row>
    <row r="312">
      <c r="A312" s="62"/>
      <c r="B312" s="62"/>
      <c r="C312" s="62"/>
    </row>
    <row r="313">
      <c r="A313" s="62"/>
      <c r="B313" s="62"/>
      <c r="C313" s="62"/>
    </row>
    <row r="314">
      <c r="A314" s="62"/>
      <c r="B314" s="62"/>
      <c r="C314" s="62"/>
    </row>
    <row r="315">
      <c r="A315" s="62"/>
      <c r="B315" s="62"/>
      <c r="C315" s="62"/>
    </row>
    <row r="316">
      <c r="A316" s="62"/>
      <c r="B316" s="62"/>
      <c r="C316" s="62"/>
    </row>
    <row r="317">
      <c r="A317" s="62"/>
      <c r="B317" s="62"/>
      <c r="C317" s="62"/>
    </row>
    <row r="318">
      <c r="A318" s="62"/>
      <c r="B318" s="62"/>
      <c r="C318" s="62"/>
    </row>
    <row r="319">
      <c r="A319" s="62"/>
      <c r="B319" s="62"/>
      <c r="C319" s="62"/>
    </row>
    <row r="320">
      <c r="A320" s="62"/>
      <c r="B320" s="62"/>
      <c r="C320" s="62"/>
    </row>
    <row r="321">
      <c r="A321" s="62"/>
      <c r="B321" s="62"/>
      <c r="C321" s="62"/>
    </row>
    <row r="322">
      <c r="A322" s="62"/>
      <c r="B322" s="62"/>
      <c r="C322" s="62"/>
    </row>
    <row r="323">
      <c r="A323" s="62"/>
      <c r="B323" s="62"/>
      <c r="C323" s="62"/>
    </row>
    <row r="324">
      <c r="A324" s="62"/>
      <c r="B324" s="62"/>
      <c r="C324" s="62"/>
    </row>
    <row r="325">
      <c r="A325" s="62"/>
      <c r="B325" s="62"/>
      <c r="C325" s="62"/>
    </row>
    <row r="326">
      <c r="A326" s="62"/>
      <c r="B326" s="62"/>
      <c r="C326" s="62"/>
    </row>
    <row r="327">
      <c r="A327" s="62"/>
      <c r="B327" s="62"/>
      <c r="C327" s="62"/>
    </row>
    <row r="328">
      <c r="A328" s="62"/>
      <c r="B328" s="62"/>
      <c r="C328" s="62"/>
    </row>
    <row r="329">
      <c r="A329" s="62"/>
      <c r="B329" s="62"/>
      <c r="C329" s="62"/>
    </row>
    <row r="330">
      <c r="A330" s="62"/>
      <c r="B330" s="62"/>
      <c r="C330" s="62"/>
    </row>
    <row r="331">
      <c r="A331" s="62"/>
      <c r="B331" s="62"/>
      <c r="C331" s="62"/>
    </row>
    <row r="332">
      <c r="A332" s="62"/>
      <c r="B332" s="62"/>
      <c r="C332" s="62"/>
    </row>
    <row r="333">
      <c r="A333" s="62"/>
      <c r="B333" s="62"/>
      <c r="C333" s="62"/>
    </row>
    <row r="334">
      <c r="A334" s="62"/>
      <c r="B334" s="62"/>
      <c r="C334" s="62"/>
    </row>
    <row r="335">
      <c r="A335" s="62"/>
      <c r="B335" s="62"/>
      <c r="C335" s="62"/>
    </row>
    <row r="336">
      <c r="A336" s="62"/>
      <c r="B336" s="62"/>
      <c r="C336" s="62"/>
    </row>
    <row r="337">
      <c r="A337" s="62"/>
      <c r="B337" s="62"/>
      <c r="C337" s="62"/>
    </row>
    <row r="338">
      <c r="A338" s="62"/>
      <c r="B338" s="62"/>
      <c r="C338" s="62"/>
    </row>
    <row r="339">
      <c r="A339" s="62"/>
      <c r="B339" s="62"/>
      <c r="C339" s="62"/>
    </row>
    <row r="340">
      <c r="A340" s="62"/>
      <c r="B340" s="62"/>
      <c r="C340" s="62"/>
    </row>
    <row r="341">
      <c r="A341" s="62"/>
      <c r="B341" s="62"/>
      <c r="C341" s="62"/>
    </row>
    <row r="342">
      <c r="A342" s="62"/>
      <c r="B342" s="62"/>
      <c r="C342" s="62"/>
    </row>
    <row r="343">
      <c r="A343" s="62"/>
      <c r="B343" s="62"/>
      <c r="C343" s="62"/>
    </row>
    <row r="344">
      <c r="A344" s="62"/>
      <c r="B344" s="62"/>
      <c r="C344" s="62"/>
    </row>
    <row r="345">
      <c r="A345" s="62"/>
      <c r="B345" s="62"/>
      <c r="C345" s="62"/>
    </row>
    <row r="346">
      <c r="A346" s="62"/>
      <c r="B346" s="62"/>
      <c r="C346" s="62"/>
    </row>
    <row r="347">
      <c r="A347" s="62"/>
      <c r="B347" s="62"/>
      <c r="C347" s="62"/>
    </row>
    <row r="348">
      <c r="A348" s="62"/>
      <c r="B348" s="62"/>
      <c r="C348" s="62"/>
    </row>
    <row r="349">
      <c r="A349" s="62"/>
      <c r="B349" s="62"/>
      <c r="C349" s="62"/>
    </row>
    <row r="350">
      <c r="A350" s="62"/>
      <c r="B350" s="62"/>
      <c r="C350" s="62"/>
    </row>
    <row r="351">
      <c r="A351" s="62"/>
      <c r="B351" s="62"/>
      <c r="C351" s="62"/>
    </row>
    <row r="352">
      <c r="A352" s="62"/>
      <c r="B352" s="62"/>
      <c r="C352" s="62"/>
    </row>
    <row r="353">
      <c r="A353" s="62"/>
      <c r="B353" s="62"/>
      <c r="C353" s="62"/>
    </row>
    <row r="354">
      <c r="A354" s="62"/>
      <c r="B354" s="62"/>
      <c r="C354" s="62"/>
    </row>
    <row r="355">
      <c r="A355" s="62"/>
      <c r="B355" s="62"/>
      <c r="C355" s="62"/>
    </row>
    <row r="356">
      <c r="A356" s="62"/>
      <c r="B356" s="62"/>
      <c r="C356" s="62"/>
    </row>
    <row r="357">
      <c r="A357" s="62"/>
      <c r="B357" s="62"/>
      <c r="C357" s="62"/>
    </row>
    <row r="358">
      <c r="A358" s="62"/>
      <c r="B358" s="62"/>
      <c r="C358" s="62"/>
    </row>
    <row r="359">
      <c r="A359" s="62"/>
      <c r="B359" s="62"/>
      <c r="C359" s="62"/>
    </row>
    <row r="360">
      <c r="A360" s="62"/>
      <c r="B360" s="62"/>
      <c r="C360" s="62"/>
    </row>
    <row r="361">
      <c r="A361" s="62"/>
      <c r="B361" s="62"/>
      <c r="C361" s="62"/>
    </row>
    <row r="362">
      <c r="A362" s="62"/>
      <c r="B362" s="62"/>
      <c r="C362" s="62"/>
    </row>
    <row r="363">
      <c r="A363" s="62"/>
      <c r="B363" s="62"/>
      <c r="C363" s="62"/>
    </row>
    <row r="364">
      <c r="A364" s="62"/>
      <c r="B364" s="62"/>
      <c r="C364" s="62"/>
    </row>
    <row r="365">
      <c r="A365" s="62"/>
      <c r="B365" s="62"/>
      <c r="C365" s="62"/>
    </row>
    <row r="366">
      <c r="A366" s="62"/>
      <c r="B366" s="62"/>
      <c r="C366" s="62"/>
    </row>
    <row r="367">
      <c r="A367" s="62"/>
      <c r="B367" s="62"/>
      <c r="C367" s="62"/>
    </row>
    <row r="368">
      <c r="A368" s="62"/>
      <c r="B368" s="62"/>
      <c r="C368" s="62"/>
    </row>
    <row r="369">
      <c r="A369" s="62"/>
      <c r="B369" s="62"/>
      <c r="C369" s="62"/>
    </row>
    <row r="370">
      <c r="A370" s="62"/>
      <c r="B370" s="62"/>
      <c r="C370" s="62"/>
    </row>
    <row r="371">
      <c r="A371" s="62"/>
      <c r="B371" s="62"/>
      <c r="C371" s="62"/>
    </row>
    <row r="372">
      <c r="A372" s="62"/>
      <c r="B372" s="62"/>
      <c r="C372" s="62"/>
    </row>
    <row r="373">
      <c r="A373" s="62"/>
      <c r="B373" s="62"/>
      <c r="C373" s="62"/>
    </row>
    <row r="374">
      <c r="A374" s="62"/>
      <c r="B374" s="62"/>
      <c r="C374" s="62"/>
    </row>
    <row r="375">
      <c r="A375" s="62"/>
      <c r="B375" s="62"/>
      <c r="C375" s="62"/>
    </row>
    <row r="376">
      <c r="A376" s="62"/>
      <c r="B376" s="62"/>
      <c r="C376" s="62"/>
    </row>
    <row r="377">
      <c r="A377" s="62"/>
      <c r="B377" s="62"/>
      <c r="C377" s="62"/>
    </row>
    <row r="378">
      <c r="A378" s="62"/>
      <c r="B378" s="62"/>
      <c r="C378" s="62"/>
    </row>
    <row r="379">
      <c r="A379" s="62"/>
      <c r="B379" s="62"/>
      <c r="C379" s="62"/>
    </row>
    <row r="380">
      <c r="A380" s="62"/>
      <c r="B380" s="62"/>
      <c r="C380" s="62"/>
    </row>
    <row r="381">
      <c r="A381" s="62"/>
      <c r="B381" s="62"/>
      <c r="C381" s="62"/>
    </row>
    <row r="382">
      <c r="A382" s="62"/>
      <c r="B382" s="62"/>
      <c r="C382" s="62"/>
    </row>
    <row r="383">
      <c r="A383" s="62"/>
      <c r="B383" s="62"/>
      <c r="C383" s="62"/>
    </row>
    <row r="384">
      <c r="A384" s="62"/>
      <c r="B384" s="62"/>
      <c r="C384" s="62"/>
    </row>
    <row r="385">
      <c r="A385" s="62"/>
      <c r="B385" s="62"/>
      <c r="C385" s="62"/>
    </row>
    <row r="386">
      <c r="A386" s="62"/>
      <c r="B386" s="62"/>
      <c r="C386" s="62"/>
    </row>
    <row r="387">
      <c r="A387" s="62"/>
      <c r="B387" s="62"/>
      <c r="C387" s="62"/>
    </row>
    <row r="388">
      <c r="A388" s="62"/>
      <c r="B388" s="62"/>
      <c r="C388" s="62"/>
    </row>
    <row r="389">
      <c r="A389" s="62"/>
      <c r="B389" s="62"/>
      <c r="C389" s="62"/>
    </row>
    <row r="390">
      <c r="A390" s="62"/>
      <c r="B390" s="62"/>
      <c r="C390" s="62"/>
    </row>
    <row r="391">
      <c r="A391" s="62"/>
      <c r="B391" s="62"/>
      <c r="C391" s="62"/>
    </row>
    <row r="392">
      <c r="A392" s="62"/>
      <c r="B392" s="62"/>
      <c r="C392" s="62"/>
    </row>
    <row r="393">
      <c r="A393" s="62"/>
      <c r="B393" s="62"/>
      <c r="C393" s="62"/>
    </row>
    <row r="394">
      <c r="A394" s="62"/>
      <c r="B394" s="62"/>
      <c r="C394" s="62"/>
    </row>
    <row r="395">
      <c r="A395" s="62"/>
      <c r="B395" s="62"/>
      <c r="C395" s="62"/>
    </row>
    <row r="396">
      <c r="A396" s="62"/>
      <c r="B396" s="62"/>
      <c r="C396" s="62"/>
    </row>
    <row r="397">
      <c r="A397" s="62"/>
      <c r="B397" s="62"/>
      <c r="C397" s="62"/>
    </row>
    <row r="398">
      <c r="A398" s="62"/>
      <c r="B398" s="62"/>
      <c r="C398" s="62"/>
    </row>
    <row r="399">
      <c r="A399" s="62"/>
      <c r="B399" s="62"/>
      <c r="C399" s="62"/>
    </row>
    <row r="400">
      <c r="A400" s="62"/>
      <c r="B400" s="62"/>
      <c r="C400" s="62"/>
    </row>
    <row r="401">
      <c r="A401" s="62"/>
      <c r="B401" s="62"/>
      <c r="C401" s="62"/>
    </row>
    <row r="402">
      <c r="A402" s="62"/>
      <c r="B402" s="62"/>
      <c r="C402" s="62"/>
    </row>
    <row r="403">
      <c r="A403" s="62"/>
      <c r="B403" s="62"/>
      <c r="C403" s="62"/>
    </row>
    <row r="404">
      <c r="A404" s="62"/>
      <c r="B404" s="62"/>
      <c r="C404" s="62"/>
    </row>
    <row r="405">
      <c r="A405" s="62"/>
      <c r="B405" s="62"/>
      <c r="C405" s="62"/>
    </row>
    <row r="406">
      <c r="A406" s="62"/>
      <c r="B406" s="62"/>
      <c r="C406" s="62"/>
    </row>
    <row r="407">
      <c r="A407" s="62"/>
      <c r="B407" s="62"/>
      <c r="C407" s="62"/>
    </row>
    <row r="408">
      <c r="A408" s="62"/>
      <c r="B408" s="62"/>
      <c r="C408" s="62"/>
    </row>
    <row r="409">
      <c r="A409" s="62"/>
      <c r="B409" s="62"/>
      <c r="C409" s="62"/>
    </row>
    <row r="410">
      <c r="A410" s="62"/>
      <c r="B410" s="62"/>
      <c r="C410" s="62"/>
    </row>
    <row r="411">
      <c r="A411" s="62"/>
      <c r="B411" s="62"/>
      <c r="C411" s="62"/>
    </row>
    <row r="412">
      <c r="A412" s="62"/>
      <c r="B412" s="62"/>
      <c r="C412" s="62"/>
    </row>
    <row r="413">
      <c r="A413" s="62"/>
      <c r="B413" s="62"/>
      <c r="C413" s="62"/>
    </row>
    <row r="414">
      <c r="A414" s="62"/>
      <c r="B414" s="62"/>
      <c r="C414" s="62"/>
    </row>
    <row r="415">
      <c r="A415" s="62"/>
      <c r="B415" s="62"/>
      <c r="C415" s="62"/>
    </row>
    <row r="416">
      <c r="A416" s="62"/>
      <c r="B416" s="62"/>
      <c r="C416" s="62"/>
    </row>
    <row r="417">
      <c r="A417" s="62"/>
      <c r="B417" s="62"/>
      <c r="C417" s="62"/>
    </row>
    <row r="418">
      <c r="A418" s="62"/>
      <c r="B418" s="62"/>
      <c r="C418" s="62"/>
    </row>
    <row r="419">
      <c r="A419" s="62"/>
      <c r="B419" s="62"/>
      <c r="C419" s="62"/>
    </row>
    <row r="420">
      <c r="A420" s="62"/>
      <c r="B420" s="62"/>
      <c r="C420" s="62"/>
    </row>
    <row r="421">
      <c r="A421" s="62"/>
      <c r="B421" s="62"/>
      <c r="C421" s="62"/>
    </row>
    <row r="422">
      <c r="A422" s="62"/>
      <c r="B422" s="62"/>
      <c r="C422" s="62"/>
    </row>
    <row r="423">
      <c r="A423" s="62"/>
      <c r="B423" s="62"/>
      <c r="C423" s="62"/>
    </row>
    <row r="424">
      <c r="A424" s="62"/>
      <c r="B424" s="62"/>
      <c r="C424" s="62"/>
    </row>
    <row r="425">
      <c r="A425" s="62"/>
      <c r="B425" s="62"/>
      <c r="C425" s="62"/>
    </row>
    <row r="426">
      <c r="A426" s="62"/>
      <c r="B426" s="62"/>
      <c r="C426" s="62"/>
    </row>
    <row r="427">
      <c r="A427" s="62"/>
      <c r="B427" s="62"/>
      <c r="C427" s="62"/>
    </row>
    <row r="428">
      <c r="A428" s="62"/>
      <c r="B428" s="62"/>
      <c r="C428" s="62"/>
    </row>
    <row r="429">
      <c r="A429" s="62"/>
      <c r="B429" s="62"/>
      <c r="C429" s="62"/>
    </row>
    <row r="430">
      <c r="A430" s="62"/>
      <c r="B430" s="62"/>
      <c r="C430" s="62"/>
    </row>
    <row r="431">
      <c r="A431" s="62"/>
      <c r="B431" s="62"/>
      <c r="C431" s="62"/>
    </row>
    <row r="432">
      <c r="A432" s="62"/>
      <c r="B432" s="62"/>
      <c r="C432" s="62"/>
    </row>
    <row r="433">
      <c r="A433" s="62"/>
      <c r="B433" s="62"/>
      <c r="C433" s="62"/>
    </row>
    <row r="434">
      <c r="A434" s="62"/>
      <c r="B434" s="62"/>
      <c r="C434" s="62"/>
    </row>
    <row r="435">
      <c r="A435" s="62"/>
      <c r="B435" s="62"/>
      <c r="C435" s="62"/>
    </row>
    <row r="436">
      <c r="A436" s="62"/>
      <c r="B436" s="62"/>
      <c r="C436" s="62"/>
    </row>
    <row r="437">
      <c r="A437" s="62"/>
      <c r="B437" s="62"/>
      <c r="C437" s="62"/>
    </row>
    <row r="438">
      <c r="A438" s="62"/>
      <c r="B438" s="62"/>
      <c r="C438" s="62"/>
    </row>
    <row r="439">
      <c r="A439" s="62"/>
      <c r="B439" s="62"/>
      <c r="C439" s="62"/>
    </row>
    <row r="440">
      <c r="A440" s="62"/>
      <c r="B440" s="62"/>
      <c r="C440" s="62"/>
    </row>
    <row r="441">
      <c r="A441" s="62"/>
      <c r="B441" s="62"/>
      <c r="C441" s="62"/>
    </row>
    <row r="442">
      <c r="A442" s="62"/>
      <c r="B442" s="62"/>
      <c r="C442" s="62"/>
    </row>
    <row r="443">
      <c r="A443" s="62"/>
      <c r="B443" s="62"/>
      <c r="C443" s="62"/>
    </row>
    <row r="444">
      <c r="A444" s="62"/>
      <c r="B444" s="62"/>
      <c r="C444" s="62"/>
    </row>
    <row r="445">
      <c r="A445" s="62"/>
      <c r="B445" s="62"/>
      <c r="C445" s="62"/>
    </row>
    <row r="446">
      <c r="A446" s="62"/>
      <c r="B446" s="62"/>
      <c r="C446" s="62"/>
    </row>
    <row r="447">
      <c r="A447" s="62"/>
      <c r="B447" s="62"/>
      <c r="C447" s="62"/>
    </row>
    <row r="448">
      <c r="A448" s="62"/>
      <c r="B448" s="62"/>
      <c r="C448" s="62"/>
    </row>
    <row r="449">
      <c r="A449" s="62"/>
      <c r="B449" s="62"/>
      <c r="C449" s="62"/>
    </row>
    <row r="450">
      <c r="A450" s="62"/>
      <c r="B450" s="62"/>
      <c r="C450" s="62"/>
    </row>
    <row r="451">
      <c r="A451" s="62"/>
      <c r="B451" s="62"/>
      <c r="C451" s="62"/>
    </row>
    <row r="452">
      <c r="A452" s="62"/>
      <c r="B452" s="62"/>
      <c r="C452" s="62"/>
    </row>
    <row r="453">
      <c r="A453" s="62"/>
      <c r="B453" s="62"/>
      <c r="C453" s="62"/>
    </row>
    <row r="454">
      <c r="A454" s="62"/>
      <c r="B454" s="62"/>
      <c r="C454" s="62"/>
    </row>
    <row r="455">
      <c r="A455" s="62"/>
      <c r="B455" s="62"/>
      <c r="C455" s="62"/>
    </row>
    <row r="456">
      <c r="A456" s="62"/>
      <c r="B456" s="62"/>
      <c r="C456" s="62"/>
    </row>
    <row r="457">
      <c r="A457" s="62"/>
      <c r="B457" s="62"/>
      <c r="C457" s="62"/>
    </row>
    <row r="458">
      <c r="A458" s="62"/>
      <c r="B458" s="62"/>
      <c r="C458" s="62"/>
    </row>
    <row r="459">
      <c r="A459" s="62"/>
      <c r="B459" s="62"/>
      <c r="C459" s="62"/>
    </row>
    <row r="460">
      <c r="A460" s="62"/>
      <c r="B460" s="62"/>
      <c r="C460" s="62"/>
    </row>
    <row r="461">
      <c r="A461" s="62"/>
      <c r="B461" s="62"/>
      <c r="C461" s="62"/>
    </row>
    <row r="462">
      <c r="A462" s="62"/>
      <c r="B462" s="62"/>
      <c r="C462" s="62"/>
    </row>
    <row r="463">
      <c r="A463" s="62"/>
      <c r="B463" s="62"/>
      <c r="C463" s="62"/>
    </row>
    <row r="464">
      <c r="A464" s="62"/>
      <c r="B464" s="62"/>
      <c r="C464" s="62"/>
    </row>
    <row r="465">
      <c r="A465" s="62"/>
      <c r="B465" s="62"/>
      <c r="C465" s="62"/>
    </row>
    <row r="466">
      <c r="A466" s="62"/>
      <c r="B466" s="62"/>
      <c r="C466" s="62"/>
    </row>
    <row r="467">
      <c r="A467" s="62"/>
      <c r="B467" s="62"/>
      <c r="C467" s="62"/>
    </row>
    <row r="468">
      <c r="A468" s="62"/>
      <c r="B468" s="62"/>
      <c r="C468" s="62"/>
    </row>
    <row r="469">
      <c r="A469" s="62"/>
      <c r="B469" s="62"/>
      <c r="C469" s="62"/>
    </row>
    <row r="470">
      <c r="A470" s="62"/>
      <c r="B470" s="62"/>
      <c r="C470" s="62"/>
    </row>
    <row r="471">
      <c r="A471" s="62"/>
      <c r="B471" s="62"/>
      <c r="C471" s="62"/>
    </row>
    <row r="472">
      <c r="A472" s="62"/>
      <c r="B472" s="62"/>
      <c r="C472" s="62"/>
    </row>
    <row r="473">
      <c r="A473" s="62"/>
      <c r="B473" s="62"/>
      <c r="C473" s="62"/>
    </row>
    <row r="474">
      <c r="A474" s="62"/>
      <c r="B474" s="62"/>
      <c r="C474" s="62"/>
    </row>
    <row r="475">
      <c r="A475" s="62"/>
      <c r="B475" s="62"/>
      <c r="C475" s="62"/>
    </row>
    <row r="476">
      <c r="A476" s="62"/>
      <c r="B476" s="62"/>
      <c r="C476" s="62"/>
    </row>
    <row r="477">
      <c r="A477" s="62"/>
      <c r="B477" s="62"/>
      <c r="C477" s="62"/>
    </row>
    <row r="478">
      <c r="A478" s="62"/>
      <c r="B478" s="62"/>
      <c r="C478" s="62"/>
    </row>
    <row r="479">
      <c r="A479" s="62"/>
      <c r="B479" s="62"/>
      <c r="C479" s="62"/>
    </row>
    <row r="480">
      <c r="A480" s="62"/>
      <c r="B480" s="62"/>
      <c r="C480" s="62"/>
    </row>
    <row r="481">
      <c r="A481" s="62"/>
      <c r="B481" s="62"/>
      <c r="C481" s="62"/>
    </row>
    <row r="482">
      <c r="A482" s="62"/>
      <c r="B482" s="62"/>
      <c r="C482" s="62"/>
    </row>
    <row r="483">
      <c r="A483" s="62"/>
      <c r="B483" s="62"/>
      <c r="C483" s="62"/>
    </row>
    <row r="484">
      <c r="A484" s="62"/>
      <c r="B484" s="62"/>
      <c r="C484" s="62"/>
    </row>
    <row r="485">
      <c r="A485" s="62"/>
      <c r="B485" s="62"/>
      <c r="C485" s="62"/>
    </row>
    <row r="486">
      <c r="A486" s="62"/>
      <c r="B486" s="62"/>
      <c r="C486" s="62"/>
    </row>
    <row r="487">
      <c r="A487" s="62"/>
      <c r="B487" s="62"/>
      <c r="C487" s="62"/>
    </row>
    <row r="488">
      <c r="A488" s="62"/>
      <c r="B488" s="62"/>
      <c r="C488" s="62"/>
    </row>
    <row r="489">
      <c r="A489" s="62"/>
      <c r="B489" s="62"/>
      <c r="C489" s="62"/>
    </row>
    <row r="490">
      <c r="A490" s="62"/>
      <c r="B490" s="62"/>
      <c r="C490" s="62"/>
    </row>
    <row r="491">
      <c r="A491" s="62"/>
      <c r="B491" s="62"/>
      <c r="C491" s="62"/>
    </row>
    <row r="492">
      <c r="A492" s="62"/>
      <c r="B492" s="62"/>
      <c r="C492" s="62"/>
    </row>
    <row r="493">
      <c r="A493" s="62"/>
      <c r="B493" s="62"/>
      <c r="C493" s="62"/>
    </row>
    <row r="494">
      <c r="A494" s="62"/>
      <c r="B494" s="62"/>
      <c r="C494" s="62"/>
    </row>
    <row r="495">
      <c r="A495" s="62"/>
      <c r="B495" s="62"/>
      <c r="C495" s="62"/>
    </row>
    <row r="496">
      <c r="A496" s="62"/>
      <c r="B496" s="62"/>
      <c r="C496" s="62"/>
    </row>
    <row r="497">
      <c r="A497" s="62"/>
      <c r="B497" s="62"/>
      <c r="C497" s="62"/>
    </row>
    <row r="498">
      <c r="A498" s="62"/>
      <c r="B498" s="62"/>
      <c r="C498" s="62"/>
    </row>
    <row r="499">
      <c r="A499" s="62"/>
      <c r="B499" s="62"/>
      <c r="C499" s="62"/>
    </row>
    <row r="500">
      <c r="A500" s="62"/>
      <c r="B500" s="62"/>
      <c r="C500" s="62"/>
    </row>
    <row r="501">
      <c r="A501" s="62"/>
      <c r="B501" s="62"/>
      <c r="C501" s="62"/>
    </row>
    <row r="502">
      <c r="A502" s="62"/>
      <c r="B502" s="62"/>
      <c r="C502" s="62"/>
    </row>
    <row r="503">
      <c r="A503" s="62"/>
      <c r="B503" s="62"/>
      <c r="C503" s="62"/>
    </row>
    <row r="504">
      <c r="A504" s="62"/>
      <c r="B504" s="62"/>
      <c r="C504" s="62"/>
    </row>
    <row r="505">
      <c r="A505" s="62"/>
      <c r="B505" s="62"/>
      <c r="C505" s="62"/>
    </row>
    <row r="506">
      <c r="A506" s="62"/>
      <c r="B506" s="62"/>
      <c r="C506" s="62"/>
    </row>
    <row r="507">
      <c r="A507" s="62"/>
      <c r="B507" s="62"/>
      <c r="C507" s="62"/>
    </row>
    <row r="508">
      <c r="A508" s="62"/>
      <c r="B508" s="62"/>
      <c r="C508" s="62"/>
    </row>
    <row r="509">
      <c r="A509" s="62"/>
      <c r="B509" s="62"/>
      <c r="C509" s="62"/>
    </row>
    <row r="510">
      <c r="A510" s="62"/>
      <c r="B510" s="62"/>
      <c r="C510" s="62"/>
    </row>
    <row r="511">
      <c r="A511" s="62"/>
      <c r="B511" s="62"/>
      <c r="C511" s="62"/>
    </row>
    <row r="512">
      <c r="A512" s="62"/>
      <c r="B512" s="62"/>
      <c r="C512" s="62"/>
    </row>
    <row r="513">
      <c r="A513" s="62"/>
      <c r="B513" s="62"/>
      <c r="C513" s="62"/>
    </row>
    <row r="514">
      <c r="A514" s="62"/>
      <c r="B514" s="62"/>
      <c r="C514" s="62"/>
    </row>
    <row r="515">
      <c r="A515" s="62"/>
      <c r="B515" s="62"/>
      <c r="C515" s="62"/>
    </row>
    <row r="516">
      <c r="A516" s="62"/>
      <c r="B516" s="62"/>
      <c r="C516" s="62"/>
    </row>
    <row r="517">
      <c r="A517" s="62"/>
      <c r="B517" s="62"/>
      <c r="C517" s="62"/>
    </row>
    <row r="518">
      <c r="A518" s="62"/>
      <c r="B518" s="62"/>
      <c r="C518" s="62"/>
    </row>
    <row r="519">
      <c r="A519" s="62"/>
      <c r="B519" s="62"/>
      <c r="C519" s="62"/>
    </row>
    <row r="520">
      <c r="A520" s="62"/>
      <c r="B520" s="62"/>
      <c r="C520" s="62"/>
    </row>
    <row r="521">
      <c r="A521" s="62"/>
      <c r="B521" s="62"/>
      <c r="C521" s="62"/>
    </row>
    <row r="522">
      <c r="A522" s="62"/>
      <c r="B522" s="62"/>
      <c r="C522" s="62"/>
    </row>
    <row r="523">
      <c r="A523" s="62"/>
      <c r="B523" s="62"/>
      <c r="C523" s="62"/>
    </row>
    <row r="524">
      <c r="A524" s="62"/>
      <c r="B524" s="62"/>
      <c r="C524" s="62"/>
    </row>
    <row r="525">
      <c r="A525" s="62"/>
      <c r="B525" s="62"/>
      <c r="C525" s="62"/>
    </row>
    <row r="526">
      <c r="A526" s="62"/>
      <c r="B526" s="62"/>
      <c r="C526" s="62"/>
    </row>
    <row r="527">
      <c r="A527" s="62"/>
      <c r="B527" s="62"/>
      <c r="C527" s="62"/>
    </row>
    <row r="528">
      <c r="A528" s="62"/>
      <c r="B528" s="62"/>
      <c r="C528" s="62"/>
    </row>
    <row r="529">
      <c r="A529" s="62"/>
      <c r="B529" s="62"/>
      <c r="C529" s="62"/>
    </row>
    <row r="530">
      <c r="A530" s="62"/>
      <c r="B530" s="62"/>
      <c r="C530" s="62"/>
    </row>
    <row r="531">
      <c r="A531" s="62"/>
      <c r="B531" s="62"/>
      <c r="C531" s="62"/>
    </row>
    <row r="532">
      <c r="A532" s="62"/>
      <c r="B532" s="62"/>
      <c r="C532" s="62"/>
    </row>
    <row r="533">
      <c r="A533" s="62"/>
      <c r="B533" s="62"/>
      <c r="C533" s="62"/>
    </row>
    <row r="534">
      <c r="A534" s="62"/>
      <c r="B534" s="62"/>
      <c r="C534" s="62"/>
    </row>
    <row r="535">
      <c r="A535" s="62"/>
      <c r="B535" s="62"/>
      <c r="C535" s="62"/>
    </row>
    <row r="536">
      <c r="A536" s="62"/>
      <c r="B536" s="62"/>
      <c r="C536" s="62"/>
    </row>
    <row r="537">
      <c r="A537" s="62"/>
      <c r="B537" s="62"/>
      <c r="C537" s="62"/>
    </row>
    <row r="538">
      <c r="A538" s="62"/>
      <c r="B538" s="62"/>
      <c r="C538" s="62"/>
    </row>
    <row r="539">
      <c r="A539" s="62"/>
      <c r="B539" s="62"/>
      <c r="C539" s="62"/>
    </row>
    <row r="540">
      <c r="A540" s="62"/>
      <c r="B540" s="62"/>
      <c r="C540" s="62"/>
    </row>
    <row r="541">
      <c r="A541" s="62"/>
      <c r="B541" s="62"/>
      <c r="C541" s="62"/>
    </row>
    <row r="542">
      <c r="A542" s="62"/>
      <c r="B542" s="62"/>
      <c r="C542" s="62"/>
    </row>
    <row r="543">
      <c r="A543" s="62"/>
      <c r="B543" s="62"/>
      <c r="C543" s="62"/>
    </row>
    <row r="544">
      <c r="A544" s="62"/>
      <c r="B544" s="62"/>
      <c r="C544" s="62"/>
    </row>
    <row r="545">
      <c r="A545" s="62"/>
      <c r="B545" s="62"/>
      <c r="C545" s="62"/>
    </row>
    <row r="546">
      <c r="A546" s="62"/>
      <c r="B546" s="62"/>
      <c r="C546" s="62"/>
    </row>
    <row r="547">
      <c r="A547" s="62"/>
      <c r="B547" s="62"/>
      <c r="C547" s="62"/>
    </row>
    <row r="548">
      <c r="A548" s="62"/>
      <c r="B548" s="62"/>
      <c r="C548" s="62"/>
    </row>
    <row r="549">
      <c r="A549" s="62"/>
      <c r="B549" s="62"/>
      <c r="C549" s="62"/>
    </row>
    <row r="550">
      <c r="A550" s="62"/>
      <c r="B550" s="62"/>
      <c r="C550" s="62"/>
    </row>
    <row r="551">
      <c r="A551" s="62"/>
      <c r="B551" s="62"/>
      <c r="C551" s="62"/>
    </row>
    <row r="552">
      <c r="A552" s="62"/>
      <c r="B552" s="62"/>
      <c r="C552" s="62"/>
    </row>
    <row r="553">
      <c r="A553" s="62"/>
      <c r="B553" s="62"/>
      <c r="C553" s="62"/>
    </row>
    <row r="554">
      <c r="A554" s="62"/>
      <c r="B554" s="62"/>
      <c r="C554" s="62"/>
    </row>
    <row r="555">
      <c r="A555" s="62"/>
      <c r="B555" s="62"/>
      <c r="C555" s="62"/>
    </row>
    <row r="556">
      <c r="A556" s="62"/>
      <c r="B556" s="62"/>
      <c r="C556" s="62"/>
    </row>
    <row r="557">
      <c r="A557" s="62"/>
      <c r="B557" s="62"/>
      <c r="C557" s="62"/>
    </row>
    <row r="558">
      <c r="A558" s="62"/>
      <c r="B558" s="62"/>
      <c r="C558" s="62"/>
    </row>
    <row r="559">
      <c r="A559" s="62"/>
      <c r="B559" s="62"/>
      <c r="C559" s="62"/>
    </row>
    <row r="560">
      <c r="A560" s="62"/>
      <c r="B560" s="62"/>
      <c r="C560" s="62"/>
    </row>
    <row r="561">
      <c r="A561" s="62"/>
      <c r="B561" s="62"/>
      <c r="C561" s="62"/>
    </row>
    <row r="562">
      <c r="A562" s="62"/>
      <c r="B562" s="62"/>
      <c r="C562" s="62"/>
    </row>
    <row r="563">
      <c r="A563" s="62"/>
      <c r="B563" s="62"/>
      <c r="C563" s="62"/>
    </row>
    <row r="564">
      <c r="A564" s="62"/>
      <c r="B564" s="62"/>
      <c r="C564" s="62"/>
    </row>
    <row r="565">
      <c r="A565" s="62"/>
      <c r="B565" s="62"/>
      <c r="C565" s="62"/>
    </row>
    <row r="566">
      <c r="A566" s="62"/>
      <c r="B566" s="62"/>
      <c r="C566" s="62"/>
    </row>
    <row r="567">
      <c r="A567" s="62"/>
      <c r="B567" s="62"/>
      <c r="C567" s="62"/>
    </row>
    <row r="568">
      <c r="A568" s="62"/>
      <c r="B568" s="62"/>
      <c r="C568" s="62"/>
    </row>
    <row r="569">
      <c r="A569" s="62"/>
      <c r="B569" s="62"/>
      <c r="C569" s="62"/>
    </row>
    <row r="570">
      <c r="A570" s="62"/>
      <c r="B570" s="62"/>
      <c r="C570" s="62"/>
    </row>
    <row r="571">
      <c r="A571" s="62"/>
      <c r="B571" s="62"/>
      <c r="C571" s="62"/>
    </row>
    <row r="572">
      <c r="A572" s="62"/>
      <c r="B572" s="62"/>
      <c r="C572" s="62"/>
    </row>
    <row r="573">
      <c r="A573" s="62"/>
      <c r="B573" s="62"/>
      <c r="C573" s="62"/>
    </row>
    <row r="574">
      <c r="A574" s="62"/>
      <c r="B574" s="62"/>
      <c r="C574" s="62"/>
    </row>
    <row r="575">
      <c r="A575" s="62"/>
      <c r="B575" s="62"/>
      <c r="C575" s="62"/>
    </row>
    <row r="576">
      <c r="A576" s="62"/>
      <c r="B576" s="62"/>
      <c r="C576" s="62"/>
    </row>
    <row r="577">
      <c r="A577" s="62"/>
      <c r="B577" s="62"/>
      <c r="C577" s="62"/>
    </row>
    <row r="578">
      <c r="A578" s="62"/>
      <c r="B578" s="62"/>
      <c r="C578" s="62"/>
    </row>
    <row r="579">
      <c r="A579" s="62"/>
      <c r="B579" s="62"/>
      <c r="C579" s="62"/>
    </row>
    <row r="580">
      <c r="A580" s="62"/>
      <c r="B580" s="62"/>
      <c r="C580" s="62"/>
    </row>
    <row r="581">
      <c r="A581" s="62"/>
      <c r="B581" s="62"/>
      <c r="C581" s="62"/>
    </row>
    <row r="582">
      <c r="A582" s="62"/>
      <c r="B582" s="62"/>
      <c r="C582" s="62"/>
    </row>
    <row r="583">
      <c r="A583" s="62"/>
      <c r="B583" s="62"/>
      <c r="C583" s="62"/>
    </row>
    <row r="584">
      <c r="A584" s="62"/>
      <c r="B584" s="62"/>
      <c r="C584" s="62"/>
    </row>
    <row r="585">
      <c r="A585" s="62"/>
      <c r="B585" s="62"/>
      <c r="C585" s="62"/>
    </row>
    <row r="586">
      <c r="A586" s="62"/>
      <c r="B586" s="62"/>
      <c r="C586" s="62"/>
    </row>
    <row r="587">
      <c r="A587" s="62"/>
      <c r="B587" s="62"/>
      <c r="C587" s="62"/>
    </row>
    <row r="588">
      <c r="A588" s="62"/>
      <c r="B588" s="62"/>
      <c r="C588" s="62"/>
    </row>
    <row r="589">
      <c r="A589" s="62"/>
      <c r="B589" s="62"/>
      <c r="C589" s="62"/>
    </row>
    <row r="590">
      <c r="A590" s="62"/>
      <c r="B590" s="62"/>
      <c r="C590" s="62"/>
    </row>
    <row r="591">
      <c r="A591" s="62"/>
      <c r="B591" s="62"/>
      <c r="C591" s="62"/>
    </row>
    <row r="592">
      <c r="A592" s="62"/>
      <c r="B592" s="62"/>
      <c r="C592" s="62"/>
    </row>
    <row r="593">
      <c r="A593" s="62"/>
      <c r="B593" s="62"/>
      <c r="C593" s="62"/>
    </row>
    <row r="594">
      <c r="A594" s="62"/>
      <c r="B594" s="62"/>
      <c r="C594" s="62"/>
    </row>
    <row r="595">
      <c r="A595" s="62"/>
      <c r="B595" s="62"/>
      <c r="C595" s="62"/>
    </row>
    <row r="596">
      <c r="A596" s="62"/>
      <c r="B596" s="62"/>
      <c r="C596" s="62"/>
    </row>
    <row r="597">
      <c r="A597" s="62"/>
      <c r="B597" s="62"/>
      <c r="C597" s="62"/>
    </row>
    <row r="598">
      <c r="A598" s="62"/>
      <c r="B598" s="62"/>
      <c r="C598" s="62"/>
    </row>
    <row r="599">
      <c r="A599" s="62"/>
      <c r="B599" s="62"/>
      <c r="C599" s="62"/>
    </row>
    <row r="600">
      <c r="A600" s="62"/>
      <c r="B600" s="62"/>
      <c r="C600" s="62"/>
    </row>
    <row r="601">
      <c r="A601" s="62"/>
      <c r="B601" s="62"/>
      <c r="C601" s="62"/>
    </row>
    <row r="602">
      <c r="A602" s="62"/>
      <c r="B602" s="62"/>
      <c r="C602" s="62"/>
    </row>
    <row r="603">
      <c r="A603" s="62"/>
      <c r="B603" s="62"/>
      <c r="C603" s="62"/>
    </row>
    <row r="604">
      <c r="A604" s="62"/>
      <c r="B604" s="62"/>
      <c r="C604" s="62"/>
    </row>
    <row r="605">
      <c r="A605" s="62"/>
      <c r="B605" s="62"/>
      <c r="C605" s="62"/>
    </row>
    <row r="606">
      <c r="A606" s="62"/>
      <c r="B606" s="62"/>
      <c r="C606" s="62"/>
    </row>
    <row r="607">
      <c r="A607" s="62"/>
      <c r="B607" s="62"/>
      <c r="C607" s="62"/>
    </row>
    <row r="608">
      <c r="A608" s="62"/>
      <c r="B608" s="62"/>
      <c r="C608" s="62"/>
    </row>
    <row r="609">
      <c r="A609" s="62"/>
      <c r="B609" s="62"/>
      <c r="C609" s="62"/>
    </row>
    <row r="610">
      <c r="A610" s="62"/>
      <c r="B610" s="62"/>
      <c r="C610" s="62"/>
    </row>
    <row r="611">
      <c r="A611" s="62"/>
      <c r="B611" s="62"/>
      <c r="C611" s="62"/>
    </row>
    <row r="612">
      <c r="A612" s="62"/>
      <c r="B612" s="62"/>
      <c r="C612" s="62"/>
    </row>
    <row r="613">
      <c r="A613" s="62"/>
      <c r="B613" s="62"/>
      <c r="C613" s="62"/>
    </row>
    <row r="614">
      <c r="A614" s="62"/>
      <c r="B614" s="62"/>
      <c r="C614" s="62"/>
    </row>
    <row r="615">
      <c r="A615" s="62"/>
      <c r="B615" s="62"/>
      <c r="C615" s="62"/>
    </row>
    <row r="616">
      <c r="A616" s="62"/>
      <c r="B616" s="62"/>
      <c r="C616" s="62"/>
    </row>
    <row r="617">
      <c r="A617" s="62"/>
      <c r="B617" s="62"/>
      <c r="C617" s="62"/>
    </row>
    <row r="618">
      <c r="A618" s="62"/>
      <c r="B618" s="62"/>
      <c r="C618" s="62"/>
    </row>
    <row r="619">
      <c r="A619" s="62"/>
      <c r="B619" s="62"/>
      <c r="C619" s="62"/>
    </row>
    <row r="620">
      <c r="A620" s="62"/>
      <c r="B620" s="62"/>
      <c r="C620" s="62"/>
    </row>
    <row r="621">
      <c r="A621" s="62"/>
      <c r="B621" s="62"/>
      <c r="C621" s="62"/>
    </row>
    <row r="622">
      <c r="A622" s="62"/>
      <c r="B622" s="62"/>
      <c r="C622" s="62"/>
    </row>
    <row r="623">
      <c r="A623" s="62"/>
      <c r="B623" s="62"/>
      <c r="C623" s="62"/>
    </row>
    <row r="624">
      <c r="A624" s="62"/>
      <c r="B624" s="62"/>
      <c r="C624" s="62"/>
    </row>
    <row r="625">
      <c r="A625" s="62"/>
      <c r="B625" s="62"/>
      <c r="C625" s="62"/>
    </row>
    <row r="626">
      <c r="A626" s="62"/>
      <c r="B626" s="62"/>
      <c r="C626" s="62"/>
    </row>
    <row r="627">
      <c r="A627" s="62"/>
      <c r="B627" s="62"/>
      <c r="C627" s="62"/>
    </row>
    <row r="628">
      <c r="A628" s="62"/>
      <c r="B628" s="62"/>
      <c r="C628" s="62"/>
    </row>
    <row r="629">
      <c r="A629" s="62"/>
      <c r="B629" s="62"/>
      <c r="C629" s="62"/>
    </row>
    <row r="630">
      <c r="A630" s="62"/>
      <c r="B630" s="62"/>
      <c r="C630" s="62"/>
    </row>
    <row r="631">
      <c r="A631" s="62"/>
      <c r="B631" s="62"/>
      <c r="C631" s="62"/>
    </row>
    <row r="632">
      <c r="A632" s="62"/>
      <c r="B632" s="62"/>
      <c r="C632" s="62"/>
    </row>
    <row r="633">
      <c r="A633" s="62"/>
      <c r="B633" s="62"/>
      <c r="C633" s="62"/>
    </row>
    <row r="634">
      <c r="A634" s="62"/>
      <c r="B634" s="62"/>
      <c r="C634" s="62"/>
    </row>
    <row r="635">
      <c r="A635" s="62"/>
      <c r="B635" s="62"/>
      <c r="C635" s="62"/>
    </row>
    <row r="636">
      <c r="A636" s="62"/>
      <c r="B636" s="62"/>
      <c r="C636" s="62"/>
    </row>
    <row r="637">
      <c r="A637" s="62"/>
      <c r="B637" s="62"/>
      <c r="C637" s="62"/>
    </row>
    <row r="638">
      <c r="A638" s="62"/>
      <c r="B638" s="62"/>
      <c r="C638" s="62"/>
    </row>
    <row r="639">
      <c r="A639" s="62"/>
      <c r="B639" s="62"/>
      <c r="C639" s="62"/>
    </row>
    <row r="640">
      <c r="A640" s="62"/>
      <c r="B640" s="62"/>
      <c r="C640" s="62"/>
    </row>
    <row r="641">
      <c r="A641" s="62"/>
      <c r="B641" s="62"/>
      <c r="C641" s="62"/>
    </row>
    <row r="642">
      <c r="A642" s="62"/>
      <c r="B642" s="62"/>
      <c r="C642" s="62"/>
    </row>
    <row r="643">
      <c r="A643" s="62"/>
      <c r="B643" s="62"/>
      <c r="C643" s="62"/>
    </row>
    <row r="644">
      <c r="A644" s="62"/>
      <c r="B644" s="62"/>
      <c r="C644" s="62"/>
    </row>
    <row r="645">
      <c r="A645" s="62"/>
      <c r="B645" s="62"/>
      <c r="C645" s="62"/>
    </row>
    <row r="646">
      <c r="A646" s="62"/>
      <c r="B646" s="62"/>
      <c r="C646" s="62"/>
    </row>
    <row r="647">
      <c r="A647" s="62"/>
      <c r="B647" s="62"/>
      <c r="C647" s="62"/>
    </row>
    <row r="648">
      <c r="A648" s="62"/>
      <c r="B648" s="62"/>
      <c r="C648" s="62"/>
    </row>
    <row r="649">
      <c r="A649" s="62"/>
      <c r="B649" s="62"/>
      <c r="C649" s="62"/>
    </row>
    <row r="650">
      <c r="A650" s="62"/>
      <c r="B650" s="62"/>
      <c r="C650" s="62"/>
    </row>
    <row r="651">
      <c r="A651" s="62"/>
      <c r="B651" s="62"/>
      <c r="C651" s="62"/>
    </row>
    <row r="652">
      <c r="A652" s="62"/>
      <c r="B652" s="62"/>
      <c r="C652" s="62"/>
    </row>
    <row r="653">
      <c r="A653" s="62"/>
      <c r="B653" s="62"/>
      <c r="C653" s="62"/>
    </row>
    <row r="654">
      <c r="A654" s="62"/>
      <c r="B654" s="62"/>
      <c r="C654" s="62"/>
    </row>
    <row r="655">
      <c r="A655" s="62"/>
      <c r="B655" s="62"/>
      <c r="C655" s="62"/>
    </row>
    <row r="656">
      <c r="A656" s="62"/>
      <c r="B656" s="62"/>
      <c r="C656" s="62"/>
    </row>
    <row r="657">
      <c r="A657" s="62"/>
      <c r="B657" s="62"/>
      <c r="C657" s="62"/>
    </row>
    <row r="658">
      <c r="A658" s="62"/>
      <c r="B658" s="62"/>
      <c r="C658" s="62"/>
    </row>
    <row r="659">
      <c r="A659" s="62"/>
      <c r="B659" s="62"/>
      <c r="C659" s="62"/>
    </row>
    <row r="660">
      <c r="A660" s="62"/>
      <c r="B660" s="62"/>
      <c r="C660" s="62"/>
    </row>
    <row r="661">
      <c r="A661" s="62"/>
      <c r="B661" s="62"/>
      <c r="C661" s="62"/>
    </row>
    <row r="662">
      <c r="A662" s="62"/>
      <c r="B662" s="62"/>
      <c r="C662" s="62"/>
    </row>
    <row r="663">
      <c r="A663" s="62"/>
      <c r="B663" s="62"/>
      <c r="C663" s="62"/>
    </row>
    <row r="664">
      <c r="A664" s="62"/>
      <c r="B664" s="62"/>
      <c r="C664" s="62"/>
    </row>
    <row r="665">
      <c r="A665" s="62"/>
      <c r="B665" s="62"/>
      <c r="C665" s="62"/>
    </row>
    <row r="666">
      <c r="A666" s="62"/>
      <c r="B666" s="62"/>
      <c r="C666" s="62"/>
    </row>
    <row r="667">
      <c r="A667" s="62"/>
      <c r="B667" s="62"/>
      <c r="C667" s="62"/>
    </row>
    <row r="668">
      <c r="A668" s="62"/>
      <c r="B668" s="62"/>
      <c r="C668" s="62"/>
    </row>
    <row r="669">
      <c r="A669" s="62"/>
      <c r="B669" s="62"/>
      <c r="C669" s="62"/>
    </row>
    <row r="670">
      <c r="A670" s="62"/>
      <c r="B670" s="62"/>
      <c r="C670" s="62"/>
    </row>
    <row r="671">
      <c r="A671" s="62"/>
      <c r="B671" s="62"/>
      <c r="C671" s="62"/>
    </row>
    <row r="672">
      <c r="A672" s="62"/>
      <c r="B672" s="62"/>
      <c r="C672" s="62"/>
    </row>
    <row r="673">
      <c r="A673" s="62"/>
      <c r="B673" s="62"/>
      <c r="C673" s="62"/>
    </row>
    <row r="674">
      <c r="A674" s="62"/>
      <c r="B674" s="62"/>
      <c r="C674" s="62"/>
    </row>
    <row r="675">
      <c r="A675" s="62"/>
      <c r="B675" s="62"/>
      <c r="C675" s="62"/>
    </row>
    <row r="676">
      <c r="A676" s="62"/>
      <c r="B676" s="62"/>
      <c r="C676" s="62"/>
    </row>
    <row r="677">
      <c r="A677" s="62"/>
      <c r="B677" s="62"/>
      <c r="C677" s="62"/>
    </row>
    <row r="678">
      <c r="A678" s="62"/>
      <c r="B678" s="62"/>
      <c r="C678" s="62"/>
    </row>
    <row r="679">
      <c r="A679" s="62"/>
      <c r="B679" s="62"/>
      <c r="C679" s="62"/>
    </row>
    <row r="680">
      <c r="A680" s="62"/>
      <c r="B680" s="62"/>
      <c r="C680" s="62"/>
    </row>
    <row r="681">
      <c r="A681" s="62"/>
      <c r="B681" s="62"/>
      <c r="C681" s="62"/>
    </row>
    <row r="682">
      <c r="A682" s="62"/>
      <c r="B682" s="62"/>
      <c r="C682" s="62"/>
    </row>
    <row r="683">
      <c r="A683" s="62"/>
      <c r="B683" s="62"/>
      <c r="C683" s="62"/>
    </row>
    <row r="684">
      <c r="A684" s="62"/>
      <c r="B684" s="62"/>
      <c r="C684" s="62"/>
    </row>
    <row r="685">
      <c r="A685" s="62"/>
      <c r="B685" s="62"/>
      <c r="C685" s="62"/>
    </row>
    <row r="686">
      <c r="A686" s="62"/>
      <c r="B686" s="62"/>
      <c r="C686" s="62"/>
    </row>
    <row r="687">
      <c r="A687" s="62"/>
      <c r="B687" s="62"/>
      <c r="C687" s="62"/>
    </row>
    <row r="688">
      <c r="A688" s="62"/>
      <c r="B688" s="62"/>
      <c r="C688" s="62"/>
    </row>
    <row r="689">
      <c r="A689" s="62"/>
      <c r="B689" s="62"/>
      <c r="C689" s="62"/>
    </row>
    <row r="690">
      <c r="A690" s="62"/>
      <c r="B690" s="62"/>
      <c r="C690" s="62"/>
    </row>
    <row r="691">
      <c r="A691" s="62"/>
      <c r="B691" s="62"/>
      <c r="C691" s="62"/>
    </row>
    <row r="692">
      <c r="A692" s="62"/>
      <c r="B692" s="62"/>
      <c r="C692" s="62"/>
    </row>
    <row r="693">
      <c r="A693" s="62"/>
      <c r="B693" s="62"/>
      <c r="C693" s="62"/>
    </row>
    <row r="694">
      <c r="A694" s="62"/>
      <c r="B694" s="62"/>
      <c r="C694" s="62"/>
    </row>
    <row r="695">
      <c r="A695" s="62"/>
      <c r="B695" s="62"/>
      <c r="C695" s="62"/>
    </row>
    <row r="696">
      <c r="A696" s="62"/>
      <c r="B696" s="62"/>
      <c r="C696" s="62"/>
    </row>
    <row r="697">
      <c r="A697" s="62"/>
      <c r="B697" s="62"/>
      <c r="C697" s="62"/>
    </row>
    <row r="698">
      <c r="A698" s="62"/>
      <c r="B698" s="62"/>
      <c r="C698" s="62"/>
    </row>
    <row r="699">
      <c r="A699" s="62"/>
      <c r="B699" s="62"/>
      <c r="C699" s="62"/>
    </row>
    <row r="700">
      <c r="A700" s="62"/>
      <c r="B700" s="62"/>
      <c r="C700" s="62"/>
    </row>
    <row r="701">
      <c r="A701" s="62"/>
      <c r="B701" s="62"/>
      <c r="C701" s="62"/>
    </row>
    <row r="702">
      <c r="A702" s="62"/>
      <c r="B702" s="62"/>
      <c r="C702" s="62"/>
    </row>
    <row r="703">
      <c r="A703" s="62"/>
      <c r="B703" s="62"/>
      <c r="C703" s="62"/>
    </row>
    <row r="704">
      <c r="A704" s="62"/>
      <c r="B704" s="62"/>
      <c r="C704" s="62"/>
    </row>
    <row r="705">
      <c r="A705" s="62"/>
      <c r="B705" s="62"/>
      <c r="C705" s="62"/>
    </row>
    <row r="706">
      <c r="A706" s="62"/>
      <c r="B706" s="62"/>
      <c r="C706" s="62"/>
    </row>
    <row r="707">
      <c r="A707" s="62"/>
      <c r="B707" s="62"/>
      <c r="C707" s="62"/>
    </row>
    <row r="708">
      <c r="A708" s="62"/>
      <c r="B708" s="62"/>
      <c r="C708" s="62"/>
    </row>
    <row r="709">
      <c r="A709" s="62"/>
      <c r="B709" s="62"/>
      <c r="C709" s="62"/>
    </row>
    <row r="710">
      <c r="A710" s="62"/>
      <c r="B710" s="62"/>
      <c r="C710" s="62"/>
    </row>
    <row r="711">
      <c r="A711" s="62"/>
      <c r="B711" s="62"/>
      <c r="C711" s="62"/>
    </row>
    <row r="712">
      <c r="A712" s="62"/>
      <c r="B712" s="62"/>
      <c r="C712" s="62"/>
    </row>
    <row r="713">
      <c r="A713" s="62"/>
      <c r="B713" s="62"/>
      <c r="C713" s="62"/>
    </row>
    <row r="714">
      <c r="A714" s="62"/>
      <c r="B714" s="62"/>
      <c r="C714" s="62"/>
    </row>
    <row r="715">
      <c r="A715" s="62"/>
      <c r="B715" s="62"/>
      <c r="C715" s="62"/>
    </row>
    <row r="716">
      <c r="A716" s="62"/>
      <c r="B716" s="62"/>
      <c r="C716" s="62"/>
    </row>
    <row r="717">
      <c r="A717" s="62"/>
      <c r="B717" s="62"/>
      <c r="C717" s="62"/>
    </row>
    <row r="718">
      <c r="A718" s="62"/>
      <c r="B718" s="62"/>
      <c r="C718" s="62"/>
    </row>
    <row r="719">
      <c r="A719" s="62"/>
      <c r="B719" s="62"/>
      <c r="C719" s="62"/>
    </row>
    <row r="720">
      <c r="A720" s="62"/>
      <c r="B720" s="62"/>
      <c r="C720" s="62"/>
    </row>
    <row r="721">
      <c r="A721" s="62"/>
      <c r="B721" s="62"/>
      <c r="C721" s="62"/>
    </row>
    <row r="722">
      <c r="A722" s="62"/>
      <c r="B722" s="62"/>
      <c r="C722" s="62"/>
    </row>
    <row r="723">
      <c r="A723" s="62"/>
      <c r="B723" s="62"/>
      <c r="C723" s="62"/>
    </row>
    <row r="724">
      <c r="A724" s="62"/>
      <c r="B724" s="62"/>
      <c r="C724" s="62"/>
    </row>
    <row r="725">
      <c r="A725" s="62"/>
      <c r="B725" s="62"/>
      <c r="C725" s="62"/>
    </row>
    <row r="726">
      <c r="A726" s="62"/>
      <c r="B726" s="62"/>
      <c r="C726" s="62"/>
    </row>
    <row r="727">
      <c r="A727" s="62"/>
      <c r="B727" s="62"/>
      <c r="C727" s="62"/>
    </row>
    <row r="728">
      <c r="A728" s="62"/>
      <c r="B728" s="62"/>
      <c r="C728" s="62"/>
    </row>
    <row r="729">
      <c r="A729" s="62"/>
      <c r="B729" s="62"/>
      <c r="C729" s="62"/>
    </row>
    <row r="730">
      <c r="A730" s="62"/>
      <c r="B730" s="62"/>
      <c r="C730" s="62"/>
    </row>
    <row r="731">
      <c r="A731" s="62"/>
      <c r="B731" s="62"/>
      <c r="C731" s="62"/>
    </row>
    <row r="732">
      <c r="A732" s="62"/>
      <c r="B732" s="62"/>
      <c r="C732" s="62"/>
    </row>
    <row r="733">
      <c r="A733" s="62"/>
      <c r="B733" s="62"/>
      <c r="C733" s="62"/>
    </row>
    <row r="734">
      <c r="A734" s="62"/>
      <c r="B734" s="62"/>
      <c r="C734" s="62"/>
    </row>
    <row r="735">
      <c r="A735" s="62"/>
      <c r="B735" s="62"/>
      <c r="C735" s="62"/>
    </row>
    <row r="736">
      <c r="A736" s="62"/>
      <c r="B736" s="62"/>
      <c r="C736" s="62"/>
    </row>
    <row r="737">
      <c r="A737" s="62"/>
      <c r="B737" s="62"/>
      <c r="C737" s="62"/>
    </row>
    <row r="738">
      <c r="A738" s="62"/>
      <c r="B738" s="62"/>
      <c r="C738" s="62"/>
    </row>
    <row r="739">
      <c r="A739" s="62"/>
      <c r="B739" s="62"/>
      <c r="C739" s="62"/>
    </row>
    <row r="740">
      <c r="A740" s="62"/>
      <c r="B740" s="62"/>
      <c r="C740" s="62"/>
    </row>
    <row r="741">
      <c r="A741" s="62"/>
      <c r="B741" s="62"/>
      <c r="C741" s="62"/>
    </row>
    <row r="742">
      <c r="A742" s="62"/>
      <c r="B742" s="62"/>
      <c r="C742" s="62"/>
    </row>
    <row r="743">
      <c r="A743" s="62"/>
      <c r="B743" s="62"/>
      <c r="C743" s="62"/>
    </row>
    <row r="744">
      <c r="A744" s="62"/>
      <c r="B744" s="62"/>
      <c r="C744" s="62"/>
    </row>
    <row r="745">
      <c r="A745" s="62"/>
      <c r="B745" s="62"/>
      <c r="C745" s="62"/>
    </row>
    <row r="746">
      <c r="A746" s="62"/>
      <c r="B746" s="62"/>
      <c r="C746" s="62"/>
    </row>
    <row r="747">
      <c r="A747" s="62"/>
      <c r="B747" s="62"/>
      <c r="C747" s="62"/>
    </row>
    <row r="748">
      <c r="A748" s="62"/>
      <c r="B748" s="62"/>
      <c r="C748" s="62"/>
    </row>
    <row r="749">
      <c r="A749" s="62"/>
      <c r="B749" s="62"/>
      <c r="C749" s="62"/>
    </row>
    <row r="750">
      <c r="A750" s="62"/>
      <c r="B750" s="62"/>
      <c r="C750" s="62"/>
    </row>
    <row r="751">
      <c r="A751" s="62"/>
      <c r="B751" s="62"/>
      <c r="C751" s="62"/>
    </row>
    <row r="752">
      <c r="A752" s="62"/>
      <c r="B752" s="62"/>
      <c r="C752" s="62"/>
    </row>
    <row r="753">
      <c r="A753" s="62"/>
      <c r="B753" s="62"/>
      <c r="C753" s="62"/>
    </row>
    <row r="754">
      <c r="A754" s="62"/>
      <c r="B754" s="62"/>
      <c r="C754" s="62"/>
    </row>
    <row r="755">
      <c r="A755" s="62"/>
      <c r="B755" s="62"/>
      <c r="C755" s="62"/>
    </row>
    <row r="756">
      <c r="A756" s="62"/>
      <c r="B756" s="62"/>
      <c r="C756" s="62"/>
    </row>
    <row r="757">
      <c r="A757" s="62"/>
      <c r="B757" s="62"/>
      <c r="C757" s="62"/>
    </row>
    <row r="758">
      <c r="A758" s="62"/>
      <c r="B758" s="62"/>
      <c r="C758" s="62"/>
    </row>
    <row r="759">
      <c r="A759" s="62"/>
      <c r="B759" s="62"/>
      <c r="C759" s="62"/>
    </row>
    <row r="760">
      <c r="A760" s="62"/>
      <c r="B760" s="62"/>
      <c r="C760" s="62"/>
    </row>
    <row r="761">
      <c r="A761" s="62"/>
      <c r="B761" s="62"/>
      <c r="C761" s="62"/>
    </row>
    <row r="762">
      <c r="A762" s="62"/>
      <c r="B762" s="62"/>
      <c r="C762" s="62"/>
    </row>
    <row r="763">
      <c r="A763" s="62"/>
      <c r="B763" s="62"/>
      <c r="C763" s="62"/>
    </row>
    <row r="764">
      <c r="A764" s="62"/>
      <c r="B764" s="62"/>
      <c r="C764" s="62"/>
    </row>
    <row r="765">
      <c r="A765" s="62"/>
      <c r="B765" s="62"/>
      <c r="C765" s="62"/>
    </row>
    <row r="766">
      <c r="A766" s="62"/>
      <c r="B766" s="62"/>
      <c r="C766" s="62"/>
    </row>
    <row r="767">
      <c r="A767" s="62"/>
      <c r="B767" s="62"/>
      <c r="C767" s="62"/>
    </row>
    <row r="768">
      <c r="A768" s="62"/>
      <c r="B768" s="62"/>
      <c r="C768" s="62"/>
    </row>
    <row r="769">
      <c r="A769" s="62"/>
      <c r="B769" s="62"/>
      <c r="C769" s="62"/>
    </row>
    <row r="770">
      <c r="A770" s="62"/>
      <c r="B770" s="62"/>
      <c r="C770" s="62"/>
    </row>
    <row r="771">
      <c r="A771" s="62"/>
      <c r="B771" s="62"/>
      <c r="C771" s="62"/>
    </row>
    <row r="772">
      <c r="A772" s="62"/>
      <c r="B772" s="62"/>
      <c r="C772" s="62"/>
    </row>
    <row r="773">
      <c r="A773" s="62"/>
      <c r="B773" s="62"/>
      <c r="C773" s="62"/>
    </row>
    <row r="774">
      <c r="A774" s="62"/>
      <c r="B774" s="62"/>
      <c r="C774" s="62"/>
    </row>
    <row r="775">
      <c r="A775" s="62"/>
      <c r="B775" s="62"/>
      <c r="C775" s="62"/>
    </row>
    <row r="776">
      <c r="A776" s="62"/>
      <c r="B776" s="62"/>
      <c r="C776" s="62"/>
    </row>
    <row r="777">
      <c r="A777" s="62"/>
      <c r="B777" s="62"/>
      <c r="C777" s="62"/>
    </row>
    <row r="778">
      <c r="A778" s="62"/>
      <c r="B778" s="62"/>
      <c r="C778" s="62"/>
    </row>
    <row r="779">
      <c r="A779" s="62"/>
      <c r="B779" s="62"/>
      <c r="C779" s="62"/>
    </row>
    <row r="780">
      <c r="A780" s="62"/>
      <c r="B780" s="62"/>
      <c r="C780" s="62"/>
    </row>
    <row r="781">
      <c r="A781" s="62"/>
      <c r="B781" s="62"/>
      <c r="C781" s="62"/>
    </row>
    <row r="782">
      <c r="A782" s="62"/>
      <c r="B782" s="62"/>
      <c r="C782" s="62"/>
    </row>
    <row r="783">
      <c r="A783" s="62"/>
      <c r="B783" s="62"/>
      <c r="C783" s="62"/>
    </row>
    <row r="784">
      <c r="A784" s="62"/>
      <c r="B784" s="62"/>
      <c r="C784" s="62"/>
    </row>
    <row r="785">
      <c r="A785" s="62"/>
      <c r="B785" s="62"/>
      <c r="C785" s="62"/>
    </row>
    <row r="786">
      <c r="A786" s="62"/>
      <c r="B786" s="62"/>
      <c r="C786" s="62"/>
    </row>
    <row r="787">
      <c r="A787" s="62"/>
      <c r="B787" s="62"/>
      <c r="C787" s="62"/>
    </row>
    <row r="788">
      <c r="A788" s="62"/>
      <c r="B788" s="62"/>
      <c r="C788" s="62"/>
    </row>
    <row r="789">
      <c r="A789" s="62"/>
      <c r="B789" s="62"/>
      <c r="C789" s="62"/>
    </row>
    <row r="790">
      <c r="A790" s="62"/>
      <c r="B790" s="62"/>
      <c r="C790" s="62"/>
    </row>
    <row r="791">
      <c r="A791" s="62"/>
      <c r="B791" s="62"/>
      <c r="C791" s="62"/>
    </row>
    <row r="792">
      <c r="A792" s="62"/>
      <c r="B792" s="62"/>
      <c r="C792" s="62"/>
    </row>
    <row r="793">
      <c r="A793" s="62"/>
      <c r="B793" s="62"/>
      <c r="C793" s="62"/>
    </row>
    <row r="794">
      <c r="A794" s="62"/>
      <c r="B794" s="62"/>
      <c r="C794" s="62"/>
    </row>
    <row r="795">
      <c r="A795" s="62"/>
      <c r="B795" s="62"/>
      <c r="C795" s="62"/>
    </row>
    <row r="796">
      <c r="A796" s="62"/>
      <c r="B796" s="62"/>
      <c r="C796" s="62"/>
    </row>
    <row r="797">
      <c r="A797" s="62"/>
      <c r="B797" s="62"/>
      <c r="C797" s="62"/>
    </row>
    <row r="798">
      <c r="A798" s="62"/>
      <c r="B798" s="62"/>
      <c r="C798" s="62"/>
    </row>
    <row r="799">
      <c r="A799" s="62"/>
      <c r="B799" s="62"/>
      <c r="C799" s="62"/>
    </row>
    <row r="800">
      <c r="A800" s="62"/>
      <c r="B800" s="62"/>
      <c r="C800" s="62"/>
    </row>
    <row r="801">
      <c r="A801" s="62"/>
      <c r="B801" s="62"/>
      <c r="C801" s="62"/>
    </row>
    <row r="802">
      <c r="A802" s="62"/>
      <c r="B802" s="62"/>
      <c r="C802" s="62"/>
    </row>
    <row r="803">
      <c r="A803" s="62"/>
      <c r="B803" s="62"/>
      <c r="C803" s="62"/>
    </row>
    <row r="804">
      <c r="A804" s="62"/>
      <c r="B804" s="62"/>
      <c r="C804" s="62"/>
    </row>
    <row r="805">
      <c r="A805" s="62"/>
      <c r="B805" s="62"/>
      <c r="C805" s="62"/>
    </row>
    <row r="806">
      <c r="A806" s="62"/>
      <c r="B806" s="62"/>
      <c r="C806" s="62"/>
    </row>
    <row r="807">
      <c r="A807" s="62"/>
      <c r="B807" s="62"/>
      <c r="C807" s="62"/>
    </row>
    <row r="808">
      <c r="A808" s="62"/>
      <c r="B808" s="62"/>
      <c r="C808" s="62"/>
    </row>
    <row r="809">
      <c r="A809" s="62"/>
      <c r="B809" s="62"/>
      <c r="C809" s="62"/>
    </row>
    <row r="810">
      <c r="A810" s="62"/>
      <c r="B810" s="62"/>
      <c r="C810" s="62"/>
    </row>
    <row r="811">
      <c r="A811" s="62"/>
      <c r="B811" s="62"/>
      <c r="C811" s="62"/>
    </row>
    <row r="812">
      <c r="A812" s="62"/>
      <c r="B812" s="62"/>
      <c r="C812" s="62"/>
    </row>
    <row r="813">
      <c r="A813" s="62"/>
      <c r="B813" s="62"/>
      <c r="C813" s="62"/>
    </row>
    <row r="814">
      <c r="A814" s="62"/>
      <c r="B814" s="62"/>
      <c r="C814" s="62"/>
    </row>
    <row r="815">
      <c r="A815" s="62"/>
      <c r="B815" s="62"/>
      <c r="C815" s="62"/>
    </row>
    <row r="816">
      <c r="A816" s="62"/>
      <c r="B816" s="62"/>
      <c r="C816" s="62"/>
    </row>
    <row r="817">
      <c r="A817" s="62"/>
      <c r="B817" s="62"/>
      <c r="C817" s="62"/>
    </row>
    <row r="818">
      <c r="A818" s="62"/>
      <c r="B818" s="62"/>
      <c r="C818" s="62"/>
    </row>
    <row r="819">
      <c r="A819" s="62"/>
      <c r="B819" s="62"/>
      <c r="C819" s="62"/>
    </row>
    <row r="820">
      <c r="A820" s="62"/>
      <c r="B820" s="62"/>
      <c r="C820" s="62"/>
    </row>
    <row r="821">
      <c r="A821" s="62"/>
      <c r="B821" s="62"/>
      <c r="C821" s="62"/>
    </row>
    <row r="822">
      <c r="A822" s="62"/>
      <c r="B822" s="62"/>
      <c r="C822" s="62"/>
    </row>
    <row r="823">
      <c r="A823" s="62"/>
      <c r="B823" s="62"/>
      <c r="C823" s="62"/>
    </row>
    <row r="824">
      <c r="A824" s="62"/>
      <c r="B824" s="62"/>
      <c r="C824" s="62"/>
    </row>
    <row r="825">
      <c r="A825" s="62"/>
      <c r="B825" s="62"/>
      <c r="C825" s="62"/>
    </row>
    <row r="826">
      <c r="A826" s="62"/>
      <c r="B826" s="62"/>
      <c r="C826" s="62"/>
    </row>
    <row r="827">
      <c r="A827" s="62"/>
      <c r="B827" s="62"/>
      <c r="C827" s="62"/>
    </row>
    <row r="828">
      <c r="A828" s="62"/>
      <c r="B828" s="62"/>
      <c r="C828" s="62"/>
    </row>
    <row r="829">
      <c r="A829" s="62"/>
      <c r="B829" s="62"/>
      <c r="C829" s="62"/>
    </row>
    <row r="830">
      <c r="A830" s="62"/>
      <c r="B830" s="62"/>
      <c r="C830" s="62"/>
    </row>
    <row r="831">
      <c r="A831" s="62"/>
      <c r="B831" s="62"/>
      <c r="C831" s="62"/>
    </row>
    <row r="832">
      <c r="A832" s="62"/>
      <c r="B832" s="62"/>
      <c r="C832" s="62"/>
    </row>
    <row r="833">
      <c r="A833" s="62"/>
      <c r="B833" s="62"/>
      <c r="C833" s="62"/>
    </row>
    <row r="834">
      <c r="A834" s="62"/>
      <c r="B834" s="62"/>
      <c r="C834" s="62"/>
    </row>
    <row r="835">
      <c r="A835" s="62"/>
      <c r="B835" s="62"/>
      <c r="C835" s="62"/>
    </row>
    <row r="836">
      <c r="A836" s="62"/>
      <c r="B836" s="62"/>
      <c r="C836" s="62"/>
    </row>
    <row r="837">
      <c r="A837" s="62"/>
      <c r="B837" s="62"/>
      <c r="C837" s="62"/>
    </row>
    <row r="838">
      <c r="A838" s="62"/>
      <c r="B838" s="62"/>
      <c r="C838" s="62"/>
    </row>
    <row r="839">
      <c r="A839" s="62"/>
      <c r="B839" s="62"/>
      <c r="C839" s="62"/>
    </row>
    <row r="840">
      <c r="A840" s="62"/>
      <c r="B840" s="62"/>
      <c r="C840" s="62"/>
    </row>
    <row r="841">
      <c r="A841" s="62"/>
      <c r="B841" s="62"/>
      <c r="C841" s="62"/>
    </row>
    <row r="842">
      <c r="A842" s="62"/>
      <c r="B842" s="62"/>
      <c r="C842" s="62"/>
    </row>
    <row r="843">
      <c r="A843" s="62"/>
      <c r="B843" s="62"/>
      <c r="C843" s="62"/>
    </row>
    <row r="844">
      <c r="A844" s="62"/>
      <c r="B844" s="62"/>
      <c r="C844" s="62"/>
    </row>
    <row r="845">
      <c r="A845" s="62"/>
      <c r="B845" s="62"/>
      <c r="C845" s="62"/>
    </row>
    <row r="846">
      <c r="A846" s="62"/>
      <c r="B846" s="62"/>
      <c r="C846" s="62"/>
    </row>
    <row r="847">
      <c r="A847" s="62"/>
      <c r="B847" s="62"/>
      <c r="C847" s="62"/>
    </row>
    <row r="848">
      <c r="A848" s="62"/>
      <c r="B848" s="62"/>
      <c r="C848" s="62"/>
    </row>
    <row r="849">
      <c r="A849" s="62"/>
      <c r="B849" s="62"/>
      <c r="C849" s="62"/>
    </row>
    <row r="850">
      <c r="A850" s="62"/>
      <c r="B850" s="62"/>
      <c r="C850" s="62"/>
    </row>
    <row r="851">
      <c r="A851" s="62"/>
      <c r="B851" s="62"/>
      <c r="C851" s="62"/>
    </row>
    <row r="852">
      <c r="A852" s="62"/>
      <c r="B852" s="62"/>
      <c r="C852" s="62"/>
    </row>
    <row r="853">
      <c r="A853" s="62"/>
      <c r="B853" s="62"/>
      <c r="C853" s="62"/>
    </row>
    <row r="854">
      <c r="A854" s="62"/>
      <c r="B854" s="62"/>
      <c r="C854" s="62"/>
    </row>
    <row r="855">
      <c r="A855" s="62"/>
      <c r="B855" s="62"/>
      <c r="C855" s="62"/>
    </row>
    <row r="856">
      <c r="A856" s="62"/>
      <c r="B856" s="62"/>
      <c r="C856" s="62"/>
    </row>
    <row r="857">
      <c r="A857" s="62"/>
      <c r="B857" s="62"/>
      <c r="C857" s="62"/>
    </row>
    <row r="858">
      <c r="A858" s="62"/>
      <c r="B858" s="62"/>
      <c r="C858" s="62"/>
    </row>
    <row r="859">
      <c r="A859" s="62"/>
      <c r="B859" s="62"/>
      <c r="C859" s="62"/>
    </row>
    <row r="860">
      <c r="A860" s="62"/>
      <c r="B860" s="62"/>
      <c r="C860" s="62"/>
    </row>
    <row r="861">
      <c r="A861" s="62"/>
      <c r="B861" s="62"/>
      <c r="C861" s="62"/>
    </row>
    <row r="862">
      <c r="A862" s="62"/>
      <c r="B862" s="62"/>
      <c r="C862" s="62"/>
    </row>
    <row r="863">
      <c r="A863" s="62"/>
      <c r="B863" s="62"/>
      <c r="C863" s="62"/>
    </row>
    <row r="864">
      <c r="A864" s="62"/>
      <c r="B864" s="62"/>
      <c r="C864" s="62"/>
    </row>
    <row r="865">
      <c r="A865" s="62"/>
      <c r="B865" s="62"/>
      <c r="C865" s="62"/>
    </row>
    <row r="866">
      <c r="A866" s="62"/>
      <c r="B866" s="62"/>
      <c r="C866" s="62"/>
    </row>
    <row r="867">
      <c r="A867" s="62"/>
      <c r="B867" s="62"/>
      <c r="C867" s="62"/>
    </row>
    <row r="868">
      <c r="A868" s="62"/>
      <c r="B868" s="62"/>
      <c r="C868" s="62"/>
    </row>
    <row r="869">
      <c r="A869" s="62"/>
      <c r="B869" s="62"/>
      <c r="C869" s="62"/>
    </row>
    <row r="870">
      <c r="A870" s="62"/>
      <c r="B870" s="62"/>
      <c r="C870" s="62"/>
    </row>
    <row r="871">
      <c r="A871" s="62"/>
      <c r="B871" s="62"/>
      <c r="C871" s="62"/>
    </row>
    <row r="872">
      <c r="A872" s="62"/>
      <c r="B872" s="62"/>
      <c r="C872" s="62"/>
    </row>
    <row r="873">
      <c r="A873" s="62"/>
      <c r="B873" s="62"/>
      <c r="C873" s="62"/>
    </row>
    <row r="874">
      <c r="A874" s="62"/>
      <c r="B874" s="62"/>
      <c r="C874" s="62"/>
    </row>
    <row r="875">
      <c r="A875" s="62"/>
      <c r="B875" s="62"/>
      <c r="C875" s="62"/>
    </row>
    <row r="876">
      <c r="A876" s="62"/>
      <c r="B876" s="62"/>
      <c r="C876" s="62"/>
    </row>
    <row r="877">
      <c r="A877" s="62"/>
      <c r="B877" s="62"/>
      <c r="C877" s="62"/>
    </row>
    <row r="878">
      <c r="A878" s="62"/>
      <c r="B878" s="62"/>
      <c r="C878" s="62"/>
    </row>
    <row r="879">
      <c r="A879" s="62"/>
      <c r="B879" s="62"/>
      <c r="C879" s="62"/>
    </row>
    <row r="880">
      <c r="A880" s="62"/>
      <c r="B880" s="62"/>
      <c r="C880" s="62"/>
    </row>
    <row r="881">
      <c r="A881" s="62"/>
      <c r="B881" s="62"/>
      <c r="C881" s="62"/>
    </row>
    <row r="882">
      <c r="A882" s="62"/>
      <c r="B882" s="62"/>
      <c r="C882" s="62"/>
    </row>
    <row r="883">
      <c r="A883" s="62"/>
      <c r="B883" s="62"/>
      <c r="C883" s="62"/>
    </row>
    <row r="884">
      <c r="A884" s="62"/>
      <c r="B884" s="62"/>
      <c r="C884" s="62"/>
    </row>
    <row r="885">
      <c r="A885" s="62"/>
      <c r="B885" s="62"/>
      <c r="C885" s="62"/>
    </row>
    <row r="886">
      <c r="A886" s="62"/>
      <c r="B886" s="62"/>
      <c r="C886" s="62"/>
    </row>
    <row r="887">
      <c r="A887" s="62"/>
      <c r="B887" s="62"/>
      <c r="C887" s="62"/>
    </row>
    <row r="888">
      <c r="A888" s="62"/>
      <c r="B888" s="62"/>
      <c r="C888" s="62"/>
    </row>
    <row r="889">
      <c r="A889" s="62"/>
      <c r="B889" s="62"/>
      <c r="C889" s="62"/>
    </row>
    <row r="890">
      <c r="A890" s="62"/>
      <c r="B890" s="62"/>
      <c r="C890" s="62"/>
    </row>
    <row r="891">
      <c r="A891" s="62"/>
      <c r="B891" s="62"/>
      <c r="C891" s="62"/>
    </row>
    <row r="892">
      <c r="A892" s="62"/>
      <c r="B892" s="62"/>
      <c r="C892" s="62"/>
    </row>
    <row r="893">
      <c r="A893" s="62"/>
      <c r="B893" s="62"/>
      <c r="C893" s="62"/>
    </row>
    <row r="894">
      <c r="A894" s="62"/>
      <c r="B894" s="62"/>
      <c r="C894" s="62"/>
    </row>
    <row r="895">
      <c r="A895" s="62"/>
      <c r="B895" s="62"/>
      <c r="C895" s="62"/>
    </row>
    <row r="896">
      <c r="A896" s="62"/>
      <c r="B896" s="62"/>
      <c r="C896" s="62"/>
    </row>
    <row r="897">
      <c r="A897" s="62"/>
      <c r="B897" s="62"/>
      <c r="C897" s="62"/>
    </row>
    <row r="898">
      <c r="A898" s="62"/>
      <c r="B898" s="62"/>
      <c r="C898" s="62"/>
    </row>
    <row r="899">
      <c r="A899" s="62"/>
      <c r="B899" s="62"/>
      <c r="C899" s="62"/>
    </row>
    <row r="900">
      <c r="A900" s="62"/>
      <c r="B900" s="62"/>
      <c r="C900" s="62"/>
    </row>
    <row r="901">
      <c r="A901" s="62"/>
      <c r="B901" s="62"/>
      <c r="C901" s="62"/>
    </row>
    <row r="902">
      <c r="A902" s="62"/>
      <c r="B902" s="62"/>
      <c r="C902" s="62"/>
    </row>
    <row r="903">
      <c r="A903" s="62"/>
      <c r="B903" s="62"/>
      <c r="C903" s="62"/>
    </row>
    <row r="904">
      <c r="A904" s="62"/>
      <c r="B904" s="62"/>
      <c r="C904" s="62"/>
    </row>
    <row r="905">
      <c r="A905" s="62"/>
      <c r="B905" s="62"/>
      <c r="C905" s="62"/>
    </row>
    <row r="906">
      <c r="A906" s="62"/>
      <c r="B906" s="62"/>
      <c r="C906" s="62"/>
    </row>
    <row r="907">
      <c r="A907" s="62"/>
      <c r="B907" s="62"/>
      <c r="C907" s="62"/>
    </row>
    <row r="908">
      <c r="A908" s="62"/>
      <c r="B908" s="62"/>
      <c r="C908" s="62"/>
    </row>
    <row r="909">
      <c r="A909" s="62"/>
      <c r="B909" s="62"/>
      <c r="C909" s="62"/>
    </row>
    <row r="910">
      <c r="A910" s="62"/>
      <c r="B910" s="62"/>
      <c r="C910" s="62"/>
    </row>
    <row r="911">
      <c r="A911" s="62"/>
      <c r="B911" s="62"/>
      <c r="C911" s="62"/>
    </row>
    <row r="912">
      <c r="A912" s="62"/>
      <c r="B912" s="62"/>
      <c r="C912" s="62"/>
    </row>
    <row r="913">
      <c r="A913" s="62"/>
      <c r="B913" s="62"/>
      <c r="C913" s="62"/>
    </row>
    <row r="914">
      <c r="A914" s="62"/>
      <c r="B914" s="62"/>
      <c r="C914" s="62"/>
    </row>
    <row r="915">
      <c r="A915" s="62"/>
      <c r="B915" s="62"/>
      <c r="C915" s="62"/>
    </row>
    <row r="916">
      <c r="A916" s="62"/>
      <c r="B916" s="62"/>
      <c r="C916" s="62"/>
    </row>
    <row r="917">
      <c r="A917" s="62"/>
      <c r="B917" s="62"/>
      <c r="C917" s="62"/>
    </row>
    <row r="918">
      <c r="A918" s="62"/>
      <c r="B918" s="62"/>
      <c r="C918" s="62"/>
    </row>
    <row r="919">
      <c r="A919" s="62"/>
      <c r="B919" s="62"/>
      <c r="C919" s="62"/>
    </row>
    <row r="920">
      <c r="A920" s="62"/>
      <c r="B920" s="62"/>
      <c r="C920" s="62"/>
    </row>
    <row r="921">
      <c r="A921" s="62"/>
      <c r="B921" s="62"/>
      <c r="C921" s="62"/>
    </row>
    <row r="922">
      <c r="A922" s="62"/>
      <c r="B922" s="62"/>
      <c r="C922" s="62"/>
    </row>
    <row r="923">
      <c r="A923" s="62"/>
      <c r="B923" s="62"/>
      <c r="C923" s="62"/>
    </row>
    <row r="924">
      <c r="A924" s="62"/>
      <c r="B924" s="62"/>
      <c r="C924" s="62"/>
    </row>
    <row r="925">
      <c r="A925" s="62"/>
      <c r="B925" s="62"/>
      <c r="C925" s="62"/>
    </row>
    <row r="926">
      <c r="A926" s="62"/>
      <c r="B926" s="62"/>
      <c r="C926" s="62"/>
    </row>
    <row r="927">
      <c r="A927" s="62"/>
      <c r="B927" s="62"/>
      <c r="C927" s="62"/>
    </row>
    <row r="928">
      <c r="A928" s="62"/>
      <c r="B928" s="62"/>
      <c r="C928" s="62"/>
    </row>
    <row r="929">
      <c r="A929" s="62"/>
      <c r="B929" s="62"/>
      <c r="C929" s="62"/>
    </row>
    <row r="930">
      <c r="A930" s="62"/>
      <c r="B930" s="62"/>
      <c r="C930" s="62"/>
    </row>
    <row r="931">
      <c r="A931" s="62"/>
      <c r="B931" s="62"/>
      <c r="C931" s="62"/>
    </row>
    <row r="932">
      <c r="A932" s="62"/>
      <c r="B932" s="62"/>
      <c r="C932" s="62"/>
    </row>
    <row r="933">
      <c r="A933" s="62"/>
      <c r="B933" s="62"/>
      <c r="C933" s="62"/>
    </row>
    <row r="934">
      <c r="A934" s="62"/>
      <c r="B934" s="62"/>
      <c r="C934" s="62"/>
    </row>
    <row r="935">
      <c r="A935" s="62"/>
      <c r="B935" s="62"/>
      <c r="C935" s="62"/>
    </row>
    <row r="936">
      <c r="A936" s="62"/>
      <c r="B936" s="62"/>
      <c r="C936" s="62"/>
    </row>
    <row r="937">
      <c r="A937" s="62"/>
      <c r="B937" s="62"/>
      <c r="C937" s="62"/>
    </row>
    <row r="938">
      <c r="A938" s="62"/>
      <c r="B938" s="62"/>
      <c r="C938" s="62"/>
    </row>
    <row r="939">
      <c r="A939" s="62"/>
      <c r="B939" s="62"/>
      <c r="C939" s="62"/>
    </row>
    <row r="940">
      <c r="A940" s="62"/>
      <c r="B940" s="62"/>
      <c r="C940" s="62"/>
    </row>
    <row r="941">
      <c r="A941" s="62"/>
      <c r="B941" s="62"/>
      <c r="C941" s="62"/>
    </row>
    <row r="942">
      <c r="A942" s="62"/>
      <c r="B942" s="62"/>
      <c r="C942" s="62"/>
    </row>
    <row r="943">
      <c r="A943" s="62"/>
      <c r="B943" s="62"/>
      <c r="C943" s="62"/>
    </row>
    <row r="944">
      <c r="A944" s="62"/>
      <c r="B944" s="62"/>
      <c r="C944" s="62"/>
    </row>
    <row r="945">
      <c r="A945" s="62"/>
      <c r="B945" s="62"/>
      <c r="C945" s="62"/>
    </row>
    <row r="946">
      <c r="A946" s="62"/>
      <c r="B946" s="62"/>
      <c r="C946" s="62"/>
    </row>
    <row r="947">
      <c r="A947" s="62"/>
      <c r="B947" s="62"/>
      <c r="C947" s="62"/>
    </row>
    <row r="948">
      <c r="A948" s="62"/>
      <c r="B948" s="62"/>
      <c r="C948" s="62"/>
    </row>
    <row r="949">
      <c r="A949" s="62"/>
      <c r="B949" s="62"/>
      <c r="C949" s="62"/>
    </row>
    <row r="950">
      <c r="A950" s="62"/>
      <c r="B950" s="62"/>
      <c r="C950" s="62"/>
    </row>
    <row r="951">
      <c r="A951" s="62"/>
      <c r="B951" s="62"/>
      <c r="C951" s="62"/>
    </row>
    <row r="952">
      <c r="A952" s="62"/>
      <c r="B952" s="62"/>
      <c r="C952" s="62"/>
    </row>
    <row r="953">
      <c r="A953" s="62"/>
      <c r="B953" s="62"/>
      <c r="C953" s="62"/>
    </row>
    <row r="954">
      <c r="A954" s="62"/>
      <c r="B954" s="62"/>
      <c r="C954" s="62"/>
    </row>
    <row r="955">
      <c r="A955" s="62"/>
      <c r="B955" s="62"/>
      <c r="C955" s="62"/>
    </row>
    <row r="956">
      <c r="A956" s="62"/>
      <c r="B956" s="62"/>
      <c r="C956" s="62"/>
    </row>
    <row r="957">
      <c r="A957" s="62"/>
      <c r="B957" s="62"/>
      <c r="C957" s="62"/>
    </row>
    <row r="958">
      <c r="A958" s="62"/>
      <c r="B958" s="62"/>
      <c r="C958" s="62"/>
    </row>
    <row r="959">
      <c r="A959" s="62"/>
      <c r="B959" s="62"/>
      <c r="C959" s="62"/>
    </row>
    <row r="960">
      <c r="A960" s="62"/>
      <c r="B960" s="62"/>
      <c r="C960" s="62"/>
    </row>
    <row r="961">
      <c r="A961" s="62"/>
      <c r="B961" s="62"/>
      <c r="C961" s="62"/>
    </row>
    <row r="962">
      <c r="A962" s="62"/>
      <c r="B962" s="62"/>
      <c r="C962" s="62"/>
    </row>
    <row r="963">
      <c r="A963" s="62"/>
      <c r="B963" s="62"/>
      <c r="C963" s="62"/>
    </row>
    <row r="964">
      <c r="A964" s="62"/>
      <c r="B964" s="62"/>
      <c r="C964" s="62"/>
    </row>
    <row r="965">
      <c r="A965" s="62"/>
      <c r="B965" s="62"/>
      <c r="C965" s="62"/>
    </row>
    <row r="966">
      <c r="A966" s="62"/>
      <c r="B966" s="62"/>
      <c r="C966" s="62"/>
    </row>
    <row r="967">
      <c r="A967" s="62"/>
      <c r="B967" s="62"/>
      <c r="C967" s="62"/>
    </row>
    <row r="968">
      <c r="A968" s="62"/>
      <c r="B968" s="62"/>
      <c r="C968" s="62"/>
    </row>
    <row r="969">
      <c r="A969" s="62"/>
      <c r="B969" s="62"/>
      <c r="C969" s="62"/>
    </row>
    <row r="970">
      <c r="A970" s="62"/>
      <c r="B970" s="62"/>
      <c r="C970" s="62"/>
    </row>
    <row r="971">
      <c r="A971" s="62"/>
      <c r="B971" s="62"/>
      <c r="C971" s="62"/>
    </row>
    <row r="972">
      <c r="A972" s="62"/>
      <c r="B972" s="62"/>
      <c r="C972" s="62"/>
    </row>
    <row r="973">
      <c r="A973" s="62"/>
      <c r="B973" s="62"/>
      <c r="C973" s="62"/>
    </row>
    <row r="974">
      <c r="A974" s="62"/>
      <c r="B974" s="62"/>
      <c r="C974" s="62"/>
    </row>
    <row r="975">
      <c r="A975" s="62"/>
      <c r="B975" s="62"/>
      <c r="C975" s="62"/>
    </row>
    <row r="976">
      <c r="A976" s="62"/>
      <c r="B976" s="62"/>
      <c r="C976" s="62"/>
    </row>
    <row r="977">
      <c r="A977" s="62"/>
      <c r="B977" s="62"/>
      <c r="C977" s="62"/>
    </row>
    <row r="978">
      <c r="A978" s="62"/>
      <c r="B978" s="62"/>
      <c r="C978" s="62"/>
    </row>
    <row r="979">
      <c r="A979" s="62"/>
      <c r="B979" s="62"/>
      <c r="C979" s="62"/>
    </row>
    <row r="980">
      <c r="A980" s="62"/>
      <c r="B980" s="62"/>
      <c r="C980" s="62"/>
    </row>
    <row r="981">
      <c r="A981" s="62"/>
      <c r="B981" s="62"/>
      <c r="C981" s="62"/>
    </row>
    <row r="982">
      <c r="A982" s="62"/>
      <c r="B982" s="62"/>
      <c r="C982" s="62"/>
    </row>
    <row r="983">
      <c r="A983" s="62"/>
      <c r="B983" s="62"/>
      <c r="C983" s="62"/>
    </row>
    <row r="984">
      <c r="A984" s="62"/>
      <c r="B984" s="62"/>
      <c r="C984" s="62"/>
    </row>
    <row r="985">
      <c r="A985" s="62"/>
      <c r="B985" s="62"/>
      <c r="C985" s="62"/>
    </row>
    <row r="986">
      <c r="A986" s="62"/>
      <c r="B986" s="62"/>
      <c r="C986" s="62"/>
    </row>
    <row r="987">
      <c r="A987" s="62"/>
      <c r="B987" s="62"/>
      <c r="C987" s="62"/>
    </row>
    <row r="988">
      <c r="A988" s="62"/>
      <c r="B988" s="62"/>
      <c r="C988" s="62"/>
    </row>
    <row r="989">
      <c r="A989" s="62"/>
      <c r="B989" s="62"/>
      <c r="C989" s="62"/>
    </row>
    <row r="990">
      <c r="A990" s="62"/>
      <c r="B990" s="62"/>
      <c r="C990" s="62"/>
    </row>
    <row r="991">
      <c r="A991" s="62"/>
      <c r="B991" s="62"/>
      <c r="C991" s="6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2" max="2" width="34.71"/>
    <col customWidth="1" min="3" max="3" width="31.29"/>
    <col customWidth="1" min="4" max="4" width="18.0"/>
    <col customWidth="1" min="5" max="5" width="18.43"/>
    <col customWidth="1" min="6" max="6" width="30.57"/>
  </cols>
  <sheetData>
    <row r="1">
      <c r="A1" s="175" t="s">
        <v>65</v>
      </c>
      <c r="B1" s="175" t="s">
        <v>3122</v>
      </c>
      <c r="C1" s="175" t="s">
        <v>3123</v>
      </c>
      <c r="D1" s="175" t="s">
        <v>3124</v>
      </c>
      <c r="E1" s="175" t="s">
        <v>3125</v>
      </c>
      <c r="F1" s="175" t="s">
        <v>3126</v>
      </c>
    </row>
    <row r="2">
      <c r="A2" s="175" t="s">
        <v>3127</v>
      </c>
      <c r="B2" s="175" t="s">
        <v>277</v>
      </c>
      <c r="C2" s="175" t="s">
        <v>277</v>
      </c>
      <c r="D2" s="175" t="s">
        <v>277</v>
      </c>
      <c r="E2" s="175" t="s">
        <v>277</v>
      </c>
      <c r="F2" s="175" t="s">
        <v>878</v>
      </c>
      <c r="H2" s="176"/>
      <c r="I2" s="176"/>
    </row>
    <row r="3">
      <c r="A3" s="175" t="s">
        <v>3128</v>
      </c>
      <c r="B3" s="175" t="s">
        <v>277</v>
      </c>
      <c r="C3" s="175" t="s">
        <v>277</v>
      </c>
      <c r="D3" s="175" t="s">
        <v>277</v>
      </c>
      <c r="E3" s="175" t="s">
        <v>277</v>
      </c>
      <c r="F3" s="175" t="s">
        <v>1070</v>
      </c>
      <c r="H3" s="176"/>
      <c r="I3" s="176"/>
    </row>
    <row r="4">
      <c r="A4" s="175" t="s">
        <v>3129</v>
      </c>
      <c r="B4" s="175" t="s">
        <v>277</v>
      </c>
      <c r="C4" s="175" t="s">
        <v>277</v>
      </c>
      <c r="D4" s="175" t="s">
        <v>277</v>
      </c>
      <c r="E4" s="175" t="s">
        <v>277</v>
      </c>
      <c r="F4" s="175" t="s">
        <v>495</v>
      </c>
      <c r="H4" s="176"/>
      <c r="I4" s="176"/>
    </row>
    <row r="5">
      <c r="A5" s="175" t="s">
        <v>3130</v>
      </c>
      <c r="B5" s="175" t="s">
        <v>277</v>
      </c>
      <c r="C5" s="175" t="s">
        <v>277</v>
      </c>
      <c r="D5" s="175" t="s">
        <v>277</v>
      </c>
      <c r="E5" s="175" t="s">
        <v>277</v>
      </c>
      <c r="F5" s="175" t="s">
        <v>974</v>
      </c>
      <c r="H5" s="176"/>
      <c r="I5" s="176"/>
    </row>
    <row r="6">
      <c r="A6" s="175" t="s">
        <v>3131</v>
      </c>
      <c r="B6" s="175" t="s">
        <v>277</v>
      </c>
      <c r="C6" s="175" t="s">
        <v>277</v>
      </c>
      <c r="D6" s="175" t="s">
        <v>277</v>
      </c>
      <c r="E6" s="175" t="s">
        <v>277</v>
      </c>
      <c r="F6" s="175" t="s">
        <v>899</v>
      </c>
      <c r="H6" s="176"/>
      <c r="I6" s="176"/>
    </row>
    <row r="7">
      <c r="A7" s="175" t="s">
        <v>3132</v>
      </c>
      <c r="B7" s="175" t="s">
        <v>277</v>
      </c>
      <c r="C7" s="175" t="s">
        <v>277</v>
      </c>
      <c r="D7" s="175" t="s">
        <v>277</v>
      </c>
      <c r="E7" s="175" t="s">
        <v>277</v>
      </c>
      <c r="F7" s="175" t="s">
        <v>907</v>
      </c>
      <c r="H7" s="176"/>
      <c r="I7" s="176"/>
    </row>
    <row r="8">
      <c r="A8" s="175" t="s">
        <v>3133</v>
      </c>
      <c r="B8" s="175" t="s">
        <v>277</v>
      </c>
      <c r="C8" s="175" t="s">
        <v>277</v>
      </c>
      <c r="D8" s="175" t="s">
        <v>277</v>
      </c>
      <c r="E8" s="175" t="s">
        <v>277</v>
      </c>
      <c r="F8" s="175" t="s">
        <v>1289</v>
      </c>
      <c r="H8" s="176"/>
      <c r="I8" s="176"/>
    </row>
    <row r="9">
      <c r="A9" s="175" t="s">
        <v>3134</v>
      </c>
      <c r="B9" s="175" t="s">
        <v>277</v>
      </c>
      <c r="C9" s="175" t="s">
        <v>277</v>
      </c>
      <c r="D9" s="175" t="s">
        <v>277</v>
      </c>
      <c r="E9" s="175" t="s">
        <v>182</v>
      </c>
      <c r="F9" s="175" t="s">
        <v>890</v>
      </c>
      <c r="H9" s="176"/>
      <c r="I9" s="176"/>
    </row>
    <row r="10">
      <c r="A10" s="175" t="s">
        <v>3135</v>
      </c>
      <c r="B10" s="175" t="s">
        <v>277</v>
      </c>
      <c r="C10" s="175" t="s">
        <v>277</v>
      </c>
      <c r="D10" s="175" t="s">
        <v>277</v>
      </c>
      <c r="E10" s="175" t="s">
        <v>277</v>
      </c>
      <c r="F10" s="175" t="s">
        <v>3136</v>
      </c>
      <c r="H10" s="176"/>
      <c r="I10" s="176"/>
    </row>
    <row r="11">
      <c r="A11" s="175" t="s">
        <v>3137</v>
      </c>
      <c r="B11" s="175" t="s">
        <v>277</v>
      </c>
      <c r="C11" s="175" t="s">
        <v>277</v>
      </c>
      <c r="D11" s="175" t="s">
        <v>277</v>
      </c>
      <c r="E11" s="175" t="s">
        <v>277</v>
      </c>
      <c r="F11" s="175" t="s">
        <v>890</v>
      </c>
      <c r="H11" s="176"/>
      <c r="I11" s="176"/>
    </row>
    <row r="12">
      <c r="A12" s="175" t="s">
        <v>3138</v>
      </c>
      <c r="B12" s="175" t="s">
        <v>277</v>
      </c>
      <c r="C12" s="175" t="s">
        <v>277</v>
      </c>
      <c r="D12" s="175" t="s">
        <v>277</v>
      </c>
      <c r="E12" s="175" t="s">
        <v>277</v>
      </c>
      <c r="F12" s="175" t="s">
        <v>1467</v>
      </c>
      <c r="G12" s="176"/>
      <c r="H12" s="176"/>
      <c r="I12" s="176"/>
    </row>
    <row r="13">
      <c r="A13" s="175" t="s">
        <v>3139</v>
      </c>
      <c r="B13" s="175" t="s">
        <v>277</v>
      </c>
      <c r="C13" s="175" t="s">
        <v>277</v>
      </c>
      <c r="D13" s="175" t="s">
        <v>277</v>
      </c>
      <c r="E13" s="175" t="s">
        <v>277</v>
      </c>
      <c r="F13" s="175" t="s">
        <v>1732</v>
      </c>
      <c r="H13" s="176"/>
      <c r="I13" s="176"/>
    </row>
    <row r="14">
      <c r="A14" s="175" t="s">
        <v>3140</v>
      </c>
      <c r="B14" s="175" t="s">
        <v>277</v>
      </c>
      <c r="C14" s="175" t="s">
        <v>277</v>
      </c>
      <c r="D14" s="175" t="s">
        <v>277</v>
      </c>
      <c r="E14" s="175" t="s">
        <v>277</v>
      </c>
      <c r="F14" s="175" t="s">
        <v>1817</v>
      </c>
      <c r="H14" s="176"/>
      <c r="I14" s="176"/>
    </row>
    <row r="15">
      <c r="A15" s="175" t="s">
        <v>3141</v>
      </c>
      <c r="B15" s="175" t="s">
        <v>277</v>
      </c>
      <c r="C15" s="175" t="s">
        <v>277</v>
      </c>
      <c r="D15" s="175" t="s">
        <v>277</v>
      </c>
      <c r="E15" s="175" t="s">
        <v>277</v>
      </c>
      <c r="F15" s="175" t="s">
        <v>1990</v>
      </c>
      <c r="G15" s="176"/>
      <c r="H15" s="176"/>
      <c r="I15" s="176"/>
    </row>
    <row r="16">
      <c r="A16" s="175" t="s">
        <v>3142</v>
      </c>
      <c r="B16" s="175" t="s">
        <v>277</v>
      </c>
      <c r="C16" s="175" t="s">
        <v>277</v>
      </c>
      <c r="D16" s="175" t="s">
        <v>277</v>
      </c>
      <c r="E16" s="175" t="s">
        <v>277</v>
      </c>
      <c r="F16" s="175" t="s">
        <v>909</v>
      </c>
      <c r="H16" s="176"/>
      <c r="I16" s="176"/>
    </row>
    <row r="17">
      <c r="A17" s="175" t="s">
        <v>3143</v>
      </c>
      <c r="B17" s="175" t="s">
        <v>277</v>
      </c>
      <c r="C17" s="175" t="s">
        <v>277</v>
      </c>
      <c r="D17" s="175" t="s">
        <v>277</v>
      </c>
      <c r="E17" s="175" t="s">
        <v>277</v>
      </c>
      <c r="F17" s="175" t="s">
        <v>2182</v>
      </c>
      <c r="H17" s="176"/>
      <c r="I17" s="176"/>
    </row>
    <row r="18">
      <c r="A18" s="175" t="s">
        <v>3144</v>
      </c>
      <c r="B18" s="175" t="s">
        <v>277</v>
      </c>
      <c r="C18" s="175" t="s">
        <v>277</v>
      </c>
      <c r="D18" s="175" t="s">
        <v>277</v>
      </c>
      <c r="E18" s="175" t="s">
        <v>277</v>
      </c>
      <c r="F18" s="175" t="s">
        <v>2724</v>
      </c>
      <c r="H18" s="176"/>
      <c r="I18" s="176"/>
    </row>
    <row r="19">
      <c r="A19" s="175" t="s">
        <v>3145</v>
      </c>
      <c r="B19" s="175" t="s">
        <v>277</v>
      </c>
      <c r="C19" s="175" t="s">
        <v>277</v>
      </c>
      <c r="D19" s="175" t="s">
        <v>277</v>
      </c>
      <c r="E19" s="175" t="s">
        <v>277</v>
      </c>
      <c r="F19" s="175" t="s">
        <v>2702</v>
      </c>
      <c r="H19" s="176"/>
      <c r="I19" s="176"/>
    </row>
    <row r="20">
      <c r="A20" s="175" t="s">
        <v>3146</v>
      </c>
      <c r="B20" s="175" t="s">
        <v>277</v>
      </c>
      <c r="C20" s="175" t="s">
        <v>277</v>
      </c>
      <c r="D20" s="175" t="s">
        <v>277</v>
      </c>
      <c r="E20" s="175" t="s">
        <v>277</v>
      </c>
      <c r="F20" s="175" t="s">
        <v>1399</v>
      </c>
      <c r="H20" s="176"/>
      <c r="I20" s="176"/>
    </row>
    <row r="21">
      <c r="A21" s="176"/>
      <c r="B21" s="176"/>
      <c r="C21" s="176"/>
      <c r="D21" s="176"/>
      <c r="E21" s="176"/>
      <c r="F21" s="176"/>
      <c r="G21" s="176"/>
      <c r="H21" s="176"/>
      <c r="I21" s="176"/>
    </row>
  </sheetData>
  <mergeCells count="18">
    <mergeCell ref="F1:I1"/>
    <mergeCell ref="F2:G2"/>
    <mergeCell ref="F3:G3"/>
    <mergeCell ref="F4:G4"/>
    <mergeCell ref="F5:G5"/>
    <mergeCell ref="F6:G6"/>
    <mergeCell ref="F7:G7"/>
    <mergeCell ref="F17:G17"/>
    <mergeCell ref="F18:G18"/>
    <mergeCell ref="F19:G19"/>
    <mergeCell ref="F20:G20"/>
    <mergeCell ref="F8:G8"/>
    <mergeCell ref="F9:G9"/>
    <mergeCell ref="F10:G10"/>
    <mergeCell ref="F11:G11"/>
    <mergeCell ref="F13:G13"/>
    <mergeCell ref="F14:G14"/>
    <mergeCell ref="F16:G16"/>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9.86"/>
    <col customWidth="1" min="3" max="8" width="26.57"/>
  </cols>
  <sheetData>
    <row r="1">
      <c r="A1" s="183" t="s">
        <v>3148</v>
      </c>
      <c r="B1" s="183" t="s">
        <v>3149</v>
      </c>
      <c r="C1" s="184" t="s">
        <v>27</v>
      </c>
      <c r="D1" s="184" t="s">
        <v>399</v>
      </c>
      <c r="E1" s="184" t="s">
        <v>288</v>
      </c>
      <c r="F1" s="184" t="s">
        <v>283</v>
      </c>
      <c r="G1" s="184" t="s">
        <v>150</v>
      </c>
      <c r="H1" s="185" t="s">
        <v>276</v>
      </c>
      <c r="I1" s="62"/>
      <c r="J1" s="62"/>
      <c r="K1" s="62"/>
      <c r="L1" s="62"/>
      <c r="M1" s="62"/>
      <c r="N1" s="62"/>
      <c r="O1" s="62"/>
      <c r="P1" s="62"/>
      <c r="Q1" s="62"/>
      <c r="R1" s="62"/>
      <c r="S1" s="62"/>
      <c r="T1" s="62"/>
      <c r="U1" s="62"/>
      <c r="V1" s="62"/>
      <c r="W1" s="62"/>
      <c r="X1" s="62"/>
      <c r="Y1" s="62"/>
      <c r="Z1" s="62"/>
      <c r="AA1" s="62"/>
      <c r="AB1" s="62"/>
      <c r="AC1" s="62"/>
    </row>
    <row r="2">
      <c r="A2" s="183" t="s">
        <v>3167</v>
      </c>
      <c r="B2" s="186" t="s">
        <v>2700</v>
      </c>
      <c r="C2" s="187" t="s">
        <v>3171</v>
      </c>
      <c r="D2" s="187" t="s">
        <v>3171</v>
      </c>
      <c r="E2" s="187" t="s">
        <v>3171</v>
      </c>
      <c r="F2" s="187" t="s">
        <v>3171</v>
      </c>
      <c r="G2" s="187" t="s">
        <v>3171</v>
      </c>
      <c r="H2" s="188" t="s">
        <v>3171</v>
      </c>
      <c r="I2" s="62"/>
      <c r="J2" s="62"/>
      <c r="K2" s="62"/>
      <c r="L2" s="62"/>
      <c r="M2" s="62"/>
      <c r="N2" s="62"/>
      <c r="O2" s="62"/>
      <c r="P2" s="62"/>
      <c r="Q2" s="62"/>
      <c r="R2" s="62"/>
      <c r="S2" s="62"/>
      <c r="T2" s="62"/>
      <c r="U2" s="62"/>
      <c r="V2" s="62"/>
      <c r="W2" s="62"/>
      <c r="X2" s="62"/>
      <c r="Y2" s="62"/>
      <c r="Z2" s="62"/>
      <c r="AA2" s="62"/>
      <c r="AB2" s="62"/>
      <c r="AC2" s="62"/>
    </row>
    <row r="3">
      <c r="A3" s="183" t="s">
        <v>3175</v>
      </c>
      <c r="B3" s="189" t="s">
        <v>3176</v>
      </c>
      <c r="C3" s="187"/>
      <c r="D3" s="187"/>
      <c r="E3" s="187"/>
      <c r="F3" s="187"/>
      <c r="G3" s="187"/>
      <c r="H3" s="188" t="s">
        <v>3180</v>
      </c>
      <c r="I3" s="62"/>
      <c r="J3" s="62"/>
      <c r="K3" s="62"/>
      <c r="L3" s="62"/>
      <c r="M3" s="62"/>
      <c r="N3" s="62"/>
      <c r="O3" s="62"/>
      <c r="P3" s="62"/>
      <c r="Q3" s="62"/>
      <c r="R3" s="62"/>
      <c r="S3" s="62"/>
      <c r="T3" s="62"/>
      <c r="U3" s="62"/>
      <c r="V3" s="62"/>
      <c r="W3" s="62"/>
      <c r="X3" s="62"/>
      <c r="Y3" s="62"/>
      <c r="Z3" s="62"/>
      <c r="AA3" s="62"/>
      <c r="AB3" s="62"/>
      <c r="AC3" s="62"/>
    </row>
    <row r="4">
      <c r="A4" s="183" t="s">
        <v>3188</v>
      </c>
      <c r="B4" s="189" t="s">
        <v>3190</v>
      </c>
      <c r="C4" s="187"/>
      <c r="D4" s="187"/>
      <c r="E4" s="187"/>
      <c r="F4" s="187"/>
      <c r="G4" s="187"/>
      <c r="H4" s="188" t="s">
        <v>71</v>
      </c>
      <c r="I4" s="62"/>
      <c r="J4" s="62"/>
      <c r="K4" s="62"/>
      <c r="L4" s="62"/>
      <c r="M4" s="62"/>
      <c r="N4" s="62"/>
      <c r="O4" s="62"/>
      <c r="P4" s="62"/>
      <c r="Q4" s="62"/>
      <c r="R4" s="62"/>
      <c r="S4" s="62"/>
      <c r="T4" s="62"/>
      <c r="U4" s="62"/>
      <c r="V4" s="62"/>
      <c r="W4" s="62"/>
      <c r="X4" s="62"/>
      <c r="Y4" s="62"/>
      <c r="Z4" s="62"/>
      <c r="AA4" s="62"/>
      <c r="AB4" s="62"/>
      <c r="AC4" s="62"/>
    </row>
    <row r="5">
      <c r="A5" s="183" t="s">
        <v>3191</v>
      </c>
      <c r="B5" s="186" t="s">
        <v>3192</v>
      </c>
      <c r="C5" s="187"/>
      <c r="D5" s="187"/>
      <c r="E5" s="187"/>
      <c r="F5" s="187"/>
      <c r="G5" s="187"/>
      <c r="H5" s="188" t="s">
        <v>71</v>
      </c>
      <c r="I5" s="62"/>
      <c r="J5" s="62"/>
      <c r="K5" s="62"/>
      <c r="L5" s="62"/>
      <c r="M5" s="62"/>
      <c r="N5" s="62"/>
      <c r="O5" s="62"/>
      <c r="P5" s="62"/>
      <c r="Q5" s="62"/>
      <c r="R5" s="62"/>
      <c r="S5" s="62"/>
      <c r="T5" s="62"/>
      <c r="U5" s="62"/>
      <c r="V5" s="62"/>
      <c r="W5" s="62"/>
      <c r="X5" s="62"/>
      <c r="Y5" s="62"/>
      <c r="Z5" s="62"/>
      <c r="AA5" s="62"/>
      <c r="AB5" s="62"/>
      <c r="AC5" s="62"/>
    </row>
    <row r="6">
      <c r="A6" s="183" t="s">
        <v>3193</v>
      </c>
      <c r="B6" s="186" t="s">
        <v>3194</v>
      </c>
      <c r="C6" s="187"/>
      <c r="D6" s="187"/>
      <c r="E6" s="187"/>
      <c r="F6" s="187"/>
      <c r="G6" s="187"/>
      <c r="H6" s="188" t="s">
        <v>71</v>
      </c>
      <c r="I6" s="62"/>
      <c r="J6" s="62"/>
      <c r="K6" s="62"/>
      <c r="L6" s="62"/>
      <c r="M6" s="62"/>
      <c r="N6" s="62"/>
      <c r="O6" s="62"/>
      <c r="P6" s="62"/>
      <c r="Q6" s="62"/>
      <c r="R6" s="62"/>
      <c r="S6" s="62"/>
      <c r="T6" s="62"/>
      <c r="U6" s="62"/>
      <c r="V6" s="62"/>
      <c r="W6" s="62"/>
      <c r="X6" s="62"/>
      <c r="Y6" s="62"/>
      <c r="Z6" s="62"/>
      <c r="AA6" s="62"/>
      <c r="AB6" s="62"/>
      <c r="AC6" s="62"/>
    </row>
    <row r="7">
      <c r="A7" s="183" t="s">
        <v>3195</v>
      </c>
      <c r="B7" s="186" t="s">
        <v>3194</v>
      </c>
      <c r="C7" s="187"/>
      <c r="D7" s="187"/>
      <c r="E7" s="187"/>
      <c r="F7" s="187"/>
      <c r="G7" s="187"/>
      <c r="H7" s="188" t="s">
        <v>71</v>
      </c>
      <c r="I7" s="62"/>
      <c r="J7" s="62"/>
      <c r="K7" s="62"/>
      <c r="L7" s="62"/>
      <c r="M7" s="62"/>
      <c r="N7" s="62"/>
      <c r="O7" s="62"/>
      <c r="P7" s="62"/>
      <c r="Q7" s="62"/>
      <c r="R7" s="62"/>
      <c r="S7" s="62"/>
      <c r="T7" s="62"/>
      <c r="U7" s="62"/>
      <c r="V7" s="62"/>
      <c r="W7" s="62"/>
      <c r="X7" s="62"/>
      <c r="Y7" s="62"/>
      <c r="Z7" s="62"/>
      <c r="AA7" s="62"/>
      <c r="AB7" s="62"/>
      <c r="AC7" s="62"/>
    </row>
    <row r="8">
      <c r="A8" s="63"/>
      <c r="B8" s="63"/>
      <c r="C8" s="60"/>
      <c r="D8" s="60"/>
      <c r="E8" s="60"/>
      <c r="F8" s="60"/>
      <c r="G8" s="62"/>
      <c r="H8" s="190"/>
      <c r="I8" s="62"/>
      <c r="J8" s="62"/>
      <c r="K8" s="62"/>
      <c r="L8" s="62"/>
      <c r="M8" s="62"/>
      <c r="N8" s="62"/>
      <c r="O8" s="62"/>
      <c r="P8" s="62"/>
      <c r="Q8" s="62"/>
      <c r="R8" s="62"/>
      <c r="S8" s="62"/>
      <c r="T8" s="62"/>
      <c r="U8" s="62"/>
      <c r="V8" s="62"/>
      <c r="W8" s="62"/>
      <c r="X8" s="62"/>
      <c r="Y8" s="62"/>
      <c r="Z8" s="62"/>
      <c r="AA8" s="62"/>
      <c r="AB8" s="62"/>
      <c r="AC8" s="62"/>
    </row>
    <row r="9">
      <c r="A9" s="61"/>
      <c r="B9" s="61"/>
      <c r="C9" s="62"/>
      <c r="D9" s="62"/>
      <c r="E9" s="62"/>
      <c r="F9" s="62"/>
      <c r="G9" s="62"/>
      <c r="H9" s="190"/>
      <c r="I9" s="62"/>
      <c r="J9" s="62"/>
      <c r="K9" s="62"/>
      <c r="L9" s="62"/>
      <c r="M9" s="62"/>
      <c r="N9" s="62"/>
      <c r="O9" s="62"/>
      <c r="P9" s="62"/>
      <c r="Q9" s="62"/>
      <c r="R9" s="62"/>
      <c r="S9" s="62"/>
      <c r="T9" s="62"/>
      <c r="U9" s="62"/>
      <c r="V9" s="62"/>
      <c r="W9" s="62"/>
      <c r="X9" s="62"/>
      <c r="Y9" s="62"/>
      <c r="Z9" s="62"/>
      <c r="AA9" s="62"/>
      <c r="AB9" s="62"/>
      <c r="AC9" s="62"/>
    </row>
    <row r="10">
      <c r="A10" s="61"/>
      <c r="B10" s="61"/>
      <c r="C10" s="62"/>
      <c r="D10" s="62"/>
      <c r="E10" s="62"/>
      <c r="F10" s="62"/>
      <c r="G10" s="62"/>
      <c r="H10" s="190"/>
      <c r="I10" s="62"/>
      <c r="J10" s="62"/>
      <c r="K10" s="62"/>
      <c r="L10" s="62"/>
      <c r="M10" s="62"/>
      <c r="N10" s="62"/>
      <c r="O10" s="62"/>
      <c r="P10" s="62"/>
      <c r="Q10" s="62"/>
      <c r="R10" s="62"/>
      <c r="S10" s="62"/>
      <c r="T10" s="62"/>
      <c r="U10" s="62"/>
      <c r="V10" s="62"/>
      <c r="W10" s="62"/>
      <c r="X10" s="62"/>
      <c r="Y10" s="62"/>
      <c r="Z10" s="62"/>
      <c r="AA10" s="62"/>
      <c r="AB10" s="62"/>
      <c r="AC10" s="62"/>
    </row>
    <row r="11">
      <c r="A11" s="61"/>
      <c r="B11" s="61"/>
      <c r="C11" s="62"/>
      <c r="D11" s="62"/>
      <c r="E11" s="62"/>
      <c r="F11" s="62"/>
      <c r="G11" s="62"/>
      <c r="H11" s="190"/>
      <c r="I11" s="62"/>
      <c r="J11" s="62"/>
      <c r="K11" s="62"/>
      <c r="L11" s="62"/>
      <c r="M11" s="62"/>
      <c r="N11" s="62"/>
      <c r="O11" s="62"/>
      <c r="P11" s="62"/>
      <c r="Q11" s="62"/>
      <c r="R11" s="62"/>
      <c r="S11" s="62"/>
      <c r="T11" s="62"/>
      <c r="U11" s="62"/>
      <c r="V11" s="62"/>
      <c r="W11" s="62"/>
      <c r="X11" s="62"/>
      <c r="Y11" s="62"/>
      <c r="Z11" s="62"/>
      <c r="AA11" s="62"/>
      <c r="AB11" s="62"/>
      <c r="AC11" s="62"/>
    </row>
    <row r="12">
      <c r="A12" s="61"/>
      <c r="B12" s="61"/>
      <c r="C12" s="62"/>
      <c r="D12" s="62"/>
      <c r="E12" s="62"/>
      <c r="F12" s="62"/>
      <c r="G12" s="62"/>
      <c r="H12" s="190"/>
      <c r="I12" s="62"/>
      <c r="J12" s="62"/>
      <c r="K12" s="62"/>
      <c r="L12" s="62"/>
      <c r="M12" s="62"/>
      <c r="N12" s="62"/>
      <c r="O12" s="62"/>
      <c r="P12" s="62"/>
      <c r="Q12" s="62"/>
      <c r="R12" s="62"/>
      <c r="S12" s="62"/>
      <c r="T12" s="62"/>
      <c r="U12" s="62"/>
      <c r="V12" s="62"/>
      <c r="W12" s="62"/>
      <c r="X12" s="62"/>
      <c r="Y12" s="62"/>
      <c r="Z12" s="62"/>
      <c r="AA12" s="62"/>
      <c r="AB12" s="62"/>
      <c r="AC12" s="62"/>
    </row>
    <row r="13">
      <c r="A13" s="61"/>
      <c r="B13" s="61"/>
      <c r="C13" s="62"/>
      <c r="D13" s="62"/>
      <c r="E13" s="62"/>
      <c r="F13" s="62"/>
      <c r="G13" s="62"/>
      <c r="H13" s="190"/>
      <c r="I13" s="62"/>
      <c r="J13" s="62"/>
      <c r="K13" s="62"/>
      <c r="L13" s="62"/>
      <c r="M13" s="62"/>
      <c r="N13" s="62"/>
      <c r="O13" s="62"/>
      <c r="P13" s="62"/>
      <c r="Q13" s="62"/>
      <c r="R13" s="62"/>
      <c r="S13" s="62"/>
      <c r="T13" s="62"/>
      <c r="U13" s="62"/>
      <c r="V13" s="62"/>
      <c r="W13" s="62"/>
      <c r="X13" s="62"/>
      <c r="Y13" s="62"/>
      <c r="Z13" s="62"/>
      <c r="AA13" s="62"/>
      <c r="AB13" s="62"/>
      <c r="AC13" s="62"/>
    </row>
    <row r="14">
      <c r="A14" s="61"/>
      <c r="B14" s="61"/>
      <c r="C14" s="62"/>
      <c r="D14" s="62"/>
      <c r="E14" s="62"/>
      <c r="F14" s="62"/>
      <c r="G14" s="62"/>
      <c r="H14" s="190"/>
      <c r="I14" s="62"/>
      <c r="J14" s="62"/>
      <c r="K14" s="62"/>
      <c r="L14" s="62"/>
      <c r="M14" s="62"/>
      <c r="N14" s="62"/>
      <c r="O14" s="62"/>
      <c r="P14" s="62"/>
      <c r="Q14" s="62"/>
      <c r="R14" s="62"/>
      <c r="S14" s="62"/>
      <c r="T14" s="62"/>
      <c r="U14" s="62"/>
      <c r="V14" s="62"/>
      <c r="W14" s="62"/>
      <c r="X14" s="62"/>
      <c r="Y14" s="62"/>
      <c r="Z14" s="62"/>
      <c r="AA14" s="62"/>
      <c r="AB14" s="62"/>
      <c r="AC14" s="62"/>
    </row>
    <row r="15">
      <c r="A15" s="61"/>
      <c r="B15" s="61"/>
      <c r="C15" s="62"/>
      <c r="D15" s="62"/>
      <c r="E15" s="62"/>
      <c r="F15" s="62"/>
      <c r="G15" s="62"/>
      <c r="H15" s="190"/>
      <c r="I15" s="62"/>
      <c r="J15" s="62"/>
      <c r="K15" s="62"/>
      <c r="L15" s="62"/>
      <c r="M15" s="62"/>
      <c r="N15" s="62"/>
      <c r="O15" s="62"/>
      <c r="P15" s="62"/>
      <c r="Q15" s="62"/>
      <c r="R15" s="62"/>
      <c r="S15" s="62"/>
      <c r="T15" s="62"/>
      <c r="U15" s="62"/>
      <c r="V15" s="62"/>
      <c r="W15" s="62"/>
      <c r="X15" s="62"/>
      <c r="Y15" s="62"/>
      <c r="Z15" s="62"/>
      <c r="AA15" s="62"/>
      <c r="AB15" s="62"/>
      <c r="AC15" s="62"/>
    </row>
    <row r="16">
      <c r="A16" s="61"/>
      <c r="B16" s="61"/>
      <c r="C16" s="62"/>
      <c r="D16" s="62"/>
      <c r="E16" s="62"/>
      <c r="F16" s="62"/>
      <c r="G16" s="62"/>
      <c r="H16" s="190"/>
      <c r="I16" s="62"/>
      <c r="J16" s="62"/>
      <c r="K16" s="62"/>
      <c r="L16" s="62"/>
      <c r="M16" s="62"/>
      <c r="N16" s="62"/>
      <c r="O16" s="62"/>
      <c r="P16" s="62"/>
      <c r="Q16" s="62"/>
      <c r="R16" s="62"/>
      <c r="S16" s="62"/>
      <c r="T16" s="62"/>
      <c r="U16" s="62"/>
      <c r="V16" s="62"/>
      <c r="W16" s="62"/>
      <c r="X16" s="62"/>
      <c r="Y16" s="62"/>
      <c r="Z16" s="62"/>
      <c r="AA16" s="62"/>
      <c r="AB16" s="62"/>
      <c r="AC16" s="62"/>
    </row>
    <row r="17">
      <c r="A17" s="61"/>
      <c r="B17" s="61"/>
      <c r="C17" s="62"/>
      <c r="D17" s="62"/>
      <c r="E17" s="62"/>
      <c r="F17" s="62"/>
      <c r="G17" s="62"/>
      <c r="H17" s="190"/>
      <c r="I17" s="62"/>
      <c r="J17" s="62"/>
      <c r="K17" s="62"/>
      <c r="L17" s="62"/>
      <c r="M17" s="62"/>
      <c r="N17" s="62"/>
      <c r="O17" s="62"/>
      <c r="P17" s="62"/>
      <c r="Q17" s="62"/>
      <c r="R17" s="62"/>
      <c r="S17" s="62"/>
      <c r="T17" s="62"/>
      <c r="U17" s="62"/>
      <c r="V17" s="62"/>
      <c r="W17" s="62"/>
      <c r="X17" s="62"/>
      <c r="Y17" s="62"/>
      <c r="Z17" s="62"/>
      <c r="AA17" s="62"/>
      <c r="AB17" s="62"/>
      <c r="AC17" s="62"/>
    </row>
    <row r="18">
      <c r="A18" s="61"/>
      <c r="B18" s="61"/>
      <c r="C18" s="62"/>
      <c r="D18" s="62"/>
      <c r="E18" s="62"/>
      <c r="F18" s="62"/>
      <c r="G18" s="62"/>
      <c r="H18" s="190"/>
      <c r="I18" s="62"/>
      <c r="J18" s="62"/>
      <c r="K18" s="62"/>
      <c r="L18" s="62"/>
      <c r="M18" s="62"/>
      <c r="N18" s="62"/>
      <c r="O18" s="62"/>
      <c r="P18" s="62"/>
      <c r="Q18" s="62"/>
      <c r="R18" s="62"/>
      <c r="S18" s="62"/>
      <c r="T18" s="62"/>
      <c r="U18" s="62"/>
      <c r="V18" s="62"/>
      <c r="W18" s="62"/>
      <c r="X18" s="62"/>
      <c r="Y18" s="62"/>
      <c r="Z18" s="62"/>
      <c r="AA18" s="62"/>
      <c r="AB18" s="62"/>
      <c r="AC18" s="62"/>
    </row>
    <row r="19">
      <c r="A19" s="61"/>
      <c r="B19" s="61"/>
      <c r="C19" s="62"/>
      <c r="D19" s="62"/>
      <c r="E19" s="62"/>
      <c r="F19" s="62"/>
      <c r="G19" s="62"/>
      <c r="H19" s="190"/>
      <c r="I19" s="62"/>
      <c r="J19" s="62"/>
      <c r="K19" s="62"/>
      <c r="L19" s="62"/>
      <c r="M19" s="62"/>
      <c r="N19" s="62"/>
      <c r="O19" s="62"/>
      <c r="P19" s="62"/>
      <c r="Q19" s="62"/>
      <c r="R19" s="62"/>
      <c r="S19" s="62"/>
      <c r="T19" s="62"/>
      <c r="U19" s="62"/>
      <c r="V19" s="62"/>
      <c r="W19" s="62"/>
      <c r="X19" s="62"/>
      <c r="Y19" s="62"/>
      <c r="Z19" s="62"/>
      <c r="AA19" s="62"/>
      <c r="AB19" s="62"/>
      <c r="AC19" s="62"/>
    </row>
    <row r="20">
      <c r="A20" s="61"/>
      <c r="B20" s="61"/>
      <c r="C20" s="62"/>
      <c r="D20" s="62"/>
      <c r="E20" s="62"/>
      <c r="F20" s="62"/>
      <c r="G20" s="62"/>
      <c r="H20" s="190"/>
      <c r="I20" s="62"/>
      <c r="J20" s="62"/>
      <c r="K20" s="62"/>
      <c r="L20" s="62"/>
      <c r="M20" s="62"/>
      <c r="N20" s="62"/>
      <c r="O20" s="62"/>
      <c r="P20" s="62"/>
      <c r="Q20" s="62"/>
      <c r="R20" s="62"/>
      <c r="S20" s="62"/>
      <c r="T20" s="62"/>
      <c r="U20" s="62"/>
      <c r="V20" s="62"/>
      <c r="W20" s="62"/>
      <c r="X20" s="62"/>
      <c r="Y20" s="62"/>
      <c r="Z20" s="62"/>
      <c r="AA20" s="62"/>
      <c r="AB20" s="62"/>
      <c r="AC20" s="62"/>
    </row>
    <row r="21">
      <c r="A21" s="61"/>
      <c r="B21" s="61"/>
      <c r="C21" s="62"/>
      <c r="D21" s="62"/>
      <c r="E21" s="62"/>
      <c r="F21" s="62"/>
      <c r="G21" s="62"/>
      <c r="H21" s="190"/>
      <c r="I21" s="62"/>
      <c r="J21" s="62"/>
      <c r="K21" s="62"/>
      <c r="L21" s="62"/>
      <c r="M21" s="62"/>
      <c r="N21" s="62"/>
      <c r="O21" s="62"/>
      <c r="P21" s="62"/>
      <c r="Q21" s="62"/>
      <c r="R21" s="62"/>
      <c r="S21" s="62"/>
      <c r="T21" s="62"/>
      <c r="U21" s="62"/>
      <c r="V21" s="62"/>
      <c r="W21" s="62"/>
      <c r="X21" s="62"/>
      <c r="Y21" s="62"/>
      <c r="Z21" s="62"/>
      <c r="AA21" s="62"/>
      <c r="AB21" s="62"/>
      <c r="AC21" s="62"/>
    </row>
    <row r="22">
      <c r="A22" s="61"/>
      <c r="B22" s="61"/>
      <c r="C22" s="62"/>
      <c r="D22" s="62"/>
      <c r="E22" s="62"/>
      <c r="F22" s="62"/>
      <c r="G22" s="62"/>
      <c r="H22" s="190"/>
      <c r="I22" s="62"/>
      <c r="J22" s="62"/>
      <c r="K22" s="62"/>
      <c r="L22" s="62"/>
      <c r="M22" s="62"/>
      <c r="N22" s="62"/>
      <c r="O22" s="62"/>
      <c r="P22" s="62"/>
      <c r="Q22" s="62"/>
      <c r="R22" s="62"/>
      <c r="S22" s="62"/>
      <c r="T22" s="62"/>
      <c r="U22" s="62"/>
      <c r="V22" s="62"/>
      <c r="W22" s="62"/>
      <c r="X22" s="62"/>
      <c r="Y22" s="62"/>
      <c r="Z22" s="62"/>
      <c r="AA22" s="62"/>
      <c r="AB22" s="62"/>
      <c r="AC22" s="62"/>
    </row>
    <row r="23">
      <c r="A23" s="61"/>
      <c r="B23" s="61"/>
      <c r="C23" s="62"/>
      <c r="D23" s="62"/>
      <c r="E23" s="62"/>
      <c r="F23" s="62"/>
      <c r="G23" s="62"/>
      <c r="H23" s="190"/>
      <c r="I23" s="62"/>
      <c r="J23" s="62"/>
      <c r="K23" s="62"/>
      <c r="L23" s="62"/>
      <c r="M23" s="62"/>
      <c r="N23" s="62"/>
      <c r="O23" s="62"/>
      <c r="P23" s="62"/>
      <c r="Q23" s="62"/>
      <c r="R23" s="62"/>
      <c r="S23" s="62"/>
      <c r="T23" s="62"/>
      <c r="U23" s="62"/>
      <c r="V23" s="62"/>
      <c r="W23" s="62"/>
      <c r="X23" s="62"/>
      <c r="Y23" s="62"/>
      <c r="Z23" s="62"/>
      <c r="AA23" s="62"/>
      <c r="AB23" s="62"/>
      <c r="AC23" s="62"/>
    </row>
    <row r="24">
      <c r="A24" s="61"/>
      <c r="B24" s="61"/>
      <c r="C24" s="62"/>
      <c r="D24" s="62"/>
      <c r="E24" s="62"/>
      <c r="F24" s="62"/>
      <c r="G24" s="62"/>
      <c r="H24" s="190"/>
      <c r="I24" s="62"/>
      <c r="J24" s="62"/>
      <c r="K24" s="62"/>
      <c r="L24" s="62"/>
      <c r="M24" s="62"/>
      <c r="N24" s="62"/>
      <c r="O24" s="62"/>
      <c r="P24" s="62"/>
      <c r="Q24" s="62"/>
      <c r="R24" s="62"/>
      <c r="S24" s="62"/>
      <c r="T24" s="62"/>
      <c r="U24" s="62"/>
      <c r="V24" s="62"/>
      <c r="W24" s="62"/>
      <c r="X24" s="62"/>
      <c r="Y24" s="62"/>
      <c r="Z24" s="62"/>
      <c r="AA24" s="62"/>
      <c r="AB24" s="62"/>
      <c r="AC24" s="62"/>
    </row>
    <row r="25">
      <c r="A25" s="61"/>
      <c r="B25" s="61"/>
      <c r="C25" s="62"/>
      <c r="D25" s="62"/>
      <c r="E25" s="62"/>
      <c r="F25" s="62"/>
      <c r="G25" s="62"/>
      <c r="H25" s="190"/>
      <c r="I25" s="62"/>
      <c r="J25" s="62"/>
      <c r="K25" s="62"/>
      <c r="L25" s="62"/>
      <c r="M25" s="62"/>
      <c r="N25" s="62"/>
      <c r="O25" s="62"/>
      <c r="P25" s="62"/>
      <c r="Q25" s="62"/>
      <c r="R25" s="62"/>
      <c r="S25" s="62"/>
      <c r="T25" s="62"/>
      <c r="U25" s="62"/>
      <c r="V25" s="62"/>
      <c r="W25" s="62"/>
      <c r="X25" s="62"/>
      <c r="Y25" s="62"/>
      <c r="Z25" s="62"/>
      <c r="AA25" s="62"/>
      <c r="AB25" s="62"/>
      <c r="AC25" s="62"/>
    </row>
    <row r="26">
      <c r="A26" s="61"/>
      <c r="B26" s="61"/>
      <c r="C26" s="62"/>
      <c r="D26" s="62"/>
      <c r="E26" s="62"/>
      <c r="F26" s="62"/>
      <c r="G26" s="62"/>
      <c r="H26" s="190"/>
      <c r="I26" s="62"/>
      <c r="J26" s="62"/>
      <c r="K26" s="62"/>
      <c r="L26" s="62"/>
      <c r="M26" s="62"/>
      <c r="N26" s="62"/>
      <c r="O26" s="62"/>
      <c r="P26" s="62"/>
      <c r="Q26" s="62"/>
      <c r="R26" s="62"/>
      <c r="S26" s="62"/>
      <c r="T26" s="62"/>
      <c r="U26" s="62"/>
      <c r="V26" s="62"/>
      <c r="W26" s="62"/>
      <c r="X26" s="62"/>
      <c r="Y26" s="62"/>
      <c r="Z26" s="62"/>
      <c r="AA26" s="62"/>
      <c r="AB26" s="62"/>
      <c r="AC26" s="62"/>
    </row>
    <row r="27">
      <c r="A27" s="61"/>
      <c r="B27" s="61"/>
      <c r="C27" s="62"/>
      <c r="D27" s="62"/>
      <c r="E27" s="62"/>
      <c r="F27" s="62"/>
      <c r="G27" s="62"/>
      <c r="H27" s="190"/>
      <c r="I27" s="62"/>
      <c r="J27" s="62"/>
      <c r="K27" s="62"/>
      <c r="L27" s="62"/>
      <c r="M27" s="62"/>
      <c r="N27" s="62"/>
      <c r="O27" s="62"/>
      <c r="P27" s="62"/>
      <c r="Q27" s="62"/>
      <c r="R27" s="62"/>
      <c r="S27" s="62"/>
      <c r="T27" s="62"/>
      <c r="U27" s="62"/>
      <c r="V27" s="62"/>
      <c r="W27" s="62"/>
      <c r="X27" s="62"/>
      <c r="Y27" s="62"/>
      <c r="Z27" s="62"/>
      <c r="AA27" s="62"/>
      <c r="AB27" s="62"/>
      <c r="AC27" s="62"/>
    </row>
    <row r="28">
      <c r="A28" s="61"/>
      <c r="B28" s="61"/>
      <c r="C28" s="62"/>
      <c r="D28" s="62"/>
      <c r="E28" s="62"/>
      <c r="F28" s="62"/>
      <c r="G28" s="62"/>
      <c r="H28" s="190"/>
      <c r="I28" s="62"/>
      <c r="J28" s="62"/>
      <c r="K28" s="62"/>
      <c r="L28" s="62"/>
      <c r="M28" s="62"/>
      <c r="N28" s="62"/>
      <c r="O28" s="62"/>
      <c r="P28" s="62"/>
      <c r="Q28" s="62"/>
      <c r="R28" s="62"/>
      <c r="S28" s="62"/>
      <c r="T28" s="62"/>
      <c r="U28" s="62"/>
      <c r="V28" s="62"/>
      <c r="W28" s="62"/>
      <c r="X28" s="62"/>
      <c r="Y28" s="62"/>
      <c r="Z28" s="62"/>
      <c r="AA28" s="62"/>
      <c r="AB28" s="62"/>
      <c r="AC28" s="62"/>
    </row>
    <row r="29">
      <c r="A29" s="61"/>
      <c r="B29" s="61"/>
      <c r="C29" s="62"/>
      <c r="D29" s="62"/>
      <c r="E29" s="62"/>
      <c r="F29" s="62"/>
      <c r="G29" s="62"/>
      <c r="H29" s="190"/>
      <c r="I29" s="62"/>
      <c r="J29" s="62"/>
      <c r="K29" s="62"/>
      <c r="L29" s="62"/>
      <c r="M29" s="62"/>
      <c r="N29" s="62"/>
      <c r="O29" s="62"/>
      <c r="P29" s="62"/>
      <c r="Q29" s="62"/>
      <c r="R29" s="62"/>
      <c r="S29" s="62"/>
      <c r="T29" s="62"/>
      <c r="U29" s="62"/>
      <c r="V29" s="62"/>
      <c r="W29" s="62"/>
      <c r="X29" s="62"/>
      <c r="Y29" s="62"/>
      <c r="Z29" s="62"/>
      <c r="AA29" s="62"/>
      <c r="AB29" s="62"/>
      <c r="AC29" s="62"/>
    </row>
    <row r="30">
      <c r="A30" s="61"/>
      <c r="B30" s="61"/>
      <c r="C30" s="62"/>
      <c r="D30" s="62"/>
      <c r="E30" s="62"/>
      <c r="F30" s="62"/>
      <c r="G30" s="62"/>
      <c r="H30" s="190"/>
      <c r="I30" s="62"/>
      <c r="J30" s="62"/>
      <c r="K30" s="62"/>
      <c r="L30" s="62"/>
      <c r="M30" s="62"/>
      <c r="N30" s="62"/>
      <c r="O30" s="62"/>
      <c r="P30" s="62"/>
      <c r="Q30" s="62"/>
      <c r="R30" s="62"/>
      <c r="S30" s="62"/>
      <c r="T30" s="62"/>
      <c r="U30" s="62"/>
      <c r="V30" s="62"/>
      <c r="W30" s="62"/>
      <c r="X30" s="62"/>
      <c r="Y30" s="62"/>
      <c r="Z30" s="62"/>
      <c r="AA30" s="62"/>
      <c r="AB30" s="62"/>
      <c r="AC30" s="62"/>
    </row>
    <row r="31">
      <c r="A31" s="61"/>
      <c r="B31" s="61"/>
      <c r="C31" s="62"/>
      <c r="D31" s="62"/>
      <c r="E31" s="62"/>
      <c r="F31" s="62"/>
      <c r="G31" s="62"/>
      <c r="H31" s="190"/>
      <c r="I31" s="62"/>
      <c r="J31" s="62"/>
      <c r="K31" s="62"/>
      <c r="L31" s="62"/>
      <c r="M31" s="62"/>
      <c r="N31" s="62"/>
      <c r="O31" s="62"/>
      <c r="P31" s="62"/>
      <c r="Q31" s="62"/>
      <c r="R31" s="62"/>
      <c r="S31" s="62"/>
      <c r="T31" s="62"/>
      <c r="U31" s="62"/>
      <c r="V31" s="62"/>
      <c r="W31" s="62"/>
      <c r="X31" s="62"/>
      <c r="Y31" s="62"/>
      <c r="Z31" s="62"/>
      <c r="AA31" s="62"/>
      <c r="AB31" s="62"/>
      <c r="AC31" s="62"/>
    </row>
    <row r="32">
      <c r="A32" s="61"/>
      <c r="B32" s="61"/>
      <c r="C32" s="62"/>
      <c r="D32" s="62"/>
      <c r="E32" s="62"/>
      <c r="F32" s="62"/>
      <c r="G32" s="62"/>
      <c r="H32" s="190"/>
      <c r="I32" s="62"/>
      <c r="J32" s="62"/>
      <c r="K32" s="62"/>
      <c r="L32" s="62"/>
      <c r="M32" s="62"/>
      <c r="N32" s="62"/>
      <c r="O32" s="62"/>
      <c r="P32" s="62"/>
      <c r="Q32" s="62"/>
      <c r="R32" s="62"/>
      <c r="S32" s="62"/>
      <c r="T32" s="62"/>
      <c r="U32" s="62"/>
      <c r="V32" s="62"/>
      <c r="W32" s="62"/>
      <c r="X32" s="62"/>
      <c r="Y32" s="62"/>
      <c r="Z32" s="62"/>
      <c r="AA32" s="62"/>
      <c r="AB32" s="62"/>
      <c r="AC32" s="62"/>
    </row>
    <row r="33">
      <c r="A33" s="61"/>
      <c r="B33" s="61"/>
      <c r="C33" s="62"/>
      <c r="D33" s="62"/>
      <c r="E33" s="62"/>
      <c r="F33" s="62"/>
      <c r="G33" s="62"/>
      <c r="H33" s="190"/>
      <c r="I33" s="62"/>
      <c r="J33" s="62"/>
      <c r="K33" s="62"/>
      <c r="L33" s="62"/>
      <c r="M33" s="62"/>
      <c r="N33" s="62"/>
      <c r="O33" s="62"/>
      <c r="P33" s="62"/>
      <c r="Q33" s="62"/>
      <c r="R33" s="62"/>
      <c r="S33" s="62"/>
      <c r="T33" s="62"/>
      <c r="U33" s="62"/>
      <c r="V33" s="62"/>
      <c r="W33" s="62"/>
      <c r="X33" s="62"/>
      <c r="Y33" s="62"/>
      <c r="Z33" s="62"/>
      <c r="AA33" s="62"/>
      <c r="AB33" s="62"/>
      <c r="AC33" s="62"/>
    </row>
    <row r="34">
      <c r="A34" s="61"/>
      <c r="B34" s="61"/>
      <c r="C34" s="62"/>
      <c r="D34" s="62"/>
      <c r="E34" s="62"/>
      <c r="F34" s="62"/>
      <c r="G34" s="62"/>
      <c r="H34" s="190"/>
      <c r="I34" s="62"/>
      <c r="J34" s="62"/>
      <c r="K34" s="62"/>
      <c r="L34" s="62"/>
      <c r="M34" s="62"/>
      <c r="N34" s="62"/>
      <c r="O34" s="62"/>
      <c r="P34" s="62"/>
      <c r="Q34" s="62"/>
      <c r="R34" s="62"/>
      <c r="S34" s="62"/>
      <c r="T34" s="62"/>
      <c r="U34" s="62"/>
      <c r="V34" s="62"/>
      <c r="W34" s="62"/>
      <c r="X34" s="62"/>
      <c r="Y34" s="62"/>
      <c r="Z34" s="62"/>
      <c r="AA34" s="62"/>
      <c r="AB34" s="62"/>
      <c r="AC34" s="62"/>
    </row>
    <row r="35">
      <c r="A35" s="61"/>
      <c r="B35" s="61"/>
      <c r="C35" s="62"/>
      <c r="D35" s="62"/>
      <c r="E35" s="62"/>
      <c r="F35" s="62"/>
      <c r="G35" s="62"/>
      <c r="H35" s="190"/>
      <c r="I35" s="62"/>
      <c r="J35" s="62"/>
      <c r="K35" s="62"/>
      <c r="L35" s="62"/>
      <c r="M35" s="62"/>
      <c r="N35" s="62"/>
      <c r="O35" s="62"/>
      <c r="P35" s="62"/>
      <c r="Q35" s="62"/>
      <c r="R35" s="62"/>
      <c r="S35" s="62"/>
      <c r="T35" s="62"/>
      <c r="U35" s="62"/>
      <c r="V35" s="62"/>
      <c r="W35" s="62"/>
      <c r="X35" s="62"/>
      <c r="Y35" s="62"/>
      <c r="Z35" s="62"/>
      <c r="AA35" s="62"/>
      <c r="AB35" s="62"/>
      <c r="AC35" s="62"/>
    </row>
    <row r="36">
      <c r="A36" s="61"/>
      <c r="B36" s="61"/>
      <c r="C36" s="62"/>
      <c r="D36" s="62"/>
      <c r="E36" s="62"/>
      <c r="F36" s="62"/>
      <c r="G36" s="62"/>
      <c r="H36" s="190"/>
      <c r="I36" s="62"/>
      <c r="J36" s="62"/>
      <c r="K36" s="62"/>
      <c r="L36" s="62"/>
      <c r="M36" s="62"/>
      <c r="N36" s="62"/>
      <c r="O36" s="62"/>
      <c r="P36" s="62"/>
      <c r="Q36" s="62"/>
      <c r="R36" s="62"/>
      <c r="S36" s="62"/>
      <c r="T36" s="62"/>
      <c r="U36" s="62"/>
      <c r="V36" s="62"/>
      <c r="W36" s="62"/>
      <c r="X36" s="62"/>
      <c r="Y36" s="62"/>
      <c r="Z36" s="62"/>
      <c r="AA36" s="62"/>
      <c r="AB36" s="62"/>
      <c r="AC36" s="62"/>
    </row>
    <row r="37">
      <c r="A37" s="61"/>
      <c r="B37" s="61"/>
      <c r="C37" s="62"/>
      <c r="D37" s="62"/>
      <c r="E37" s="62"/>
      <c r="F37" s="62"/>
      <c r="G37" s="62"/>
      <c r="H37" s="190"/>
      <c r="I37" s="62"/>
      <c r="J37" s="62"/>
      <c r="K37" s="62"/>
      <c r="L37" s="62"/>
      <c r="M37" s="62"/>
      <c r="N37" s="62"/>
      <c r="O37" s="62"/>
      <c r="P37" s="62"/>
      <c r="Q37" s="62"/>
      <c r="R37" s="62"/>
      <c r="S37" s="62"/>
      <c r="T37" s="62"/>
      <c r="U37" s="62"/>
      <c r="V37" s="62"/>
      <c r="W37" s="62"/>
      <c r="X37" s="62"/>
      <c r="Y37" s="62"/>
      <c r="Z37" s="62"/>
      <c r="AA37" s="62"/>
      <c r="AB37" s="62"/>
      <c r="AC37" s="62"/>
    </row>
    <row r="38">
      <c r="A38" s="61"/>
      <c r="B38" s="61"/>
      <c r="C38" s="62"/>
      <c r="D38" s="62"/>
      <c r="E38" s="62"/>
      <c r="F38" s="62"/>
      <c r="G38" s="62"/>
      <c r="H38" s="190"/>
      <c r="I38" s="62"/>
      <c r="J38" s="62"/>
      <c r="K38" s="62"/>
      <c r="L38" s="62"/>
      <c r="M38" s="62"/>
      <c r="N38" s="62"/>
      <c r="O38" s="62"/>
      <c r="P38" s="62"/>
      <c r="Q38" s="62"/>
      <c r="R38" s="62"/>
      <c r="S38" s="62"/>
      <c r="T38" s="62"/>
      <c r="U38" s="62"/>
      <c r="V38" s="62"/>
      <c r="W38" s="62"/>
      <c r="X38" s="62"/>
      <c r="Y38" s="62"/>
      <c r="Z38" s="62"/>
      <c r="AA38" s="62"/>
      <c r="AB38" s="62"/>
      <c r="AC38" s="62"/>
    </row>
    <row r="39">
      <c r="A39" s="61"/>
      <c r="B39" s="61"/>
      <c r="C39" s="62"/>
      <c r="D39" s="62"/>
      <c r="E39" s="62"/>
      <c r="F39" s="62"/>
      <c r="G39" s="62"/>
      <c r="H39" s="190"/>
      <c r="I39" s="62"/>
      <c r="J39" s="62"/>
      <c r="K39" s="62"/>
      <c r="L39" s="62"/>
      <c r="M39" s="62"/>
      <c r="N39" s="62"/>
      <c r="O39" s="62"/>
      <c r="P39" s="62"/>
      <c r="Q39" s="62"/>
      <c r="R39" s="62"/>
      <c r="S39" s="62"/>
      <c r="T39" s="62"/>
      <c r="U39" s="62"/>
      <c r="V39" s="62"/>
      <c r="W39" s="62"/>
      <c r="X39" s="62"/>
      <c r="Y39" s="62"/>
      <c r="Z39" s="62"/>
      <c r="AA39" s="62"/>
      <c r="AB39" s="62"/>
      <c r="AC39" s="62"/>
    </row>
    <row r="40">
      <c r="A40" s="61"/>
      <c r="B40" s="61"/>
      <c r="C40" s="62"/>
      <c r="D40" s="62"/>
      <c r="E40" s="62"/>
      <c r="F40" s="62"/>
      <c r="G40" s="62"/>
      <c r="H40" s="190"/>
      <c r="I40" s="62"/>
      <c r="J40" s="62"/>
      <c r="K40" s="62"/>
      <c r="L40" s="62"/>
      <c r="M40" s="62"/>
      <c r="N40" s="62"/>
      <c r="O40" s="62"/>
      <c r="P40" s="62"/>
      <c r="Q40" s="62"/>
      <c r="R40" s="62"/>
      <c r="S40" s="62"/>
      <c r="T40" s="62"/>
      <c r="U40" s="62"/>
      <c r="V40" s="62"/>
      <c r="W40" s="62"/>
      <c r="X40" s="62"/>
      <c r="Y40" s="62"/>
      <c r="Z40" s="62"/>
      <c r="AA40" s="62"/>
      <c r="AB40" s="62"/>
      <c r="AC40" s="62"/>
    </row>
    <row r="41">
      <c r="A41" s="61"/>
      <c r="B41" s="61"/>
      <c r="C41" s="62"/>
      <c r="D41" s="62"/>
      <c r="E41" s="62"/>
      <c r="F41" s="62"/>
      <c r="G41" s="62"/>
      <c r="H41" s="190"/>
      <c r="I41" s="62"/>
      <c r="J41" s="62"/>
      <c r="K41" s="62"/>
      <c r="L41" s="62"/>
      <c r="M41" s="62"/>
      <c r="N41" s="62"/>
      <c r="O41" s="62"/>
      <c r="P41" s="62"/>
      <c r="Q41" s="62"/>
      <c r="R41" s="62"/>
      <c r="S41" s="62"/>
      <c r="T41" s="62"/>
      <c r="U41" s="62"/>
      <c r="V41" s="62"/>
      <c r="W41" s="62"/>
      <c r="X41" s="62"/>
      <c r="Y41" s="62"/>
      <c r="Z41" s="62"/>
      <c r="AA41" s="62"/>
      <c r="AB41" s="62"/>
      <c r="AC41" s="62"/>
    </row>
    <row r="42">
      <c r="A42" s="61"/>
      <c r="B42" s="61"/>
      <c r="C42" s="62"/>
      <c r="D42" s="62"/>
      <c r="E42" s="62"/>
      <c r="F42" s="62"/>
      <c r="G42" s="62"/>
      <c r="H42" s="190"/>
      <c r="I42" s="62"/>
      <c r="J42" s="62"/>
      <c r="K42" s="62"/>
      <c r="L42" s="62"/>
      <c r="M42" s="62"/>
      <c r="N42" s="62"/>
      <c r="O42" s="62"/>
      <c r="P42" s="62"/>
      <c r="Q42" s="62"/>
      <c r="R42" s="62"/>
      <c r="S42" s="62"/>
      <c r="T42" s="62"/>
      <c r="U42" s="62"/>
      <c r="V42" s="62"/>
      <c r="W42" s="62"/>
      <c r="X42" s="62"/>
      <c r="Y42" s="62"/>
      <c r="Z42" s="62"/>
      <c r="AA42" s="62"/>
      <c r="AB42" s="62"/>
      <c r="AC42" s="62"/>
    </row>
    <row r="43">
      <c r="A43" s="61"/>
      <c r="B43" s="61"/>
      <c r="C43" s="62"/>
      <c r="D43" s="62"/>
      <c r="E43" s="62"/>
      <c r="F43" s="62"/>
      <c r="G43" s="62"/>
      <c r="H43" s="190"/>
      <c r="I43" s="62"/>
      <c r="J43" s="62"/>
      <c r="K43" s="62"/>
      <c r="L43" s="62"/>
      <c r="M43" s="62"/>
      <c r="N43" s="62"/>
      <c r="O43" s="62"/>
      <c r="P43" s="62"/>
      <c r="Q43" s="62"/>
      <c r="R43" s="62"/>
      <c r="S43" s="62"/>
      <c r="T43" s="62"/>
      <c r="U43" s="62"/>
      <c r="V43" s="62"/>
      <c r="W43" s="62"/>
      <c r="X43" s="62"/>
      <c r="Y43" s="62"/>
      <c r="Z43" s="62"/>
      <c r="AA43" s="62"/>
      <c r="AB43" s="62"/>
      <c r="AC43" s="62"/>
    </row>
    <row r="44">
      <c r="A44" s="61"/>
      <c r="B44" s="61"/>
      <c r="C44" s="62"/>
      <c r="D44" s="62"/>
      <c r="E44" s="62"/>
      <c r="F44" s="62"/>
      <c r="G44" s="62"/>
      <c r="H44" s="190"/>
      <c r="I44" s="62"/>
      <c r="J44" s="62"/>
      <c r="K44" s="62"/>
      <c r="L44" s="62"/>
      <c r="M44" s="62"/>
      <c r="N44" s="62"/>
      <c r="O44" s="62"/>
      <c r="P44" s="62"/>
      <c r="Q44" s="62"/>
      <c r="R44" s="62"/>
      <c r="S44" s="62"/>
      <c r="T44" s="62"/>
      <c r="U44" s="62"/>
      <c r="V44" s="62"/>
      <c r="W44" s="62"/>
      <c r="X44" s="62"/>
      <c r="Y44" s="62"/>
      <c r="Z44" s="62"/>
      <c r="AA44" s="62"/>
      <c r="AB44" s="62"/>
      <c r="AC44" s="62"/>
    </row>
    <row r="45">
      <c r="A45" s="61"/>
      <c r="B45" s="61"/>
      <c r="C45" s="62"/>
      <c r="D45" s="62"/>
      <c r="E45" s="62"/>
      <c r="F45" s="62"/>
      <c r="G45" s="62"/>
      <c r="H45" s="190"/>
      <c r="I45" s="62"/>
      <c r="J45" s="62"/>
      <c r="K45" s="62"/>
      <c r="L45" s="62"/>
      <c r="M45" s="62"/>
      <c r="N45" s="62"/>
      <c r="O45" s="62"/>
      <c r="P45" s="62"/>
      <c r="Q45" s="62"/>
      <c r="R45" s="62"/>
      <c r="S45" s="62"/>
      <c r="T45" s="62"/>
      <c r="U45" s="62"/>
      <c r="V45" s="62"/>
      <c r="W45" s="62"/>
      <c r="X45" s="62"/>
      <c r="Y45" s="62"/>
      <c r="Z45" s="62"/>
      <c r="AA45" s="62"/>
      <c r="AB45" s="62"/>
      <c r="AC45" s="62"/>
    </row>
    <row r="46">
      <c r="A46" s="61"/>
      <c r="B46" s="61"/>
      <c r="C46" s="62"/>
      <c r="D46" s="62"/>
      <c r="E46" s="62"/>
      <c r="F46" s="62"/>
      <c r="G46" s="62"/>
      <c r="H46" s="190"/>
      <c r="I46" s="62"/>
      <c r="J46" s="62"/>
      <c r="K46" s="62"/>
      <c r="L46" s="62"/>
      <c r="M46" s="62"/>
      <c r="N46" s="62"/>
      <c r="O46" s="62"/>
      <c r="P46" s="62"/>
      <c r="Q46" s="62"/>
      <c r="R46" s="62"/>
      <c r="S46" s="62"/>
      <c r="T46" s="62"/>
      <c r="U46" s="62"/>
      <c r="V46" s="62"/>
      <c r="W46" s="62"/>
      <c r="X46" s="62"/>
      <c r="Y46" s="62"/>
      <c r="Z46" s="62"/>
      <c r="AA46" s="62"/>
      <c r="AB46" s="62"/>
      <c r="AC46" s="62"/>
    </row>
    <row r="47">
      <c r="A47" s="61"/>
      <c r="B47" s="61"/>
      <c r="C47" s="62"/>
      <c r="D47" s="62"/>
      <c r="E47" s="62"/>
      <c r="F47" s="62"/>
      <c r="G47" s="62"/>
      <c r="H47" s="190"/>
      <c r="I47" s="62"/>
      <c r="J47" s="62"/>
      <c r="K47" s="62"/>
      <c r="L47" s="62"/>
      <c r="M47" s="62"/>
      <c r="N47" s="62"/>
      <c r="O47" s="62"/>
      <c r="P47" s="62"/>
      <c r="Q47" s="62"/>
      <c r="R47" s="62"/>
      <c r="S47" s="62"/>
      <c r="T47" s="62"/>
      <c r="U47" s="62"/>
      <c r="V47" s="62"/>
      <c r="W47" s="62"/>
      <c r="X47" s="62"/>
      <c r="Y47" s="62"/>
      <c r="Z47" s="62"/>
      <c r="AA47" s="62"/>
      <c r="AB47" s="62"/>
      <c r="AC47" s="62"/>
    </row>
    <row r="48">
      <c r="A48" s="61"/>
      <c r="B48" s="61"/>
      <c r="C48" s="62"/>
      <c r="D48" s="62"/>
      <c r="E48" s="62"/>
      <c r="F48" s="62"/>
      <c r="G48" s="62"/>
      <c r="H48" s="190"/>
      <c r="I48" s="62"/>
      <c r="J48" s="62"/>
      <c r="K48" s="62"/>
      <c r="L48" s="62"/>
      <c r="M48" s="62"/>
      <c r="N48" s="62"/>
      <c r="O48" s="62"/>
      <c r="P48" s="62"/>
      <c r="Q48" s="62"/>
      <c r="R48" s="62"/>
      <c r="S48" s="62"/>
      <c r="T48" s="62"/>
      <c r="U48" s="62"/>
      <c r="V48" s="62"/>
      <c r="W48" s="62"/>
      <c r="X48" s="62"/>
      <c r="Y48" s="62"/>
      <c r="Z48" s="62"/>
      <c r="AA48" s="62"/>
      <c r="AB48" s="62"/>
      <c r="AC48" s="62"/>
    </row>
    <row r="49">
      <c r="A49" s="61"/>
      <c r="B49" s="61"/>
      <c r="C49" s="62"/>
      <c r="D49" s="62"/>
      <c r="E49" s="62"/>
      <c r="F49" s="62"/>
      <c r="G49" s="62"/>
      <c r="H49" s="190"/>
      <c r="I49" s="62"/>
      <c r="J49" s="62"/>
      <c r="K49" s="62"/>
      <c r="L49" s="62"/>
      <c r="M49" s="62"/>
      <c r="N49" s="62"/>
      <c r="O49" s="62"/>
      <c r="P49" s="62"/>
      <c r="Q49" s="62"/>
      <c r="R49" s="62"/>
      <c r="S49" s="62"/>
      <c r="T49" s="62"/>
      <c r="U49" s="62"/>
      <c r="V49" s="62"/>
      <c r="W49" s="62"/>
      <c r="X49" s="62"/>
      <c r="Y49" s="62"/>
      <c r="Z49" s="62"/>
      <c r="AA49" s="62"/>
      <c r="AB49" s="62"/>
      <c r="AC49" s="62"/>
    </row>
    <row r="50">
      <c r="A50" s="61"/>
      <c r="B50" s="61"/>
      <c r="C50" s="62"/>
      <c r="D50" s="62"/>
      <c r="E50" s="62"/>
      <c r="F50" s="62"/>
      <c r="G50" s="62"/>
      <c r="H50" s="190"/>
      <c r="I50" s="62"/>
      <c r="J50" s="62"/>
      <c r="K50" s="62"/>
      <c r="L50" s="62"/>
      <c r="M50" s="62"/>
      <c r="N50" s="62"/>
      <c r="O50" s="62"/>
      <c r="P50" s="62"/>
      <c r="Q50" s="62"/>
      <c r="R50" s="62"/>
      <c r="S50" s="62"/>
      <c r="T50" s="62"/>
      <c r="U50" s="62"/>
      <c r="V50" s="62"/>
      <c r="W50" s="62"/>
      <c r="X50" s="62"/>
      <c r="Y50" s="62"/>
      <c r="Z50" s="62"/>
      <c r="AA50" s="62"/>
      <c r="AB50" s="62"/>
      <c r="AC50" s="62"/>
    </row>
    <row r="51">
      <c r="A51" s="61"/>
      <c r="B51" s="61"/>
      <c r="C51" s="62"/>
      <c r="D51" s="62"/>
      <c r="E51" s="62"/>
      <c r="F51" s="62"/>
      <c r="G51" s="62"/>
      <c r="H51" s="190"/>
      <c r="I51" s="62"/>
      <c r="J51" s="62"/>
      <c r="K51" s="62"/>
      <c r="L51" s="62"/>
      <c r="M51" s="62"/>
      <c r="N51" s="62"/>
      <c r="O51" s="62"/>
      <c r="P51" s="62"/>
      <c r="Q51" s="62"/>
      <c r="R51" s="62"/>
      <c r="S51" s="62"/>
      <c r="T51" s="62"/>
      <c r="U51" s="62"/>
      <c r="V51" s="62"/>
      <c r="W51" s="62"/>
      <c r="X51" s="62"/>
      <c r="Y51" s="62"/>
      <c r="Z51" s="62"/>
      <c r="AA51" s="62"/>
      <c r="AB51" s="62"/>
      <c r="AC51" s="62"/>
    </row>
    <row r="52">
      <c r="A52" s="61"/>
      <c r="B52" s="61"/>
      <c r="C52" s="62"/>
      <c r="D52" s="62"/>
      <c r="E52" s="62"/>
      <c r="F52" s="62"/>
      <c r="G52" s="62"/>
      <c r="H52" s="190"/>
      <c r="I52" s="62"/>
      <c r="J52" s="62"/>
      <c r="K52" s="62"/>
      <c r="L52" s="62"/>
      <c r="M52" s="62"/>
      <c r="N52" s="62"/>
      <c r="O52" s="62"/>
      <c r="P52" s="62"/>
      <c r="Q52" s="62"/>
      <c r="R52" s="62"/>
      <c r="S52" s="62"/>
      <c r="T52" s="62"/>
      <c r="U52" s="62"/>
      <c r="V52" s="62"/>
      <c r="W52" s="62"/>
      <c r="X52" s="62"/>
      <c r="Y52" s="62"/>
      <c r="Z52" s="62"/>
      <c r="AA52" s="62"/>
      <c r="AB52" s="62"/>
      <c r="AC52" s="62"/>
    </row>
    <row r="53">
      <c r="A53" s="61"/>
      <c r="B53" s="61"/>
      <c r="C53" s="62"/>
      <c r="D53" s="62"/>
      <c r="E53" s="62"/>
      <c r="F53" s="62"/>
      <c r="G53" s="62"/>
      <c r="H53" s="190"/>
      <c r="I53" s="62"/>
      <c r="J53" s="62"/>
      <c r="K53" s="62"/>
      <c r="L53" s="62"/>
      <c r="M53" s="62"/>
      <c r="N53" s="62"/>
      <c r="O53" s="62"/>
      <c r="P53" s="62"/>
      <c r="Q53" s="62"/>
      <c r="R53" s="62"/>
      <c r="S53" s="62"/>
      <c r="T53" s="62"/>
      <c r="U53" s="62"/>
      <c r="V53" s="62"/>
      <c r="W53" s="62"/>
      <c r="X53" s="62"/>
      <c r="Y53" s="62"/>
      <c r="Z53" s="62"/>
      <c r="AA53" s="62"/>
      <c r="AB53" s="62"/>
      <c r="AC53" s="62"/>
    </row>
    <row r="54">
      <c r="A54" s="61"/>
      <c r="B54" s="61"/>
      <c r="C54" s="62"/>
      <c r="D54" s="62"/>
      <c r="E54" s="62"/>
      <c r="F54" s="62"/>
      <c r="G54" s="62"/>
      <c r="H54" s="190"/>
      <c r="I54" s="62"/>
      <c r="J54" s="62"/>
      <c r="K54" s="62"/>
      <c r="L54" s="62"/>
      <c r="M54" s="62"/>
      <c r="N54" s="62"/>
      <c r="O54" s="62"/>
      <c r="P54" s="62"/>
      <c r="Q54" s="62"/>
      <c r="R54" s="62"/>
      <c r="S54" s="62"/>
      <c r="T54" s="62"/>
      <c r="U54" s="62"/>
      <c r="V54" s="62"/>
      <c r="W54" s="62"/>
      <c r="X54" s="62"/>
      <c r="Y54" s="62"/>
      <c r="Z54" s="62"/>
      <c r="AA54" s="62"/>
      <c r="AB54" s="62"/>
      <c r="AC54" s="62"/>
    </row>
    <row r="55">
      <c r="A55" s="61"/>
      <c r="B55" s="61"/>
      <c r="C55" s="62"/>
      <c r="D55" s="62"/>
      <c r="E55" s="62"/>
      <c r="F55" s="62"/>
      <c r="G55" s="62"/>
      <c r="H55" s="190"/>
      <c r="I55" s="62"/>
      <c r="J55" s="62"/>
      <c r="K55" s="62"/>
      <c r="L55" s="62"/>
      <c r="M55" s="62"/>
      <c r="N55" s="62"/>
      <c r="O55" s="62"/>
      <c r="P55" s="62"/>
      <c r="Q55" s="62"/>
      <c r="R55" s="62"/>
      <c r="S55" s="62"/>
      <c r="T55" s="62"/>
      <c r="U55" s="62"/>
      <c r="V55" s="62"/>
      <c r="W55" s="62"/>
      <c r="X55" s="62"/>
      <c r="Y55" s="62"/>
      <c r="Z55" s="62"/>
      <c r="AA55" s="62"/>
      <c r="AB55" s="62"/>
      <c r="AC55" s="62"/>
    </row>
    <row r="56">
      <c r="A56" s="61"/>
      <c r="B56" s="61"/>
      <c r="C56" s="62"/>
      <c r="D56" s="62"/>
      <c r="E56" s="62"/>
      <c r="F56" s="62"/>
      <c r="G56" s="62"/>
      <c r="H56" s="190"/>
      <c r="I56" s="62"/>
      <c r="J56" s="62"/>
      <c r="K56" s="62"/>
      <c r="L56" s="62"/>
      <c r="M56" s="62"/>
      <c r="N56" s="62"/>
      <c r="O56" s="62"/>
      <c r="P56" s="62"/>
      <c r="Q56" s="62"/>
      <c r="R56" s="62"/>
      <c r="S56" s="62"/>
      <c r="T56" s="62"/>
      <c r="U56" s="62"/>
      <c r="V56" s="62"/>
      <c r="W56" s="62"/>
      <c r="X56" s="62"/>
      <c r="Y56" s="62"/>
      <c r="Z56" s="62"/>
      <c r="AA56" s="62"/>
      <c r="AB56" s="62"/>
      <c r="AC56" s="62"/>
    </row>
    <row r="57">
      <c r="A57" s="61"/>
      <c r="B57" s="61"/>
      <c r="C57" s="62"/>
      <c r="D57" s="62"/>
      <c r="E57" s="62"/>
      <c r="F57" s="62"/>
      <c r="G57" s="62"/>
      <c r="H57" s="190"/>
      <c r="I57" s="62"/>
      <c r="J57" s="62"/>
      <c r="K57" s="62"/>
      <c r="L57" s="62"/>
      <c r="M57" s="62"/>
      <c r="N57" s="62"/>
      <c r="O57" s="62"/>
      <c r="P57" s="62"/>
      <c r="Q57" s="62"/>
      <c r="R57" s="62"/>
      <c r="S57" s="62"/>
      <c r="T57" s="62"/>
      <c r="U57" s="62"/>
      <c r="V57" s="62"/>
      <c r="W57" s="62"/>
      <c r="X57" s="62"/>
      <c r="Y57" s="62"/>
      <c r="Z57" s="62"/>
      <c r="AA57" s="62"/>
      <c r="AB57" s="62"/>
      <c r="AC57" s="62"/>
    </row>
    <row r="58">
      <c r="A58" s="61"/>
      <c r="B58" s="61"/>
      <c r="C58" s="62"/>
      <c r="D58" s="62"/>
      <c r="E58" s="62"/>
      <c r="F58" s="62"/>
      <c r="G58" s="62"/>
      <c r="H58" s="190"/>
      <c r="I58" s="62"/>
      <c r="J58" s="62"/>
      <c r="K58" s="62"/>
      <c r="L58" s="62"/>
      <c r="M58" s="62"/>
      <c r="N58" s="62"/>
      <c r="O58" s="62"/>
      <c r="P58" s="62"/>
      <c r="Q58" s="62"/>
      <c r="R58" s="62"/>
      <c r="S58" s="62"/>
      <c r="T58" s="62"/>
      <c r="U58" s="62"/>
      <c r="V58" s="62"/>
      <c r="W58" s="62"/>
      <c r="X58" s="62"/>
      <c r="Y58" s="62"/>
      <c r="Z58" s="62"/>
      <c r="AA58" s="62"/>
      <c r="AB58" s="62"/>
      <c r="AC58" s="62"/>
    </row>
    <row r="59">
      <c r="A59" s="61"/>
      <c r="B59" s="61"/>
      <c r="C59" s="62"/>
      <c r="D59" s="62"/>
      <c r="E59" s="62"/>
      <c r="F59" s="62"/>
      <c r="G59" s="62"/>
      <c r="H59" s="190"/>
      <c r="I59" s="62"/>
      <c r="J59" s="62"/>
      <c r="K59" s="62"/>
      <c r="L59" s="62"/>
      <c r="M59" s="62"/>
      <c r="N59" s="62"/>
      <c r="O59" s="62"/>
      <c r="P59" s="62"/>
      <c r="Q59" s="62"/>
      <c r="R59" s="62"/>
      <c r="S59" s="62"/>
      <c r="T59" s="62"/>
      <c r="U59" s="62"/>
      <c r="V59" s="62"/>
      <c r="W59" s="62"/>
      <c r="X59" s="62"/>
      <c r="Y59" s="62"/>
      <c r="Z59" s="62"/>
      <c r="AA59" s="62"/>
      <c r="AB59" s="62"/>
      <c r="AC59" s="62"/>
    </row>
    <row r="60">
      <c r="A60" s="61"/>
      <c r="B60" s="61"/>
      <c r="C60" s="62"/>
      <c r="D60" s="62"/>
      <c r="E60" s="62"/>
      <c r="F60" s="62"/>
      <c r="G60" s="62"/>
      <c r="H60" s="190"/>
      <c r="I60" s="62"/>
      <c r="J60" s="62"/>
      <c r="K60" s="62"/>
      <c r="L60" s="62"/>
      <c r="M60" s="62"/>
      <c r="N60" s="62"/>
      <c r="O60" s="62"/>
      <c r="P60" s="62"/>
      <c r="Q60" s="62"/>
      <c r="R60" s="62"/>
      <c r="S60" s="62"/>
      <c r="T60" s="62"/>
      <c r="U60" s="62"/>
      <c r="V60" s="62"/>
      <c r="W60" s="62"/>
      <c r="X60" s="62"/>
      <c r="Y60" s="62"/>
      <c r="Z60" s="62"/>
      <c r="AA60" s="62"/>
      <c r="AB60" s="62"/>
      <c r="AC60" s="62"/>
    </row>
    <row r="61">
      <c r="A61" s="61"/>
      <c r="B61" s="61"/>
      <c r="C61" s="62"/>
      <c r="D61" s="62"/>
      <c r="E61" s="62"/>
      <c r="F61" s="62"/>
      <c r="G61" s="62"/>
      <c r="H61" s="190"/>
      <c r="I61" s="62"/>
      <c r="J61" s="62"/>
      <c r="K61" s="62"/>
      <c r="L61" s="62"/>
      <c r="M61" s="62"/>
      <c r="N61" s="62"/>
      <c r="O61" s="62"/>
      <c r="P61" s="62"/>
      <c r="Q61" s="62"/>
      <c r="R61" s="62"/>
      <c r="S61" s="62"/>
      <c r="T61" s="62"/>
      <c r="U61" s="62"/>
      <c r="V61" s="62"/>
      <c r="W61" s="62"/>
      <c r="X61" s="62"/>
      <c r="Y61" s="62"/>
      <c r="Z61" s="62"/>
      <c r="AA61" s="62"/>
      <c r="AB61" s="62"/>
      <c r="AC61" s="62"/>
    </row>
    <row r="62">
      <c r="A62" s="61"/>
      <c r="B62" s="61"/>
      <c r="C62" s="62"/>
      <c r="D62" s="62"/>
      <c r="E62" s="62"/>
      <c r="F62" s="62"/>
      <c r="G62" s="62"/>
      <c r="H62" s="190"/>
      <c r="I62" s="62"/>
      <c r="J62" s="62"/>
      <c r="K62" s="62"/>
      <c r="L62" s="62"/>
      <c r="M62" s="62"/>
      <c r="N62" s="62"/>
      <c r="O62" s="62"/>
      <c r="P62" s="62"/>
      <c r="Q62" s="62"/>
      <c r="R62" s="62"/>
      <c r="S62" s="62"/>
      <c r="T62" s="62"/>
      <c r="U62" s="62"/>
      <c r="V62" s="62"/>
      <c r="W62" s="62"/>
      <c r="X62" s="62"/>
      <c r="Y62" s="62"/>
      <c r="Z62" s="62"/>
      <c r="AA62" s="62"/>
      <c r="AB62" s="62"/>
      <c r="AC62" s="62"/>
    </row>
    <row r="63">
      <c r="A63" s="61"/>
      <c r="B63" s="61"/>
      <c r="C63" s="62"/>
      <c r="D63" s="62"/>
      <c r="E63" s="62"/>
      <c r="F63" s="62"/>
      <c r="G63" s="62"/>
      <c r="H63" s="190"/>
      <c r="I63" s="62"/>
      <c r="J63" s="62"/>
      <c r="K63" s="62"/>
      <c r="L63" s="62"/>
      <c r="M63" s="62"/>
      <c r="N63" s="62"/>
      <c r="O63" s="62"/>
      <c r="P63" s="62"/>
      <c r="Q63" s="62"/>
      <c r="R63" s="62"/>
      <c r="S63" s="62"/>
      <c r="T63" s="62"/>
      <c r="U63" s="62"/>
      <c r="V63" s="62"/>
      <c r="W63" s="62"/>
      <c r="X63" s="62"/>
      <c r="Y63" s="62"/>
      <c r="Z63" s="62"/>
      <c r="AA63" s="62"/>
      <c r="AB63" s="62"/>
      <c r="AC63" s="62"/>
    </row>
    <row r="64">
      <c r="A64" s="61"/>
      <c r="B64" s="61"/>
      <c r="C64" s="62"/>
      <c r="D64" s="62"/>
      <c r="E64" s="62"/>
      <c r="F64" s="62"/>
      <c r="G64" s="62"/>
      <c r="H64" s="190"/>
      <c r="I64" s="62"/>
      <c r="J64" s="62"/>
      <c r="K64" s="62"/>
      <c r="L64" s="62"/>
      <c r="M64" s="62"/>
      <c r="N64" s="62"/>
      <c r="O64" s="62"/>
      <c r="P64" s="62"/>
      <c r="Q64" s="62"/>
      <c r="R64" s="62"/>
      <c r="S64" s="62"/>
      <c r="T64" s="62"/>
      <c r="U64" s="62"/>
      <c r="V64" s="62"/>
      <c r="W64" s="62"/>
      <c r="X64" s="62"/>
      <c r="Y64" s="62"/>
      <c r="Z64" s="62"/>
      <c r="AA64" s="62"/>
      <c r="AB64" s="62"/>
      <c r="AC64" s="62"/>
    </row>
    <row r="65">
      <c r="A65" s="61"/>
      <c r="B65" s="61"/>
      <c r="C65" s="62"/>
      <c r="D65" s="62"/>
      <c r="E65" s="62"/>
      <c r="F65" s="62"/>
      <c r="G65" s="62"/>
      <c r="H65" s="190"/>
      <c r="I65" s="62"/>
      <c r="J65" s="62"/>
      <c r="K65" s="62"/>
      <c r="L65" s="62"/>
      <c r="M65" s="62"/>
      <c r="N65" s="62"/>
      <c r="O65" s="62"/>
      <c r="P65" s="62"/>
      <c r="Q65" s="62"/>
      <c r="R65" s="62"/>
      <c r="S65" s="62"/>
      <c r="T65" s="62"/>
      <c r="U65" s="62"/>
      <c r="V65" s="62"/>
      <c r="W65" s="62"/>
      <c r="X65" s="62"/>
      <c r="Y65" s="62"/>
      <c r="Z65" s="62"/>
      <c r="AA65" s="62"/>
      <c r="AB65" s="62"/>
      <c r="AC65" s="62"/>
    </row>
    <row r="66">
      <c r="A66" s="61"/>
      <c r="B66" s="61"/>
      <c r="C66" s="62"/>
      <c r="D66" s="62"/>
      <c r="E66" s="62"/>
      <c r="F66" s="62"/>
      <c r="G66" s="62"/>
      <c r="H66" s="190"/>
      <c r="I66" s="62"/>
      <c r="J66" s="62"/>
      <c r="K66" s="62"/>
      <c r="L66" s="62"/>
      <c r="M66" s="62"/>
      <c r="N66" s="62"/>
      <c r="O66" s="62"/>
      <c r="P66" s="62"/>
      <c r="Q66" s="62"/>
      <c r="R66" s="62"/>
      <c r="S66" s="62"/>
      <c r="T66" s="62"/>
      <c r="U66" s="62"/>
      <c r="V66" s="62"/>
      <c r="W66" s="62"/>
      <c r="X66" s="62"/>
      <c r="Y66" s="62"/>
      <c r="Z66" s="62"/>
      <c r="AA66" s="62"/>
      <c r="AB66" s="62"/>
      <c r="AC66" s="62"/>
    </row>
    <row r="67">
      <c r="A67" s="61"/>
      <c r="B67" s="61"/>
      <c r="C67" s="62"/>
      <c r="D67" s="62"/>
      <c r="E67" s="62"/>
      <c r="F67" s="62"/>
      <c r="G67" s="62"/>
      <c r="H67" s="190"/>
      <c r="I67" s="62"/>
      <c r="J67" s="62"/>
      <c r="K67" s="62"/>
      <c r="L67" s="62"/>
      <c r="M67" s="62"/>
      <c r="N67" s="62"/>
      <c r="O67" s="62"/>
      <c r="P67" s="62"/>
      <c r="Q67" s="62"/>
      <c r="R67" s="62"/>
      <c r="S67" s="62"/>
      <c r="T67" s="62"/>
      <c r="U67" s="62"/>
      <c r="V67" s="62"/>
      <c r="W67" s="62"/>
      <c r="X67" s="62"/>
      <c r="Y67" s="62"/>
      <c r="Z67" s="62"/>
      <c r="AA67" s="62"/>
      <c r="AB67" s="62"/>
      <c r="AC67" s="62"/>
    </row>
    <row r="68">
      <c r="A68" s="61"/>
      <c r="B68" s="61"/>
      <c r="C68" s="62"/>
      <c r="D68" s="62"/>
      <c r="E68" s="62"/>
      <c r="F68" s="62"/>
      <c r="G68" s="62"/>
      <c r="H68" s="190"/>
      <c r="I68" s="62"/>
      <c r="J68" s="62"/>
      <c r="K68" s="62"/>
      <c r="L68" s="62"/>
      <c r="M68" s="62"/>
      <c r="N68" s="62"/>
      <c r="O68" s="62"/>
      <c r="P68" s="62"/>
      <c r="Q68" s="62"/>
      <c r="R68" s="62"/>
      <c r="S68" s="62"/>
      <c r="T68" s="62"/>
      <c r="U68" s="62"/>
      <c r="V68" s="62"/>
      <c r="W68" s="62"/>
      <c r="X68" s="62"/>
      <c r="Y68" s="62"/>
      <c r="Z68" s="62"/>
      <c r="AA68" s="62"/>
      <c r="AB68" s="62"/>
      <c r="AC68" s="62"/>
    </row>
    <row r="69">
      <c r="A69" s="61"/>
      <c r="B69" s="61"/>
      <c r="C69" s="62"/>
      <c r="D69" s="62"/>
      <c r="E69" s="62"/>
      <c r="F69" s="62"/>
      <c r="G69" s="62"/>
      <c r="H69" s="190"/>
      <c r="I69" s="62"/>
      <c r="J69" s="62"/>
      <c r="K69" s="62"/>
      <c r="L69" s="62"/>
      <c r="M69" s="62"/>
      <c r="N69" s="62"/>
      <c r="O69" s="62"/>
      <c r="P69" s="62"/>
      <c r="Q69" s="62"/>
      <c r="R69" s="62"/>
      <c r="S69" s="62"/>
      <c r="T69" s="62"/>
      <c r="U69" s="62"/>
      <c r="V69" s="62"/>
      <c r="W69" s="62"/>
      <c r="X69" s="62"/>
      <c r="Y69" s="62"/>
      <c r="Z69" s="62"/>
      <c r="AA69" s="62"/>
      <c r="AB69" s="62"/>
      <c r="AC69" s="62"/>
    </row>
    <row r="70">
      <c r="A70" s="61"/>
      <c r="B70" s="61"/>
      <c r="C70" s="62"/>
      <c r="D70" s="62"/>
      <c r="E70" s="62"/>
      <c r="F70" s="62"/>
      <c r="G70" s="62"/>
      <c r="H70" s="190"/>
      <c r="I70" s="62"/>
      <c r="J70" s="62"/>
      <c r="K70" s="62"/>
      <c r="L70" s="62"/>
      <c r="M70" s="62"/>
      <c r="N70" s="62"/>
      <c r="O70" s="62"/>
      <c r="P70" s="62"/>
      <c r="Q70" s="62"/>
      <c r="R70" s="62"/>
      <c r="S70" s="62"/>
      <c r="T70" s="62"/>
      <c r="U70" s="62"/>
      <c r="V70" s="62"/>
      <c r="W70" s="62"/>
      <c r="X70" s="62"/>
      <c r="Y70" s="62"/>
      <c r="Z70" s="62"/>
      <c r="AA70" s="62"/>
      <c r="AB70" s="62"/>
      <c r="AC70" s="62"/>
    </row>
    <row r="71">
      <c r="A71" s="61"/>
      <c r="B71" s="61"/>
      <c r="C71" s="62"/>
      <c r="D71" s="62"/>
      <c r="E71" s="62"/>
      <c r="F71" s="62"/>
      <c r="G71" s="62"/>
      <c r="H71" s="190"/>
      <c r="I71" s="62"/>
      <c r="J71" s="62"/>
      <c r="K71" s="62"/>
      <c r="L71" s="62"/>
      <c r="M71" s="62"/>
      <c r="N71" s="62"/>
      <c r="O71" s="62"/>
      <c r="P71" s="62"/>
      <c r="Q71" s="62"/>
      <c r="R71" s="62"/>
      <c r="S71" s="62"/>
      <c r="T71" s="62"/>
      <c r="U71" s="62"/>
      <c r="V71" s="62"/>
      <c r="W71" s="62"/>
      <c r="X71" s="62"/>
      <c r="Y71" s="62"/>
      <c r="Z71" s="62"/>
      <c r="AA71" s="62"/>
      <c r="AB71" s="62"/>
      <c r="AC71" s="62"/>
    </row>
    <row r="72">
      <c r="A72" s="61"/>
      <c r="B72" s="61"/>
      <c r="C72" s="62"/>
      <c r="D72" s="62"/>
      <c r="E72" s="62"/>
      <c r="F72" s="62"/>
      <c r="G72" s="62"/>
      <c r="H72" s="190"/>
      <c r="I72" s="62"/>
      <c r="J72" s="62"/>
      <c r="K72" s="62"/>
      <c r="L72" s="62"/>
      <c r="M72" s="62"/>
      <c r="N72" s="62"/>
      <c r="O72" s="62"/>
      <c r="P72" s="62"/>
      <c r="Q72" s="62"/>
      <c r="R72" s="62"/>
      <c r="S72" s="62"/>
      <c r="T72" s="62"/>
      <c r="U72" s="62"/>
      <c r="V72" s="62"/>
      <c r="W72" s="62"/>
      <c r="X72" s="62"/>
      <c r="Y72" s="62"/>
      <c r="Z72" s="62"/>
      <c r="AA72" s="62"/>
      <c r="AB72" s="62"/>
      <c r="AC72" s="62"/>
    </row>
    <row r="73">
      <c r="A73" s="61"/>
      <c r="B73" s="61"/>
      <c r="C73" s="62"/>
      <c r="D73" s="62"/>
      <c r="E73" s="62"/>
      <c r="F73" s="62"/>
      <c r="G73" s="62"/>
      <c r="H73" s="190"/>
      <c r="I73" s="62"/>
      <c r="J73" s="62"/>
      <c r="K73" s="62"/>
      <c r="L73" s="62"/>
      <c r="M73" s="62"/>
      <c r="N73" s="62"/>
      <c r="O73" s="62"/>
      <c r="P73" s="62"/>
      <c r="Q73" s="62"/>
      <c r="R73" s="62"/>
      <c r="S73" s="62"/>
      <c r="T73" s="62"/>
      <c r="U73" s="62"/>
      <c r="V73" s="62"/>
      <c r="W73" s="62"/>
      <c r="X73" s="62"/>
      <c r="Y73" s="62"/>
      <c r="Z73" s="62"/>
      <c r="AA73" s="62"/>
      <c r="AB73" s="62"/>
      <c r="AC73" s="62"/>
    </row>
    <row r="74">
      <c r="A74" s="61"/>
      <c r="B74" s="61"/>
      <c r="C74" s="62"/>
      <c r="D74" s="62"/>
      <c r="E74" s="62"/>
      <c r="F74" s="62"/>
      <c r="G74" s="62"/>
      <c r="H74" s="190"/>
      <c r="I74" s="62"/>
      <c r="J74" s="62"/>
      <c r="K74" s="62"/>
      <c r="L74" s="62"/>
      <c r="M74" s="62"/>
      <c r="N74" s="62"/>
      <c r="O74" s="62"/>
      <c r="P74" s="62"/>
      <c r="Q74" s="62"/>
      <c r="R74" s="62"/>
      <c r="S74" s="62"/>
      <c r="T74" s="62"/>
      <c r="U74" s="62"/>
      <c r="V74" s="62"/>
      <c r="W74" s="62"/>
      <c r="X74" s="62"/>
      <c r="Y74" s="62"/>
      <c r="Z74" s="62"/>
      <c r="AA74" s="62"/>
      <c r="AB74" s="62"/>
      <c r="AC74" s="62"/>
    </row>
    <row r="75">
      <c r="A75" s="61"/>
      <c r="B75" s="61"/>
      <c r="C75" s="62"/>
      <c r="D75" s="62"/>
      <c r="E75" s="62"/>
      <c r="F75" s="62"/>
      <c r="G75" s="62"/>
      <c r="H75" s="190"/>
      <c r="I75" s="62"/>
      <c r="J75" s="62"/>
      <c r="K75" s="62"/>
      <c r="L75" s="62"/>
      <c r="M75" s="62"/>
      <c r="N75" s="62"/>
      <c r="O75" s="62"/>
      <c r="P75" s="62"/>
      <c r="Q75" s="62"/>
      <c r="R75" s="62"/>
      <c r="S75" s="62"/>
      <c r="T75" s="62"/>
      <c r="U75" s="62"/>
      <c r="V75" s="62"/>
      <c r="W75" s="62"/>
      <c r="X75" s="62"/>
      <c r="Y75" s="62"/>
      <c r="Z75" s="62"/>
      <c r="AA75" s="62"/>
      <c r="AB75" s="62"/>
      <c r="AC75" s="62"/>
    </row>
    <row r="76">
      <c r="A76" s="61"/>
      <c r="B76" s="61"/>
      <c r="C76" s="62"/>
      <c r="D76" s="62"/>
      <c r="E76" s="62"/>
      <c r="F76" s="62"/>
      <c r="G76" s="62"/>
      <c r="H76" s="190"/>
      <c r="I76" s="62"/>
      <c r="J76" s="62"/>
      <c r="K76" s="62"/>
      <c r="L76" s="62"/>
      <c r="M76" s="62"/>
      <c r="N76" s="62"/>
      <c r="O76" s="62"/>
      <c r="P76" s="62"/>
      <c r="Q76" s="62"/>
      <c r="R76" s="62"/>
      <c r="S76" s="62"/>
      <c r="T76" s="62"/>
      <c r="U76" s="62"/>
      <c r="V76" s="62"/>
      <c r="W76" s="62"/>
      <c r="X76" s="62"/>
      <c r="Y76" s="62"/>
      <c r="Z76" s="62"/>
      <c r="AA76" s="62"/>
      <c r="AB76" s="62"/>
      <c r="AC76" s="62"/>
    </row>
    <row r="77">
      <c r="A77" s="61"/>
      <c r="B77" s="61"/>
      <c r="C77" s="62"/>
      <c r="D77" s="62"/>
      <c r="E77" s="62"/>
      <c r="F77" s="62"/>
      <c r="G77" s="62"/>
      <c r="H77" s="190"/>
      <c r="I77" s="62"/>
      <c r="J77" s="62"/>
      <c r="K77" s="62"/>
      <c r="L77" s="62"/>
      <c r="M77" s="62"/>
      <c r="N77" s="62"/>
      <c r="O77" s="62"/>
      <c r="P77" s="62"/>
      <c r="Q77" s="62"/>
      <c r="R77" s="62"/>
      <c r="S77" s="62"/>
      <c r="T77" s="62"/>
      <c r="U77" s="62"/>
      <c r="V77" s="62"/>
      <c r="W77" s="62"/>
      <c r="X77" s="62"/>
      <c r="Y77" s="62"/>
      <c r="Z77" s="62"/>
      <c r="AA77" s="62"/>
      <c r="AB77" s="62"/>
      <c r="AC77" s="62"/>
    </row>
    <row r="78">
      <c r="A78" s="61"/>
      <c r="B78" s="61"/>
      <c r="C78" s="62"/>
      <c r="D78" s="62"/>
      <c r="E78" s="62"/>
      <c r="F78" s="62"/>
      <c r="G78" s="62"/>
      <c r="H78" s="190"/>
      <c r="I78" s="62"/>
      <c r="J78" s="62"/>
      <c r="K78" s="62"/>
      <c r="L78" s="62"/>
      <c r="M78" s="62"/>
      <c r="N78" s="62"/>
      <c r="O78" s="62"/>
      <c r="P78" s="62"/>
      <c r="Q78" s="62"/>
      <c r="R78" s="62"/>
      <c r="S78" s="62"/>
      <c r="T78" s="62"/>
      <c r="U78" s="62"/>
      <c r="V78" s="62"/>
      <c r="W78" s="62"/>
      <c r="X78" s="62"/>
      <c r="Y78" s="62"/>
      <c r="Z78" s="62"/>
      <c r="AA78" s="62"/>
      <c r="AB78" s="62"/>
      <c r="AC78" s="62"/>
    </row>
    <row r="79">
      <c r="A79" s="61"/>
      <c r="B79" s="61"/>
      <c r="C79" s="62"/>
      <c r="D79" s="62"/>
      <c r="E79" s="62"/>
      <c r="F79" s="62"/>
      <c r="G79" s="62"/>
      <c r="H79" s="190"/>
      <c r="I79" s="62"/>
      <c r="J79" s="62"/>
      <c r="K79" s="62"/>
      <c r="L79" s="62"/>
      <c r="M79" s="62"/>
      <c r="N79" s="62"/>
      <c r="O79" s="62"/>
      <c r="P79" s="62"/>
      <c r="Q79" s="62"/>
      <c r="R79" s="62"/>
      <c r="S79" s="62"/>
      <c r="T79" s="62"/>
      <c r="U79" s="62"/>
      <c r="V79" s="62"/>
      <c r="W79" s="62"/>
      <c r="X79" s="62"/>
      <c r="Y79" s="62"/>
      <c r="Z79" s="62"/>
      <c r="AA79" s="62"/>
      <c r="AB79" s="62"/>
      <c r="AC79" s="62"/>
    </row>
    <row r="80">
      <c r="A80" s="61"/>
      <c r="B80" s="61"/>
      <c r="C80" s="62"/>
      <c r="D80" s="62"/>
      <c r="E80" s="62"/>
      <c r="F80" s="62"/>
      <c r="G80" s="62"/>
      <c r="H80" s="190"/>
      <c r="I80" s="62"/>
      <c r="J80" s="62"/>
      <c r="K80" s="62"/>
      <c r="L80" s="62"/>
      <c r="M80" s="62"/>
      <c r="N80" s="62"/>
      <c r="O80" s="62"/>
      <c r="P80" s="62"/>
      <c r="Q80" s="62"/>
      <c r="R80" s="62"/>
      <c r="S80" s="62"/>
      <c r="T80" s="62"/>
      <c r="U80" s="62"/>
      <c r="V80" s="62"/>
      <c r="W80" s="62"/>
      <c r="X80" s="62"/>
      <c r="Y80" s="62"/>
      <c r="Z80" s="62"/>
      <c r="AA80" s="62"/>
      <c r="AB80" s="62"/>
      <c r="AC80" s="62"/>
    </row>
    <row r="81">
      <c r="A81" s="61"/>
      <c r="B81" s="61"/>
      <c r="C81" s="62"/>
      <c r="D81" s="62"/>
      <c r="E81" s="62"/>
      <c r="F81" s="62"/>
      <c r="G81" s="62"/>
      <c r="H81" s="190"/>
      <c r="I81" s="62"/>
      <c r="J81" s="62"/>
      <c r="K81" s="62"/>
      <c r="L81" s="62"/>
      <c r="M81" s="62"/>
      <c r="N81" s="62"/>
      <c r="O81" s="62"/>
      <c r="P81" s="62"/>
      <c r="Q81" s="62"/>
      <c r="R81" s="62"/>
      <c r="S81" s="62"/>
      <c r="T81" s="62"/>
      <c r="U81" s="62"/>
      <c r="V81" s="62"/>
      <c r="W81" s="62"/>
      <c r="X81" s="62"/>
      <c r="Y81" s="62"/>
      <c r="Z81" s="62"/>
      <c r="AA81" s="62"/>
      <c r="AB81" s="62"/>
      <c r="AC81" s="62"/>
    </row>
    <row r="82">
      <c r="A82" s="61"/>
      <c r="B82" s="61"/>
      <c r="C82" s="62"/>
      <c r="D82" s="62"/>
      <c r="E82" s="62"/>
      <c r="F82" s="62"/>
      <c r="G82" s="62"/>
      <c r="H82" s="190"/>
      <c r="I82" s="62"/>
      <c r="J82" s="62"/>
      <c r="K82" s="62"/>
      <c r="L82" s="62"/>
      <c r="M82" s="62"/>
      <c r="N82" s="62"/>
      <c r="O82" s="62"/>
      <c r="P82" s="62"/>
      <c r="Q82" s="62"/>
      <c r="R82" s="62"/>
      <c r="S82" s="62"/>
      <c r="T82" s="62"/>
      <c r="U82" s="62"/>
      <c r="V82" s="62"/>
      <c r="W82" s="62"/>
      <c r="X82" s="62"/>
      <c r="Y82" s="62"/>
      <c r="Z82" s="62"/>
      <c r="AA82" s="62"/>
      <c r="AB82" s="62"/>
      <c r="AC82" s="62"/>
    </row>
    <row r="83">
      <c r="A83" s="61"/>
      <c r="B83" s="61"/>
      <c r="C83" s="62"/>
      <c r="D83" s="62"/>
      <c r="E83" s="62"/>
      <c r="F83" s="62"/>
      <c r="G83" s="62"/>
      <c r="H83" s="190"/>
      <c r="I83" s="62"/>
      <c r="J83" s="62"/>
      <c r="K83" s="62"/>
      <c r="L83" s="62"/>
      <c r="M83" s="62"/>
      <c r="N83" s="62"/>
      <c r="O83" s="62"/>
      <c r="P83" s="62"/>
      <c r="Q83" s="62"/>
      <c r="R83" s="62"/>
      <c r="S83" s="62"/>
      <c r="T83" s="62"/>
      <c r="U83" s="62"/>
      <c r="V83" s="62"/>
      <c r="W83" s="62"/>
      <c r="X83" s="62"/>
      <c r="Y83" s="62"/>
      <c r="Z83" s="62"/>
      <c r="AA83" s="62"/>
      <c r="AB83" s="62"/>
      <c r="AC83" s="62"/>
    </row>
    <row r="84">
      <c r="A84" s="61"/>
      <c r="B84" s="61"/>
      <c r="C84" s="62"/>
      <c r="D84" s="62"/>
      <c r="E84" s="62"/>
      <c r="F84" s="62"/>
      <c r="G84" s="62"/>
      <c r="H84" s="190"/>
      <c r="I84" s="62"/>
      <c r="J84" s="62"/>
      <c r="K84" s="62"/>
      <c r="L84" s="62"/>
      <c r="M84" s="62"/>
      <c r="N84" s="62"/>
      <c r="O84" s="62"/>
      <c r="P84" s="62"/>
      <c r="Q84" s="62"/>
      <c r="R84" s="62"/>
      <c r="S84" s="62"/>
      <c r="T84" s="62"/>
      <c r="U84" s="62"/>
      <c r="V84" s="62"/>
      <c r="W84" s="62"/>
      <c r="X84" s="62"/>
      <c r="Y84" s="62"/>
      <c r="Z84" s="62"/>
      <c r="AA84" s="62"/>
      <c r="AB84" s="62"/>
      <c r="AC84" s="62"/>
    </row>
    <row r="85">
      <c r="A85" s="61"/>
      <c r="B85" s="61"/>
      <c r="C85" s="62"/>
      <c r="D85" s="62"/>
      <c r="E85" s="62"/>
      <c r="F85" s="62"/>
      <c r="G85" s="62"/>
      <c r="H85" s="190"/>
      <c r="I85" s="62"/>
      <c r="J85" s="62"/>
      <c r="K85" s="62"/>
      <c r="L85" s="62"/>
      <c r="M85" s="62"/>
      <c r="N85" s="62"/>
      <c r="O85" s="62"/>
      <c r="P85" s="62"/>
      <c r="Q85" s="62"/>
      <c r="R85" s="62"/>
      <c r="S85" s="62"/>
      <c r="T85" s="62"/>
      <c r="U85" s="62"/>
      <c r="V85" s="62"/>
      <c r="W85" s="62"/>
      <c r="X85" s="62"/>
      <c r="Y85" s="62"/>
      <c r="Z85" s="62"/>
      <c r="AA85" s="62"/>
      <c r="AB85" s="62"/>
      <c r="AC85" s="62"/>
    </row>
    <row r="86">
      <c r="A86" s="61"/>
      <c r="B86" s="61"/>
      <c r="C86" s="62"/>
      <c r="D86" s="62"/>
      <c r="E86" s="62"/>
      <c r="F86" s="62"/>
      <c r="G86" s="62"/>
      <c r="H86" s="190"/>
      <c r="I86" s="62"/>
      <c r="J86" s="62"/>
      <c r="K86" s="62"/>
      <c r="L86" s="62"/>
      <c r="M86" s="62"/>
      <c r="N86" s="62"/>
      <c r="O86" s="62"/>
      <c r="P86" s="62"/>
      <c r="Q86" s="62"/>
      <c r="R86" s="62"/>
      <c r="S86" s="62"/>
      <c r="T86" s="62"/>
      <c r="U86" s="62"/>
      <c r="V86" s="62"/>
      <c r="W86" s="62"/>
      <c r="X86" s="62"/>
      <c r="Y86" s="62"/>
      <c r="Z86" s="62"/>
      <c r="AA86" s="62"/>
      <c r="AB86" s="62"/>
      <c r="AC86" s="62"/>
    </row>
    <row r="87">
      <c r="A87" s="61"/>
      <c r="B87" s="61"/>
      <c r="C87" s="62"/>
      <c r="D87" s="62"/>
      <c r="E87" s="62"/>
      <c r="F87" s="62"/>
      <c r="G87" s="62"/>
      <c r="H87" s="190"/>
      <c r="I87" s="62"/>
      <c r="J87" s="62"/>
      <c r="K87" s="62"/>
      <c r="L87" s="62"/>
      <c r="M87" s="62"/>
      <c r="N87" s="62"/>
      <c r="O87" s="62"/>
      <c r="P87" s="62"/>
      <c r="Q87" s="62"/>
      <c r="R87" s="62"/>
      <c r="S87" s="62"/>
      <c r="T87" s="62"/>
      <c r="U87" s="62"/>
      <c r="V87" s="62"/>
      <c r="W87" s="62"/>
      <c r="X87" s="62"/>
      <c r="Y87" s="62"/>
      <c r="Z87" s="62"/>
      <c r="AA87" s="62"/>
      <c r="AB87" s="62"/>
      <c r="AC87" s="62"/>
    </row>
    <row r="88">
      <c r="A88" s="61"/>
      <c r="B88" s="61"/>
      <c r="C88" s="62"/>
      <c r="D88" s="62"/>
      <c r="E88" s="62"/>
      <c r="F88" s="62"/>
      <c r="G88" s="62"/>
      <c r="H88" s="190"/>
      <c r="I88" s="62"/>
      <c r="J88" s="62"/>
      <c r="K88" s="62"/>
      <c r="L88" s="62"/>
      <c r="M88" s="62"/>
      <c r="N88" s="62"/>
      <c r="O88" s="62"/>
      <c r="P88" s="62"/>
      <c r="Q88" s="62"/>
      <c r="R88" s="62"/>
      <c r="S88" s="62"/>
      <c r="T88" s="62"/>
      <c r="U88" s="62"/>
      <c r="V88" s="62"/>
      <c r="W88" s="62"/>
      <c r="X88" s="62"/>
      <c r="Y88" s="62"/>
      <c r="Z88" s="62"/>
      <c r="AA88" s="62"/>
      <c r="AB88" s="62"/>
      <c r="AC88" s="62"/>
    </row>
    <row r="89">
      <c r="A89" s="61"/>
      <c r="B89" s="61"/>
      <c r="C89" s="62"/>
      <c r="D89" s="62"/>
      <c r="E89" s="62"/>
      <c r="F89" s="62"/>
      <c r="G89" s="62"/>
      <c r="H89" s="190"/>
      <c r="I89" s="62"/>
      <c r="J89" s="62"/>
      <c r="K89" s="62"/>
      <c r="L89" s="62"/>
      <c r="M89" s="62"/>
      <c r="N89" s="62"/>
      <c r="O89" s="62"/>
      <c r="P89" s="62"/>
      <c r="Q89" s="62"/>
      <c r="R89" s="62"/>
      <c r="S89" s="62"/>
      <c r="T89" s="62"/>
      <c r="U89" s="62"/>
      <c r="V89" s="62"/>
      <c r="W89" s="62"/>
      <c r="X89" s="62"/>
      <c r="Y89" s="62"/>
      <c r="Z89" s="62"/>
      <c r="AA89" s="62"/>
      <c r="AB89" s="62"/>
      <c r="AC89" s="62"/>
    </row>
    <row r="90">
      <c r="A90" s="61"/>
      <c r="B90" s="61"/>
      <c r="C90" s="62"/>
      <c r="D90" s="62"/>
      <c r="E90" s="62"/>
      <c r="F90" s="62"/>
      <c r="G90" s="62"/>
      <c r="H90" s="190"/>
      <c r="I90" s="62"/>
      <c r="J90" s="62"/>
      <c r="K90" s="62"/>
      <c r="L90" s="62"/>
      <c r="M90" s="62"/>
      <c r="N90" s="62"/>
      <c r="O90" s="62"/>
      <c r="P90" s="62"/>
      <c r="Q90" s="62"/>
      <c r="R90" s="62"/>
      <c r="S90" s="62"/>
      <c r="T90" s="62"/>
      <c r="U90" s="62"/>
      <c r="V90" s="62"/>
      <c r="W90" s="62"/>
      <c r="X90" s="62"/>
      <c r="Y90" s="62"/>
      <c r="Z90" s="62"/>
      <c r="AA90" s="62"/>
      <c r="AB90" s="62"/>
      <c r="AC90" s="62"/>
    </row>
    <row r="91">
      <c r="A91" s="61"/>
      <c r="B91" s="61"/>
      <c r="C91" s="62"/>
      <c r="D91" s="62"/>
      <c r="E91" s="62"/>
      <c r="F91" s="62"/>
      <c r="G91" s="62"/>
      <c r="H91" s="190"/>
      <c r="I91" s="62"/>
      <c r="J91" s="62"/>
      <c r="K91" s="62"/>
      <c r="L91" s="62"/>
      <c r="M91" s="62"/>
      <c r="N91" s="62"/>
      <c r="O91" s="62"/>
      <c r="P91" s="62"/>
      <c r="Q91" s="62"/>
      <c r="R91" s="62"/>
      <c r="S91" s="62"/>
      <c r="T91" s="62"/>
      <c r="U91" s="62"/>
      <c r="V91" s="62"/>
      <c r="W91" s="62"/>
      <c r="X91" s="62"/>
      <c r="Y91" s="62"/>
      <c r="Z91" s="62"/>
      <c r="AA91" s="62"/>
      <c r="AB91" s="62"/>
      <c r="AC91" s="62"/>
    </row>
    <row r="92">
      <c r="A92" s="61"/>
      <c r="B92" s="61"/>
      <c r="C92" s="62"/>
      <c r="D92" s="62"/>
      <c r="E92" s="62"/>
      <c r="F92" s="62"/>
      <c r="G92" s="62"/>
      <c r="H92" s="190"/>
      <c r="I92" s="62"/>
      <c r="J92" s="62"/>
      <c r="K92" s="62"/>
      <c r="L92" s="62"/>
      <c r="M92" s="62"/>
      <c r="N92" s="62"/>
      <c r="O92" s="62"/>
      <c r="P92" s="62"/>
      <c r="Q92" s="62"/>
      <c r="R92" s="62"/>
      <c r="S92" s="62"/>
      <c r="T92" s="62"/>
      <c r="U92" s="62"/>
      <c r="V92" s="62"/>
      <c r="W92" s="62"/>
      <c r="X92" s="62"/>
      <c r="Y92" s="62"/>
      <c r="Z92" s="62"/>
      <c r="AA92" s="62"/>
      <c r="AB92" s="62"/>
      <c r="AC92" s="62"/>
    </row>
    <row r="93">
      <c r="A93" s="61"/>
      <c r="B93" s="61"/>
      <c r="C93" s="62"/>
      <c r="D93" s="62"/>
      <c r="E93" s="62"/>
      <c r="F93" s="62"/>
      <c r="G93" s="62"/>
      <c r="H93" s="190"/>
      <c r="I93" s="62"/>
      <c r="J93" s="62"/>
      <c r="K93" s="62"/>
      <c r="L93" s="62"/>
      <c r="M93" s="62"/>
      <c r="N93" s="62"/>
      <c r="O93" s="62"/>
      <c r="P93" s="62"/>
      <c r="Q93" s="62"/>
      <c r="R93" s="62"/>
      <c r="S93" s="62"/>
      <c r="T93" s="62"/>
      <c r="U93" s="62"/>
      <c r="V93" s="62"/>
      <c r="W93" s="62"/>
      <c r="X93" s="62"/>
      <c r="Y93" s="62"/>
      <c r="Z93" s="62"/>
      <c r="AA93" s="62"/>
      <c r="AB93" s="62"/>
      <c r="AC93" s="62"/>
    </row>
    <row r="94">
      <c r="A94" s="61"/>
      <c r="B94" s="61"/>
      <c r="C94" s="62"/>
      <c r="D94" s="62"/>
      <c r="E94" s="62"/>
      <c r="F94" s="62"/>
      <c r="G94" s="62"/>
      <c r="H94" s="190"/>
      <c r="I94" s="62"/>
      <c r="J94" s="62"/>
      <c r="K94" s="62"/>
      <c r="L94" s="62"/>
      <c r="M94" s="62"/>
      <c r="N94" s="62"/>
      <c r="O94" s="62"/>
      <c r="P94" s="62"/>
      <c r="Q94" s="62"/>
      <c r="R94" s="62"/>
      <c r="S94" s="62"/>
      <c r="T94" s="62"/>
      <c r="U94" s="62"/>
      <c r="V94" s="62"/>
      <c r="W94" s="62"/>
      <c r="X94" s="62"/>
      <c r="Y94" s="62"/>
      <c r="Z94" s="62"/>
      <c r="AA94" s="62"/>
      <c r="AB94" s="62"/>
      <c r="AC94" s="62"/>
    </row>
    <row r="95">
      <c r="A95" s="61"/>
      <c r="B95" s="61"/>
      <c r="C95" s="62"/>
      <c r="D95" s="62"/>
      <c r="E95" s="62"/>
      <c r="F95" s="62"/>
      <c r="G95" s="62"/>
      <c r="H95" s="190"/>
      <c r="I95" s="62"/>
      <c r="J95" s="62"/>
      <c r="K95" s="62"/>
      <c r="L95" s="62"/>
      <c r="M95" s="62"/>
      <c r="N95" s="62"/>
      <c r="O95" s="62"/>
      <c r="P95" s="62"/>
      <c r="Q95" s="62"/>
      <c r="R95" s="62"/>
      <c r="S95" s="62"/>
      <c r="T95" s="62"/>
      <c r="U95" s="62"/>
      <c r="V95" s="62"/>
      <c r="W95" s="62"/>
      <c r="X95" s="62"/>
      <c r="Y95" s="62"/>
      <c r="Z95" s="62"/>
      <c r="AA95" s="62"/>
      <c r="AB95" s="62"/>
      <c r="AC95" s="62"/>
    </row>
    <row r="96">
      <c r="A96" s="61"/>
      <c r="B96" s="61"/>
      <c r="C96" s="62"/>
      <c r="D96" s="62"/>
      <c r="E96" s="62"/>
      <c r="F96" s="62"/>
      <c r="G96" s="62"/>
      <c r="H96" s="190"/>
      <c r="I96" s="62"/>
      <c r="J96" s="62"/>
      <c r="K96" s="62"/>
      <c r="L96" s="62"/>
      <c r="M96" s="62"/>
      <c r="N96" s="62"/>
      <c r="O96" s="62"/>
      <c r="P96" s="62"/>
      <c r="Q96" s="62"/>
      <c r="R96" s="62"/>
      <c r="S96" s="62"/>
      <c r="T96" s="62"/>
      <c r="U96" s="62"/>
      <c r="V96" s="62"/>
      <c r="W96" s="62"/>
      <c r="X96" s="62"/>
      <c r="Y96" s="62"/>
      <c r="Z96" s="62"/>
      <c r="AA96" s="62"/>
      <c r="AB96" s="62"/>
      <c r="AC96" s="62"/>
    </row>
    <row r="97">
      <c r="A97" s="61"/>
      <c r="B97" s="61"/>
      <c r="C97" s="62"/>
      <c r="D97" s="62"/>
      <c r="E97" s="62"/>
      <c r="F97" s="62"/>
      <c r="G97" s="62"/>
      <c r="H97" s="190"/>
      <c r="I97" s="62"/>
      <c r="J97" s="62"/>
      <c r="K97" s="62"/>
      <c r="L97" s="62"/>
      <c r="M97" s="62"/>
      <c r="N97" s="62"/>
      <c r="O97" s="62"/>
      <c r="P97" s="62"/>
      <c r="Q97" s="62"/>
      <c r="R97" s="62"/>
      <c r="S97" s="62"/>
      <c r="T97" s="62"/>
      <c r="U97" s="62"/>
      <c r="V97" s="62"/>
      <c r="W97" s="62"/>
      <c r="X97" s="62"/>
      <c r="Y97" s="62"/>
      <c r="Z97" s="62"/>
      <c r="AA97" s="62"/>
      <c r="AB97" s="62"/>
      <c r="AC97" s="62"/>
    </row>
    <row r="98">
      <c r="A98" s="61"/>
      <c r="B98" s="61"/>
      <c r="C98" s="62"/>
      <c r="D98" s="62"/>
      <c r="E98" s="62"/>
      <c r="F98" s="62"/>
      <c r="G98" s="62"/>
      <c r="H98" s="190"/>
      <c r="I98" s="62"/>
      <c r="J98" s="62"/>
      <c r="K98" s="62"/>
      <c r="L98" s="62"/>
      <c r="M98" s="62"/>
      <c r="N98" s="62"/>
      <c r="O98" s="62"/>
      <c r="P98" s="62"/>
      <c r="Q98" s="62"/>
      <c r="R98" s="62"/>
      <c r="S98" s="62"/>
      <c r="T98" s="62"/>
      <c r="U98" s="62"/>
      <c r="V98" s="62"/>
      <c r="W98" s="62"/>
      <c r="X98" s="62"/>
      <c r="Y98" s="62"/>
      <c r="Z98" s="62"/>
      <c r="AA98" s="62"/>
      <c r="AB98" s="62"/>
      <c r="AC98" s="62"/>
    </row>
    <row r="99">
      <c r="A99" s="61"/>
      <c r="B99" s="61"/>
      <c r="C99" s="62"/>
      <c r="D99" s="62"/>
      <c r="E99" s="62"/>
      <c r="F99" s="62"/>
      <c r="G99" s="62"/>
      <c r="H99" s="190"/>
      <c r="I99" s="62"/>
      <c r="J99" s="62"/>
      <c r="K99" s="62"/>
      <c r="L99" s="62"/>
      <c r="M99" s="62"/>
      <c r="N99" s="62"/>
      <c r="O99" s="62"/>
      <c r="P99" s="62"/>
      <c r="Q99" s="62"/>
      <c r="R99" s="62"/>
      <c r="S99" s="62"/>
      <c r="T99" s="62"/>
      <c r="U99" s="62"/>
      <c r="V99" s="62"/>
      <c r="W99" s="62"/>
      <c r="X99" s="62"/>
      <c r="Y99" s="62"/>
      <c r="Z99" s="62"/>
      <c r="AA99" s="62"/>
      <c r="AB99" s="62"/>
      <c r="AC99" s="62"/>
    </row>
    <row r="100">
      <c r="A100" s="61"/>
      <c r="B100" s="61"/>
      <c r="C100" s="62"/>
      <c r="D100" s="62"/>
      <c r="E100" s="62"/>
      <c r="F100" s="62"/>
      <c r="G100" s="62"/>
      <c r="H100" s="190"/>
      <c r="I100" s="62"/>
      <c r="J100" s="62"/>
      <c r="K100" s="62"/>
      <c r="L100" s="62"/>
      <c r="M100" s="62"/>
      <c r="N100" s="62"/>
      <c r="O100" s="62"/>
      <c r="P100" s="62"/>
      <c r="Q100" s="62"/>
      <c r="R100" s="62"/>
      <c r="S100" s="62"/>
      <c r="T100" s="62"/>
      <c r="U100" s="62"/>
      <c r="V100" s="62"/>
      <c r="W100" s="62"/>
      <c r="X100" s="62"/>
      <c r="Y100" s="62"/>
      <c r="Z100" s="62"/>
      <c r="AA100" s="62"/>
      <c r="AB100" s="62"/>
      <c r="AC100" s="62"/>
    </row>
    <row r="101">
      <c r="A101" s="61"/>
      <c r="B101" s="61"/>
      <c r="C101" s="62"/>
      <c r="D101" s="62"/>
      <c r="E101" s="62"/>
      <c r="F101" s="62"/>
      <c r="G101" s="62"/>
      <c r="H101" s="190"/>
      <c r="I101" s="62"/>
      <c r="J101" s="62"/>
      <c r="K101" s="62"/>
      <c r="L101" s="62"/>
      <c r="M101" s="62"/>
      <c r="N101" s="62"/>
      <c r="O101" s="62"/>
      <c r="P101" s="62"/>
      <c r="Q101" s="62"/>
      <c r="R101" s="62"/>
      <c r="S101" s="62"/>
      <c r="T101" s="62"/>
      <c r="U101" s="62"/>
      <c r="V101" s="62"/>
      <c r="W101" s="62"/>
      <c r="X101" s="62"/>
      <c r="Y101" s="62"/>
      <c r="Z101" s="62"/>
      <c r="AA101" s="62"/>
      <c r="AB101" s="62"/>
      <c r="AC101" s="62"/>
    </row>
    <row r="102">
      <c r="A102" s="61"/>
      <c r="B102" s="61"/>
      <c r="C102" s="62"/>
      <c r="D102" s="62"/>
      <c r="E102" s="62"/>
      <c r="F102" s="62"/>
      <c r="G102" s="62"/>
      <c r="H102" s="190"/>
      <c r="I102" s="62"/>
      <c r="J102" s="62"/>
      <c r="K102" s="62"/>
      <c r="L102" s="62"/>
      <c r="M102" s="62"/>
      <c r="N102" s="62"/>
      <c r="O102" s="62"/>
      <c r="P102" s="62"/>
      <c r="Q102" s="62"/>
      <c r="R102" s="62"/>
      <c r="S102" s="62"/>
      <c r="T102" s="62"/>
      <c r="U102" s="62"/>
      <c r="V102" s="62"/>
      <c r="W102" s="62"/>
      <c r="X102" s="62"/>
      <c r="Y102" s="62"/>
      <c r="Z102" s="62"/>
      <c r="AA102" s="62"/>
      <c r="AB102" s="62"/>
      <c r="AC102" s="62"/>
    </row>
    <row r="103">
      <c r="A103" s="61"/>
      <c r="B103" s="61"/>
      <c r="C103" s="62"/>
      <c r="D103" s="62"/>
      <c r="E103" s="62"/>
      <c r="F103" s="62"/>
      <c r="G103" s="62"/>
      <c r="H103" s="190"/>
      <c r="I103" s="62"/>
      <c r="J103" s="62"/>
      <c r="K103" s="62"/>
      <c r="L103" s="62"/>
      <c r="M103" s="62"/>
      <c r="N103" s="62"/>
      <c r="O103" s="62"/>
      <c r="P103" s="62"/>
      <c r="Q103" s="62"/>
      <c r="R103" s="62"/>
      <c r="S103" s="62"/>
      <c r="T103" s="62"/>
      <c r="U103" s="62"/>
      <c r="V103" s="62"/>
      <c r="W103" s="62"/>
      <c r="X103" s="62"/>
      <c r="Y103" s="62"/>
      <c r="Z103" s="62"/>
      <c r="AA103" s="62"/>
      <c r="AB103" s="62"/>
      <c r="AC103" s="62"/>
    </row>
    <row r="104">
      <c r="A104" s="61"/>
      <c r="B104" s="61"/>
      <c r="C104" s="62"/>
      <c r="D104" s="62"/>
      <c r="E104" s="62"/>
      <c r="F104" s="62"/>
      <c r="G104" s="62"/>
      <c r="H104" s="190"/>
      <c r="I104" s="62"/>
      <c r="J104" s="62"/>
      <c r="K104" s="62"/>
      <c r="L104" s="62"/>
      <c r="M104" s="62"/>
      <c r="N104" s="62"/>
      <c r="O104" s="62"/>
      <c r="P104" s="62"/>
      <c r="Q104" s="62"/>
      <c r="R104" s="62"/>
      <c r="S104" s="62"/>
      <c r="T104" s="62"/>
      <c r="U104" s="62"/>
      <c r="V104" s="62"/>
      <c r="W104" s="62"/>
      <c r="X104" s="62"/>
      <c r="Y104" s="62"/>
      <c r="Z104" s="62"/>
      <c r="AA104" s="62"/>
      <c r="AB104" s="62"/>
      <c r="AC104" s="62"/>
    </row>
    <row r="105">
      <c r="A105" s="61"/>
      <c r="B105" s="61"/>
      <c r="C105" s="62"/>
      <c r="D105" s="62"/>
      <c r="E105" s="62"/>
      <c r="F105" s="62"/>
      <c r="G105" s="62"/>
      <c r="H105" s="190"/>
      <c r="I105" s="62"/>
      <c r="J105" s="62"/>
      <c r="K105" s="62"/>
      <c r="L105" s="62"/>
      <c r="M105" s="62"/>
      <c r="N105" s="62"/>
      <c r="O105" s="62"/>
      <c r="P105" s="62"/>
      <c r="Q105" s="62"/>
      <c r="R105" s="62"/>
      <c r="S105" s="62"/>
      <c r="T105" s="62"/>
      <c r="U105" s="62"/>
      <c r="V105" s="62"/>
      <c r="W105" s="62"/>
      <c r="X105" s="62"/>
      <c r="Y105" s="62"/>
      <c r="Z105" s="62"/>
      <c r="AA105" s="62"/>
      <c r="AB105" s="62"/>
      <c r="AC105" s="62"/>
    </row>
    <row r="106">
      <c r="A106" s="61"/>
      <c r="B106" s="61"/>
      <c r="C106" s="62"/>
      <c r="D106" s="62"/>
      <c r="E106" s="62"/>
      <c r="F106" s="62"/>
      <c r="G106" s="62"/>
      <c r="H106" s="190"/>
      <c r="I106" s="62"/>
      <c r="J106" s="62"/>
      <c r="K106" s="62"/>
      <c r="L106" s="62"/>
      <c r="M106" s="62"/>
      <c r="N106" s="62"/>
      <c r="O106" s="62"/>
      <c r="P106" s="62"/>
      <c r="Q106" s="62"/>
      <c r="R106" s="62"/>
      <c r="S106" s="62"/>
      <c r="T106" s="62"/>
      <c r="U106" s="62"/>
      <c r="V106" s="62"/>
      <c r="W106" s="62"/>
      <c r="X106" s="62"/>
      <c r="Y106" s="62"/>
      <c r="Z106" s="62"/>
      <c r="AA106" s="62"/>
      <c r="AB106" s="62"/>
      <c r="AC106" s="62"/>
    </row>
    <row r="107">
      <c r="A107" s="61"/>
      <c r="B107" s="61"/>
      <c r="C107" s="62"/>
      <c r="D107" s="62"/>
      <c r="E107" s="62"/>
      <c r="F107" s="62"/>
      <c r="G107" s="62"/>
      <c r="H107" s="190"/>
      <c r="I107" s="62"/>
      <c r="J107" s="62"/>
      <c r="K107" s="62"/>
      <c r="L107" s="62"/>
      <c r="M107" s="62"/>
      <c r="N107" s="62"/>
      <c r="O107" s="62"/>
      <c r="P107" s="62"/>
      <c r="Q107" s="62"/>
      <c r="R107" s="62"/>
      <c r="S107" s="62"/>
      <c r="T107" s="62"/>
      <c r="U107" s="62"/>
      <c r="V107" s="62"/>
      <c r="W107" s="62"/>
      <c r="X107" s="62"/>
      <c r="Y107" s="62"/>
      <c r="Z107" s="62"/>
      <c r="AA107" s="62"/>
      <c r="AB107" s="62"/>
      <c r="AC107" s="62"/>
    </row>
    <row r="108">
      <c r="A108" s="61"/>
      <c r="B108" s="61"/>
      <c r="C108" s="62"/>
      <c r="D108" s="62"/>
      <c r="E108" s="62"/>
      <c r="F108" s="62"/>
      <c r="G108" s="62"/>
      <c r="H108" s="190"/>
      <c r="I108" s="62"/>
      <c r="J108" s="62"/>
      <c r="K108" s="62"/>
      <c r="L108" s="62"/>
      <c r="M108" s="62"/>
      <c r="N108" s="62"/>
      <c r="O108" s="62"/>
      <c r="P108" s="62"/>
      <c r="Q108" s="62"/>
      <c r="R108" s="62"/>
      <c r="S108" s="62"/>
      <c r="T108" s="62"/>
      <c r="U108" s="62"/>
      <c r="V108" s="62"/>
      <c r="W108" s="62"/>
      <c r="X108" s="62"/>
      <c r="Y108" s="62"/>
      <c r="Z108" s="62"/>
      <c r="AA108" s="62"/>
      <c r="AB108" s="62"/>
      <c r="AC108" s="62"/>
    </row>
    <row r="109">
      <c r="A109" s="61"/>
      <c r="B109" s="61"/>
      <c r="C109" s="62"/>
      <c r="D109" s="62"/>
      <c r="E109" s="62"/>
      <c r="F109" s="62"/>
      <c r="G109" s="62"/>
      <c r="H109" s="190"/>
      <c r="I109" s="62"/>
      <c r="J109" s="62"/>
      <c r="K109" s="62"/>
      <c r="L109" s="62"/>
      <c r="M109" s="62"/>
      <c r="N109" s="62"/>
      <c r="O109" s="62"/>
      <c r="P109" s="62"/>
      <c r="Q109" s="62"/>
      <c r="R109" s="62"/>
      <c r="S109" s="62"/>
      <c r="T109" s="62"/>
      <c r="U109" s="62"/>
      <c r="V109" s="62"/>
      <c r="W109" s="62"/>
      <c r="X109" s="62"/>
      <c r="Y109" s="62"/>
      <c r="Z109" s="62"/>
      <c r="AA109" s="62"/>
      <c r="AB109" s="62"/>
      <c r="AC109" s="62"/>
    </row>
    <row r="110">
      <c r="A110" s="61"/>
      <c r="B110" s="61"/>
      <c r="C110" s="62"/>
      <c r="D110" s="62"/>
      <c r="E110" s="62"/>
      <c r="F110" s="62"/>
      <c r="G110" s="62"/>
      <c r="H110" s="190"/>
      <c r="I110" s="62"/>
      <c r="J110" s="62"/>
      <c r="K110" s="62"/>
      <c r="L110" s="62"/>
      <c r="M110" s="62"/>
      <c r="N110" s="62"/>
      <c r="O110" s="62"/>
      <c r="P110" s="62"/>
      <c r="Q110" s="62"/>
      <c r="R110" s="62"/>
      <c r="S110" s="62"/>
      <c r="T110" s="62"/>
      <c r="U110" s="62"/>
      <c r="V110" s="62"/>
      <c r="W110" s="62"/>
      <c r="X110" s="62"/>
      <c r="Y110" s="62"/>
      <c r="Z110" s="62"/>
      <c r="AA110" s="62"/>
      <c r="AB110" s="62"/>
      <c r="AC110" s="62"/>
    </row>
    <row r="111">
      <c r="A111" s="61"/>
      <c r="B111" s="61"/>
      <c r="C111" s="62"/>
      <c r="D111" s="62"/>
      <c r="E111" s="62"/>
      <c r="F111" s="62"/>
      <c r="G111" s="62"/>
      <c r="H111" s="190"/>
      <c r="I111" s="62"/>
      <c r="J111" s="62"/>
      <c r="K111" s="62"/>
      <c r="L111" s="62"/>
      <c r="M111" s="62"/>
      <c r="N111" s="62"/>
      <c r="O111" s="62"/>
      <c r="P111" s="62"/>
      <c r="Q111" s="62"/>
      <c r="R111" s="62"/>
      <c r="S111" s="62"/>
      <c r="T111" s="62"/>
      <c r="U111" s="62"/>
      <c r="V111" s="62"/>
      <c r="W111" s="62"/>
      <c r="X111" s="62"/>
      <c r="Y111" s="62"/>
      <c r="Z111" s="62"/>
      <c r="AA111" s="62"/>
      <c r="AB111" s="62"/>
      <c r="AC111" s="62"/>
    </row>
    <row r="112">
      <c r="A112" s="61"/>
      <c r="B112" s="61"/>
      <c r="C112" s="62"/>
      <c r="D112" s="62"/>
      <c r="E112" s="62"/>
      <c r="F112" s="62"/>
      <c r="G112" s="62"/>
      <c r="H112" s="190"/>
      <c r="I112" s="62"/>
      <c r="J112" s="62"/>
      <c r="K112" s="62"/>
      <c r="L112" s="62"/>
      <c r="M112" s="62"/>
      <c r="N112" s="62"/>
      <c r="O112" s="62"/>
      <c r="P112" s="62"/>
      <c r="Q112" s="62"/>
      <c r="R112" s="62"/>
      <c r="S112" s="62"/>
      <c r="T112" s="62"/>
      <c r="U112" s="62"/>
      <c r="V112" s="62"/>
      <c r="W112" s="62"/>
      <c r="X112" s="62"/>
      <c r="Y112" s="62"/>
      <c r="Z112" s="62"/>
      <c r="AA112" s="62"/>
      <c r="AB112" s="62"/>
      <c r="AC112" s="62"/>
    </row>
    <row r="113">
      <c r="A113" s="61"/>
      <c r="B113" s="61"/>
      <c r="C113" s="62"/>
      <c r="D113" s="62"/>
      <c r="E113" s="62"/>
      <c r="F113" s="62"/>
      <c r="G113" s="62"/>
      <c r="H113" s="190"/>
      <c r="I113" s="62"/>
      <c r="J113" s="62"/>
      <c r="K113" s="62"/>
      <c r="L113" s="62"/>
      <c r="M113" s="62"/>
      <c r="N113" s="62"/>
      <c r="O113" s="62"/>
      <c r="P113" s="62"/>
      <c r="Q113" s="62"/>
      <c r="R113" s="62"/>
      <c r="S113" s="62"/>
      <c r="T113" s="62"/>
      <c r="U113" s="62"/>
      <c r="V113" s="62"/>
      <c r="W113" s="62"/>
      <c r="X113" s="62"/>
      <c r="Y113" s="62"/>
      <c r="Z113" s="62"/>
      <c r="AA113" s="62"/>
      <c r="AB113" s="62"/>
      <c r="AC113" s="62"/>
    </row>
    <row r="114">
      <c r="A114" s="61"/>
      <c r="B114" s="61"/>
      <c r="C114" s="62"/>
      <c r="D114" s="62"/>
      <c r="E114" s="62"/>
      <c r="F114" s="62"/>
      <c r="G114" s="62"/>
      <c r="H114" s="190"/>
      <c r="I114" s="62"/>
      <c r="J114" s="62"/>
      <c r="K114" s="62"/>
      <c r="L114" s="62"/>
      <c r="M114" s="62"/>
      <c r="N114" s="62"/>
      <c r="O114" s="62"/>
      <c r="P114" s="62"/>
      <c r="Q114" s="62"/>
      <c r="R114" s="62"/>
      <c r="S114" s="62"/>
      <c r="T114" s="62"/>
      <c r="U114" s="62"/>
      <c r="V114" s="62"/>
      <c r="W114" s="62"/>
      <c r="X114" s="62"/>
      <c r="Y114" s="62"/>
      <c r="Z114" s="62"/>
      <c r="AA114" s="62"/>
      <c r="AB114" s="62"/>
      <c r="AC114" s="62"/>
    </row>
    <row r="115">
      <c r="A115" s="61"/>
      <c r="B115" s="61"/>
      <c r="C115" s="62"/>
      <c r="D115" s="62"/>
      <c r="E115" s="62"/>
      <c r="F115" s="62"/>
      <c r="G115" s="62"/>
      <c r="H115" s="190"/>
      <c r="I115" s="62"/>
      <c r="J115" s="62"/>
      <c r="K115" s="62"/>
      <c r="L115" s="62"/>
      <c r="M115" s="62"/>
      <c r="N115" s="62"/>
      <c r="O115" s="62"/>
      <c r="P115" s="62"/>
      <c r="Q115" s="62"/>
      <c r="R115" s="62"/>
      <c r="S115" s="62"/>
      <c r="T115" s="62"/>
      <c r="U115" s="62"/>
      <c r="V115" s="62"/>
      <c r="W115" s="62"/>
      <c r="X115" s="62"/>
      <c r="Y115" s="62"/>
      <c r="Z115" s="62"/>
      <c r="AA115" s="62"/>
      <c r="AB115" s="62"/>
      <c r="AC115" s="62"/>
    </row>
    <row r="116">
      <c r="A116" s="61"/>
      <c r="B116" s="61"/>
      <c r="C116" s="62"/>
      <c r="D116" s="62"/>
      <c r="E116" s="62"/>
      <c r="F116" s="62"/>
      <c r="G116" s="62"/>
      <c r="H116" s="190"/>
      <c r="I116" s="62"/>
      <c r="J116" s="62"/>
      <c r="K116" s="62"/>
      <c r="L116" s="62"/>
      <c r="M116" s="62"/>
      <c r="N116" s="62"/>
      <c r="O116" s="62"/>
      <c r="P116" s="62"/>
      <c r="Q116" s="62"/>
      <c r="R116" s="62"/>
      <c r="S116" s="62"/>
      <c r="T116" s="62"/>
      <c r="U116" s="62"/>
      <c r="V116" s="62"/>
      <c r="W116" s="62"/>
      <c r="X116" s="62"/>
      <c r="Y116" s="62"/>
      <c r="Z116" s="62"/>
      <c r="AA116" s="62"/>
      <c r="AB116" s="62"/>
      <c r="AC116" s="62"/>
    </row>
    <row r="117">
      <c r="A117" s="61"/>
      <c r="B117" s="61"/>
      <c r="C117" s="62"/>
      <c r="D117" s="62"/>
      <c r="E117" s="62"/>
      <c r="F117" s="62"/>
      <c r="G117" s="62"/>
      <c r="H117" s="190"/>
      <c r="I117" s="62"/>
      <c r="J117" s="62"/>
      <c r="K117" s="62"/>
      <c r="L117" s="62"/>
      <c r="M117" s="62"/>
      <c r="N117" s="62"/>
      <c r="O117" s="62"/>
      <c r="P117" s="62"/>
      <c r="Q117" s="62"/>
      <c r="R117" s="62"/>
      <c r="S117" s="62"/>
      <c r="T117" s="62"/>
      <c r="U117" s="62"/>
      <c r="V117" s="62"/>
      <c r="W117" s="62"/>
      <c r="X117" s="62"/>
      <c r="Y117" s="62"/>
      <c r="Z117" s="62"/>
      <c r="AA117" s="62"/>
      <c r="AB117" s="62"/>
      <c r="AC117" s="62"/>
    </row>
    <row r="118">
      <c r="A118" s="61"/>
      <c r="B118" s="61"/>
      <c r="C118" s="62"/>
      <c r="D118" s="62"/>
      <c r="E118" s="62"/>
      <c r="F118" s="62"/>
      <c r="G118" s="62"/>
      <c r="H118" s="190"/>
      <c r="I118" s="62"/>
      <c r="J118" s="62"/>
      <c r="K118" s="62"/>
      <c r="L118" s="62"/>
      <c r="M118" s="62"/>
      <c r="N118" s="62"/>
      <c r="O118" s="62"/>
      <c r="P118" s="62"/>
      <c r="Q118" s="62"/>
      <c r="R118" s="62"/>
      <c r="S118" s="62"/>
      <c r="T118" s="62"/>
      <c r="U118" s="62"/>
      <c r="V118" s="62"/>
      <c r="W118" s="62"/>
      <c r="X118" s="62"/>
      <c r="Y118" s="62"/>
      <c r="Z118" s="62"/>
      <c r="AA118" s="62"/>
      <c r="AB118" s="62"/>
      <c r="AC118" s="62"/>
    </row>
    <row r="119">
      <c r="A119" s="61"/>
      <c r="B119" s="61"/>
      <c r="C119" s="62"/>
      <c r="D119" s="62"/>
      <c r="E119" s="62"/>
      <c r="F119" s="62"/>
      <c r="G119" s="62"/>
      <c r="H119" s="190"/>
      <c r="I119" s="62"/>
      <c r="J119" s="62"/>
      <c r="K119" s="62"/>
      <c r="L119" s="62"/>
      <c r="M119" s="62"/>
      <c r="N119" s="62"/>
      <c r="O119" s="62"/>
      <c r="P119" s="62"/>
      <c r="Q119" s="62"/>
      <c r="R119" s="62"/>
      <c r="S119" s="62"/>
      <c r="T119" s="62"/>
      <c r="U119" s="62"/>
      <c r="V119" s="62"/>
      <c r="W119" s="62"/>
      <c r="X119" s="62"/>
      <c r="Y119" s="62"/>
      <c r="Z119" s="62"/>
      <c r="AA119" s="62"/>
      <c r="AB119" s="62"/>
      <c r="AC119" s="62"/>
    </row>
    <row r="120">
      <c r="A120" s="61"/>
      <c r="B120" s="61"/>
      <c r="C120" s="62"/>
      <c r="D120" s="62"/>
      <c r="E120" s="62"/>
      <c r="F120" s="62"/>
      <c r="G120" s="62"/>
      <c r="H120" s="190"/>
      <c r="I120" s="62"/>
      <c r="J120" s="62"/>
      <c r="K120" s="62"/>
      <c r="L120" s="62"/>
      <c r="M120" s="62"/>
      <c r="N120" s="62"/>
      <c r="O120" s="62"/>
      <c r="P120" s="62"/>
      <c r="Q120" s="62"/>
      <c r="R120" s="62"/>
      <c r="S120" s="62"/>
      <c r="T120" s="62"/>
      <c r="U120" s="62"/>
      <c r="V120" s="62"/>
      <c r="W120" s="62"/>
      <c r="X120" s="62"/>
      <c r="Y120" s="62"/>
      <c r="Z120" s="62"/>
      <c r="AA120" s="62"/>
      <c r="AB120" s="62"/>
      <c r="AC120" s="62"/>
    </row>
    <row r="121">
      <c r="A121" s="61"/>
      <c r="B121" s="61"/>
      <c r="C121" s="62"/>
      <c r="D121" s="62"/>
      <c r="E121" s="62"/>
      <c r="F121" s="62"/>
      <c r="G121" s="62"/>
      <c r="H121" s="190"/>
      <c r="I121" s="62"/>
      <c r="J121" s="62"/>
      <c r="K121" s="62"/>
      <c r="L121" s="62"/>
      <c r="M121" s="62"/>
      <c r="N121" s="62"/>
      <c r="O121" s="62"/>
      <c r="P121" s="62"/>
      <c r="Q121" s="62"/>
      <c r="R121" s="62"/>
      <c r="S121" s="62"/>
      <c r="T121" s="62"/>
      <c r="U121" s="62"/>
      <c r="V121" s="62"/>
      <c r="W121" s="62"/>
      <c r="X121" s="62"/>
      <c r="Y121" s="62"/>
      <c r="Z121" s="62"/>
      <c r="AA121" s="62"/>
      <c r="AB121" s="62"/>
      <c r="AC121" s="62"/>
    </row>
    <row r="122">
      <c r="A122" s="61"/>
      <c r="B122" s="61"/>
      <c r="C122" s="62"/>
      <c r="D122" s="62"/>
      <c r="E122" s="62"/>
      <c r="F122" s="62"/>
      <c r="G122" s="62"/>
      <c r="H122" s="190"/>
      <c r="I122" s="62"/>
      <c r="J122" s="62"/>
      <c r="K122" s="62"/>
      <c r="L122" s="62"/>
      <c r="M122" s="62"/>
      <c r="N122" s="62"/>
      <c r="O122" s="62"/>
      <c r="P122" s="62"/>
      <c r="Q122" s="62"/>
      <c r="R122" s="62"/>
      <c r="S122" s="62"/>
      <c r="T122" s="62"/>
      <c r="U122" s="62"/>
      <c r="V122" s="62"/>
      <c r="W122" s="62"/>
      <c r="X122" s="62"/>
      <c r="Y122" s="62"/>
      <c r="Z122" s="62"/>
      <c r="AA122" s="62"/>
      <c r="AB122" s="62"/>
      <c r="AC122" s="62"/>
    </row>
    <row r="123">
      <c r="A123" s="61"/>
      <c r="B123" s="61"/>
      <c r="C123" s="62"/>
      <c r="D123" s="62"/>
      <c r="E123" s="62"/>
      <c r="F123" s="62"/>
      <c r="G123" s="62"/>
      <c r="H123" s="190"/>
      <c r="I123" s="62"/>
      <c r="J123" s="62"/>
      <c r="K123" s="62"/>
      <c r="L123" s="62"/>
      <c r="M123" s="62"/>
      <c r="N123" s="62"/>
      <c r="O123" s="62"/>
      <c r="P123" s="62"/>
      <c r="Q123" s="62"/>
      <c r="R123" s="62"/>
      <c r="S123" s="62"/>
      <c r="T123" s="62"/>
      <c r="U123" s="62"/>
      <c r="V123" s="62"/>
      <c r="W123" s="62"/>
      <c r="X123" s="62"/>
      <c r="Y123" s="62"/>
      <c r="Z123" s="62"/>
      <c r="AA123" s="62"/>
      <c r="AB123" s="62"/>
      <c r="AC123" s="62"/>
    </row>
    <row r="124">
      <c r="A124" s="61"/>
      <c r="B124" s="61"/>
      <c r="C124" s="62"/>
      <c r="D124" s="62"/>
      <c r="E124" s="62"/>
      <c r="F124" s="62"/>
      <c r="G124" s="62"/>
      <c r="H124" s="190"/>
      <c r="I124" s="62"/>
      <c r="J124" s="62"/>
      <c r="K124" s="62"/>
      <c r="L124" s="62"/>
      <c r="M124" s="62"/>
      <c r="N124" s="62"/>
      <c r="O124" s="62"/>
      <c r="P124" s="62"/>
      <c r="Q124" s="62"/>
      <c r="R124" s="62"/>
      <c r="S124" s="62"/>
      <c r="T124" s="62"/>
      <c r="U124" s="62"/>
      <c r="V124" s="62"/>
      <c r="W124" s="62"/>
      <c r="X124" s="62"/>
      <c r="Y124" s="62"/>
      <c r="Z124" s="62"/>
      <c r="AA124" s="62"/>
      <c r="AB124" s="62"/>
      <c r="AC124" s="62"/>
    </row>
    <row r="125">
      <c r="A125" s="61"/>
      <c r="B125" s="61"/>
      <c r="C125" s="62"/>
      <c r="D125" s="62"/>
      <c r="E125" s="62"/>
      <c r="F125" s="62"/>
      <c r="G125" s="62"/>
      <c r="H125" s="190"/>
      <c r="I125" s="62"/>
      <c r="J125" s="62"/>
      <c r="K125" s="62"/>
      <c r="L125" s="62"/>
      <c r="M125" s="62"/>
      <c r="N125" s="62"/>
      <c r="O125" s="62"/>
      <c r="P125" s="62"/>
      <c r="Q125" s="62"/>
      <c r="R125" s="62"/>
      <c r="S125" s="62"/>
      <c r="T125" s="62"/>
      <c r="U125" s="62"/>
      <c r="V125" s="62"/>
      <c r="W125" s="62"/>
      <c r="X125" s="62"/>
      <c r="Y125" s="62"/>
      <c r="Z125" s="62"/>
      <c r="AA125" s="62"/>
      <c r="AB125" s="62"/>
      <c r="AC125" s="62"/>
    </row>
    <row r="126">
      <c r="A126" s="61"/>
      <c r="B126" s="61"/>
      <c r="C126" s="62"/>
      <c r="D126" s="62"/>
      <c r="E126" s="62"/>
      <c r="F126" s="62"/>
      <c r="G126" s="62"/>
      <c r="H126" s="190"/>
      <c r="I126" s="62"/>
      <c r="J126" s="62"/>
      <c r="K126" s="62"/>
      <c r="L126" s="62"/>
      <c r="M126" s="62"/>
      <c r="N126" s="62"/>
      <c r="O126" s="62"/>
      <c r="P126" s="62"/>
      <c r="Q126" s="62"/>
      <c r="R126" s="62"/>
      <c r="S126" s="62"/>
      <c r="T126" s="62"/>
      <c r="U126" s="62"/>
      <c r="V126" s="62"/>
      <c r="W126" s="62"/>
      <c r="X126" s="62"/>
      <c r="Y126" s="62"/>
      <c r="Z126" s="62"/>
      <c r="AA126" s="62"/>
      <c r="AB126" s="62"/>
      <c r="AC126" s="62"/>
    </row>
    <row r="127">
      <c r="A127" s="61"/>
      <c r="B127" s="61"/>
      <c r="C127" s="62"/>
      <c r="D127" s="62"/>
      <c r="E127" s="62"/>
      <c r="F127" s="62"/>
      <c r="G127" s="62"/>
      <c r="H127" s="190"/>
      <c r="I127" s="62"/>
      <c r="J127" s="62"/>
      <c r="K127" s="62"/>
      <c r="L127" s="62"/>
      <c r="M127" s="62"/>
      <c r="N127" s="62"/>
      <c r="O127" s="62"/>
      <c r="P127" s="62"/>
      <c r="Q127" s="62"/>
      <c r="R127" s="62"/>
      <c r="S127" s="62"/>
      <c r="T127" s="62"/>
      <c r="U127" s="62"/>
      <c r="V127" s="62"/>
      <c r="W127" s="62"/>
      <c r="X127" s="62"/>
      <c r="Y127" s="62"/>
      <c r="Z127" s="62"/>
      <c r="AA127" s="62"/>
      <c r="AB127" s="62"/>
      <c r="AC127" s="62"/>
    </row>
    <row r="128">
      <c r="A128" s="61"/>
      <c r="B128" s="61"/>
      <c r="C128" s="62"/>
      <c r="D128" s="62"/>
      <c r="E128" s="62"/>
      <c r="F128" s="62"/>
      <c r="G128" s="62"/>
      <c r="H128" s="190"/>
      <c r="I128" s="62"/>
      <c r="J128" s="62"/>
      <c r="K128" s="62"/>
      <c r="L128" s="62"/>
      <c r="M128" s="62"/>
      <c r="N128" s="62"/>
      <c r="O128" s="62"/>
      <c r="P128" s="62"/>
      <c r="Q128" s="62"/>
      <c r="R128" s="62"/>
      <c r="S128" s="62"/>
      <c r="T128" s="62"/>
      <c r="U128" s="62"/>
      <c r="V128" s="62"/>
      <c r="W128" s="62"/>
      <c r="X128" s="62"/>
      <c r="Y128" s="62"/>
      <c r="Z128" s="62"/>
      <c r="AA128" s="62"/>
      <c r="AB128" s="62"/>
      <c r="AC128" s="62"/>
    </row>
    <row r="129">
      <c r="A129" s="61"/>
      <c r="B129" s="61"/>
      <c r="C129" s="62"/>
      <c r="D129" s="62"/>
      <c r="E129" s="62"/>
      <c r="F129" s="62"/>
      <c r="G129" s="62"/>
      <c r="H129" s="190"/>
      <c r="I129" s="62"/>
      <c r="J129" s="62"/>
      <c r="K129" s="62"/>
      <c r="L129" s="62"/>
      <c r="M129" s="62"/>
      <c r="N129" s="62"/>
      <c r="O129" s="62"/>
      <c r="P129" s="62"/>
      <c r="Q129" s="62"/>
      <c r="R129" s="62"/>
      <c r="S129" s="62"/>
      <c r="T129" s="62"/>
      <c r="U129" s="62"/>
      <c r="V129" s="62"/>
      <c r="W129" s="62"/>
      <c r="X129" s="62"/>
      <c r="Y129" s="62"/>
      <c r="Z129" s="62"/>
      <c r="AA129" s="62"/>
      <c r="AB129" s="62"/>
      <c r="AC129" s="62"/>
    </row>
    <row r="130">
      <c r="A130" s="61"/>
      <c r="B130" s="61"/>
      <c r="C130" s="62"/>
      <c r="D130" s="62"/>
      <c r="E130" s="62"/>
      <c r="F130" s="62"/>
      <c r="G130" s="62"/>
      <c r="H130" s="190"/>
      <c r="I130" s="62"/>
      <c r="J130" s="62"/>
      <c r="K130" s="62"/>
      <c r="L130" s="62"/>
      <c r="M130" s="62"/>
      <c r="N130" s="62"/>
      <c r="O130" s="62"/>
      <c r="P130" s="62"/>
      <c r="Q130" s="62"/>
      <c r="R130" s="62"/>
      <c r="S130" s="62"/>
      <c r="T130" s="62"/>
      <c r="U130" s="62"/>
      <c r="V130" s="62"/>
      <c r="W130" s="62"/>
      <c r="X130" s="62"/>
      <c r="Y130" s="62"/>
      <c r="Z130" s="62"/>
      <c r="AA130" s="62"/>
      <c r="AB130" s="62"/>
      <c r="AC130" s="62"/>
    </row>
    <row r="131">
      <c r="A131" s="61"/>
      <c r="B131" s="61"/>
      <c r="C131" s="62"/>
      <c r="D131" s="62"/>
      <c r="E131" s="62"/>
      <c r="F131" s="62"/>
      <c r="G131" s="62"/>
      <c r="H131" s="190"/>
      <c r="I131" s="62"/>
      <c r="J131" s="62"/>
      <c r="K131" s="62"/>
      <c r="L131" s="62"/>
      <c r="M131" s="62"/>
      <c r="N131" s="62"/>
      <c r="O131" s="62"/>
      <c r="P131" s="62"/>
      <c r="Q131" s="62"/>
      <c r="R131" s="62"/>
      <c r="S131" s="62"/>
      <c r="T131" s="62"/>
      <c r="U131" s="62"/>
      <c r="V131" s="62"/>
      <c r="W131" s="62"/>
      <c r="X131" s="62"/>
      <c r="Y131" s="62"/>
      <c r="Z131" s="62"/>
      <c r="AA131" s="62"/>
      <c r="AB131" s="62"/>
      <c r="AC131" s="62"/>
    </row>
    <row r="132">
      <c r="A132" s="61"/>
      <c r="B132" s="61"/>
      <c r="C132" s="62"/>
      <c r="D132" s="62"/>
      <c r="E132" s="62"/>
      <c r="F132" s="62"/>
      <c r="G132" s="62"/>
      <c r="H132" s="190"/>
      <c r="I132" s="62"/>
      <c r="J132" s="62"/>
      <c r="K132" s="62"/>
      <c r="L132" s="62"/>
      <c r="M132" s="62"/>
      <c r="N132" s="62"/>
      <c r="O132" s="62"/>
      <c r="P132" s="62"/>
      <c r="Q132" s="62"/>
      <c r="R132" s="62"/>
      <c r="S132" s="62"/>
      <c r="T132" s="62"/>
      <c r="U132" s="62"/>
      <c r="V132" s="62"/>
      <c r="W132" s="62"/>
      <c r="X132" s="62"/>
      <c r="Y132" s="62"/>
      <c r="Z132" s="62"/>
      <c r="AA132" s="62"/>
      <c r="AB132" s="62"/>
      <c r="AC132" s="62"/>
    </row>
    <row r="133">
      <c r="A133" s="61"/>
      <c r="B133" s="61"/>
      <c r="C133" s="62"/>
      <c r="D133" s="62"/>
      <c r="E133" s="62"/>
      <c r="F133" s="62"/>
      <c r="G133" s="62"/>
      <c r="H133" s="190"/>
      <c r="I133" s="62"/>
      <c r="J133" s="62"/>
      <c r="K133" s="62"/>
      <c r="L133" s="62"/>
      <c r="M133" s="62"/>
      <c r="N133" s="62"/>
      <c r="O133" s="62"/>
      <c r="P133" s="62"/>
      <c r="Q133" s="62"/>
      <c r="R133" s="62"/>
      <c r="S133" s="62"/>
      <c r="T133" s="62"/>
      <c r="U133" s="62"/>
      <c r="V133" s="62"/>
      <c r="W133" s="62"/>
      <c r="X133" s="62"/>
      <c r="Y133" s="62"/>
      <c r="Z133" s="62"/>
      <c r="AA133" s="62"/>
      <c r="AB133" s="62"/>
      <c r="AC133" s="62"/>
    </row>
    <row r="134">
      <c r="A134" s="61"/>
      <c r="B134" s="61"/>
      <c r="C134" s="62"/>
      <c r="D134" s="62"/>
      <c r="E134" s="62"/>
      <c r="F134" s="62"/>
      <c r="G134" s="62"/>
      <c r="H134" s="190"/>
      <c r="I134" s="62"/>
      <c r="J134" s="62"/>
      <c r="K134" s="62"/>
      <c r="L134" s="62"/>
      <c r="M134" s="62"/>
      <c r="N134" s="62"/>
      <c r="O134" s="62"/>
      <c r="P134" s="62"/>
      <c r="Q134" s="62"/>
      <c r="R134" s="62"/>
      <c r="S134" s="62"/>
      <c r="T134" s="62"/>
      <c r="U134" s="62"/>
      <c r="V134" s="62"/>
      <c r="W134" s="62"/>
      <c r="X134" s="62"/>
      <c r="Y134" s="62"/>
      <c r="Z134" s="62"/>
      <c r="AA134" s="62"/>
      <c r="AB134" s="62"/>
      <c r="AC134" s="62"/>
    </row>
    <row r="135">
      <c r="A135" s="61"/>
      <c r="B135" s="61"/>
      <c r="C135" s="62"/>
      <c r="D135" s="62"/>
      <c r="E135" s="62"/>
      <c r="F135" s="62"/>
      <c r="G135" s="62"/>
      <c r="H135" s="190"/>
      <c r="I135" s="62"/>
      <c r="J135" s="62"/>
      <c r="K135" s="62"/>
      <c r="L135" s="62"/>
      <c r="M135" s="62"/>
      <c r="N135" s="62"/>
      <c r="O135" s="62"/>
      <c r="P135" s="62"/>
      <c r="Q135" s="62"/>
      <c r="R135" s="62"/>
      <c r="S135" s="62"/>
      <c r="T135" s="62"/>
      <c r="U135" s="62"/>
      <c r="V135" s="62"/>
      <c r="W135" s="62"/>
      <c r="X135" s="62"/>
      <c r="Y135" s="62"/>
      <c r="Z135" s="62"/>
      <c r="AA135" s="62"/>
      <c r="AB135" s="62"/>
      <c r="AC135" s="62"/>
    </row>
    <row r="136">
      <c r="A136" s="61"/>
      <c r="B136" s="61"/>
      <c r="C136" s="62"/>
      <c r="D136" s="62"/>
      <c r="E136" s="62"/>
      <c r="F136" s="62"/>
      <c r="G136" s="62"/>
      <c r="H136" s="190"/>
      <c r="I136" s="62"/>
      <c r="J136" s="62"/>
      <c r="K136" s="62"/>
      <c r="L136" s="62"/>
      <c r="M136" s="62"/>
      <c r="N136" s="62"/>
      <c r="O136" s="62"/>
      <c r="P136" s="62"/>
      <c r="Q136" s="62"/>
      <c r="R136" s="62"/>
      <c r="S136" s="62"/>
      <c r="T136" s="62"/>
      <c r="U136" s="62"/>
      <c r="V136" s="62"/>
      <c r="W136" s="62"/>
      <c r="X136" s="62"/>
      <c r="Y136" s="62"/>
      <c r="Z136" s="62"/>
      <c r="AA136" s="62"/>
      <c r="AB136" s="62"/>
      <c r="AC136" s="62"/>
    </row>
    <row r="137">
      <c r="A137" s="61"/>
      <c r="B137" s="61"/>
      <c r="C137" s="62"/>
      <c r="D137" s="62"/>
      <c r="E137" s="62"/>
      <c r="F137" s="62"/>
      <c r="G137" s="62"/>
      <c r="H137" s="190"/>
      <c r="I137" s="62"/>
      <c r="J137" s="62"/>
      <c r="K137" s="62"/>
      <c r="L137" s="62"/>
      <c r="M137" s="62"/>
      <c r="N137" s="62"/>
      <c r="O137" s="62"/>
      <c r="P137" s="62"/>
      <c r="Q137" s="62"/>
      <c r="R137" s="62"/>
      <c r="S137" s="62"/>
      <c r="T137" s="62"/>
      <c r="U137" s="62"/>
      <c r="V137" s="62"/>
      <c r="W137" s="62"/>
      <c r="X137" s="62"/>
      <c r="Y137" s="62"/>
      <c r="Z137" s="62"/>
      <c r="AA137" s="62"/>
      <c r="AB137" s="62"/>
      <c r="AC137" s="62"/>
    </row>
    <row r="138">
      <c r="A138" s="61"/>
      <c r="B138" s="61"/>
      <c r="C138" s="62"/>
      <c r="D138" s="62"/>
      <c r="E138" s="62"/>
      <c r="F138" s="62"/>
      <c r="G138" s="62"/>
      <c r="H138" s="190"/>
      <c r="I138" s="62"/>
      <c r="J138" s="62"/>
      <c r="K138" s="62"/>
      <c r="L138" s="62"/>
      <c r="M138" s="62"/>
      <c r="N138" s="62"/>
      <c r="O138" s="62"/>
      <c r="P138" s="62"/>
      <c r="Q138" s="62"/>
      <c r="R138" s="62"/>
      <c r="S138" s="62"/>
      <c r="T138" s="62"/>
      <c r="U138" s="62"/>
      <c r="V138" s="62"/>
      <c r="W138" s="62"/>
      <c r="X138" s="62"/>
      <c r="Y138" s="62"/>
      <c r="Z138" s="62"/>
      <c r="AA138" s="62"/>
      <c r="AB138" s="62"/>
      <c r="AC138" s="62"/>
    </row>
    <row r="139">
      <c r="A139" s="61"/>
      <c r="B139" s="61"/>
      <c r="C139" s="62"/>
      <c r="D139" s="62"/>
      <c r="E139" s="62"/>
      <c r="F139" s="62"/>
      <c r="G139" s="62"/>
      <c r="H139" s="190"/>
      <c r="I139" s="62"/>
      <c r="J139" s="62"/>
      <c r="K139" s="62"/>
      <c r="L139" s="62"/>
      <c r="M139" s="62"/>
      <c r="N139" s="62"/>
      <c r="O139" s="62"/>
      <c r="P139" s="62"/>
      <c r="Q139" s="62"/>
      <c r="R139" s="62"/>
      <c r="S139" s="62"/>
      <c r="T139" s="62"/>
      <c r="U139" s="62"/>
      <c r="V139" s="62"/>
      <c r="W139" s="62"/>
      <c r="X139" s="62"/>
      <c r="Y139" s="62"/>
      <c r="Z139" s="62"/>
      <c r="AA139" s="62"/>
      <c r="AB139" s="62"/>
      <c r="AC139" s="62"/>
    </row>
    <row r="140">
      <c r="A140" s="61"/>
      <c r="B140" s="61"/>
      <c r="C140" s="62"/>
      <c r="D140" s="62"/>
      <c r="E140" s="62"/>
      <c r="F140" s="62"/>
      <c r="G140" s="62"/>
      <c r="H140" s="190"/>
      <c r="I140" s="62"/>
      <c r="J140" s="62"/>
      <c r="K140" s="62"/>
      <c r="L140" s="62"/>
      <c r="M140" s="62"/>
      <c r="N140" s="62"/>
      <c r="O140" s="62"/>
      <c r="P140" s="62"/>
      <c r="Q140" s="62"/>
      <c r="R140" s="62"/>
      <c r="S140" s="62"/>
      <c r="T140" s="62"/>
      <c r="U140" s="62"/>
      <c r="V140" s="62"/>
      <c r="W140" s="62"/>
      <c r="X140" s="62"/>
      <c r="Y140" s="62"/>
      <c r="Z140" s="62"/>
      <c r="AA140" s="62"/>
      <c r="AB140" s="62"/>
      <c r="AC140" s="62"/>
    </row>
    <row r="141">
      <c r="A141" s="61"/>
      <c r="B141" s="61"/>
      <c r="C141" s="62"/>
      <c r="D141" s="62"/>
      <c r="E141" s="62"/>
      <c r="F141" s="62"/>
      <c r="G141" s="62"/>
      <c r="H141" s="190"/>
      <c r="I141" s="62"/>
      <c r="J141" s="62"/>
      <c r="K141" s="62"/>
      <c r="L141" s="62"/>
      <c r="M141" s="62"/>
      <c r="N141" s="62"/>
      <c r="O141" s="62"/>
      <c r="P141" s="62"/>
      <c r="Q141" s="62"/>
      <c r="R141" s="62"/>
      <c r="S141" s="62"/>
      <c r="T141" s="62"/>
      <c r="U141" s="62"/>
      <c r="V141" s="62"/>
      <c r="W141" s="62"/>
      <c r="X141" s="62"/>
      <c r="Y141" s="62"/>
      <c r="Z141" s="62"/>
      <c r="AA141" s="62"/>
      <c r="AB141" s="62"/>
      <c r="AC141" s="62"/>
    </row>
    <row r="142">
      <c r="A142" s="61"/>
      <c r="B142" s="61"/>
      <c r="C142" s="62"/>
      <c r="D142" s="62"/>
      <c r="E142" s="62"/>
      <c r="F142" s="62"/>
      <c r="G142" s="62"/>
      <c r="H142" s="190"/>
      <c r="I142" s="62"/>
      <c r="J142" s="62"/>
      <c r="K142" s="62"/>
      <c r="L142" s="62"/>
      <c r="M142" s="62"/>
      <c r="N142" s="62"/>
      <c r="O142" s="62"/>
      <c r="P142" s="62"/>
      <c r="Q142" s="62"/>
      <c r="R142" s="62"/>
      <c r="S142" s="62"/>
      <c r="T142" s="62"/>
      <c r="U142" s="62"/>
      <c r="V142" s="62"/>
      <c r="W142" s="62"/>
      <c r="X142" s="62"/>
      <c r="Y142" s="62"/>
      <c r="Z142" s="62"/>
      <c r="AA142" s="62"/>
      <c r="AB142" s="62"/>
      <c r="AC142" s="62"/>
    </row>
    <row r="143">
      <c r="A143" s="61"/>
      <c r="B143" s="61"/>
      <c r="C143" s="62"/>
      <c r="D143" s="62"/>
      <c r="E143" s="62"/>
      <c r="F143" s="62"/>
      <c r="G143" s="62"/>
      <c r="H143" s="190"/>
      <c r="I143" s="62"/>
      <c r="J143" s="62"/>
      <c r="K143" s="62"/>
      <c r="L143" s="62"/>
      <c r="M143" s="62"/>
      <c r="N143" s="62"/>
      <c r="O143" s="62"/>
      <c r="P143" s="62"/>
      <c r="Q143" s="62"/>
      <c r="R143" s="62"/>
      <c r="S143" s="62"/>
      <c r="T143" s="62"/>
      <c r="U143" s="62"/>
      <c r="V143" s="62"/>
      <c r="W143" s="62"/>
      <c r="X143" s="62"/>
      <c r="Y143" s="62"/>
      <c r="Z143" s="62"/>
      <c r="AA143" s="62"/>
      <c r="AB143" s="62"/>
      <c r="AC143" s="62"/>
    </row>
    <row r="144">
      <c r="A144" s="61"/>
      <c r="B144" s="61"/>
      <c r="C144" s="62"/>
      <c r="D144" s="62"/>
      <c r="E144" s="62"/>
      <c r="F144" s="62"/>
      <c r="G144" s="62"/>
      <c r="H144" s="190"/>
      <c r="I144" s="62"/>
      <c r="J144" s="62"/>
      <c r="K144" s="62"/>
      <c r="L144" s="62"/>
      <c r="M144" s="62"/>
      <c r="N144" s="62"/>
      <c r="O144" s="62"/>
      <c r="P144" s="62"/>
      <c r="Q144" s="62"/>
      <c r="R144" s="62"/>
      <c r="S144" s="62"/>
      <c r="T144" s="62"/>
      <c r="U144" s="62"/>
      <c r="V144" s="62"/>
      <c r="W144" s="62"/>
      <c r="X144" s="62"/>
      <c r="Y144" s="62"/>
      <c r="Z144" s="62"/>
      <c r="AA144" s="62"/>
      <c r="AB144" s="62"/>
      <c r="AC144" s="62"/>
    </row>
    <row r="145">
      <c r="A145" s="61"/>
      <c r="B145" s="61"/>
      <c r="C145" s="62"/>
      <c r="D145" s="62"/>
      <c r="E145" s="62"/>
      <c r="F145" s="62"/>
      <c r="G145" s="62"/>
      <c r="H145" s="190"/>
      <c r="I145" s="62"/>
      <c r="J145" s="62"/>
      <c r="K145" s="62"/>
      <c r="L145" s="62"/>
      <c r="M145" s="62"/>
      <c r="N145" s="62"/>
      <c r="O145" s="62"/>
      <c r="P145" s="62"/>
      <c r="Q145" s="62"/>
      <c r="R145" s="62"/>
      <c r="S145" s="62"/>
      <c r="T145" s="62"/>
      <c r="U145" s="62"/>
      <c r="V145" s="62"/>
      <c r="W145" s="62"/>
      <c r="X145" s="62"/>
      <c r="Y145" s="62"/>
      <c r="Z145" s="62"/>
      <c r="AA145" s="62"/>
      <c r="AB145" s="62"/>
      <c r="AC145" s="62"/>
    </row>
    <row r="146">
      <c r="A146" s="61"/>
      <c r="B146" s="61"/>
      <c r="C146" s="62"/>
      <c r="D146" s="62"/>
      <c r="E146" s="62"/>
      <c r="F146" s="62"/>
      <c r="G146" s="62"/>
      <c r="H146" s="190"/>
      <c r="I146" s="62"/>
      <c r="J146" s="62"/>
      <c r="K146" s="62"/>
      <c r="L146" s="62"/>
      <c r="M146" s="62"/>
      <c r="N146" s="62"/>
      <c r="O146" s="62"/>
      <c r="P146" s="62"/>
      <c r="Q146" s="62"/>
      <c r="R146" s="62"/>
      <c r="S146" s="62"/>
      <c r="T146" s="62"/>
      <c r="U146" s="62"/>
      <c r="V146" s="62"/>
      <c r="W146" s="62"/>
      <c r="X146" s="62"/>
      <c r="Y146" s="62"/>
      <c r="Z146" s="62"/>
      <c r="AA146" s="62"/>
      <c r="AB146" s="62"/>
      <c r="AC146" s="62"/>
    </row>
    <row r="147">
      <c r="A147" s="61"/>
      <c r="B147" s="61"/>
      <c r="C147" s="62"/>
      <c r="D147" s="62"/>
      <c r="E147" s="62"/>
      <c r="F147" s="62"/>
      <c r="G147" s="62"/>
      <c r="H147" s="190"/>
      <c r="I147" s="62"/>
      <c r="J147" s="62"/>
      <c r="K147" s="62"/>
      <c r="L147" s="62"/>
      <c r="M147" s="62"/>
      <c r="N147" s="62"/>
      <c r="O147" s="62"/>
      <c r="P147" s="62"/>
      <c r="Q147" s="62"/>
      <c r="R147" s="62"/>
      <c r="S147" s="62"/>
      <c r="T147" s="62"/>
      <c r="U147" s="62"/>
      <c r="V147" s="62"/>
      <c r="W147" s="62"/>
      <c r="X147" s="62"/>
      <c r="Y147" s="62"/>
      <c r="Z147" s="62"/>
      <c r="AA147" s="62"/>
      <c r="AB147" s="62"/>
      <c r="AC147" s="62"/>
    </row>
    <row r="148">
      <c r="A148" s="61"/>
      <c r="B148" s="61"/>
      <c r="C148" s="62"/>
      <c r="D148" s="62"/>
      <c r="E148" s="62"/>
      <c r="F148" s="62"/>
      <c r="G148" s="62"/>
      <c r="H148" s="190"/>
      <c r="I148" s="62"/>
      <c r="J148" s="62"/>
      <c r="K148" s="62"/>
      <c r="L148" s="62"/>
      <c r="M148" s="62"/>
      <c r="N148" s="62"/>
      <c r="O148" s="62"/>
      <c r="P148" s="62"/>
      <c r="Q148" s="62"/>
      <c r="R148" s="62"/>
      <c r="S148" s="62"/>
      <c r="T148" s="62"/>
      <c r="U148" s="62"/>
      <c r="V148" s="62"/>
      <c r="W148" s="62"/>
      <c r="X148" s="62"/>
      <c r="Y148" s="62"/>
      <c r="Z148" s="62"/>
      <c r="AA148" s="62"/>
      <c r="AB148" s="62"/>
      <c r="AC148" s="62"/>
    </row>
    <row r="149">
      <c r="A149" s="61"/>
      <c r="B149" s="61"/>
      <c r="C149" s="62"/>
      <c r="D149" s="62"/>
      <c r="E149" s="62"/>
      <c r="F149" s="62"/>
      <c r="G149" s="62"/>
      <c r="H149" s="190"/>
      <c r="I149" s="62"/>
      <c r="J149" s="62"/>
      <c r="K149" s="62"/>
      <c r="L149" s="62"/>
      <c r="M149" s="62"/>
      <c r="N149" s="62"/>
      <c r="O149" s="62"/>
      <c r="P149" s="62"/>
      <c r="Q149" s="62"/>
      <c r="R149" s="62"/>
      <c r="S149" s="62"/>
      <c r="T149" s="62"/>
      <c r="U149" s="62"/>
      <c r="V149" s="62"/>
      <c r="W149" s="62"/>
      <c r="X149" s="62"/>
      <c r="Y149" s="62"/>
      <c r="Z149" s="62"/>
      <c r="AA149" s="62"/>
      <c r="AB149" s="62"/>
      <c r="AC149" s="62"/>
    </row>
    <row r="150">
      <c r="A150" s="61"/>
      <c r="B150" s="61"/>
      <c r="C150" s="62"/>
      <c r="D150" s="62"/>
      <c r="E150" s="62"/>
      <c r="F150" s="62"/>
      <c r="G150" s="62"/>
      <c r="H150" s="190"/>
      <c r="I150" s="62"/>
      <c r="J150" s="62"/>
      <c r="K150" s="62"/>
      <c r="L150" s="62"/>
      <c r="M150" s="62"/>
      <c r="N150" s="62"/>
      <c r="O150" s="62"/>
      <c r="P150" s="62"/>
      <c r="Q150" s="62"/>
      <c r="R150" s="62"/>
      <c r="S150" s="62"/>
      <c r="T150" s="62"/>
      <c r="U150" s="62"/>
      <c r="V150" s="62"/>
      <c r="W150" s="62"/>
      <c r="X150" s="62"/>
      <c r="Y150" s="62"/>
      <c r="Z150" s="62"/>
      <c r="AA150" s="62"/>
      <c r="AB150" s="62"/>
      <c r="AC150" s="62"/>
    </row>
    <row r="151">
      <c r="A151" s="61"/>
      <c r="B151" s="61"/>
      <c r="C151" s="62"/>
      <c r="D151" s="62"/>
      <c r="E151" s="62"/>
      <c r="F151" s="62"/>
      <c r="G151" s="62"/>
      <c r="H151" s="190"/>
      <c r="I151" s="62"/>
      <c r="J151" s="62"/>
      <c r="K151" s="62"/>
      <c r="L151" s="62"/>
      <c r="M151" s="62"/>
      <c r="N151" s="62"/>
      <c r="O151" s="62"/>
      <c r="P151" s="62"/>
      <c r="Q151" s="62"/>
      <c r="R151" s="62"/>
      <c r="S151" s="62"/>
      <c r="T151" s="62"/>
      <c r="U151" s="62"/>
      <c r="V151" s="62"/>
      <c r="W151" s="62"/>
      <c r="X151" s="62"/>
      <c r="Y151" s="62"/>
      <c r="Z151" s="62"/>
      <c r="AA151" s="62"/>
      <c r="AB151" s="62"/>
      <c r="AC151" s="62"/>
    </row>
    <row r="152">
      <c r="A152" s="61"/>
      <c r="B152" s="61"/>
      <c r="C152" s="62"/>
      <c r="D152" s="62"/>
      <c r="E152" s="62"/>
      <c r="F152" s="62"/>
      <c r="G152" s="62"/>
      <c r="H152" s="190"/>
      <c r="I152" s="62"/>
      <c r="J152" s="62"/>
      <c r="K152" s="62"/>
      <c r="L152" s="62"/>
      <c r="M152" s="62"/>
      <c r="N152" s="62"/>
      <c r="O152" s="62"/>
      <c r="P152" s="62"/>
      <c r="Q152" s="62"/>
      <c r="R152" s="62"/>
      <c r="S152" s="62"/>
      <c r="T152" s="62"/>
      <c r="U152" s="62"/>
      <c r="V152" s="62"/>
      <c r="W152" s="62"/>
      <c r="X152" s="62"/>
      <c r="Y152" s="62"/>
      <c r="Z152" s="62"/>
      <c r="AA152" s="62"/>
      <c r="AB152" s="62"/>
      <c r="AC152" s="62"/>
    </row>
    <row r="153">
      <c r="A153" s="61"/>
      <c r="B153" s="61"/>
      <c r="C153" s="62"/>
      <c r="D153" s="62"/>
      <c r="E153" s="62"/>
      <c r="F153" s="62"/>
      <c r="G153" s="62"/>
      <c r="H153" s="190"/>
      <c r="I153" s="62"/>
      <c r="J153" s="62"/>
      <c r="K153" s="62"/>
      <c r="L153" s="62"/>
      <c r="M153" s="62"/>
      <c r="N153" s="62"/>
      <c r="O153" s="62"/>
      <c r="P153" s="62"/>
      <c r="Q153" s="62"/>
      <c r="R153" s="62"/>
      <c r="S153" s="62"/>
      <c r="T153" s="62"/>
      <c r="U153" s="62"/>
      <c r="V153" s="62"/>
      <c r="W153" s="62"/>
      <c r="X153" s="62"/>
      <c r="Y153" s="62"/>
      <c r="Z153" s="62"/>
      <c r="AA153" s="62"/>
      <c r="AB153" s="62"/>
      <c r="AC153" s="62"/>
    </row>
    <row r="154">
      <c r="A154" s="61"/>
      <c r="B154" s="61"/>
      <c r="C154" s="62"/>
      <c r="D154" s="62"/>
      <c r="E154" s="62"/>
      <c r="F154" s="62"/>
      <c r="G154" s="62"/>
      <c r="H154" s="190"/>
      <c r="I154" s="62"/>
      <c r="J154" s="62"/>
      <c r="K154" s="62"/>
      <c r="L154" s="62"/>
      <c r="M154" s="62"/>
      <c r="N154" s="62"/>
      <c r="O154" s="62"/>
      <c r="P154" s="62"/>
      <c r="Q154" s="62"/>
      <c r="R154" s="62"/>
      <c r="S154" s="62"/>
      <c r="T154" s="62"/>
      <c r="U154" s="62"/>
      <c r="V154" s="62"/>
      <c r="W154" s="62"/>
      <c r="X154" s="62"/>
      <c r="Y154" s="62"/>
      <c r="Z154" s="62"/>
      <c r="AA154" s="62"/>
      <c r="AB154" s="62"/>
      <c r="AC154" s="62"/>
    </row>
    <row r="155">
      <c r="A155" s="61"/>
      <c r="B155" s="61"/>
      <c r="C155" s="62"/>
      <c r="D155" s="62"/>
      <c r="E155" s="62"/>
      <c r="F155" s="62"/>
      <c r="G155" s="62"/>
      <c r="H155" s="190"/>
      <c r="I155" s="62"/>
      <c r="J155" s="62"/>
      <c r="K155" s="62"/>
      <c r="L155" s="62"/>
      <c r="M155" s="62"/>
      <c r="N155" s="62"/>
      <c r="O155" s="62"/>
      <c r="P155" s="62"/>
      <c r="Q155" s="62"/>
      <c r="R155" s="62"/>
      <c r="S155" s="62"/>
      <c r="T155" s="62"/>
      <c r="U155" s="62"/>
      <c r="V155" s="62"/>
      <c r="W155" s="62"/>
      <c r="X155" s="62"/>
      <c r="Y155" s="62"/>
      <c r="Z155" s="62"/>
      <c r="AA155" s="62"/>
      <c r="AB155" s="62"/>
      <c r="AC155" s="62"/>
    </row>
    <row r="156">
      <c r="A156" s="61"/>
      <c r="B156" s="61"/>
      <c r="C156" s="62"/>
      <c r="D156" s="62"/>
      <c r="E156" s="62"/>
      <c r="F156" s="62"/>
      <c r="G156" s="62"/>
      <c r="H156" s="190"/>
      <c r="I156" s="62"/>
      <c r="J156" s="62"/>
      <c r="K156" s="62"/>
      <c r="L156" s="62"/>
      <c r="M156" s="62"/>
      <c r="N156" s="62"/>
      <c r="O156" s="62"/>
      <c r="P156" s="62"/>
      <c r="Q156" s="62"/>
      <c r="R156" s="62"/>
      <c r="S156" s="62"/>
      <c r="T156" s="62"/>
      <c r="U156" s="62"/>
      <c r="V156" s="62"/>
      <c r="W156" s="62"/>
      <c r="X156" s="62"/>
      <c r="Y156" s="62"/>
      <c r="Z156" s="62"/>
      <c r="AA156" s="62"/>
      <c r="AB156" s="62"/>
      <c r="AC156" s="62"/>
    </row>
    <row r="157">
      <c r="A157" s="61"/>
      <c r="B157" s="61"/>
      <c r="C157" s="62"/>
      <c r="D157" s="62"/>
      <c r="E157" s="62"/>
      <c r="F157" s="62"/>
      <c r="G157" s="62"/>
      <c r="H157" s="190"/>
      <c r="I157" s="62"/>
      <c r="J157" s="62"/>
      <c r="K157" s="62"/>
      <c r="L157" s="62"/>
      <c r="M157" s="62"/>
      <c r="N157" s="62"/>
      <c r="O157" s="62"/>
      <c r="P157" s="62"/>
      <c r="Q157" s="62"/>
      <c r="R157" s="62"/>
      <c r="S157" s="62"/>
      <c r="T157" s="62"/>
      <c r="U157" s="62"/>
      <c r="V157" s="62"/>
      <c r="W157" s="62"/>
      <c r="X157" s="62"/>
      <c r="Y157" s="62"/>
      <c r="Z157" s="62"/>
      <c r="AA157" s="62"/>
      <c r="AB157" s="62"/>
      <c r="AC157" s="62"/>
    </row>
    <row r="158">
      <c r="A158" s="61"/>
      <c r="B158" s="61"/>
      <c r="C158" s="62"/>
      <c r="D158" s="62"/>
      <c r="E158" s="62"/>
      <c r="F158" s="62"/>
      <c r="G158" s="62"/>
      <c r="H158" s="190"/>
      <c r="I158" s="62"/>
      <c r="J158" s="62"/>
      <c r="K158" s="62"/>
      <c r="L158" s="62"/>
      <c r="M158" s="62"/>
      <c r="N158" s="62"/>
      <c r="O158" s="62"/>
      <c r="P158" s="62"/>
      <c r="Q158" s="62"/>
      <c r="R158" s="62"/>
      <c r="S158" s="62"/>
      <c r="T158" s="62"/>
      <c r="U158" s="62"/>
      <c r="V158" s="62"/>
      <c r="W158" s="62"/>
      <c r="X158" s="62"/>
      <c r="Y158" s="62"/>
      <c r="Z158" s="62"/>
      <c r="AA158" s="62"/>
      <c r="AB158" s="62"/>
      <c r="AC158" s="62"/>
    </row>
    <row r="159">
      <c r="A159" s="61"/>
      <c r="B159" s="61"/>
      <c r="C159" s="62"/>
      <c r="D159" s="62"/>
      <c r="E159" s="62"/>
      <c r="F159" s="62"/>
      <c r="G159" s="62"/>
      <c r="H159" s="190"/>
      <c r="I159" s="62"/>
      <c r="J159" s="62"/>
      <c r="K159" s="62"/>
      <c r="L159" s="62"/>
      <c r="M159" s="62"/>
      <c r="N159" s="62"/>
      <c r="O159" s="62"/>
      <c r="P159" s="62"/>
      <c r="Q159" s="62"/>
      <c r="R159" s="62"/>
      <c r="S159" s="62"/>
      <c r="T159" s="62"/>
      <c r="U159" s="62"/>
      <c r="V159" s="62"/>
      <c r="W159" s="62"/>
      <c r="X159" s="62"/>
      <c r="Y159" s="62"/>
      <c r="Z159" s="62"/>
      <c r="AA159" s="62"/>
      <c r="AB159" s="62"/>
      <c r="AC159" s="62"/>
    </row>
    <row r="160">
      <c r="A160" s="61"/>
      <c r="B160" s="61"/>
      <c r="C160" s="62"/>
      <c r="D160" s="62"/>
      <c r="E160" s="62"/>
      <c r="F160" s="62"/>
      <c r="G160" s="62"/>
      <c r="H160" s="190"/>
      <c r="I160" s="62"/>
      <c r="J160" s="62"/>
      <c r="K160" s="62"/>
      <c r="L160" s="62"/>
      <c r="M160" s="62"/>
      <c r="N160" s="62"/>
      <c r="O160" s="62"/>
      <c r="P160" s="62"/>
      <c r="Q160" s="62"/>
      <c r="R160" s="62"/>
      <c r="S160" s="62"/>
      <c r="T160" s="62"/>
      <c r="U160" s="62"/>
      <c r="V160" s="62"/>
      <c r="W160" s="62"/>
      <c r="X160" s="62"/>
      <c r="Y160" s="62"/>
      <c r="Z160" s="62"/>
      <c r="AA160" s="62"/>
      <c r="AB160" s="62"/>
      <c r="AC160" s="62"/>
    </row>
    <row r="161">
      <c r="A161" s="61"/>
      <c r="B161" s="61"/>
      <c r="C161" s="62"/>
      <c r="D161" s="62"/>
      <c r="E161" s="62"/>
      <c r="F161" s="62"/>
      <c r="G161" s="62"/>
      <c r="H161" s="190"/>
      <c r="I161" s="62"/>
      <c r="J161" s="62"/>
      <c r="K161" s="62"/>
      <c r="L161" s="62"/>
      <c r="M161" s="62"/>
      <c r="N161" s="62"/>
      <c r="O161" s="62"/>
      <c r="P161" s="62"/>
      <c r="Q161" s="62"/>
      <c r="R161" s="62"/>
      <c r="S161" s="62"/>
      <c r="T161" s="62"/>
      <c r="U161" s="62"/>
      <c r="V161" s="62"/>
      <c r="W161" s="62"/>
      <c r="X161" s="62"/>
      <c r="Y161" s="62"/>
      <c r="Z161" s="62"/>
      <c r="AA161" s="62"/>
      <c r="AB161" s="62"/>
      <c r="AC161" s="62"/>
    </row>
    <row r="162">
      <c r="A162" s="61"/>
      <c r="B162" s="61"/>
      <c r="C162" s="62"/>
      <c r="D162" s="62"/>
      <c r="E162" s="62"/>
      <c r="F162" s="62"/>
      <c r="G162" s="62"/>
      <c r="H162" s="190"/>
      <c r="I162" s="62"/>
      <c r="J162" s="62"/>
      <c r="K162" s="62"/>
      <c r="L162" s="62"/>
      <c r="M162" s="62"/>
      <c r="N162" s="62"/>
      <c r="O162" s="62"/>
      <c r="P162" s="62"/>
      <c r="Q162" s="62"/>
      <c r="R162" s="62"/>
      <c r="S162" s="62"/>
      <c r="T162" s="62"/>
      <c r="U162" s="62"/>
      <c r="V162" s="62"/>
      <c r="W162" s="62"/>
      <c r="X162" s="62"/>
      <c r="Y162" s="62"/>
      <c r="Z162" s="62"/>
      <c r="AA162" s="62"/>
      <c r="AB162" s="62"/>
      <c r="AC162" s="62"/>
    </row>
    <row r="163">
      <c r="A163" s="61"/>
      <c r="B163" s="61"/>
      <c r="C163" s="62"/>
      <c r="D163" s="62"/>
      <c r="E163" s="62"/>
      <c r="F163" s="62"/>
      <c r="G163" s="62"/>
      <c r="H163" s="190"/>
      <c r="I163" s="62"/>
      <c r="J163" s="62"/>
      <c r="K163" s="62"/>
      <c r="L163" s="62"/>
      <c r="M163" s="62"/>
      <c r="N163" s="62"/>
      <c r="O163" s="62"/>
      <c r="P163" s="62"/>
      <c r="Q163" s="62"/>
      <c r="R163" s="62"/>
      <c r="S163" s="62"/>
      <c r="T163" s="62"/>
      <c r="U163" s="62"/>
      <c r="V163" s="62"/>
      <c r="W163" s="62"/>
      <c r="X163" s="62"/>
      <c r="Y163" s="62"/>
      <c r="Z163" s="62"/>
      <c r="AA163" s="62"/>
      <c r="AB163" s="62"/>
      <c r="AC163" s="62"/>
    </row>
    <row r="164">
      <c r="A164" s="61"/>
      <c r="B164" s="61"/>
      <c r="C164" s="62"/>
      <c r="D164" s="62"/>
      <c r="E164" s="62"/>
      <c r="F164" s="62"/>
      <c r="G164" s="62"/>
      <c r="H164" s="190"/>
      <c r="I164" s="62"/>
      <c r="J164" s="62"/>
      <c r="K164" s="62"/>
      <c r="L164" s="62"/>
      <c r="M164" s="62"/>
      <c r="N164" s="62"/>
      <c r="O164" s="62"/>
      <c r="P164" s="62"/>
      <c r="Q164" s="62"/>
      <c r="R164" s="62"/>
      <c r="S164" s="62"/>
      <c r="T164" s="62"/>
      <c r="U164" s="62"/>
      <c r="V164" s="62"/>
      <c r="W164" s="62"/>
      <c r="X164" s="62"/>
      <c r="Y164" s="62"/>
      <c r="Z164" s="62"/>
      <c r="AA164" s="62"/>
      <c r="AB164" s="62"/>
      <c r="AC164" s="62"/>
    </row>
    <row r="165">
      <c r="A165" s="61"/>
      <c r="B165" s="61"/>
      <c r="C165" s="62"/>
      <c r="D165" s="62"/>
      <c r="E165" s="62"/>
      <c r="F165" s="62"/>
      <c r="G165" s="62"/>
      <c r="H165" s="190"/>
      <c r="I165" s="62"/>
      <c r="J165" s="62"/>
      <c r="K165" s="62"/>
      <c r="L165" s="62"/>
      <c r="M165" s="62"/>
      <c r="N165" s="62"/>
      <c r="O165" s="62"/>
      <c r="P165" s="62"/>
      <c r="Q165" s="62"/>
      <c r="R165" s="62"/>
      <c r="S165" s="62"/>
      <c r="T165" s="62"/>
      <c r="U165" s="62"/>
      <c r="V165" s="62"/>
      <c r="W165" s="62"/>
      <c r="X165" s="62"/>
      <c r="Y165" s="62"/>
      <c r="Z165" s="62"/>
      <c r="AA165" s="62"/>
      <c r="AB165" s="62"/>
      <c r="AC165" s="62"/>
    </row>
    <row r="166">
      <c r="A166" s="61"/>
      <c r="B166" s="61"/>
      <c r="C166" s="62"/>
      <c r="D166" s="62"/>
      <c r="E166" s="62"/>
      <c r="F166" s="62"/>
      <c r="G166" s="62"/>
      <c r="H166" s="190"/>
      <c r="I166" s="62"/>
      <c r="J166" s="62"/>
      <c r="K166" s="62"/>
      <c r="L166" s="62"/>
      <c r="M166" s="62"/>
      <c r="N166" s="62"/>
      <c r="O166" s="62"/>
      <c r="P166" s="62"/>
      <c r="Q166" s="62"/>
      <c r="R166" s="62"/>
      <c r="S166" s="62"/>
      <c r="T166" s="62"/>
      <c r="U166" s="62"/>
      <c r="V166" s="62"/>
      <c r="W166" s="62"/>
      <c r="X166" s="62"/>
      <c r="Y166" s="62"/>
      <c r="Z166" s="62"/>
      <c r="AA166" s="62"/>
      <c r="AB166" s="62"/>
      <c r="AC166" s="62"/>
    </row>
    <row r="167">
      <c r="A167" s="61"/>
      <c r="B167" s="61"/>
      <c r="C167" s="62"/>
      <c r="D167" s="62"/>
      <c r="E167" s="62"/>
      <c r="F167" s="62"/>
      <c r="G167" s="62"/>
      <c r="H167" s="190"/>
      <c r="I167" s="62"/>
      <c r="J167" s="62"/>
      <c r="K167" s="62"/>
      <c r="L167" s="62"/>
      <c r="M167" s="62"/>
      <c r="N167" s="62"/>
      <c r="O167" s="62"/>
      <c r="P167" s="62"/>
      <c r="Q167" s="62"/>
      <c r="R167" s="62"/>
      <c r="S167" s="62"/>
      <c r="T167" s="62"/>
      <c r="U167" s="62"/>
      <c r="V167" s="62"/>
      <c r="W167" s="62"/>
      <c r="X167" s="62"/>
      <c r="Y167" s="62"/>
      <c r="Z167" s="62"/>
      <c r="AA167" s="62"/>
      <c r="AB167" s="62"/>
      <c r="AC167" s="62"/>
    </row>
    <row r="168">
      <c r="A168" s="61"/>
      <c r="B168" s="61"/>
      <c r="C168" s="62"/>
      <c r="D168" s="62"/>
      <c r="E168" s="62"/>
      <c r="F168" s="62"/>
      <c r="G168" s="62"/>
      <c r="H168" s="190"/>
      <c r="I168" s="62"/>
      <c r="J168" s="62"/>
      <c r="K168" s="62"/>
      <c r="L168" s="62"/>
      <c r="M168" s="62"/>
      <c r="N168" s="62"/>
      <c r="O168" s="62"/>
      <c r="P168" s="62"/>
      <c r="Q168" s="62"/>
      <c r="R168" s="62"/>
      <c r="S168" s="62"/>
      <c r="T168" s="62"/>
      <c r="U168" s="62"/>
      <c r="V168" s="62"/>
      <c r="W168" s="62"/>
      <c r="X168" s="62"/>
      <c r="Y168" s="62"/>
      <c r="Z168" s="62"/>
      <c r="AA168" s="62"/>
      <c r="AB168" s="62"/>
      <c r="AC168" s="62"/>
    </row>
    <row r="169">
      <c r="A169" s="61"/>
      <c r="B169" s="61"/>
      <c r="C169" s="62"/>
      <c r="D169" s="62"/>
      <c r="E169" s="62"/>
      <c r="F169" s="62"/>
      <c r="G169" s="62"/>
      <c r="H169" s="190"/>
      <c r="I169" s="62"/>
      <c r="J169" s="62"/>
      <c r="K169" s="62"/>
      <c r="L169" s="62"/>
      <c r="M169" s="62"/>
      <c r="N169" s="62"/>
      <c r="O169" s="62"/>
      <c r="P169" s="62"/>
      <c r="Q169" s="62"/>
      <c r="R169" s="62"/>
      <c r="S169" s="62"/>
      <c r="T169" s="62"/>
      <c r="U169" s="62"/>
      <c r="V169" s="62"/>
      <c r="W169" s="62"/>
      <c r="X169" s="62"/>
      <c r="Y169" s="62"/>
      <c r="Z169" s="62"/>
      <c r="AA169" s="62"/>
      <c r="AB169" s="62"/>
      <c r="AC169" s="62"/>
    </row>
    <row r="170">
      <c r="A170" s="61"/>
      <c r="B170" s="61"/>
      <c r="C170" s="62"/>
      <c r="D170" s="62"/>
      <c r="E170" s="62"/>
      <c r="F170" s="62"/>
      <c r="G170" s="62"/>
      <c r="H170" s="190"/>
      <c r="I170" s="62"/>
      <c r="J170" s="62"/>
      <c r="K170" s="62"/>
      <c r="L170" s="62"/>
      <c r="M170" s="62"/>
      <c r="N170" s="62"/>
      <c r="O170" s="62"/>
      <c r="P170" s="62"/>
      <c r="Q170" s="62"/>
      <c r="R170" s="62"/>
      <c r="S170" s="62"/>
      <c r="T170" s="62"/>
      <c r="U170" s="62"/>
      <c r="V170" s="62"/>
      <c r="W170" s="62"/>
      <c r="X170" s="62"/>
      <c r="Y170" s="62"/>
      <c r="Z170" s="62"/>
      <c r="AA170" s="62"/>
      <c r="AB170" s="62"/>
      <c r="AC170" s="62"/>
    </row>
    <row r="171">
      <c r="A171" s="61"/>
      <c r="B171" s="61"/>
      <c r="C171" s="62"/>
      <c r="D171" s="62"/>
      <c r="E171" s="62"/>
      <c r="F171" s="62"/>
      <c r="G171" s="62"/>
      <c r="H171" s="190"/>
      <c r="I171" s="62"/>
      <c r="J171" s="62"/>
      <c r="K171" s="62"/>
      <c r="L171" s="62"/>
      <c r="M171" s="62"/>
      <c r="N171" s="62"/>
      <c r="O171" s="62"/>
      <c r="P171" s="62"/>
      <c r="Q171" s="62"/>
      <c r="R171" s="62"/>
      <c r="S171" s="62"/>
      <c r="T171" s="62"/>
      <c r="U171" s="62"/>
      <c r="V171" s="62"/>
      <c r="W171" s="62"/>
      <c r="X171" s="62"/>
      <c r="Y171" s="62"/>
      <c r="Z171" s="62"/>
      <c r="AA171" s="62"/>
      <c r="AB171" s="62"/>
      <c r="AC171" s="62"/>
    </row>
    <row r="172">
      <c r="A172" s="61"/>
      <c r="B172" s="61"/>
      <c r="C172" s="62"/>
      <c r="D172" s="62"/>
      <c r="E172" s="62"/>
      <c r="F172" s="62"/>
      <c r="G172" s="62"/>
      <c r="H172" s="190"/>
      <c r="I172" s="62"/>
      <c r="J172" s="62"/>
      <c r="K172" s="62"/>
      <c r="L172" s="62"/>
      <c r="M172" s="62"/>
      <c r="N172" s="62"/>
      <c r="O172" s="62"/>
      <c r="P172" s="62"/>
      <c r="Q172" s="62"/>
      <c r="R172" s="62"/>
      <c r="S172" s="62"/>
      <c r="T172" s="62"/>
      <c r="U172" s="62"/>
      <c r="V172" s="62"/>
      <c r="W172" s="62"/>
      <c r="X172" s="62"/>
      <c r="Y172" s="62"/>
      <c r="Z172" s="62"/>
      <c r="AA172" s="62"/>
      <c r="AB172" s="62"/>
      <c r="AC172" s="62"/>
    </row>
    <row r="173">
      <c r="A173" s="61"/>
      <c r="B173" s="61"/>
      <c r="C173" s="62"/>
      <c r="D173" s="62"/>
      <c r="E173" s="62"/>
      <c r="F173" s="62"/>
      <c r="G173" s="62"/>
      <c r="H173" s="190"/>
      <c r="I173" s="62"/>
      <c r="J173" s="62"/>
      <c r="K173" s="62"/>
      <c r="L173" s="62"/>
      <c r="M173" s="62"/>
      <c r="N173" s="62"/>
      <c r="O173" s="62"/>
      <c r="P173" s="62"/>
      <c r="Q173" s="62"/>
      <c r="R173" s="62"/>
      <c r="S173" s="62"/>
      <c r="T173" s="62"/>
      <c r="U173" s="62"/>
      <c r="V173" s="62"/>
      <c r="W173" s="62"/>
      <c r="X173" s="62"/>
      <c r="Y173" s="62"/>
      <c r="Z173" s="62"/>
      <c r="AA173" s="62"/>
      <c r="AB173" s="62"/>
      <c r="AC173" s="62"/>
    </row>
    <row r="174">
      <c r="A174" s="61"/>
      <c r="B174" s="61"/>
      <c r="C174" s="62"/>
      <c r="D174" s="62"/>
      <c r="E174" s="62"/>
      <c r="F174" s="62"/>
      <c r="G174" s="62"/>
      <c r="H174" s="190"/>
      <c r="I174" s="62"/>
      <c r="J174" s="62"/>
      <c r="K174" s="62"/>
      <c r="L174" s="62"/>
      <c r="M174" s="62"/>
      <c r="N174" s="62"/>
      <c r="O174" s="62"/>
      <c r="P174" s="62"/>
      <c r="Q174" s="62"/>
      <c r="R174" s="62"/>
      <c r="S174" s="62"/>
      <c r="T174" s="62"/>
      <c r="U174" s="62"/>
      <c r="V174" s="62"/>
      <c r="W174" s="62"/>
      <c r="X174" s="62"/>
      <c r="Y174" s="62"/>
      <c r="Z174" s="62"/>
      <c r="AA174" s="62"/>
      <c r="AB174" s="62"/>
      <c r="AC174" s="62"/>
    </row>
    <row r="175">
      <c r="A175" s="61"/>
      <c r="B175" s="61"/>
      <c r="C175" s="62"/>
      <c r="D175" s="62"/>
      <c r="E175" s="62"/>
      <c r="F175" s="62"/>
      <c r="G175" s="62"/>
      <c r="H175" s="190"/>
      <c r="I175" s="62"/>
      <c r="J175" s="62"/>
      <c r="K175" s="62"/>
      <c r="L175" s="62"/>
      <c r="M175" s="62"/>
      <c r="N175" s="62"/>
      <c r="O175" s="62"/>
      <c r="P175" s="62"/>
      <c r="Q175" s="62"/>
      <c r="R175" s="62"/>
      <c r="S175" s="62"/>
      <c r="T175" s="62"/>
      <c r="U175" s="62"/>
      <c r="V175" s="62"/>
      <c r="W175" s="62"/>
      <c r="X175" s="62"/>
      <c r="Y175" s="62"/>
      <c r="Z175" s="62"/>
      <c r="AA175" s="62"/>
      <c r="AB175" s="62"/>
      <c r="AC175" s="62"/>
    </row>
    <row r="176">
      <c r="A176" s="61"/>
      <c r="B176" s="61"/>
      <c r="C176" s="62"/>
      <c r="D176" s="62"/>
      <c r="E176" s="62"/>
      <c r="F176" s="62"/>
      <c r="G176" s="62"/>
      <c r="H176" s="190"/>
      <c r="I176" s="62"/>
      <c r="J176" s="62"/>
      <c r="K176" s="62"/>
      <c r="L176" s="62"/>
      <c r="M176" s="62"/>
      <c r="N176" s="62"/>
      <c r="O176" s="62"/>
      <c r="P176" s="62"/>
      <c r="Q176" s="62"/>
      <c r="R176" s="62"/>
      <c r="S176" s="62"/>
      <c r="T176" s="62"/>
      <c r="U176" s="62"/>
      <c r="V176" s="62"/>
      <c r="W176" s="62"/>
      <c r="X176" s="62"/>
      <c r="Y176" s="62"/>
      <c r="Z176" s="62"/>
      <c r="AA176" s="62"/>
      <c r="AB176" s="62"/>
      <c r="AC176" s="62"/>
    </row>
    <row r="177">
      <c r="A177" s="61"/>
      <c r="B177" s="61"/>
      <c r="C177" s="62"/>
      <c r="D177" s="62"/>
      <c r="E177" s="62"/>
      <c r="F177" s="62"/>
      <c r="G177" s="62"/>
      <c r="H177" s="190"/>
      <c r="I177" s="62"/>
      <c r="J177" s="62"/>
      <c r="K177" s="62"/>
      <c r="L177" s="62"/>
      <c r="M177" s="62"/>
      <c r="N177" s="62"/>
      <c r="O177" s="62"/>
      <c r="P177" s="62"/>
      <c r="Q177" s="62"/>
      <c r="R177" s="62"/>
      <c r="S177" s="62"/>
      <c r="T177" s="62"/>
      <c r="U177" s="62"/>
      <c r="V177" s="62"/>
      <c r="W177" s="62"/>
      <c r="X177" s="62"/>
      <c r="Y177" s="62"/>
      <c r="Z177" s="62"/>
      <c r="AA177" s="62"/>
      <c r="AB177" s="62"/>
      <c r="AC177" s="62"/>
    </row>
    <row r="178">
      <c r="A178" s="61"/>
      <c r="B178" s="61"/>
      <c r="C178" s="62"/>
      <c r="D178" s="62"/>
      <c r="E178" s="62"/>
      <c r="F178" s="62"/>
      <c r="G178" s="62"/>
      <c r="H178" s="190"/>
      <c r="I178" s="62"/>
      <c r="J178" s="62"/>
      <c r="K178" s="62"/>
      <c r="L178" s="62"/>
      <c r="M178" s="62"/>
      <c r="N178" s="62"/>
      <c r="O178" s="62"/>
      <c r="P178" s="62"/>
      <c r="Q178" s="62"/>
      <c r="R178" s="62"/>
      <c r="S178" s="62"/>
      <c r="T178" s="62"/>
      <c r="U178" s="62"/>
      <c r="V178" s="62"/>
      <c r="W178" s="62"/>
      <c r="X178" s="62"/>
      <c r="Y178" s="62"/>
      <c r="Z178" s="62"/>
      <c r="AA178" s="62"/>
      <c r="AB178" s="62"/>
      <c r="AC178" s="62"/>
    </row>
    <row r="179">
      <c r="A179" s="61"/>
      <c r="B179" s="61"/>
      <c r="C179" s="62"/>
      <c r="D179" s="62"/>
      <c r="E179" s="62"/>
      <c r="F179" s="62"/>
      <c r="G179" s="62"/>
      <c r="H179" s="190"/>
      <c r="I179" s="62"/>
      <c r="J179" s="62"/>
      <c r="K179" s="62"/>
      <c r="L179" s="62"/>
      <c r="M179" s="62"/>
      <c r="N179" s="62"/>
      <c r="O179" s="62"/>
      <c r="P179" s="62"/>
      <c r="Q179" s="62"/>
      <c r="R179" s="62"/>
      <c r="S179" s="62"/>
      <c r="T179" s="62"/>
      <c r="U179" s="62"/>
      <c r="V179" s="62"/>
      <c r="W179" s="62"/>
      <c r="X179" s="62"/>
      <c r="Y179" s="62"/>
      <c r="Z179" s="62"/>
      <c r="AA179" s="62"/>
      <c r="AB179" s="62"/>
      <c r="AC179" s="62"/>
    </row>
    <row r="180">
      <c r="A180" s="61"/>
      <c r="B180" s="61"/>
      <c r="C180" s="62"/>
      <c r="D180" s="62"/>
      <c r="E180" s="62"/>
      <c r="F180" s="62"/>
      <c r="G180" s="62"/>
      <c r="H180" s="190"/>
      <c r="I180" s="62"/>
      <c r="J180" s="62"/>
      <c r="K180" s="62"/>
      <c r="L180" s="62"/>
      <c r="M180" s="62"/>
      <c r="N180" s="62"/>
      <c r="O180" s="62"/>
      <c r="P180" s="62"/>
      <c r="Q180" s="62"/>
      <c r="R180" s="62"/>
      <c r="S180" s="62"/>
      <c r="T180" s="62"/>
      <c r="U180" s="62"/>
      <c r="V180" s="62"/>
      <c r="W180" s="62"/>
      <c r="X180" s="62"/>
      <c r="Y180" s="62"/>
      <c r="Z180" s="62"/>
      <c r="AA180" s="62"/>
      <c r="AB180" s="62"/>
      <c r="AC180" s="62"/>
    </row>
    <row r="181">
      <c r="A181" s="61"/>
      <c r="B181" s="61"/>
      <c r="C181" s="62"/>
      <c r="D181" s="62"/>
      <c r="E181" s="62"/>
      <c r="F181" s="62"/>
      <c r="G181" s="62"/>
      <c r="H181" s="190"/>
      <c r="I181" s="62"/>
      <c r="J181" s="62"/>
      <c r="K181" s="62"/>
      <c r="L181" s="62"/>
      <c r="M181" s="62"/>
      <c r="N181" s="62"/>
      <c r="O181" s="62"/>
      <c r="P181" s="62"/>
      <c r="Q181" s="62"/>
      <c r="R181" s="62"/>
      <c r="S181" s="62"/>
      <c r="T181" s="62"/>
      <c r="U181" s="62"/>
      <c r="V181" s="62"/>
      <c r="W181" s="62"/>
      <c r="X181" s="62"/>
      <c r="Y181" s="62"/>
      <c r="Z181" s="62"/>
      <c r="AA181" s="62"/>
      <c r="AB181" s="62"/>
      <c r="AC181" s="62"/>
    </row>
    <row r="182">
      <c r="A182" s="61"/>
      <c r="B182" s="61"/>
      <c r="C182" s="62"/>
      <c r="D182" s="62"/>
      <c r="E182" s="62"/>
      <c r="F182" s="62"/>
      <c r="G182" s="62"/>
      <c r="H182" s="190"/>
      <c r="I182" s="62"/>
      <c r="J182" s="62"/>
      <c r="K182" s="62"/>
      <c r="L182" s="62"/>
      <c r="M182" s="62"/>
      <c r="N182" s="62"/>
      <c r="O182" s="62"/>
      <c r="P182" s="62"/>
      <c r="Q182" s="62"/>
      <c r="R182" s="62"/>
      <c r="S182" s="62"/>
      <c r="T182" s="62"/>
      <c r="U182" s="62"/>
      <c r="V182" s="62"/>
      <c r="W182" s="62"/>
      <c r="X182" s="62"/>
      <c r="Y182" s="62"/>
      <c r="Z182" s="62"/>
      <c r="AA182" s="62"/>
      <c r="AB182" s="62"/>
      <c r="AC182" s="62"/>
    </row>
    <row r="183">
      <c r="A183" s="61"/>
      <c r="B183" s="61"/>
      <c r="C183" s="62"/>
      <c r="D183" s="62"/>
      <c r="E183" s="62"/>
      <c r="F183" s="62"/>
      <c r="G183" s="62"/>
      <c r="H183" s="190"/>
      <c r="I183" s="62"/>
      <c r="J183" s="62"/>
      <c r="K183" s="62"/>
      <c r="L183" s="62"/>
      <c r="M183" s="62"/>
      <c r="N183" s="62"/>
      <c r="O183" s="62"/>
      <c r="P183" s="62"/>
      <c r="Q183" s="62"/>
      <c r="R183" s="62"/>
      <c r="S183" s="62"/>
      <c r="T183" s="62"/>
      <c r="U183" s="62"/>
      <c r="V183" s="62"/>
      <c r="W183" s="62"/>
      <c r="X183" s="62"/>
      <c r="Y183" s="62"/>
      <c r="Z183" s="62"/>
      <c r="AA183" s="62"/>
      <c r="AB183" s="62"/>
      <c r="AC183" s="62"/>
    </row>
    <row r="184">
      <c r="A184" s="61"/>
      <c r="B184" s="61"/>
      <c r="C184" s="62"/>
      <c r="D184" s="62"/>
      <c r="E184" s="62"/>
      <c r="F184" s="62"/>
      <c r="G184" s="62"/>
      <c r="H184" s="190"/>
      <c r="I184" s="62"/>
      <c r="J184" s="62"/>
      <c r="K184" s="62"/>
      <c r="L184" s="62"/>
      <c r="M184" s="62"/>
      <c r="N184" s="62"/>
      <c r="O184" s="62"/>
      <c r="P184" s="62"/>
      <c r="Q184" s="62"/>
      <c r="R184" s="62"/>
      <c r="S184" s="62"/>
      <c r="T184" s="62"/>
      <c r="U184" s="62"/>
      <c r="V184" s="62"/>
      <c r="W184" s="62"/>
      <c r="X184" s="62"/>
      <c r="Y184" s="62"/>
      <c r="Z184" s="62"/>
      <c r="AA184" s="62"/>
      <c r="AB184" s="62"/>
      <c r="AC184" s="62"/>
    </row>
    <row r="185">
      <c r="A185" s="61"/>
      <c r="B185" s="61"/>
      <c r="C185" s="62"/>
      <c r="D185" s="62"/>
      <c r="E185" s="62"/>
      <c r="F185" s="62"/>
      <c r="G185" s="62"/>
      <c r="H185" s="190"/>
      <c r="I185" s="62"/>
      <c r="J185" s="62"/>
      <c r="K185" s="62"/>
      <c r="L185" s="62"/>
      <c r="M185" s="62"/>
      <c r="N185" s="62"/>
      <c r="O185" s="62"/>
      <c r="P185" s="62"/>
      <c r="Q185" s="62"/>
      <c r="R185" s="62"/>
      <c r="S185" s="62"/>
      <c r="T185" s="62"/>
      <c r="U185" s="62"/>
      <c r="V185" s="62"/>
      <c r="W185" s="62"/>
      <c r="X185" s="62"/>
      <c r="Y185" s="62"/>
      <c r="Z185" s="62"/>
      <c r="AA185" s="62"/>
      <c r="AB185" s="62"/>
      <c r="AC185" s="62"/>
    </row>
    <row r="186">
      <c r="A186" s="61"/>
      <c r="B186" s="61"/>
      <c r="C186" s="62"/>
      <c r="D186" s="62"/>
      <c r="E186" s="62"/>
      <c r="F186" s="62"/>
      <c r="G186" s="62"/>
      <c r="H186" s="190"/>
      <c r="I186" s="62"/>
      <c r="J186" s="62"/>
      <c r="K186" s="62"/>
      <c r="L186" s="62"/>
      <c r="M186" s="62"/>
      <c r="N186" s="62"/>
      <c r="O186" s="62"/>
      <c r="P186" s="62"/>
      <c r="Q186" s="62"/>
      <c r="R186" s="62"/>
      <c r="S186" s="62"/>
      <c r="T186" s="62"/>
      <c r="U186" s="62"/>
      <c r="V186" s="62"/>
      <c r="W186" s="62"/>
      <c r="X186" s="62"/>
      <c r="Y186" s="62"/>
      <c r="Z186" s="62"/>
      <c r="AA186" s="62"/>
      <c r="AB186" s="62"/>
      <c r="AC186" s="62"/>
    </row>
    <row r="187">
      <c r="A187" s="61"/>
      <c r="B187" s="61"/>
      <c r="C187" s="62"/>
      <c r="D187" s="62"/>
      <c r="E187" s="62"/>
      <c r="F187" s="62"/>
      <c r="G187" s="62"/>
      <c r="H187" s="190"/>
      <c r="I187" s="62"/>
      <c r="J187" s="62"/>
      <c r="K187" s="62"/>
      <c r="L187" s="62"/>
      <c r="M187" s="62"/>
      <c r="N187" s="62"/>
      <c r="O187" s="62"/>
      <c r="P187" s="62"/>
      <c r="Q187" s="62"/>
      <c r="R187" s="62"/>
      <c r="S187" s="62"/>
      <c r="T187" s="62"/>
      <c r="U187" s="62"/>
      <c r="V187" s="62"/>
      <c r="W187" s="62"/>
      <c r="X187" s="62"/>
      <c r="Y187" s="62"/>
      <c r="Z187" s="62"/>
      <c r="AA187" s="62"/>
      <c r="AB187" s="62"/>
      <c r="AC187" s="62"/>
    </row>
    <row r="188">
      <c r="A188" s="61"/>
      <c r="B188" s="61"/>
      <c r="C188" s="62"/>
      <c r="D188" s="62"/>
      <c r="E188" s="62"/>
      <c r="F188" s="62"/>
      <c r="G188" s="62"/>
      <c r="H188" s="190"/>
      <c r="I188" s="62"/>
      <c r="J188" s="62"/>
      <c r="K188" s="62"/>
      <c r="L188" s="62"/>
      <c r="M188" s="62"/>
      <c r="N188" s="62"/>
      <c r="O188" s="62"/>
      <c r="P188" s="62"/>
      <c r="Q188" s="62"/>
      <c r="R188" s="62"/>
      <c r="S188" s="62"/>
      <c r="T188" s="62"/>
      <c r="U188" s="62"/>
      <c r="V188" s="62"/>
      <c r="W188" s="62"/>
      <c r="X188" s="62"/>
      <c r="Y188" s="62"/>
      <c r="Z188" s="62"/>
      <c r="AA188" s="62"/>
      <c r="AB188" s="62"/>
      <c r="AC188" s="62"/>
    </row>
    <row r="189">
      <c r="A189" s="61"/>
      <c r="B189" s="61"/>
      <c r="C189" s="62"/>
      <c r="D189" s="62"/>
      <c r="E189" s="62"/>
      <c r="F189" s="62"/>
      <c r="G189" s="62"/>
      <c r="H189" s="190"/>
      <c r="I189" s="62"/>
      <c r="J189" s="62"/>
      <c r="K189" s="62"/>
      <c r="L189" s="62"/>
      <c r="M189" s="62"/>
      <c r="N189" s="62"/>
      <c r="O189" s="62"/>
      <c r="P189" s="62"/>
      <c r="Q189" s="62"/>
      <c r="R189" s="62"/>
      <c r="S189" s="62"/>
      <c r="T189" s="62"/>
      <c r="U189" s="62"/>
      <c r="V189" s="62"/>
      <c r="W189" s="62"/>
      <c r="X189" s="62"/>
      <c r="Y189" s="62"/>
      <c r="Z189" s="62"/>
      <c r="AA189" s="62"/>
      <c r="AB189" s="62"/>
      <c r="AC189" s="62"/>
    </row>
    <row r="190">
      <c r="A190" s="61"/>
      <c r="B190" s="61"/>
      <c r="C190" s="62"/>
      <c r="D190" s="62"/>
      <c r="E190" s="62"/>
      <c r="F190" s="62"/>
      <c r="G190" s="62"/>
      <c r="H190" s="190"/>
      <c r="I190" s="62"/>
      <c r="J190" s="62"/>
      <c r="K190" s="62"/>
      <c r="L190" s="62"/>
      <c r="M190" s="62"/>
      <c r="N190" s="62"/>
      <c r="O190" s="62"/>
      <c r="P190" s="62"/>
      <c r="Q190" s="62"/>
      <c r="R190" s="62"/>
      <c r="S190" s="62"/>
      <c r="T190" s="62"/>
      <c r="U190" s="62"/>
      <c r="V190" s="62"/>
      <c r="W190" s="62"/>
      <c r="X190" s="62"/>
      <c r="Y190" s="62"/>
      <c r="Z190" s="62"/>
      <c r="AA190" s="62"/>
      <c r="AB190" s="62"/>
      <c r="AC190" s="62"/>
    </row>
    <row r="191">
      <c r="A191" s="61"/>
      <c r="B191" s="61"/>
      <c r="C191" s="62"/>
      <c r="D191" s="62"/>
      <c r="E191" s="62"/>
      <c r="F191" s="62"/>
      <c r="G191" s="62"/>
      <c r="H191" s="190"/>
      <c r="I191" s="62"/>
      <c r="J191" s="62"/>
      <c r="K191" s="62"/>
      <c r="L191" s="62"/>
      <c r="M191" s="62"/>
      <c r="N191" s="62"/>
      <c r="O191" s="62"/>
      <c r="P191" s="62"/>
      <c r="Q191" s="62"/>
      <c r="R191" s="62"/>
      <c r="S191" s="62"/>
      <c r="T191" s="62"/>
      <c r="U191" s="62"/>
      <c r="V191" s="62"/>
      <c r="W191" s="62"/>
      <c r="X191" s="62"/>
      <c r="Y191" s="62"/>
      <c r="Z191" s="62"/>
      <c r="AA191" s="62"/>
      <c r="AB191" s="62"/>
      <c r="AC191" s="62"/>
    </row>
    <row r="192">
      <c r="A192" s="61"/>
      <c r="B192" s="61"/>
      <c r="C192" s="62"/>
      <c r="D192" s="62"/>
      <c r="E192" s="62"/>
      <c r="F192" s="62"/>
      <c r="G192" s="62"/>
      <c r="H192" s="190"/>
      <c r="I192" s="62"/>
      <c r="J192" s="62"/>
      <c r="K192" s="62"/>
      <c r="L192" s="62"/>
      <c r="M192" s="62"/>
      <c r="N192" s="62"/>
      <c r="O192" s="62"/>
      <c r="P192" s="62"/>
      <c r="Q192" s="62"/>
      <c r="R192" s="62"/>
      <c r="S192" s="62"/>
      <c r="T192" s="62"/>
      <c r="U192" s="62"/>
      <c r="V192" s="62"/>
      <c r="W192" s="62"/>
      <c r="X192" s="62"/>
      <c r="Y192" s="62"/>
      <c r="Z192" s="62"/>
      <c r="AA192" s="62"/>
      <c r="AB192" s="62"/>
      <c r="AC192" s="62"/>
    </row>
    <row r="193">
      <c r="A193" s="61"/>
      <c r="B193" s="61"/>
      <c r="C193" s="62"/>
      <c r="D193" s="62"/>
      <c r="E193" s="62"/>
      <c r="F193" s="62"/>
      <c r="G193" s="62"/>
      <c r="H193" s="190"/>
      <c r="I193" s="62"/>
      <c r="J193" s="62"/>
      <c r="K193" s="62"/>
      <c r="L193" s="62"/>
      <c r="M193" s="62"/>
      <c r="N193" s="62"/>
      <c r="O193" s="62"/>
      <c r="P193" s="62"/>
      <c r="Q193" s="62"/>
      <c r="R193" s="62"/>
      <c r="S193" s="62"/>
      <c r="T193" s="62"/>
      <c r="U193" s="62"/>
      <c r="V193" s="62"/>
      <c r="W193" s="62"/>
      <c r="X193" s="62"/>
      <c r="Y193" s="62"/>
      <c r="Z193" s="62"/>
      <c r="AA193" s="62"/>
      <c r="AB193" s="62"/>
      <c r="AC193" s="62"/>
    </row>
    <row r="194">
      <c r="A194" s="61"/>
      <c r="B194" s="61"/>
      <c r="C194" s="62"/>
      <c r="D194" s="62"/>
      <c r="E194" s="62"/>
      <c r="F194" s="62"/>
      <c r="G194" s="62"/>
      <c r="H194" s="190"/>
      <c r="I194" s="62"/>
      <c r="J194" s="62"/>
      <c r="K194" s="62"/>
      <c r="L194" s="62"/>
      <c r="M194" s="62"/>
      <c r="N194" s="62"/>
      <c r="O194" s="62"/>
      <c r="P194" s="62"/>
      <c r="Q194" s="62"/>
      <c r="R194" s="62"/>
      <c r="S194" s="62"/>
      <c r="T194" s="62"/>
      <c r="U194" s="62"/>
      <c r="V194" s="62"/>
      <c r="W194" s="62"/>
      <c r="X194" s="62"/>
      <c r="Y194" s="62"/>
      <c r="Z194" s="62"/>
      <c r="AA194" s="62"/>
      <c r="AB194" s="62"/>
      <c r="AC194" s="62"/>
    </row>
    <row r="195">
      <c r="A195" s="61"/>
      <c r="B195" s="61"/>
      <c r="C195" s="62"/>
      <c r="D195" s="62"/>
      <c r="E195" s="62"/>
      <c r="F195" s="62"/>
      <c r="G195" s="62"/>
      <c r="H195" s="190"/>
      <c r="I195" s="62"/>
      <c r="J195" s="62"/>
      <c r="K195" s="62"/>
      <c r="L195" s="62"/>
      <c r="M195" s="62"/>
      <c r="N195" s="62"/>
      <c r="O195" s="62"/>
      <c r="P195" s="62"/>
      <c r="Q195" s="62"/>
      <c r="R195" s="62"/>
      <c r="S195" s="62"/>
      <c r="T195" s="62"/>
      <c r="U195" s="62"/>
      <c r="V195" s="62"/>
      <c r="W195" s="62"/>
      <c r="X195" s="62"/>
      <c r="Y195" s="62"/>
      <c r="Z195" s="62"/>
      <c r="AA195" s="62"/>
      <c r="AB195" s="62"/>
      <c r="AC195" s="62"/>
    </row>
    <row r="196">
      <c r="A196" s="61"/>
      <c r="B196" s="61"/>
      <c r="C196" s="62"/>
      <c r="D196" s="62"/>
      <c r="E196" s="62"/>
      <c r="F196" s="62"/>
      <c r="G196" s="62"/>
      <c r="H196" s="190"/>
      <c r="I196" s="62"/>
      <c r="J196" s="62"/>
      <c r="K196" s="62"/>
      <c r="L196" s="62"/>
      <c r="M196" s="62"/>
      <c r="N196" s="62"/>
      <c r="O196" s="62"/>
      <c r="P196" s="62"/>
      <c r="Q196" s="62"/>
      <c r="R196" s="62"/>
      <c r="S196" s="62"/>
      <c r="T196" s="62"/>
      <c r="U196" s="62"/>
      <c r="V196" s="62"/>
      <c r="W196" s="62"/>
      <c r="X196" s="62"/>
      <c r="Y196" s="62"/>
      <c r="Z196" s="62"/>
      <c r="AA196" s="62"/>
      <c r="AB196" s="62"/>
      <c r="AC196" s="62"/>
    </row>
    <row r="197">
      <c r="A197" s="61"/>
      <c r="B197" s="61"/>
      <c r="C197" s="62"/>
      <c r="D197" s="62"/>
      <c r="E197" s="62"/>
      <c r="F197" s="62"/>
      <c r="G197" s="62"/>
      <c r="H197" s="190"/>
      <c r="I197" s="62"/>
      <c r="J197" s="62"/>
      <c r="K197" s="62"/>
      <c r="L197" s="62"/>
      <c r="M197" s="62"/>
      <c r="N197" s="62"/>
      <c r="O197" s="62"/>
      <c r="P197" s="62"/>
      <c r="Q197" s="62"/>
      <c r="R197" s="62"/>
      <c r="S197" s="62"/>
      <c r="T197" s="62"/>
      <c r="U197" s="62"/>
      <c r="V197" s="62"/>
      <c r="W197" s="62"/>
      <c r="X197" s="62"/>
      <c r="Y197" s="62"/>
      <c r="Z197" s="62"/>
      <c r="AA197" s="62"/>
      <c r="AB197" s="62"/>
      <c r="AC197" s="62"/>
    </row>
    <row r="198">
      <c r="A198" s="61"/>
      <c r="B198" s="61"/>
      <c r="C198" s="62"/>
      <c r="D198" s="62"/>
      <c r="E198" s="62"/>
      <c r="F198" s="62"/>
      <c r="G198" s="62"/>
      <c r="H198" s="190"/>
      <c r="I198" s="62"/>
      <c r="J198" s="62"/>
      <c r="K198" s="62"/>
      <c r="L198" s="62"/>
      <c r="M198" s="62"/>
      <c r="N198" s="62"/>
      <c r="O198" s="62"/>
      <c r="P198" s="62"/>
      <c r="Q198" s="62"/>
      <c r="R198" s="62"/>
      <c r="S198" s="62"/>
      <c r="T198" s="62"/>
      <c r="U198" s="62"/>
      <c r="V198" s="62"/>
      <c r="W198" s="62"/>
      <c r="X198" s="62"/>
      <c r="Y198" s="62"/>
      <c r="Z198" s="62"/>
      <c r="AA198" s="62"/>
      <c r="AB198" s="62"/>
      <c r="AC198" s="62"/>
    </row>
    <row r="199">
      <c r="A199" s="61"/>
      <c r="B199" s="61"/>
      <c r="C199" s="62"/>
      <c r="D199" s="62"/>
      <c r="E199" s="62"/>
      <c r="F199" s="62"/>
      <c r="G199" s="62"/>
      <c r="H199" s="190"/>
      <c r="I199" s="62"/>
      <c r="J199" s="62"/>
      <c r="K199" s="62"/>
      <c r="L199" s="62"/>
      <c r="M199" s="62"/>
      <c r="N199" s="62"/>
      <c r="O199" s="62"/>
      <c r="P199" s="62"/>
      <c r="Q199" s="62"/>
      <c r="R199" s="62"/>
      <c r="S199" s="62"/>
      <c r="T199" s="62"/>
      <c r="U199" s="62"/>
      <c r="V199" s="62"/>
      <c r="W199" s="62"/>
      <c r="X199" s="62"/>
      <c r="Y199" s="62"/>
      <c r="Z199" s="62"/>
      <c r="AA199" s="62"/>
      <c r="AB199" s="62"/>
      <c r="AC199" s="62"/>
    </row>
    <row r="200">
      <c r="A200" s="61"/>
      <c r="B200" s="61"/>
      <c r="C200" s="62"/>
      <c r="D200" s="62"/>
      <c r="E200" s="62"/>
      <c r="F200" s="62"/>
      <c r="G200" s="62"/>
      <c r="H200" s="190"/>
      <c r="I200" s="62"/>
      <c r="J200" s="62"/>
      <c r="K200" s="62"/>
      <c r="L200" s="62"/>
      <c r="M200" s="62"/>
      <c r="N200" s="62"/>
      <c r="O200" s="62"/>
      <c r="P200" s="62"/>
      <c r="Q200" s="62"/>
      <c r="R200" s="62"/>
      <c r="S200" s="62"/>
      <c r="T200" s="62"/>
      <c r="U200" s="62"/>
      <c r="V200" s="62"/>
      <c r="W200" s="62"/>
      <c r="X200" s="62"/>
      <c r="Y200" s="62"/>
      <c r="Z200" s="62"/>
      <c r="AA200" s="62"/>
      <c r="AB200" s="62"/>
      <c r="AC200" s="62"/>
    </row>
    <row r="201">
      <c r="A201" s="61"/>
      <c r="B201" s="61"/>
      <c r="C201" s="62"/>
      <c r="D201" s="62"/>
      <c r="E201" s="62"/>
      <c r="F201" s="62"/>
      <c r="G201" s="62"/>
      <c r="H201" s="190"/>
      <c r="I201" s="62"/>
      <c r="J201" s="62"/>
      <c r="K201" s="62"/>
      <c r="L201" s="62"/>
      <c r="M201" s="62"/>
      <c r="N201" s="62"/>
      <c r="O201" s="62"/>
      <c r="P201" s="62"/>
      <c r="Q201" s="62"/>
      <c r="R201" s="62"/>
      <c r="S201" s="62"/>
      <c r="T201" s="62"/>
      <c r="U201" s="62"/>
      <c r="V201" s="62"/>
      <c r="W201" s="62"/>
      <c r="X201" s="62"/>
      <c r="Y201" s="62"/>
      <c r="Z201" s="62"/>
      <c r="AA201" s="62"/>
      <c r="AB201" s="62"/>
      <c r="AC201" s="62"/>
    </row>
    <row r="202">
      <c r="A202" s="61"/>
      <c r="B202" s="61"/>
      <c r="C202" s="62"/>
      <c r="D202" s="62"/>
      <c r="E202" s="62"/>
      <c r="F202" s="62"/>
      <c r="G202" s="62"/>
      <c r="H202" s="190"/>
      <c r="I202" s="62"/>
      <c r="J202" s="62"/>
      <c r="K202" s="62"/>
      <c r="L202" s="62"/>
      <c r="M202" s="62"/>
      <c r="N202" s="62"/>
      <c r="O202" s="62"/>
      <c r="P202" s="62"/>
      <c r="Q202" s="62"/>
      <c r="R202" s="62"/>
      <c r="S202" s="62"/>
      <c r="T202" s="62"/>
      <c r="U202" s="62"/>
      <c r="V202" s="62"/>
      <c r="W202" s="62"/>
      <c r="X202" s="62"/>
      <c r="Y202" s="62"/>
      <c r="Z202" s="62"/>
      <c r="AA202" s="62"/>
      <c r="AB202" s="62"/>
      <c r="AC202" s="62"/>
    </row>
    <row r="203">
      <c r="A203" s="61"/>
      <c r="B203" s="61"/>
      <c r="C203" s="62"/>
      <c r="D203" s="62"/>
      <c r="E203" s="62"/>
      <c r="F203" s="62"/>
      <c r="G203" s="62"/>
      <c r="H203" s="190"/>
      <c r="I203" s="62"/>
      <c r="J203" s="62"/>
      <c r="K203" s="62"/>
      <c r="L203" s="62"/>
      <c r="M203" s="62"/>
      <c r="N203" s="62"/>
      <c r="O203" s="62"/>
      <c r="P203" s="62"/>
      <c r="Q203" s="62"/>
      <c r="R203" s="62"/>
      <c r="S203" s="62"/>
      <c r="T203" s="62"/>
      <c r="U203" s="62"/>
      <c r="V203" s="62"/>
      <c r="W203" s="62"/>
      <c r="X203" s="62"/>
      <c r="Y203" s="62"/>
      <c r="Z203" s="62"/>
      <c r="AA203" s="62"/>
      <c r="AB203" s="62"/>
      <c r="AC203" s="62"/>
    </row>
    <row r="204">
      <c r="A204" s="61"/>
      <c r="B204" s="61"/>
      <c r="C204" s="62"/>
      <c r="D204" s="62"/>
      <c r="E204" s="62"/>
      <c r="F204" s="62"/>
      <c r="G204" s="62"/>
      <c r="H204" s="190"/>
      <c r="I204" s="62"/>
      <c r="J204" s="62"/>
      <c r="K204" s="62"/>
      <c r="L204" s="62"/>
      <c r="M204" s="62"/>
      <c r="N204" s="62"/>
      <c r="O204" s="62"/>
      <c r="P204" s="62"/>
      <c r="Q204" s="62"/>
      <c r="R204" s="62"/>
      <c r="S204" s="62"/>
      <c r="T204" s="62"/>
      <c r="U204" s="62"/>
      <c r="V204" s="62"/>
      <c r="W204" s="62"/>
      <c r="X204" s="62"/>
      <c r="Y204" s="62"/>
      <c r="Z204" s="62"/>
      <c r="AA204" s="62"/>
      <c r="AB204" s="62"/>
      <c r="AC204" s="62"/>
    </row>
    <row r="205">
      <c r="A205" s="61"/>
      <c r="B205" s="61"/>
      <c r="C205" s="62"/>
      <c r="D205" s="62"/>
      <c r="E205" s="62"/>
      <c r="F205" s="62"/>
      <c r="G205" s="62"/>
      <c r="H205" s="190"/>
      <c r="I205" s="62"/>
      <c r="J205" s="62"/>
      <c r="K205" s="62"/>
      <c r="L205" s="62"/>
      <c r="M205" s="62"/>
      <c r="N205" s="62"/>
      <c r="O205" s="62"/>
      <c r="P205" s="62"/>
      <c r="Q205" s="62"/>
      <c r="R205" s="62"/>
      <c r="S205" s="62"/>
      <c r="T205" s="62"/>
      <c r="U205" s="62"/>
      <c r="V205" s="62"/>
      <c r="W205" s="62"/>
      <c r="X205" s="62"/>
      <c r="Y205" s="62"/>
      <c r="Z205" s="62"/>
      <c r="AA205" s="62"/>
      <c r="AB205" s="62"/>
      <c r="AC205" s="62"/>
    </row>
    <row r="206">
      <c r="A206" s="61"/>
      <c r="B206" s="61"/>
      <c r="C206" s="62"/>
      <c r="D206" s="62"/>
      <c r="E206" s="62"/>
      <c r="F206" s="62"/>
      <c r="G206" s="62"/>
      <c r="H206" s="190"/>
      <c r="I206" s="62"/>
      <c r="J206" s="62"/>
      <c r="K206" s="62"/>
      <c r="L206" s="62"/>
      <c r="M206" s="62"/>
      <c r="N206" s="62"/>
      <c r="O206" s="62"/>
      <c r="P206" s="62"/>
      <c r="Q206" s="62"/>
      <c r="R206" s="62"/>
      <c r="S206" s="62"/>
      <c r="T206" s="62"/>
      <c r="U206" s="62"/>
      <c r="V206" s="62"/>
      <c r="W206" s="62"/>
      <c r="X206" s="62"/>
      <c r="Y206" s="62"/>
      <c r="Z206" s="62"/>
      <c r="AA206" s="62"/>
      <c r="AB206" s="62"/>
      <c r="AC206" s="62"/>
    </row>
    <row r="207">
      <c r="A207" s="61"/>
      <c r="B207" s="61"/>
      <c r="C207" s="62"/>
      <c r="D207" s="62"/>
      <c r="E207" s="62"/>
      <c r="F207" s="62"/>
      <c r="G207" s="62"/>
      <c r="H207" s="190"/>
      <c r="I207" s="62"/>
      <c r="J207" s="62"/>
      <c r="K207" s="62"/>
      <c r="L207" s="62"/>
      <c r="M207" s="62"/>
      <c r="N207" s="62"/>
      <c r="O207" s="62"/>
      <c r="P207" s="62"/>
      <c r="Q207" s="62"/>
      <c r="R207" s="62"/>
      <c r="S207" s="62"/>
      <c r="T207" s="62"/>
      <c r="U207" s="62"/>
      <c r="V207" s="62"/>
      <c r="W207" s="62"/>
      <c r="X207" s="62"/>
      <c r="Y207" s="62"/>
      <c r="Z207" s="62"/>
      <c r="AA207" s="62"/>
      <c r="AB207" s="62"/>
      <c r="AC207" s="62"/>
    </row>
    <row r="208">
      <c r="A208" s="61"/>
      <c r="B208" s="61"/>
      <c r="C208" s="62"/>
      <c r="D208" s="62"/>
      <c r="E208" s="62"/>
      <c r="F208" s="62"/>
      <c r="G208" s="62"/>
      <c r="H208" s="190"/>
      <c r="I208" s="62"/>
      <c r="J208" s="62"/>
      <c r="K208" s="62"/>
      <c r="L208" s="62"/>
      <c r="M208" s="62"/>
      <c r="N208" s="62"/>
      <c r="O208" s="62"/>
      <c r="P208" s="62"/>
      <c r="Q208" s="62"/>
      <c r="R208" s="62"/>
      <c r="S208" s="62"/>
      <c r="T208" s="62"/>
      <c r="U208" s="62"/>
      <c r="V208" s="62"/>
      <c r="W208" s="62"/>
      <c r="X208" s="62"/>
      <c r="Y208" s="62"/>
      <c r="Z208" s="62"/>
      <c r="AA208" s="62"/>
      <c r="AB208" s="62"/>
      <c r="AC208" s="62"/>
    </row>
    <row r="209">
      <c r="A209" s="61"/>
      <c r="B209" s="61"/>
      <c r="C209" s="62"/>
      <c r="D209" s="62"/>
      <c r="E209" s="62"/>
      <c r="F209" s="62"/>
      <c r="G209" s="62"/>
      <c r="H209" s="190"/>
      <c r="I209" s="62"/>
      <c r="J209" s="62"/>
      <c r="K209" s="62"/>
      <c r="L209" s="62"/>
      <c r="M209" s="62"/>
      <c r="N209" s="62"/>
      <c r="O209" s="62"/>
      <c r="P209" s="62"/>
      <c r="Q209" s="62"/>
      <c r="R209" s="62"/>
      <c r="S209" s="62"/>
      <c r="T209" s="62"/>
      <c r="U209" s="62"/>
      <c r="V209" s="62"/>
      <c r="W209" s="62"/>
      <c r="X209" s="62"/>
      <c r="Y209" s="62"/>
      <c r="Z209" s="62"/>
      <c r="AA209" s="62"/>
      <c r="AB209" s="62"/>
      <c r="AC209" s="62"/>
    </row>
    <row r="210">
      <c r="A210" s="61"/>
      <c r="B210" s="61"/>
      <c r="C210" s="62"/>
      <c r="D210" s="62"/>
      <c r="E210" s="62"/>
      <c r="F210" s="62"/>
      <c r="G210" s="62"/>
      <c r="H210" s="190"/>
      <c r="I210" s="62"/>
      <c r="J210" s="62"/>
      <c r="K210" s="62"/>
      <c r="L210" s="62"/>
      <c r="M210" s="62"/>
      <c r="N210" s="62"/>
      <c r="O210" s="62"/>
      <c r="P210" s="62"/>
      <c r="Q210" s="62"/>
      <c r="R210" s="62"/>
      <c r="S210" s="62"/>
      <c r="T210" s="62"/>
      <c r="U210" s="62"/>
      <c r="V210" s="62"/>
      <c r="W210" s="62"/>
      <c r="X210" s="62"/>
      <c r="Y210" s="62"/>
      <c r="Z210" s="62"/>
      <c r="AA210" s="62"/>
      <c r="AB210" s="62"/>
      <c r="AC210" s="62"/>
    </row>
    <row r="211">
      <c r="A211" s="61"/>
      <c r="B211" s="61"/>
      <c r="C211" s="62"/>
      <c r="D211" s="62"/>
      <c r="E211" s="62"/>
      <c r="F211" s="62"/>
      <c r="G211" s="62"/>
      <c r="H211" s="190"/>
      <c r="I211" s="62"/>
      <c r="J211" s="62"/>
      <c r="K211" s="62"/>
      <c r="L211" s="62"/>
      <c r="M211" s="62"/>
      <c r="N211" s="62"/>
      <c r="O211" s="62"/>
      <c r="P211" s="62"/>
      <c r="Q211" s="62"/>
      <c r="R211" s="62"/>
      <c r="S211" s="62"/>
      <c r="T211" s="62"/>
      <c r="U211" s="62"/>
      <c r="V211" s="62"/>
      <c r="W211" s="62"/>
      <c r="X211" s="62"/>
      <c r="Y211" s="62"/>
      <c r="Z211" s="62"/>
      <c r="AA211" s="62"/>
      <c r="AB211" s="62"/>
      <c r="AC211" s="62"/>
    </row>
    <row r="212">
      <c r="A212" s="61"/>
      <c r="B212" s="61"/>
      <c r="C212" s="62"/>
      <c r="D212" s="62"/>
      <c r="E212" s="62"/>
      <c r="F212" s="62"/>
      <c r="G212" s="62"/>
      <c r="H212" s="190"/>
      <c r="I212" s="62"/>
      <c r="J212" s="62"/>
      <c r="K212" s="62"/>
      <c r="L212" s="62"/>
      <c r="M212" s="62"/>
      <c r="N212" s="62"/>
      <c r="O212" s="62"/>
      <c r="P212" s="62"/>
      <c r="Q212" s="62"/>
      <c r="R212" s="62"/>
      <c r="S212" s="62"/>
      <c r="T212" s="62"/>
      <c r="U212" s="62"/>
      <c r="V212" s="62"/>
      <c r="W212" s="62"/>
      <c r="X212" s="62"/>
      <c r="Y212" s="62"/>
      <c r="Z212" s="62"/>
      <c r="AA212" s="62"/>
      <c r="AB212" s="62"/>
      <c r="AC212" s="62"/>
    </row>
    <row r="213">
      <c r="A213" s="61"/>
      <c r="B213" s="61"/>
      <c r="C213" s="62"/>
      <c r="D213" s="62"/>
      <c r="E213" s="62"/>
      <c r="F213" s="62"/>
      <c r="G213" s="62"/>
      <c r="H213" s="190"/>
      <c r="I213" s="62"/>
      <c r="J213" s="62"/>
      <c r="K213" s="62"/>
      <c r="L213" s="62"/>
      <c r="M213" s="62"/>
      <c r="N213" s="62"/>
      <c r="O213" s="62"/>
      <c r="P213" s="62"/>
      <c r="Q213" s="62"/>
      <c r="R213" s="62"/>
      <c r="S213" s="62"/>
      <c r="T213" s="62"/>
      <c r="U213" s="62"/>
      <c r="V213" s="62"/>
      <c r="W213" s="62"/>
      <c r="X213" s="62"/>
      <c r="Y213" s="62"/>
      <c r="Z213" s="62"/>
      <c r="AA213" s="62"/>
      <c r="AB213" s="62"/>
      <c r="AC213" s="62"/>
    </row>
    <row r="214">
      <c r="A214" s="61"/>
      <c r="B214" s="61"/>
      <c r="C214" s="62"/>
      <c r="D214" s="62"/>
      <c r="E214" s="62"/>
      <c r="F214" s="62"/>
      <c r="G214" s="62"/>
      <c r="H214" s="190"/>
      <c r="I214" s="62"/>
      <c r="J214" s="62"/>
      <c r="K214" s="62"/>
      <c r="L214" s="62"/>
      <c r="M214" s="62"/>
      <c r="N214" s="62"/>
      <c r="O214" s="62"/>
      <c r="P214" s="62"/>
      <c r="Q214" s="62"/>
      <c r="R214" s="62"/>
      <c r="S214" s="62"/>
      <c r="T214" s="62"/>
      <c r="U214" s="62"/>
      <c r="V214" s="62"/>
      <c r="W214" s="62"/>
      <c r="X214" s="62"/>
      <c r="Y214" s="62"/>
      <c r="Z214" s="62"/>
      <c r="AA214" s="62"/>
      <c r="AB214" s="62"/>
      <c r="AC214" s="62"/>
    </row>
    <row r="215">
      <c r="A215" s="61"/>
      <c r="B215" s="61"/>
      <c r="C215" s="62"/>
      <c r="D215" s="62"/>
      <c r="E215" s="62"/>
      <c r="F215" s="62"/>
      <c r="G215" s="62"/>
      <c r="H215" s="190"/>
      <c r="I215" s="62"/>
      <c r="J215" s="62"/>
      <c r="K215" s="62"/>
      <c r="L215" s="62"/>
      <c r="M215" s="62"/>
      <c r="N215" s="62"/>
      <c r="O215" s="62"/>
      <c r="P215" s="62"/>
      <c r="Q215" s="62"/>
      <c r="R215" s="62"/>
      <c r="S215" s="62"/>
      <c r="T215" s="62"/>
      <c r="U215" s="62"/>
      <c r="V215" s="62"/>
      <c r="W215" s="62"/>
      <c r="X215" s="62"/>
      <c r="Y215" s="62"/>
      <c r="Z215" s="62"/>
      <c r="AA215" s="62"/>
      <c r="AB215" s="62"/>
      <c r="AC215" s="62"/>
    </row>
    <row r="216">
      <c r="A216" s="61"/>
      <c r="B216" s="61"/>
      <c r="C216" s="62"/>
      <c r="D216" s="62"/>
      <c r="E216" s="62"/>
      <c r="F216" s="62"/>
      <c r="G216" s="62"/>
      <c r="H216" s="190"/>
      <c r="I216" s="62"/>
      <c r="J216" s="62"/>
      <c r="K216" s="62"/>
      <c r="L216" s="62"/>
      <c r="M216" s="62"/>
      <c r="N216" s="62"/>
      <c r="O216" s="62"/>
      <c r="P216" s="62"/>
      <c r="Q216" s="62"/>
      <c r="R216" s="62"/>
      <c r="S216" s="62"/>
      <c r="T216" s="62"/>
      <c r="U216" s="62"/>
      <c r="V216" s="62"/>
      <c r="W216" s="62"/>
      <c r="X216" s="62"/>
      <c r="Y216" s="62"/>
      <c r="Z216" s="62"/>
      <c r="AA216" s="62"/>
      <c r="AB216" s="62"/>
      <c r="AC216" s="62"/>
    </row>
    <row r="217">
      <c r="A217" s="61"/>
      <c r="B217" s="61"/>
      <c r="C217" s="62"/>
      <c r="D217" s="62"/>
      <c r="E217" s="62"/>
      <c r="F217" s="62"/>
      <c r="G217" s="62"/>
      <c r="H217" s="190"/>
      <c r="I217" s="62"/>
      <c r="J217" s="62"/>
      <c r="K217" s="62"/>
      <c r="L217" s="62"/>
      <c r="M217" s="62"/>
      <c r="N217" s="62"/>
      <c r="O217" s="62"/>
      <c r="P217" s="62"/>
      <c r="Q217" s="62"/>
      <c r="R217" s="62"/>
      <c r="S217" s="62"/>
      <c r="T217" s="62"/>
      <c r="U217" s="62"/>
      <c r="V217" s="62"/>
      <c r="W217" s="62"/>
      <c r="X217" s="62"/>
      <c r="Y217" s="62"/>
      <c r="Z217" s="62"/>
      <c r="AA217" s="62"/>
      <c r="AB217" s="62"/>
      <c r="AC217" s="62"/>
    </row>
    <row r="218">
      <c r="A218" s="61"/>
      <c r="B218" s="61"/>
      <c r="C218" s="62"/>
      <c r="D218" s="62"/>
      <c r="E218" s="62"/>
      <c r="F218" s="62"/>
      <c r="G218" s="62"/>
      <c r="H218" s="190"/>
      <c r="I218" s="62"/>
      <c r="J218" s="62"/>
      <c r="K218" s="62"/>
      <c r="L218" s="62"/>
      <c r="M218" s="62"/>
      <c r="N218" s="62"/>
      <c r="O218" s="62"/>
      <c r="P218" s="62"/>
      <c r="Q218" s="62"/>
      <c r="R218" s="62"/>
      <c r="S218" s="62"/>
      <c r="T218" s="62"/>
      <c r="U218" s="62"/>
      <c r="V218" s="62"/>
      <c r="W218" s="62"/>
      <c r="X218" s="62"/>
      <c r="Y218" s="62"/>
      <c r="Z218" s="62"/>
      <c r="AA218" s="62"/>
      <c r="AB218" s="62"/>
      <c r="AC218" s="62"/>
    </row>
    <row r="219">
      <c r="A219" s="61"/>
      <c r="B219" s="61"/>
      <c r="C219" s="62"/>
      <c r="D219" s="62"/>
      <c r="E219" s="62"/>
      <c r="F219" s="62"/>
      <c r="G219" s="62"/>
      <c r="H219" s="190"/>
      <c r="I219" s="62"/>
      <c r="J219" s="62"/>
      <c r="K219" s="62"/>
      <c r="L219" s="62"/>
      <c r="M219" s="62"/>
      <c r="N219" s="62"/>
      <c r="O219" s="62"/>
      <c r="P219" s="62"/>
      <c r="Q219" s="62"/>
      <c r="R219" s="62"/>
      <c r="S219" s="62"/>
      <c r="T219" s="62"/>
      <c r="U219" s="62"/>
      <c r="V219" s="62"/>
      <c r="W219" s="62"/>
      <c r="X219" s="62"/>
      <c r="Y219" s="62"/>
      <c r="Z219" s="62"/>
      <c r="AA219" s="62"/>
      <c r="AB219" s="62"/>
      <c r="AC219" s="62"/>
    </row>
    <row r="220">
      <c r="A220" s="61"/>
      <c r="B220" s="61"/>
      <c r="C220" s="62"/>
      <c r="D220" s="62"/>
      <c r="E220" s="62"/>
      <c r="F220" s="62"/>
      <c r="G220" s="62"/>
      <c r="H220" s="190"/>
      <c r="I220" s="62"/>
      <c r="J220" s="62"/>
      <c r="K220" s="62"/>
      <c r="L220" s="62"/>
      <c r="M220" s="62"/>
      <c r="N220" s="62"/>
      <c r="O220" s="62"/>
      <c r="P220" s="62"/>
      <c r="Q220" s="62"/>
      <c r="R220" s="62"/>
      <c r="S220" s="62"/>
      <c r="T220" s="62"/>
      <c r="U220" s="62"/>
      <c r="V220" s="62"/>
      <c r="W220" s="62"/>
      <c r="X220" s="62"/>
      <c r="Y220" s="62"/>
      <c r="Z220" s="62"/>
      <c r="AA220" s="62"/>
      <c r="AB220" s="62"/>
      <c r="AC220" s="62"/>
    </row>
    <row r="221">
      <c r="A221" s="61"/>
      <c r="B221" s="61"/>
      <c r="C221" s="62"/>
      <c r="D221" s="62"/>
      <c r="E221" s="62"/>
      <c r="F221" s="62"/>
      <c r="G221" s="62"/>
      <c r="H221" s="190"/>
      <c r="I221" s="62"/>
      <c r="J221" s="62"/>
      <c r="K221" s="62"/>
      <c r="L221" s="62"/>
      <c r="M221" s="62"/>
      <c r="N221" s="62"/>
      <c r="O221" s="62"/>
      <c r="P221" s="62"/>
      <c r="Q221" s="62"/>
      <c r="R221" s="62"/>
      <c r="S221" s="62"/>
      <c r="T221" s="62"/>
      <c r="U221" s="62"/>
      <c r="V221" s="62"/>
      <c r="W221" s="62"/>
      <c r="X221" s="62"/>
      <c r="Y221" s="62"/>
      <c r="Z221" s="62"/>
      <c r="AA221" s="62"/>
      <c r="AB221" s="62"/>
      <c r="AC221" s="62"/>
    </row>
    <row r="222">
      <c r="A222" s="61"/>
      <c r="B222" s="61"/>
      <c r="C222" s="62"/>
      <c r="D222" s="62"/>
      <c r="E222" s="62"/>
      <c r="F222" s="62"/>
      <c r="G222" s="62"/>
      <c r="H222" s="190"/>
      <c r="I222" s="62"/>
      <c r="J222" s="62"/>
      <c r="K222" s="62"/>
      <c r="L222" s="62"/>
      <c r="M222" s="62"/>
      <c r="N222" s="62"/>
      <c r="O222" s="62"/>
      <c r="P222" s="62"/>
      <c r="Q222" s="62"/>
      <c r="R222" s="62"/>
      <c r="S222" s="62"/>
      <c r="T222" s="62"/>
      <c r="U222" s="62"/>
      <c r="V222" s="62"/>
      <c r="W222" s="62"/>
      <c r="X222" s="62"/>
      <c r="Y222" s="62"/>
      <c r="Z222" s="62"/>
      <c r="AA222" s="62"/>
      <c r="AB222" s="62"/>
      <c r="AC222" s="62"/>
    </row>
    <row r="223">
      <c r="A223" s="61"/>
      <c r="B223" s="61"/>
      <c r="C223" s="62"/>
      <c r="D223" s="62"/>
      <c r="E223" s="62"/>
      <c r="F223" s="62"/>
      <c r="G223" s="62"/>
      <c r="H223" s="190"/>
      <c r="I223" s="62"/>
      <c r="J223" s="62"/>
      <c r="K223" s="62"/>
      <c r="L223" s="62"/>
      <c r="M223" s="62"/>
      <c r="N223" s="62"/>
      <c r="O223" s="62"/>
      <c r="P223" s="62"/>
      <c r="Q223" s="62"/>
      <c r="R223" s="62"/>
      <c r="S223" s="62"/>
      <c r="T223" s="62"/>
      <c r="U223" s="62"/>
      <c r="V223" s="62"/>
      <c r="W223" s="62"/>
      <c r="X223" s="62"/>
      <c r="Y223" s="62"/>
      <c r="Z223" s="62"/>
      <c r="AA223" s="62"/>
      <c r="AB223" s="62"/>
      <c r="AC223" s="62"/>
    </row>
    <row r="224">
      <c r="A224" s="61"/>
      <c r="B224" s="61"/>
      <c r="C224" s="62"/>
      <c r="D224" s="62"/>
      <c r="E224" s="62"/>
      <c r="F224" s="62"/>
      <c r="G224" s="62"/>
      <c r="H224" s="190"/>
      <c r="I224" s="62"/>
      <c r="J224" s="62"/>
      <c r="K224" s="62"/>
      <c r="L224" s="62"/>
      <c r="M224" s="62"/>
      <c r="N224" s="62"/>
      <c r="O224" s="62"/>
      <c r="P224" s="62"/>
      <c r="Q224" s="62"/>
      <c r="R224" s="62"/>
      <c r="S224" s="62"/>
      <c r="T224" s="62"/>
      <c r="U224" s="62"/>
      <c r="V224" s="62"/>
      <c r="W224" s="62"/>
      <c r="X224" s="62"/>
      <c r="Y224" s="62"/>
      <c r="Z224" s="62"/>
      <c r="AA224" s="62"/>
      <c r="AB224" s="62"/>
      <c r="AC224" s="62"/>
    </row>
    <row r="225">
      <c r="A225" s="61"/>
      <c r="B225" s="61"/>
      <c r="C225" s="62"/>
      <c r="D225" s="62"/>
      <c r="E225" s="62"/>
      <c r="F225" s="62"/>
      <c r="G225" s="62"/>
      <c r="H225" s="190"/>
      <c r="I225" s="62"/>
      <c r="J225" s="62"/>
      <c r="K225" s="62"/>
      <c r="L225" s="62"/>
      <c r="M225" s="62"/>
      <c r="N225" s="62"/>
      <c r="O225" s="62"/>
      <c r="P225" s="62"/>
      <c r="Q225" s="62"/>
      <c r="R225" s="62"/>
      <c r="S225" s="62"/>
      <c r="T225" s="62"/>
      <c r="U225" s="62"/>
      <c r="V225" s="62"/>
      <c r="W225" s="62"/>
      <c r="X225" s="62"/>
      <c r="Y225" s="62"/>
      <c r="Z225" s="62"/>
      <c r="AA225" s="62"/>
      <c r="AB225" s="62"/>
      <c r="AC225" s="62"/>
    </row>
    <row r="226">
      <c r="A226" s="61"/>
      <c r="B226" s="61"/>
      <c r="C226" s="62"/>
      <c r="D226" s="62"/>
      <c r="E226" s="62"/>
      <c r="F226" s="62"/>
      <c r="G226" s="62"/>
      <c r="H226" s="190"/>
      <c r="I226" s="62"/>
      <c r="J226" s="62"/>
      <c r="K226" s="62"/>
      <c r="L226" s="62"/>
      <c r="M226" s="62"/>
      <c r="N226" s="62"/>
      <c r="O226" s="62"/>
      <c r="P226" s="62"/>
      <c r="Q226" s="62"/>
      <c r="R226" s="62"/>
      <c r="S226" s="62"/>
      <c r="T226" s="62"/>
      <c r="U226" s="62"/>
      <c r="V226" s="62"/>
      <c r="W226" s="62"/>
      <c r="X226" s="62"/>
      <c r="Y226" s="62"/>
      <c r="Z226" s="62"/>
      <c r="AA226" s="62"/>
      <c r="AB226" s="62"/>
      <c r="AC226" s="62"/>
    </row>
    <row r="227">
      <c r="A227" s="61"/>
      <c r="B227" s="61"/>
      <c r="C227" s="62"/>
      <c r="D227" s="62"/>
      <c r="E227" s="62"/>
      <c r="F227" s="62"/>
      <c r="G227" s="62"/>
      <c r="H227" s="190"/>
      <c r="I227" s="62"/>
      <c r="J227" s="62"/>
      <c r="K227" s="62"/>
      <c r="L227" s="62"/>
      <c r="M227" s="62"/>
      <c r="N227" s="62"/>
      <c r="O227" s="62"/>
      <c r="P227" s="62"/>
      <c r="Q227" s="62"/>
      <c r="R227" s="62"/>
      <c r="S227" s="62"/>
      <c r="T227" s="62"/>
      <c r="U227" s="62"/>
      <c r="V227" s="62"/>
      <c r="W227" s="62"/>
      <c r="X227" s="62"/>
      <c r="Y227" s="62"/>
      <c r="Z227" s="62"/>
      <c r="AA227" s="62"/>
      <c r="AB227" s="62"/>
      <c r="AC227" s="62"/>
    </row>
    <row r="228">
      <c r="A228" s="61"/>
      <c r="B228" s="61"/>
      <c r="C228" s="62"/>
      <c r="D228" s="62"/>
      <c r="E228" s="62"/>
      <c r="F228" s="62"/>
      <c r="G228" s="62"/>
      <c r="H228" s="190"/>
      <c r="I228" s="62"/>
      <c r="J228" s="62"/>
      <c r="K228" s="62"/>
      <c r="L228" s="62"/>
      <c r="M228" s="62"/>
      <c r="N228" s="62"/>
      <c r="O228" s="62"/>
      <c r="P228" s="62"/>
      <c r="Q228" s="62"/>
      <c r="R228" s="62"/>
      <c r="S228" s="62"/>
      <c r="T228" s="62"/>
      <c r="U228" s="62"/>
      <c r="V228" s="62"/>
      <c r="W228" s="62"/>
      <c r="X228" s="62"/>
      <c r="Y228" s="62"/>
      <c r="Z228" s="62"/>
      <c r="AA228" s="62"/>
      <c r="AB228" s="62"/>
      <c r="AC228" s="62"/>
    </row>
    <row r="229">
      <c r="A229" s="61"/>
      <c r="B229" s="61"/>
      <c r="C229" s="62"/>
      <c r="D229" s="62"/>
      <c r="E229" s="62"/>
      <c r="F229" s="62"/>
      <c r="G229" s="62"/>
      <c r="H229" s="190"/>
      <c r="I229" s="62"/>
      <c r="J229" s="62"/>
      <c r="K229" s="62"/>
      <c r="L229" s="62"/>
      <c r="M229" s="62"/>
      <c r="N229" s="62"/>
      <c r="O229" s="62"/>
      <c r="P229" s="62"/>
      <c r="Q229" s="62"/>
      <c r="R229" s="62"/>
      <c r="S229" s="62"/>
      <c r="T229" s="62"/>
      <c r="U229" s="62"/>
      <c r="V229" s="62"/>
      <c r="W229" s="62"/>
      <c r="X229" s="62"/>
      <c r="Y229" s="62"/>
      <c r="Z229" s="62"/>
      <c r="AA229" s="62"/>
      <c r="AB229" s="62"/>
      <c r="AC229" s="62"/>
    </row>
    <row r="230">
      <c r="A230" s="61"/>
      <c r="B230" s="61"/>
      <c r="C230" s="62"/>
      <c r="D230" s="62"/>
      <c r="E230" s="62"/>
      <c r="F230" s="62"/>
      <c r="G230" s="62"/>
      <c r="H230" s="190"/>
      <c r="I230" s="62"/>
      <c r="J230" s="62"/>
      <c r="K230" s="62"/>
      <c r="L230" s="62"/>
      <c r="M230" s="62"/>
      <c r="N230" s="62"/>
      <c r="O230" s="62"/>
      <c r="P230" s="62"/>
      <c r="Q230" s="62"/>
      <c r="R230" s="62"/>
      <c r="S230" s="62"/>
      <c r="T230" s="62"/>
      <c r="U230" s="62"/>
      <c r="V230" s="62"/>
      <c r="W230" s="62"/>
      <c r="X230" s="62"/>
      <c r="Y230" s="62"/>
      <c r="Z230" s="62"/>
      <c r="AA230" s="62"/>
      <c r="AB230" s="62"/>
      <c r="AC230" s="62"/>
    </row>
    <row r="231">
      <c r="A231" s="61"/>
      <c r="B231" s="61"/>
      <c r="C231" s="62"/>
      <c r="D231" s="62"/>
      <c r="E231" s="62"/>
      <c r="F231" s="62"/>
      <c r="G231" s="62"/>
      <c r="H231" s="190"/>
      <c r="I231" s="62"/>
      <c r="J231" s="62"/>
      <c r="K231" s="62"/>
      <c r="L231" s="62"/>
      <c r="M231" s="62"/>
      <c r="N231" s="62"/>
      <c r="O231" s="62"/>
      <c r="P231" s="62"/>
      <c r="Q231" s="62"/>
      <c r="R231" s="62"/>
      <c r="S231" s="62"/>
      <c r="T231" s="62"/>
      <c r="U231" s="62"/>
      <c r="V231" s="62"/>
      <c r="W231" s="62"/>
      <c r="X231" s="62"/>
      <c r="Y231" s="62"/>
      <c r="Z231" s="62"/>
      <c r="AA231" s="62"/>
      <c r="AB231" s="62"/>
      <c r="AC231" s="62"/>
    </row>
    <row r="232">
      <c r="A232" s="61"/>
      <c r="B232" s="61"/>
      <c r="C232" s="62"/>
      <c r="D232" s="62"/>
      <c r="E232" s="62"/>
      <c r="F232" s="62"/>
      <c r="G232" s="62"/>
      <c r="H232" s="190"/>
      <c r="I232" s="62"/>
      <c r="J232" s="62"/>
      <c r="K232" s="62"/>
      <c r="L232" s="62"/>
      <c r="M232" s="62"/>
      <c r="N232" s="62"/>
      <c r="O232" s="62"/>
      <c r="P232" s="62"/>
      <c r="Q232" s="62"/>
      <c r="R232" s="62"/>
      <c r="S232" s="62"/>
      <c r="T232" s="62"/>
      <c r="U232" s="62"/>
      <c r="V232" s="62"/>
      <c r="W232" s="62"/>
      <c r="X232" s="62"/>
      <c r="Y232" s="62"/>
      <c r="Z232" s="62"/>
      <c r="AA232" s="62"/>
      <c r="AB232" s="62"/>
      <c r="AC232" s="62"/>
    </row>
    <row r="233">
      <c r="A233" s="61"/>
      <c r="B233" s="61"/>
      <c r="C233" s="62"/>
      <c r="D233" s="62"/>
      <c r="E233" s="62"/>
      <c r="F233" s="62"/>
      <c r="G233" s="62"/>
      <c r="H233" s="190"/>
      <c r="I233" s="62"/>
      <c r="J233" s="62"/>
      <c r="K233" s="62"/>
      <c r="L233" s="62"/>
      <c r="M233" s="62"/>
      <c r="N233" s="62"/>
      <c r="O233" s="62"/>
      <c r="P233" s="62"/>
      <c r="Q233" s="62"/>
      <c r="R233" s="62"/>
      <c r="S233" s="62"/>
      <c r="T233" s="62"/>
      <c r="U233" s="62"/>
      <c r="V233" s="62"/>
      <c r="W233" s="62"/>
      <c r="X233" s="62"/>
      <c r="Y233" s="62"/>
      <c r="Z233" s="62"/>
      <c r="AA233" s="62"/>
      <c r="AB233" s="62"/>
      <c r="AC233" s="62"/>
    </row>
    <row r="234">
      <c r="A234" s="61"/>
      <c r="B234" s="61"/>
      <c r="C234" s="62"/>
      <c r="D234" s="62"/>
      <c r="E234" s="62"/>
      <c r="F234" s="62"/>
      <c r="G234" s="62"/>
      <c r="H234" s="190"/>
      <c r="I234" s="62"/>
      <c r="J234" s="62"/>
      <c r="K234" s="62"/>
      <c r="L234" s="62"/>
      <c r="M234" s="62"/>
      <c r="N234" s="62"/>
      <c r="O234" s="62"/>
      <c r="P234" s="62"/>
      <c r="Q234" s="62"/>
      <c r="R234" s="62"/>
      <c r="S234" s="62"/>
      <c r="T234" s="62"/>
      <c r="U234" s="62"/>
      <c r="V234" s="62"/>
      <c r="W234" s="62"/>
      <c r="X234" s="62"/>
      <c r="Y234" s="62"/>
      <c r="Z234" s="62"/>
      <c r="AA234" s="62"/>
      <c r="AB234" s="62"/>
      <c r="AC234" s="62"/>
    </row>
    <row r="235">
      <c r="A235" s="61"/>
      <c r="B235" s="61"/>
      <c r="C235" s="62"/>
      <c r="D235" s="62"/>
      <c r="E235" s="62"/>
      <c r="F235" s="62"/>
      <c r="G235" s="62"/>
      <c r="H235" s="190"/>
      <c r="I235" s="62"/>
      <c r="J235" s="62"/>
      <c r="K235" s="62"/>
      <c r="L235" s="62"/>
      <c r="M235" s="62"/>
      <c r="N235" s="62"/>
      <c r="O235" s="62"/>
      <c r="P235" s="62"/>
      <c r="Q235" s="62"/>
      <c r="R235" s="62"/>
      <c r="S235" s="62"/>
      <c r="T235" s="62"/>
      <c r="U235" s="62"/>
      <c r="V235" s="62"/>
      <c r="W235" s="62"/>
      <c r="X235" s="62"/>
      <c r="Y235" s="62"/>
      <c r="Z235" s="62"/>
      <c r="AA235" s="62"/>
      <c r="AB235" s="62"/>
      <c r="AC235" s="62"/>
    </row>
    <row r="236">
      <c r="A236" s="61"/>
      <c r="B236" s="61"/>
      <c r="C236" s="62"/>
      <c r="D236" s="62"/>
      <c r="E236" s="62"/>
      <c r="F236" s="62"/>
      <c r="G236" s="62"/>
      <c r="H236" s="190"/>
      <c r="I236" s="62"/>
      <c r="J236" s="62"/>
      <c r="K236" s="62"/>
      <c r="L236" s="62"/>
      <c r="M236" s="62"/>
      <c r="N236" s="62"/>
      <c r="O236" s="62"/>
      <c r="P236" s="62"/>
      <c r="Q236" s="62"/>
      <c r="R236" s="62"/>
      <c r="S236" s="62"/>
      <c r="T236" s="62"/>
      <c r="U236" s="62"/>
      <c r="V236" s="62"/>
      <c r="W236" s="62"/>
      <c r="X236" s="62"/>
      <c r="Y236" s="62"/>
      <c r="Z236" s="62"/>
      <c r="AA236" s="62"/>
      <c r="AB236" s="62"/>
      <c r="AC236" s="62"/>
    </row>
    <row r="237">
      <c r="A237" s="61"/>
      <c r="B237" s="61"/>
      <c r="C237" s="62"/>
      <c r="D237" s="62"/>
      <c r="E237" s="62"/>
      <c r="F237" s="62"/>
      <c r="G237" s="62"/>
      <c r="H237" s="190"/>
      <c r="I237" s="62"/>
      <c r="J237" s="62"/>
      <c r="K237" s="62"/>
      <c r="L237" s="62"/>
      <c r="M237" s="62"/>
      <c r="N237" s="62"/>
      <c r="O237" s="62"/>
      <c r="P237" s="62"/>
      <c r="Q237" s="62"/>
      <c r="R237" s="62"/>
      <c r="S237" s="62"/>
      <c r="T237" s="62"/>
      <c r="U237" s="62"/>
      <c r="V237" s="62"/>
      <c r="W237" s="62"/>
      <c r="X237" s="62"/>
      <c r="Y237" s="62"/>
      <c r="Z237" s="62"/>
      <c r="AA237" s="62"/>
      <c r="AB237" s="62"/>
      <c r="AC237" s="62"/>
    </row>
    <row r="238">
      <c r="A238" s="61"/>
      <c r="B238" s="61"/>
      <c r="C238" s="62"/>
      <c r="D238" s="62"/>
      <c r="E238" s="62"/>
      <c r="F238" s="62"/>
      <c r="G238" s="62"/>
      <c r="H238" s="190"/>
      <c r="I238" s="62"/>
      <c r="J238" s="62"/>
      <c r="K238" s="62"/>
      <c r="L238" s="62"/>
      <c r="M238" s="62"/>
      <c r="N238" s="62"/>
      <c r="O238" s="62"/>
      <c r="P238" s="62"/>
      <c r="Q238" s="62"/>
      <c r="R238" s="62"/>
      <c r="S238" s="62"/>
      <c r="T238" s="62"/>
      <c r="U238" s="62"/>
      <c r="V238" s="62"/>
      <c r="W238" s="62"/>
      <c r="X238" s="62"/>
      <c r="Y238" s="62"/>
      <c r="Z238" s="62"/>
      <c r="AA238" s="62"/>
      <c r="AB238" s="62"/>
      <c r="AC238" s="62"/>
    </row>
    <row r="239">
      <c r="A239" s="61"/>
      <c r="B239" s="61"/>
      <c r="C239" s="62"/>
      <c r="D239" s="62"/>
      <c r="E239" s="62"/>
      <c r="F239" s="62"/>
      <c r="G239" s="62"/>
      <c r="H239" s="190"/>
      <c r="I239" s="62"/>
      <c r="J239" s="62"/>
      <c r="K239" s="62"/>
      <c r="L239" s="62"/>
      <c r="M239" s="62"/>
      <c r="N239" s="62"/>
      <c r="O239" s="62"/>
      <c r="P239" s="62"/>
      <c r="Q239" s="62"/>
      <c r="R239" s="62"/>
      <c r="S239" s="62"/>
      <c r="T239" s="62"/>
      <c r="U239" s="62"/>
      <c r="V239" s="62"/>
      <c r="W239" s="62"/>
      <c r="X239" s="62"/>
      <c r="Y239" s="62"/>
      <c r="Z239" s="62"/>
      <c r="AA239" s="62"/>
      <c r="AB239" s="62"/>
      <c r="AC239" s="62"/>
    </row>
    <row r="240">
      <c r="A240" s="61"/>
      <c r="B240" s="61"/>
      <c r="C240" s="62"/>
      <c r="D240" s="62"/>
      <c r="E240" s="62"/>
      <c r="F240" s="62"/>
      <c r="G240" s="62"/>
      <c r="H240" s="190"/>
      <c r="I240" s="62"/>
      <c r="J240" s="62"/>
      <c r="K240" s="62"/>
      <c r="L240" s="62"/>
      <c r="M240" s="62"/>
      <c r="N240" s="62"/>
      <c r="O240" s="62"/>
      <c r="P240" s="62"/>
      <c r="Q240" s="62"/>
      <c r="R240" s="62"/>
      <c r="S240" s="62"/>
      <c r="T240" s="62"/>
      <c r="U240" s="62"/>
      <c r="V240" s="62"/>
      <c r="W240" s="62"/>
      <c r="X240" s="62"/>
      <c r="Y240" s="62"/>
      <c r="Z240" s="62"/>
      <c r="AA240" s="62"/>
      <c r="AB240" s="62"/>
      <c r="AC240" s="62"/>
    </row>
    <row r="241">
      <c r="A241" s="61"/>
      <c r="B241" s="61"/>
      <c r="C241" s="62"/>
      <c r="D241" s="62"/>
      <c r="E241" s="62"/>
      <c r="F241" s="62"/>
      <c r="G241" s="62"/>
      <c r="H241" s="190"/>
      <c r="I241" s="62"/>
      <c r="J241" s="62"/>
      <c r="K241" s="62"/>
      <c r="L241" s="62"/>
      <c r="M241" s="62"/>
      <c r="N241" s="62"/>
      <c r="O241" s="62"/>
      <c r="P241" s="62"/>
      <c r="Q241" s="62"/>
      <c r="R241" s="62"/>
      <c r="S241" s="62"/>
      <c r="T241" s="62"/>
      <c r="U241" s="62"/>
      <c r="V241" s="62"/>
      <c r="W241" s="62"/>
      <c r="X241" s="62"/>
      <c r="Y241" s="62"/>
      <c r="Z241" s="62"/>
      <c r="AA241" s="62"/>
      <c r="AB241" s="62"/>
      <c r="AC241" s="62"/>
    </row>
    <row r="242">
      <c r="A242" s="61"/>
      <c r="B242" s="61"/>
      <c r="C242" s="62"/>
      <c r="D242" s="62"/>
      <c r="E242" s="62"/>
      <c r="F242" s="62"/>
      <c r="G242" s="62"/>
      <c r="H242" s="190"/>
      <c r="I242" s="62"/>
      <c r="J242" s="62"/>
      <c r="K242" s="62"/>
      <c r="L242" s="62"/>
      <c r="M242" s="62"/>
      <c r="N242" s="62"/>
      <c r="O242" s="62"/>
      <c r="P242" s="62"/>
      <c r="Q242" s="62"/>
      <c r="R242" s="62"/>
      <c r="S242" s="62"/>
      <c r="T242" s="62"/>
      <c r="U242" s="62"/>
      <c r="V242" s="62"/>
      <c r="W242" s="62"/>
      <c r="X242" s="62"/>
      <c r="Y242" s="62"/>
      <c r="Z242" s="62"/>
      <c r="AA242" s="62"/>
      <c r="AB242" s="62"/>
      <c r="AC242" s="62"/>
    </row>
    <row r="243">
      <c r="A243" s="61"/>
      <c r="B243" s="61"/>
      <c r="C243" s="62"/>
      <c r="D243" s="62"/>
      <c r="E243" s="62"/>
      <c r="F243" s="62"/>
      <c r="G243" s="62"/>
      <c r="H243" s="190"/>
      <c r="I243" s="62"/>
      <c r="J243" s="62"/>
      <c r="K243" s="62"/>
      <c r="L243" s="62"/>
      <c r="M243" s="62"/>
      <c r="N243" s="62"/>
      <c r="O243" s="62"/>
      <c r="P243" s="62"/>
      <c r="Q243" s="62"/>
      <c r="R243" s="62"/>
      <c r="S243" s="62"/>
      <c r="T243" s="62"/>
      <c r="U243" s="62"/>
      <c r="V243" s="62"/>
      <c r="W243" s="62"/>
      <c r="X243" s="62"/>
      <c r="Y243" s="62"/>
      <c r="Z243" s="62"/>
      <c r="AA243" s="62"/>
      <c r="AB243" s="62"/>
      <c r="AC243" s="62"/>
    </row>
    <row r="244">
      <c r="A244" s="61"/>
      <c r="B244" s="61"/>
      <c r="C244" s="62"/>
      <c r="D244" s="62"/>
      <c r="E244" s="62"/>
      <c r="F244" s="62"/>
      <c r="G244" s="62"/>
      <c r="H244" s="190"/>
      <c r="I244" s="62"/>
      <c r="J244" s="62"/>
      <c r="K244" s="62"/>
      <c r="L244" s="62"/>
      <c r="M244" s="62"/>
      <c r="N244" s="62"/>
      <c r="O244" s="62"/>
      <c r="P244" s="62"/>
      <c r="Q244" s="62"/>
      <c r="R244" s="62"/>
      <c r="S244" s="62"/>
      <c r="T244" s="62"/>
      <c r="U244" s="62"/>
      <c r="V244" s="62"/>
      <c r="W244" s="62"/>
      <c r="X244" s="62"/>
      <c r="Y244" s="62"/>
      <c r="Z244" s="62"/>
      <c r="AA244" s="62"/>
      <c r="AB244" s="62"/>
      <c r="AC244" s="62"/>
    </row>
    <row r="245">
      <c r="A245" s="61"/>
      <c r="B245" s="61"/>
      <c r="C245" s="62"/>
      <c r="D245" s="62"/>
      <c r="E245" s="62"/>
      <c r="F245" s="62"/>
      <c r="G245" s="62"/>
      <c r="H245" s="190"/>
      <c r="I245" s="62"/>
      <c r="J245" s="62"/>
      <c r="K245" s="62"/>
      <c r="L245" s="62"/>
      <c r="M245" s="62"/>
      <c r="N245" s="62"/>
      <c r="O245" s="62"/>
      <c r="P245" s="62"/>
      <c r="Q245" s="62"/>
      <c r="R245" s="62"/>
      <c r="S245" s="62"/>
      <c r="T245" s="62"/>
      <c r="U245" s="62"/>
      <c r="V245" s="62"/>
      <c r="W245" s="62"/>
      <c r="X245" s="62"/>
      <c r="Y245" s="62"/>
      <c r="Z245" s="62"/>
      <c r="AA245" s="62"/>
      <c r="AB245" s="62"/>
      <c r="AC245" s="62"/>
    </row>
    <row r="246">
      <c r="A246" s="61"/>
      <c r="B246" s="61"/>
      <c r="C246" s="62"/>
      <c r="D246" s="62"/>
      <c r="E246" s="62"/>
      <c r="F246" s="62"/>
      <c r="G246" s="62"/>
      <c r="H246" s="190"/>
      <c r="I246" s="62"/>
      <c r="J246" s="62"/>
      <c r="K246" s="62"/>
      <c r="L246" s="62"/>
      <c r="M246" s="62"/>
      <c r="N246" s="62"/>
      <c r="O246" s="62"/>
      <c r="P246" s="62"/>
      <c r="Q246" s="62"/>
      <c r="R246" s="62"/>
      <c r="S246" s="62"/>
      <c r="T246" s="62"/>
      <c r="U246" s="62"/>
      <c r="V246" s="62"/>
      <c r="W246" s="62"/>
      <c r="X246" s="62"/>
      <c r="Y246" s="62"/>
      <c r="Z246" s="62"/>
      <c r="AA246" s="62"/>
      <c r="AB246" s="62"/>
      <c r="AC246" s="62"/>
    </row>
    <row r="247">
      <c r="A247" s="61"/>
      <c r="B247" s="61"/>
      <c r="C247" s="62"/>
      <c r="D247" s="62"/>
      <c r="E247" s="62"/>
      <c r="F247" s="62"/>
      <c r="G247" s="62"/>
      <c r="H247" s="190"/>
      <c r="I247" s="62"/>
      <c r="J247" s="62"/>
      <c r="K247" s="62"/>
      <c r="L247" s="62"/>
      <c r="M247" s="62"/>
      <c r="N247" s="62"/>
      <c r="O247" s="62"/>
      <c r="P247" s="62"/>
      <c r="Q247" s="62"/>
      <c r="R247" s="62"/>
      <c r="S247" s="62"/>
      <c r="T247" s="62"/>
      <c r="U247" s="62"/>
      <c r="V247" s="62"/>
      <c r="W247" s="62"/>
      <c r="X247" s="62"/>
      <c r="Y247" s="62"/>
      <c r="Z247" s="62"/>
      <c r="AA247" s="62"/>
      <c r="AB247" s="62"/>
      <c r="AC247" s="62"/>
    </row>
    <row r="248">
      <c r="A248" s="61"/>
      <c r="B248" s="61"/>
      <c r="C248" s="62"/>
      <c r="D248" s="62"/>
      <c r="E248" s="62"/>
      <c r="F248" s="62"/>
      <c r="G248" s="62"/>
      <c r="H248" s="190"/>
      <c r="I248" s="62"/>
      <c r="J248" s="62"/>
      <c r="K248" s="62"/>
      <c r="L248" s="62"/>
      <c r="M248" s="62"/>
      <c r="N248" s="62"/>
      <c r="O248" s="62"/>
      <c r="P248" s="62"/>
      <c r="Q248" s="62"/>
      <c r="R248" s="62"/>
      <c r="S248" s="62"/>
      <c r="T248" s="62"/>
      <c r="U248" s="62"/>
      <c r="V248" s="62"/>
      <c r="W248" s="62"/>
      <c r="X248" s="62"/>
      <c r="Y248" s="62"/>
      <c r="Z248" s="62"/>
      <c r="AA248" s="62"/>
      <c r="AB248" s="62"/>
      <c r="AC248" s="62"/>
    </row>
    <row r="249">
      <c r="A249" s="61"/>
      <c r="B249" s="61"/>
      <c r="C249" s="62"/>
      <c r="D249" s="62"/>
      <c r="E249" s="62"/>
      <c r="F249" s="62"/>
      <c r="G249" s="62"/>
      <c r="H249" s="190"/>
      <c r="I249" s="62"/>
      <c r="J249" s="62"/>
      <c r="K249" s="62"/>
      <c r="L249" s="62"/>
      <c r="M249" s="62"/>
      <c r="N249" s="62"/>
      <c r="O249" s="62"/>
      <c r="P249" s="62"/>
      <c r="Q249" s="62"/>
      <c r="R249" s="62"/>
      <c r="S249" s="62"/>
      <c r="T249" s="62"/>
      <c r="U249" s="62"/>
      <c r="V249" s="62"/>
      <c r="W249" s="62"/>
      <c r="X249" s="62"/>
      <c r="Y249" s="62"/>
      <c r="Z249" s="62"/>
      <c r="AA249" s="62"/>
      <c r="AB249" s="62"/>
      <c r="AC249" s="62"/>
    </row>
    <row r="250">
      <c r="A250" s="61"/>
      <c r="B250" s="61"/>
      <c r="C250" s="62"/>
      <c r="D250" s="62"/>
      <c r="E250" s="62"/>
      <c r="F250" s="62"/>
      <c r="G250" s="62"/>
      <c r="H250" s="190"/>
      <c r="I250" s="62"/>
      <c r="J250" s="62"/>
      <c r="K250" s="62"/>
      <c r="L250" s="62"/>
      <c r="M250" s="62"/>
      <c r="N250" s="62"/>
      <c r="O250" s="62"/>
      <c r="P250" s="62"/>
      <c r="Q250" s="62"/>
      <c r="R250" s="62"/>
      <c r="S250" s="62"/>
      <c r="T250" s="62"/>
      <c r="U250" s="62"/>
      <c r="V250" s="62"/>
      <c r="W250" s="62"/>
      <c r="X250" s="62"/>
      <c r="Y250" s="62"/>
      <c r="Z250" s="62"/>
      <c r="AA250" s="62"/>
      <c r="AB250" s="62"/>
      <c r="AC250" s="62"/>
    </row>
    <row r="251">
      <c r="A251" s="61"/>
      <c r="B251" s="61"/>
      <c r="C251" s="62"/>
      <c r="D251" s="62"/>
      <c r="E251" s="62"/>
      <c r="F251" s="62"/>
      <c r="G251" s="62"/>
      <c r="H251" s="190"/>
      <c r="I251" s="62"/>
      <c r="J251" s="62"/>
      <c r="K251" s="62"/>
      <c r="L251" s="62"/>
      <c r="M251" s="62"/>
      <c r="N251" s="62"/>
      <c r="O251" s="62"/>
      <c r="P251" s="62"/>
      <c r="Q251" s="62"/>
      <c r="R251" s="62"/>
      <c r="S251" s="62"/>
      <c r="T251" s="62"/>
      <c r="U251" s="62"/>
      <c r="V251" s="62"/>
      <c r="W251" s="62"/>
      <c r="X251" s="62"/>
      <c r="Y251" s="62"/>
      <c r="Z251" s="62"/>
      <c r="AA251" s="62"/>
      <c r="AB251" s="62"/>
      <c r="AC251" s="62"/>
    </row>
    <row r="252">
      <c r="A252" s="61"/>
      <c r="B252" s="61"/>
      <c r="C252" s="62"/>
      <c r="D252" s="62"/>
      <c r="E252" s="62"/>
      <c r="F252" s="62"/>
      <c r="G252" s="62"/>
      <c r="H252" s="190"/>
      <c r="I252" s="62"/>
      <c r="J252" s="62"/>
      <c r="K252" s="62"/>
      <c r="L252" s="62"/>
      <c r="M252" s="62"/>
      <c r="N252" s="62"/>
      <c r="O252" s="62"/>
      <c r="P252" s="62"/>
      <c r="Q252" s="62"/>
      <c r="R252" s="62"/>
      <c r="S252" s="62"/>
      <c r="T252" s="62"/>
      <c r="U252" s="62"/>
      <c r="V252" s="62"/>
      <c r="W252" s="62"/>
      <c r="X252" s="62"/>
      <c r="Y252" s="62"/>
      <c r="Z252" s="62"/>
      <c r="AA252" s="62"/>
      <c r="AB252" s="62"/>
      <c r="AC252" s="62"/>
    </row>
    <row r="253">
      <c r="A253" s="61"/>
      <c r="B253" s="61"/>
      <c r="C253" s="62"/>
      <c r="D253" s="62"/>
      <c r="E253" s="62"/>
      <c r="F253" s="62"/>
      <c r="G253" s="62"/>
      <c r="H253" s="190"/>
      <c r="I253" s="62"/>
      <c r="J253" s="62"/>
      <c r="K253" s="62"/>
      <c r="L253" s="62"/>
      <c r="M253" s="62"/>
      <c r="N253" s="62"/>
      <c r="O253" s="62"/>
      <c r="P253" s="62"/>
      <c r="Q253" s="62"/>
      <c r="R253" s="62"/>
      <c r="S253" s="62"/>
      <c r="T253" s="62"/>
      <c r="U253" s="62"/>
      <c r="V253" s="62"/>
      <c r="W253" s="62"/>
      <c r="X253" s="62"/>
      <c r="Y253" s="62"/>
      <c r="Z253" s="62"/>
      <c r="AA253" s="62"/>
      <c r="AB253" s="62"/>
      <c r="AC253" s="62"/>
    </row>
    <row r="254">
      <c r="A254" s="61"/>
      <c r="B254" s="61"/>
      <c r="C254" s="62"/>
      <c r="D254" s="62"/>
      <c r="E254" s="62"/>
      <c r="F254" s="62"/>
      <c r="G254" s="62"/>
      <c r="H254" s="190"/>
      <c r="I254" s="62"/>
      <c r="J254" s="62"/>
      <c r="K254" s="62"/>
      <c r="L254" s="62"/>
      <c r="M254" s="62"/>
      <c r="N254" s="62"/>
      <c r="O254" s="62"/>
      <c r="P254" s="62"/>
      <c r="Q254" s="62"/>
      <c r="R254" s="62"/>
      <c r="S254" s="62"/>
      <c r="T254" s="62"/>
      <c r="U254" s="62"/>
      <c r="V254" s="62"/>
      <c r="W254" s="62"/>
      <c r="X254" s="62"/>
      <c r="Y254" s="62"/>
      <c r="Z254" s="62"/>
      <c r="AA254" s="62"/>
      <c r="AB254" s="62"/>
      <c r="AC254" s="62"/>
    </row>
    <row r="255">
      <c r="A255" s="61"/>
      <c r="B255" s="61"/>
      <c r="C255" s="62"/>
      <c r="D255" s="62"/>
      <c r="E255" s="62"/>
      <c r="F255" s="62"/>
      <c r="G255" s="62"/>
      <c r="H255" s="190"/>
      <c r="I255" s="62"/>
      <c r="J255" s="62"/>
      <c r="K255" s="62"/>
      <c r="L255" s="62"/>
      <c r="M255" s="62"/>
      <c r="N255" s="62"/>
      <c r="O255" s="62"/>
      <c r="P255" s="62"/>
      <c r="Q255" s="62"/>
      <c r="R255" s="62"/>
      <c r="S255" s="62"/>
      <c r="T255" s="62"/>
      <c r="U255" s="62"/>
      <c r="V255" s="62"/>
      <c r="W255" s="62"/>
      <c r="X255" s="62"/>
      <c r="Y255" s="62"/>
      <c r="Z255" s="62"/>
      <c r="AA255" s="62"/>
      <c r="AB255" s="62"/>
      <c r="AC255" s="62"/>
    </row>
    <row r="256">
      <c r="A256" s="61"/>
      <c r="B256" s="61"/>
      <c r="C256" s="62"/>
      <c r="D256" s="62"/>
      <c r="E256" s="62"/>
      <c r="F256" s="62"/>
      <c r="G256" s="62"/>
      <c r="H256" s="190"/>
      <c r="I256" s="62"/>
      <c r="J256" s="62"/>
      <c r="K256" s="62"/>
      <c r="L256" s="62"/>
      <c r="M256" s="62"/>
      <c r="N256" s="62"/>
      <c r="O256" s="62"/>
      <c r="P256" s="62"/>
      <c r="Q256" s="62"/>
      <c r="R256" s="62"/>
      <c r="S256" s="62"/>
      <c r="T256" s="62"/>
      <c r="U256" s="62"/>
      <c r="V256" s="62"/>
      <c r="W256" s="62"/>
      <c r="X256" s="62"/>
      <c r="Y256" s="62"/>
      <c r="Z256" s="62"/>
      <c r="AA256" s="62"/>
      <c r="AB256" s="62"/>
      <c r="AC256" s="62"/>
    </row>
    <row r="257">
      <c r="A257" s="61"/>
      <c r="B257" s="61"/>
      <c r="C257" s="62"/>
      <c r="D257" s="62"/>
      <c r="E257" s="62"/>
      <c r="F257" s="62"/>
      <c r="G257" s="62"/>
      <c r="H257" s="190"/>
      <c r="I257" s="62"/>
      <c r="J257" s="62"/>
      <c r="K257" s="62"/>
      <c r="L257" s="62"/>
      <c r="M257" s="62"/>
      <c r="N257" s="62"/>
      <c r="O257" s="62"/>
      <c r="P257" s="62"/>
      <c r="Q257" s="62"/>
      <c r="R257" s="62"/>
      <c r="S257" s="62"/>
      <c r="T257" s="62"/>
      <c r="U257" s="62"/>
      <c r="V257" s="62"/>
      <c r="W257" s="62"/>
      <c r="X257" s="62"/>
      <c r="Y257" s="62"/>
      <c r="Z257" s="62"/>
      <c r="AA257" s="62"/>
      <c r="AB257" s="62"/>
      <c r="AC257" s="62"/>
    </row>
    <row r="258">
      <c r="A258" s="61"/>
      <c r="B258" s="61"/>
      <c r="C258" s="62"/>
      <c r="D258" s="62"/>
      <c r="E258" s="62"/>
      <c r="F258" s="62"/>
      <c r="G258" s="62"/>
      <c r="H258" s="190"/>
      <c r="I258" s="62"/>
      <c r="J258" s="62"/>
      <c r="K258" s="62"/>
      <c r="L258" s="62"/>
      <c r="M258" s="62"/>
      <c r="N258" s="62"/>
      <c r="O258" s="62"/>
      <c r="P258" s="62"/>
      <c r="Q258" s="62"/>
      <c r="R258" s="62"/>
      <c r="S258" s="62"/>
      <c r="T258" s="62"/>
      <c r="U258" s="62"/>
      <c r="V258" s="62"/>
      <c r="W258" s="62"/>
      <c r="X258" s="62"/>
      <c r="Y258" s="62"/>
      <c r="Z258" s="62"/>
      <c r="AA258" s="62"/>
      <c r="AB258" s="62"/>
      <c r="AC258" s="62"/>
    </row>
    <row r="259">
      <c r="A259" s="61"/>
      <c r="B259" s="61"/>
      <c r="C259" s="62"/>
      <c r="D259" s="62"/>
      <c r="E259" s="62"/>
      <c r="F259" s="62"/>
      <c r="G259" s="62"/>
      <c r="H259" s="190"/>
      <c r="I259" s="62"/>
      <c r="J259" s="62"/>
      <c r="K259" s="62"/>
      <c r="L259" s="62"/>
      <c r="M259" s="62"/>
      <c r="N259" s="62"/>
      <c r="O259" s="62"/>
      <c r="P259" s="62"/>
      <c r="Q259" s="62"/>
      <c r="R259" s="62"/>
      <c r="S259" s="62"/>
      <c r="T259" s="62"/>
      <c r="U259" s="62"/>
      <c r="V259" s="62"/>
      <c r="W259" s="62"/>
      <c r="X259" s="62"/>
      <c r="Y259" s="62"/>
      <c r="Z259" s="62"/>
      <c r="AA259" s="62"/>
      <c r="AB259" s="62"/>
      <c r="AC259" s="62"/>
    </row>
    <row r="260">
      <c r="A260" s="61"/>
      <c r="B260" s="61"/>
      <c r="C260" s="62"/>
      <c r="D260" s="62"/>
      <c r="E260" s="62"/>
      <c r="F260" s="62"/>
      <c r="G260" s="62"/>
      <c r="H260" s="190"/>
      <c r="I260" s="62"/>
      <c r="J260" s="62"/>
      <c r="K260" s="62"/>
      <c r="L260" s="62"/>
      <c r="M260" s="62"/>
      <c r="N260" s="62"/>
      <c r="O260" s="62"/>
      <c r="P260" s="62"/>
      <c r="Q260" s="62"/>
      <c r="R260" s="62"/>
      <c r="S260" s="62"/>
      <c r="T260" s="62"/>
      <c r="U260" s="62"/>
      <c r="V260" s="62"/>
      <c r="W260" s="62"/>
      <c r="X260" s="62"/>
      <c r="Y260" s="62"/>
      <c r="Z260" s="62"/>
      <c r="AA260" s="62"/>
      <c r="AB260" s="62"/>
      <c r="AC260" s="62"/>
    </row>
    <row r="261">
      <c r="A261" s="61"/>
      <c r="B261" s="61"/>
      <c r="C261" s="62"/>
      <c r="D261" s="62"/>
      <c r="E261" s="62"/>
      <c r="F261" s="62"/>
      <c r="G261" s="62"/>
      <c r="H261" s="190"/>
      <c r="I261" s="62"/>
      <c r="J261" s="62"/>
      <c r="K261" s="62"/>
      <c r="L261" s="62"/>
      <c r="M261" s="62"/>
      <c r="N261" s="62"/>
      <c r="O261" s="62"/>
      <c r="P261" s="62"/>
      <c r="Q261" s="62"/>
      <c r="R261" s="62"/>
      <c r="S261" s="62"/>
      <c r="T261" s="62"/>
      <c r="U261" s="62"/>
      <c r="V261" s="62"/>
      <c r="W261" s="62"/>
      <c r="X261" s="62"/>
      <c r="Y261" s="62"/>
      <c r="Z261" s="62"/>
      <c r="AA261" s="62"/>
      <c r="AB261" s="62"/>
      <c r="AC261" s="62"/>
    </row>
    <row r="262">
      <c r="A262" s="61"/>
      <c r="B262" s="61"/>
      <c r="C262" s="62"/>
      <c r="D262" s="62"/>
      <c r="E262" s="62"/>
      <c r="F262" s="62"/>
      <c r="G262" s="62"/>
      <c r="H262" s="190"/>
      <c r="I262" s="62"/>
      <c r="J262" s="62"/>
      <c r="K262" s="62"/>
      <c r="L262" s="62"/>
      <c r="M262" s="62"/>
      <c r="N262" s="62"/>
      <c r="O262" s="62"/>
      <c r="P262" s="62"/>
      <c r="Q262" s="62"/>
      <c r="R262" s="62"/>
      <c r="S262" s="62"/>
      <c r="T262" s="62"/>
      <c r="U262" s="62"/>
      <c r="V262" s="62"/>
      <c r="W262" s="62"/>
      <c r="X262" s="62"/>
      <c r="Y262" s="62"/>
      <c r="Z262" s="62"/>
      <c r="AA262" s="62"/>
      <c r="AB262" s="62"/>
      <c r="AC262" s="62"/>
    </row>
    <row r="263">
      <c r="A263" s="61"/>
      <c r="B263" s="61"/>
      <c r="C263" s="62"/>
      <c r="D263" s="62"/>
      <c r="E263" s="62"/>
      <c r="F263" s="62"/>
      <c r="G263" s="62"/>
      <c r="H263" s="190"/>
      <c r="I263" s="62"/>
      <c r="J263" s="62"/>
      <c r="K263" s="62"/>
      <c r="L263" s="62"/>
      <c r="M263" s="62"/>
      <c r="N263" s="62"/>
      <c r="O263" s="62"/>
      <c r="P263" s="62"/>
      <c r="Q263" s="62"/>
      <c r="R263" s="62"/>
      <c r="S263" s="62"/>
      <c r="T263" s="62"/>
      <c r="U263" s="62"/>
      <c r="V263" s="62"/>
      <c r="W263" s="62"/>
      <c r="X263" s="62"/>
      <c r="Y263" s="62"/>
      <c r="Z263" s="62"/>
      <c r="AA263" s="62"/>
      <c r="AB263" s="62"/>
      <c r="AC263" s="62"/>
    </row>
    <row r="264">
      <c r="A264" s="61"/>
      <c r="B264" s="61"/>
      <c r="C264" s="62"/>
      <c r="D264" s="62"/>
      <c r="E264" s="62"/>
      <c r="F264" s="62"/>
      <c r="G264" s="62"/>
      <c r="H264" s="190"/>
      <c r="I264" s="62"/>
      <c r="J264" s="62"/>
      <c r="K264" s="62"/>
      <c r="L264" s="62"/>
      <c r="M264" s="62"/>
      <c r="N264" s="62"/>
      <c r="O264" s="62"/>
      <c r="P264" s="62"/>
      <c r="Q264" s="62"/>
      <c r="R264" s="62"/>
      <c r="S264" s="62"/>
      <c r="T264" s="62"/>
      <c r="U264" s="62"/>
      <c r="V264" s="62"/>
      <c r="W264" s="62"/>
      <c r="X264" s="62"/>
      <c r="Y264" s="62"/>
      <c r="Z264" s="62"/>
      <c r="AA264" s="62"/>
      <c r="AB264" s="62"/>
      <c r="AC264" s="62"/>
    </row>
    <row r="265">
      <c r="A265" s="61"/>
      <c r="B265" s="61"/>
      <c r="C265" s="62"/>
      <c r="D265" s="62"/>
      <c r="E265" s="62"/>
      <c r="F265" s="62"/>
      <c r="G265" s="62"/>
      <c r="H265" s="190"/>
      <c r="I265" s="62"/>
      <c r="J265" s="62"/>
      <c r="K265" s="62"/>
      <c r="L265" s="62"/>
      <c r="M265" s="62"/>
      <c r="N265" s="62"/>
      <c r="O265" s="62"/>
      <c r="P265" s="62"/>
      <c r="Q265" s="62"/>
      <c r="R265" s="62"/>
      <c r="S265" s="62"/>
      <c r="T265" s="62"/>
      <c r="U265" s="62"/>
      <c r="V265" s="62"/>
      <c r="W265" s="62"/>
      <c r="X265" s="62"/>
      <c r="Y265" s="62"/>
      <c r="Z265" s="62"/>
      <c r="AA265" s="62"/>
      <c r="AB265" s="62"/>
      <c r="AC265" s="62"/>
    </row>
    <row r="266">
      <c r="A266" s="61"/>
      <c r="B266" s="61"/>
      <c r="C266" s="62"/>
      <c r="D266" s="62"/>
      <c r="E266" s="62"/>
      <c r="F266" s="62"/>
      <c r="G266" s="62"/>
      <c r="H266" s="190"/>
      <c r="I266" s="62"/>
      <c r="J266" s="62"/>
      <c r="K266" s="62"/>
      <c r="L266" s="62"/>
      <c r="M266" s="62"/>
      <c r="N266" s="62"/>
      <c r="O266" s="62"/>
      <c r="P266" s="62"/>
      <c r="Q266" s="62"/>
      <c r="R266" s="62"/>
      <c r="S266" s="62"/>
      <c r="T266" s="62"/>
      <c r="U266" s="62"/>
      <c r="V266" s="62"/>
      <c r="W266" s="62"/>
      <c r="X266" s="62"/>
      <c r="Y266" s="62"/>
      <c r="Z266" s="62"/>
      <c r="AA266" s="62"/>
      <c r="AB266" s="62"/>
      <c r="AC266" s="62"/>
    </row>
    <row r="267">
      <c r="A267" s="61"/>
      <c r="B267" s="61"/>
      <c r="C267" s="62"/>
      <c r="D267" s="62"/>
      <c r="E267" s="62"/>
      <c r="F267" s="62"/>
      <c r="G267" s="62"/>
      <c r="H267" s="190"/>
      <c r="I267" s="62"/>
      <c r="J267" s="62"/>
      <c r="K267" s="62"/>
      <c r="L267" s="62"/>
      <c r="M267" s="62"/>
      <c r="N267" s="62"/>
      <c r="O267" s="62"/>
      <c r="P267" s="62"/>
      <c r="Q267" s="62"/>
      <c r="R267" s="62"/>
      <c r="S267" s="62"/>
      <c r="T267" s="62"/>
      <c r="U267" s="62"/>
      <c r="V267" s="62"/>
      <c r="W267" s="62"/>
      <c r="X267" s="62"/>
      <c r="Y267" s="62"/>
      <c r="Z267" s="62"/>
      <c r="AA267" s="62"/>
      <c r="AB267" s="62"/>
      <c r="AC267" s="62"/>
    </row>
    <row r="268">
      <c r="A268" s="61"/>
      <c r="B268" s="61"/>
      <c r="C268" s="62"/>
      <c r="D268" s="62"/>
      <c r="E268" s="62"/>
      <c r="F268" s="62"/>
      <c r="G268" s="62"/>
      <c r="H268" s="190"/>
      <c r="I268" s="62"/>
      <c r="J268" s="62"/>
      <c r="K268" s="62"/>
      <c r="L268" s="62"/>
      <c r="M268" s="62"/>
      <c r="N268" s="62"/>
      <c r="O268" s="62"/>
      <c r="P268" s="62"/>
      <c r="Q268" s="62"/>
      <c r="R268" s="62"/>
      <c r="S268" s="62"/>
      <c r="T268" s="62"/>
      <c r="U268" s="62"/>
      <c r="V268" s="62"/>
      <c r="W268" s="62"/>
      <c r="X268" s="62"/>
      <c r="Y268" s="62"/>
      <c r="Z268" s="62"/>
      <c r="AA268" s="62"/>
      <c r="AB268" s="62"/>
      <c r="AC268" s="62"/>
    </row>
    <row r="269">
      <c r="A269" s="61"/>
      <c r="B269" s="61"/>
      <c r="C269" s="62"/>
      <c r="D269" s="62"/>
      <c r="E269" s="62"/>
      <c r="F269" s="62"/>
      <c r="G269" s="62"/>
      <c r="H269" s="190"/>
      <c r="I269" s="62"/>
      <c r="J269" s="62"/>
      <c r="K269" s="62"/>
      <c r="L269" s="62"/>
      <c r="M269" s="62"/>
      <c r="N269" s="62"/>
      <c r="O269" s="62"/>
      <c r="P269" s="62"/>
      <c r="Q269" s="62"/>
      <c r="R269" s="62"/>
      <c r="S269" s="62"/>
      <c r="T269" s="62"/>
      <c r="U269" s="62"/>
      <c r="V269" s="62"/>
      <c r="W269" s="62"/>
      <c r="X269" s="62"/>
      <c r="Y269" s="62"/>
      <c r="Z269" s="62"/>
      <c r="AA269" s="62"/>
      <c r="AB269" s="62"/>
      <c r="AC269" s="62"/>
    </row>
    <row r="270">
      <c r="A270" s="61"/>
      <c r="B270" s="61"/>
      <c r="C270" s="62"/>
      <c r="D270" s="62"/>
      <c r="E270" s="62"/>
      <c r="F270" s="62"/>
      <c r="G270" s="62"/>
      <c r="H270" s="190"/>
      <c r="I270" s="62"/>
      <c r="J270" s="62"/>
      <c r="K270" s="62"/>
      <c r="L270" s="62"/>
      <c r="M270" s="62"/>
      <c r="N270" s="62"/>
      <c r="O270" s="62"/>
      <c r="P270" s="62"/>
      <c r="Q270" s="62"/>
      <c r="R270" s="62"/>
      <c r="S270" s="62"/>
      <c r="T270" s="62"/>
      <c r="U270" s="62"/>
      <c r="V270" s="62"/>
      <c r="W270" s="62"/>
      <c r="X270" s="62"/>
      <c r="Y270" s="62"/>
      <c r="Z270" s="62"/>
      <c r="AA270" s="62"/>
      <c r="AB270" s="62"/>
      <c r="AC270" s="62"/>
    </row>
    <row r="271">
      <c r="A271" s="61"/>
      <c r="B271" s="61"/>
      <c r="C271" s="62"/>
      <c r="D271" s="62"/>
      <c r="E271" s="62"/>
      <c r="F271" s="62"/>
      <c r="G271" s="62"/>
      <c r="H271" s="190"/>
      <c r="I271" s="62"/>
      <c r="J271" s="62"/>
      <c r="K271" s="62"/>
      <c r="L271" s="62"/>
      <c r="M271" s="62"/>
      <c r="N271" s="62"/>
      <c r="O271" s="62"/>
      <c r="P271" s="62"/>
      <c r="Q271" s="62"/>
      <c r="R271" s="62"/>
      <c r="S271" s="62"/>
      <c r="T271" s="62"/>
      <c r="U271" s="62"/>
      <c r="V271" s="62"/>
      <c r="W271" s="62"/>
      <c r="X271" s="62"/>
      <c r="Y271" s="62"/>
      <c r="Z271" s="62"/>
      <c r="AA271" s="62"/>
      <c r="AB271" s="62"/>
      <c r="AC271" s="62"/>
    </row>
    <row r="272">
      <c r="A272" s="61"/>
      <c r="B272" s="61"/>
      <c r="C272" s="62"/>
      <c r="D272" s="62"/>
      <c r="E272" s="62"/>
      <c r="F272" s="62"/>
      <c r="G272" s="62"/>
      <c r="H272" s="190"/>
      <c r="I272" s="62"/>
      <c r="J272" s="62"/>
      <c r="K272" s="62"/>
      <c r="L272" s="62"/>
      <c r="M272" s="62"/>
      <c r="N272" s="62"/>
      <c r="O272" s="62"/>
      <c r="P272" s="62"/>
      <c r="Q272" s="62"/>
      <c r="R272" s="62"/>
      <c r="S272" s="62"/>
      <c r="T272" s="62"/>
      <c r="U272" s="62"/>
      <c r="V272" s="62"/>
      <c r="W272" s="62"/>
      <c r="X272" s="62"/>
      <c r="Y272" s="62"/>
      <c r="Z272" s="62"/>
      <c r="AA272" s="62"/>
      <c r="AB272" s="62"/>
      <c r="AC272" s="62"/>
    </row>
    <row r="273">
      <c r="A273" s="61"/>
      <c r="B273" s="61"/>
      <c r="C273" s="62"/>
      <c r="D273" s="62"/>
      <c r="E273" s="62"/>
      <c r="F273" s="62"/>
      <c r="G273" s="62"/>
      <c r="H273" s="190"/>
      <c r="I273" s="62"/>
      <c r="J273" s="62"/>
      <c r="K273" s="62"/>
      <c r="L273" s="62"/>
      <c r="M273" s="62"/>
      <c r="N273" s="62"/>
      <c r="O273" s="62"/>
      <c r="P273" s="62"/>
      <c r="Q273" s="62"/>
      <c r="R273" s="62"/>
      <c r="S273" s="62"/>
      <c r="T273" s="62"/>
      <c r="U273" s="62"/>
      <c r="V273" s="62"/>
      <c r="W273" s="62"/>
      <c r="X273" s="62"/>
      <c r="Y273" s="62"/>
      <c r="Z273" s="62"/>
      <c r="AA273" s="62"/>
      <c r="AB273" s="62"/>
      <c r="AC273" s="62"/>
    </row>
    <row r="274">
      <c r="A274" s="61"/>
      <c r="B274" s="61"/>
      <c r="C274" s="62"/>
      <c r="D274" s="62"/>
      <c r="E274" s="62"/>
      <c r="F274" s="62"/>
      <c r="G274" s="62"/>
      <c r="H274" s="190"/>
      <c r="I274" s="62"/>
      <c r="J274" s="62"/>
      <c r="K274" s="62"/>
      <c r="L274" s="62"/>
      <c r="M274" s="62"/>
      <c r="N274" s="62"/>
      <c r="O274" s="62"/>
      <c r="P274" s="62"/>
      <c r="Q274" s="62"/>
      <c r="R274" s="62"/>
      <c r="S274" s="62"/>
      <c r="T274" s="62"/>
      <c r="U274" s="62"/>
      <c r="V274" s="62"/>
      <c r="W274" s="62"/>
      <c r="X274" s="62"/>
      <c r="Y274" s="62"/>
      <c r="Z274" s="62"/>
      <c r="AA274" s="62"/>
      <c r="AB274" s="62"/>
      <c r="AC274" s="62"/>
    </row>
    <row r="275">
      <c r="A275" s="61"/>
      <c r="B275" s="61"/>
      <c r="C275" s="62"/>
      <c r="D275" s="62"/>
      <c r="E275" s="62"/>
      <c r="F275" s="62"/>
      <c r="G275" s="62"/>
      <c r="H275" s="190"/>
      <c r="I275" s="62"/>
      <c r="J275" s="62"/>
      <c r="K275" s="62"/>
      <c r="L275" s="62"/>
      <c r="M275" s="62"/>
      <c r="N275" s="62"/>
      <c r="O275" s="62"/>
      <c r="P275" s="62"/>
      <c r="Q275" s="62"/>
      <c r="R275" s="62"/>
      <c r="S275" s="62"/>
      <c r="T275" s="62"/>
      <c r="U275" s="62"/>
      <c r="V275" s="62"/>
      <c r="W275" s="62"/>
      <c r="X275" s="62"/>
      <c r="Y275" s="62"/>
      <c r="Z275" s="62"/>
      <c r="AA275" s="62"/>
      <c r="AB275" s="62"/>
      <c r="AC275" s="62"/>
    </row>
    <row r="276">
      <c r="A276" s="61"/>
      <c r="B276" s="61"/>
      <c r="C276" s="62"/>
      <c r="D276" s="62"/>
      <c r="E276" s="62"/>
      <c r="F276" s="62"/>
      <c r="G276" s="62"/>
      <c r="H276" s="190"/>
      <c r="I276" s="62"/>
      <c r="J276" s="62"/>
      <c r="K276" s="62"/>
      <c r="L276" s="62"/>
      <c r="M276" s="62"/>
      <c r="N276" s="62"/>
      <c r="O276" s="62"/>
      <c r="P276" s="62"/>
      <c r="Q276" s="62"/>
      <c r="R276" s="62"/>
      <c r="S276" s="62"/>
      <c r="T276" s="62"/>
      <c r="U276" s="62"/>
      <c r="V276" s="62"/>
      <c r="W276" s="62"/>
      <c r="X276" s="62"/>
      <c r="Y276" s="62"/>
      <c r="Z276" s="62"/>
      <c r="AA276" s="62"/>
      <c r="AB276" s="62"/>
      <c r="AC276" s="62"/>
    </row>
    <row r="277">
      <c r="A277" s="61"/>
      <c r="B277" s="61"/>
      <c r="C277" s="62"/>
      <c r="D277" s="62"/>
      <c r="E277" s="62"/>
      <c r="F277" s="62"/>
      <c r="G277" s="62"/>
      <c r="H277" s="190"/>
      <c r="I277" s="62"/>
      <c r="J277" s="62"/>
      <c r="K277" s="62"/>
      <c r="L277" s="62"/>
      <c r="M277" s="62"/>
      <c r="N277" s="62"/>
      <c r="O277" s="62"/>
      <c r="P277" s="62"/>
      <c r="Q277" s="62"/>
      <c r="R277" s="62"/>
      <c r="S277" s="62"/>
      <c r="T277" s="62"/>
      <c r="U277" s="62"/>
      <c r="V277" s="62"/>
      <c r="W277" s="62"/>
      <c r="X277" s="62"/>
      <c r="Y277" s="62"/>
      <c r="Z277" s="62"/>
      <c r="AA277" s="62"/>
      <c r="AB277" s="62"/>
      <c r="AC277" s="62"/>
    </row>
    <row r="278">
      <c r="A278" s="61"/>
      <c r="B278" s="61"/>
      <c r="C278" s="62"/>
      <c r="D278" s="62"/>
      <c r="E278" s="62"/>
      <c r="F278" s="62"/>
      <c r="G278" s="62"/>
      <c r="H278" s="190"/>
      <c r="I278" s="62"/>
      <c r="J278" s="62"/>
      <c r="K278" s="62"/>
      <c r="L278" s="62"/>
      <c r="M278" s="62"/>
      <c r="N278" s="62"/>
      <c r="O278" s="62"/>
      <c r="P278" s="62"/>
      <c r="Q278" s="62"/>
      <c r="R278" s="62"/>
      <c r="S278" s="62"/>
      <c r="T278" s="62"/>
      <c r="U278" s="62"/>
      <c r="V278" s="62"/>
      <c r="W278" s="62"/>
      <c r="X278" s="62"/>
      <c r="Y278" s="62"/>
      <c r="Z278" s="62"/>
      <c r="AA278" s="62"/>
      <c r="AB278" s="62"/>
      <c r="AC278" s="62"/>
    </row>
    <row r="279">
      <c r="A279" s="61"/>
      <c r="B279" s="61"/>
      <c r="C279" s="62"/>
      <c r="D279" s="62"/>
      <c r="E279" s="62"/>
      <c r="F279" s="62"/>
      <c r="G279" s="62"/>
      <c r="H279" s="190"/>
      <c r="I279" s="62"/>
      <c r="J279" s="62"/>
      <c r="K279" s="62"/>
      <c r="L279" s="62"/>
      <c r="M279" s="62"/>
      <c r="N279" s="62"/>
      <c r="O279" s="62"/>
      <c r="P279" s="62"/>
      <c r="Q279" s="62"/>
      <c r="R279" s="62"/>
      <c r="S279" s="62"/>
      <c r="T279" s="62"/>
      <c r="U279" s="62"/>
      <c r="V279" s="62"/>
      <c r="W279" s="62"/>
      <c r="X279" s="62"/>
      <c r="Y279" s="62"/>
      <c r="Z279" s="62"/>
      <c r="AA279" s="62"/>
      <c r="AB279" s="62"/>
      <c r="AC279" s="62"/>
    </row>
    <row r="280">
      <c r="A280" s="61"/>
      <c r="B280" s="61"/>
      <c r="C280" s="62"/>
      <c r="D280" s="62"/>
      <c r="E280" s="62"/>
      <c r="F280" s="62"/>
      <c r="G280" s="62"/>
      <c r="H280" s="190"/>
      <c r="I280" s="62"/>
      <c r="J280" s="62"/>
      <c r="K280" s="62"/>
      <c r="L280" s="62"/>
      <c r="M280" s="62"/>
      <c r="N280" s="62"/>
      <c r="O280" s="62"/>
      <c r="P280" s="62"/>
      <c r="Q280" s="62"/>
      <c r="R280" s="62"/>
      <c r="S280" s="62"/>
      <c r="T280" s="62"/>
      <c r="U280" s="62"/>
      <c r="V280" s="62"/>
      <c r="W280" s="62"/>
      <c r="X280" s="62"/>
      <c r="Y280" s="62"/>
      <c r="Z280" s="62"/>
      <c r="AA280" s="62"/>
      <c r="AB280" s="62"/>
      <c r="AC280" s="62"/>
    </row>
    <row r="281">
      <c r="A281" s="61"/>
      <c r="B281" s="61"/>
      <c r="C281" s="62"/>
      <c r="D281" s="62"/>
      <c r="E281" s="62"/>
      <c r="F281" s="62"/>
      <c r="G281" s="62"/>
      <c r="H281" s="190"/>
      <c r="I281" s="62"/>
      <c r="J281" s="62"/>
      <c r="K281" s="62"/>
      <c r="L281" s="62"/>
      <c r="M281" s="62"/>
      <c r="N281" s="62"/>
      <c r="O281" s="62"/>
      <c r="P281" s="62"/>
      <c r="Q281" s="62"/>
      <c r="R281" s="62"/>
      <c r="S281" s="62"/>
      <c r="T281" s="62"/>
      <c r="U281" s="62"/>
      <c r="V281" s="62"/>
      <c r="W281" s="62"/>
      <c r="X281" s="62"/>
      <c r="Y281" s="62"/>
      <c r="Z281" s="62"/>
      <c r="AA281" s="62"/>
      <c r="AB281" s="62"/>
      <c r="AC281" s="62"/>
    </row>
    <row r="282">
      <c r="A282" s="61"/>
      <c r="B282" s="61"/>
      <c r="C282" s="62"/>
      <c r="D282" s="62"/>
      <c r="E282" s="62"/>
      <c r="F282" s="62"/>
      <c r="G282" s="62"/>
      <c r="H282" s="190"/>
      <c r="I282" s="62"/>
      <c r="J282" s="62"/>
      <c r="K282" s="62"/>
      <c r="L282" s="62"/>
      <c r="M282" s="62"/>
      <c r="N282" s="62"/>
      <c r="O282" s="62"/>
      <c r="P282" s="62"/>
      <c r="Q282" s="62"/>
      <c r="R282" s="62"/>
      <c r="S282" s="62"/>
      <c r="T282" s="62"/>
      <c r="U282" s="62"/>
      <c r="V282" s="62"/>
      <c r="W282" s="62"/>
      <c r="X282" s="62"/>
      <c r="Y282" s="62"/>
      <c r="Z282" s="62"/>
      <c r="AA282" s="62"/>
      <c r="AB282" s="62"/>
      <c r="AC282" s="62"/>
    </row>
    <row r="283">
      <c r="A283" s="61"/>
      <c r="B283" s="61"/>
      <c r="C283" s="62"/>
      <c r="D283" s="62"/>
      <c r="E283" s="62"/>
      <c r="F283" s="62"/>
      <c r="G283" s="62"/>
      <c r="H283" s="190"/>
      <c r="I283" s="62"/>
      <c r="J283" s="62"/>
      <c r="K283" s="62"/>
      <c r="L283" s="62"/>
      <c r="M283" s="62"/>
      <c r="N283" s="62"/>
      <c r="O283" s="62"/>
      <c r="P283" s="62"/>
      <c r="Q283" s="62"/>
      <c r="R283" s="62"/>
      <c r="S283" s="62"/>
      <c r="T283" s="62"/>
      <c r="U283" s="62"/>
      <c r="V283" s="62"/>
      <c r="W283" s="62"/>
      <c r="X283" s="62"/>
      <c r="Y283" s="62"/>
      <c r="Z283" s="62"/>
      <c r="AA283" s="62"/>
      <c r="AB283" s="62"/>
      <c r="AC283" s="62"/>
    </row>
    <row r="284">
      <c r="A284" s="61"/>
      <c r="B284" s="61"/>
      <c r="C284" s="62"/>
      <c r="D284" s="62"/>
      <c r="E284" s="62"/>
      <c r="F284" s="62"/>
      <c r="G284" s="62"/>
      <c r="H284" s="190"/>
      <c r="I284" s="62"/>
      <c r="J284" s="62"/>
      <c r="K284" s="62"/>
      <c r="L284" s="62"/>
      <c r="M284" s="62"/>
      <c r="N284" s="62"/>
      <c r="O284" s="62"/>
      <c r="P284" s="62"/>
      <c r="Q284" s="62"/>
      <c r="R284" s="62"/>
      <c r="S284" s="62"/>
      <c r="T284" s="62"/>
      <c r="U284" s="62"/>
      <c r="V284" s="62"/>
      <c r="W284" s="62"/>
      <c r="X284" s="62"/>
      <c r="Y284" s="62"/>
      <c r="Z284" s="62"/>
      <c r="AA284" s="62"/>
      <c r="AB284" s="62"/>
      <c r="AC284" s="62"/>
    </row>
    <row r="285">
      <c r="A285" s="61"/>
      <c r="B285" s="61"/>
      <c r="C285" s="62"/>
      <c r="D285" s="62"/>
      <c r="E285" s="62"/>
      <c r="F285" s="62"/>
      <c r="G285" s="62"/>
      <c r="H285" s="190"/>
      <c r="I285" s="62"/>
      <c r="J285" s="62"/>
      <c r="K285" s="62"/>
      <c r="L285" s="62"/>
      <c r="M285" s="62"/>
      <c r="N285" s="62"/>
      <c r="O285" s="62"/>
      <c r="P285" s="62"/>
      <c r="Q285" s="62"/>
      <c r="R285" s="62"/>
      <c r="S285" s="62"/>
      <c r="T285" s="62"/>
      <c r="U285" s="62"/>
      <c r="V285" s="62"/>
      <c r="W285" s="62"/>
      <c r="X285" s="62"/>
      <c r="Y285" s="62"/>
      <c r="Z285" s="62"/>
      <c r="AA285" s="62"/>
      <c r="AB285" s="62"/>
      <c r="AC285" s="62"/>
    </row>
    <row r="286">
      <c r="A286" s="61"/>
      <c r="B286" s="61"/>
      <c r="C286" s="62"/>
      <c r="D286" s="62"/>
      <c r="E286" s="62"/>
      <c r="F286" s="62"/>
      <c r="G286" s="62"/>
      <c r="H286" s="190"/>
      <c r="I286" s="62"/>
      <c r="J286" s="62"/>
      <c r="K286" s="62"/>
      <c r="L286" s="62"/>
      <c r="M286" s="62"/>
      <c r="N286" s="62"/>
      <c r="O286" s="62"/>
      <c r="P286" s="62"/>
      <c r="Q286" s="62"/>
      <c r="R286" s="62"/>
      <c r="S286" s="62"/>
      <c r="T286" s="62"/>
      <c r="U286" s="62"/>
      <c r="V286" s="62"/>
      <c r="W286" s="62"/>
      <c r="X286" s="62"/>
      <c r="Y286" s="62"/>
      <c r="Z286" s="62"/>
      <c r="AA286" s="62"/>
      <c r="AB286" s="62"/>
      <c r="AC286" s="62"/>
    </row>
    <row r="287">
      <c r="A287" s="61"/>
      <c r="B287" s="61"/>
      <c r="C287" s="62"/>
      <c r="D287" s="62"/>
      <c r="E287" s="62"/>
      <c r="F287" s="62"/>
      <c r="G287" s="62"/>
      <c r="H287" s="190"/>
      <c r="I287" s="62"/>
      <c r="J287" s="62"/>
      <c r="K287" s="62"/>
      <c r="L287" s="62"/>
      <c r="M287" s="62"/>
      <c r="N287" s="62"/>
      <c r="O287" s="62"/>
      <c r="P287" s="62"/>
      <c r="Q287" s="62"/>
      <c r="R287" s="62"/>
      <c r="S287" s="62"/>
      <c r="T287" s="62"/>
      <c r="U287" s="62"/>
      <c r="V287" s="62"/>
      <c r="W287" s="62"/>
      <c r="X287" s="62"/>
      <c r="Y287" s="62"/>
      <c r="Z287" s="62"/>
      <c r="AA287" s="62"/>
      <c r="AB287" s="62"/>
      <c r="AC287" s="62"/>
    </row>
    <row r="288">
      <c r="A288" s="61"/>
      <c r="B288" s="61"/>
      <c r="C288" s="62"/>
      <c r="D288" s="62"/>
      <c r="E288" s="62"/>
      <c r="F288" s="62"/>
      <c r="G288" s="62"/>
      <c r="H288" s="190"/>
      <c r="I288" s="62"/>
      <c r="J288" s="62"/>
      <c r="K288" s="62"/>
      <c r="L288" s="62"/>
      <c r="M288" s="62"/>
      <c r="N288" s="62"/>
      <c r="O288" s="62"/>
      <c r="P288" s="62"/>
      <c r="Q288" s="62"/>
      <c r="R288" s="62"/>
      <c r="S288" s="62"/>
      <c r="T288" s="62"/>
      <c r="U288" s="62"/>
      <c r="V288" s="62"/>
      <c r="W288" s="62"/>
      <c r="X288" s="62"/>
      <c r="Y288" s="62"/>
      <c r="Z288" s="62"/>
      <c r="AA288" s="62"/>
      <c r="AB288" s="62"/>
      <c r="AC288" s="62"/>
    </row>
    <row r="289">
      <c r="A289" s="61"/>
      <c r="B289" s="61"/>
      <c r="C289" s="62"/>
      <c r="D289" s="62"/>
      <c r="E289" s="62"/>
      <c r="F289" s="62"/>
      <c r="G289" s="62"/>
      <c r="H289" s="190"/>
      <c r="I289" s="62"/>
      <c r="J289" s="62"/>
      <c r="K289" s="62"/>
      <c r="L289" s="62"/>
      <c r="M289" s="62"/>
      <c r="N289" s="62"/>
      <c r="O289" s="62"/>
      <c r="P289" s="62"/>
      <c r="Q289" s="62"/>
      <c r="R289" s="62"/>
      <c r="S289" s="62"/>
      <c r="T289" s="62"/>
      <c r="U289" s="62"/>
      <c r="V289" s="62"/>
      <c r="W289" s="62"/>
      <c r="X289" s="62"/>
      <c r="Y289" s="62"/>
      <c r="Z289" s="62"/>
      <c r="AA289" s="62"/>
      <c r="AB289" s="62"/>
      <c r="AC289" s="62"/>
    </row>
    <row r="290">
      <c r="A290" s="61"/>
      <c r="B290" s="61"/>
      <c r="C290" s="62"/>
      <c r="D290" s="62"/>
      <c r="E290" s="62"/>
      <c r="F290" s="62"/>
      <c r="G290" s="62"/>
      <c r="H290" s="190"/>
      <c r="I290" s="62"/>
      <c r="J290" s="62"/>
      <c r="K290" s="62"/>
      <c r="L290" s="62"/>
      <c r="M290" s="62"/>
      <c r="N290" s="62"/>
      <c r="O290" s="62"/>
      <c r="P290" s="62"/>
      <c r="Q290" s="62"/>
      <c r="R290" s="62"/>
      <c r="S290" s="62"/>
      <c r="T290" s="62"/>
      <c r="U290" s="62"/>
      <c r="V290" s="62"/>
      <c r="W290" s="62"/>
      <c r="X290" s="62"/>
      <c r="Y290" s="62"/>
      <c r="Z290" s="62"/>
      <c r="AA290" s="62"/>
      <c r="AB290" s="62"/>
      <c r="AC290" s="62"/>
    </row>
    <row r="291">
      <c r="A291" s="61"/>
      <c r="B291" s="61"/>
      <c r="C291" s="62"/>
      <c r="D291" s="62"/>
      <c r="E291" s="62"/>
      <c r="F291" s="62"/>
      <c r="G291" s="62"/>
      <c r="H291" s="190"/>
      <c r="I291" s="62"/>
      <c r="J291" s="62"/>
      <c r="K291" s="62"/>
      <c r="L291" s="62"/>
      <c r="M291" s="62"/>
      <c r="N291" s="62"/>
      <c r="O291" s="62"/>
      <c r="P291" s="62"/>
      <c r="Q291" s="62"/>
      <c r="R291" s="62"/>
      <c r="S291" s="62"/>
      <c r="T291" s="62"/>
      <c r="U291" s="62"/>
      <c r="V291" s="62"/>
      <c r="W291" s="62"/>
      <c r="X291" s="62"/>
      <c r="Y291" s="62"/>
      <c r="Z291" s="62"/>
      <c r="AA291" s="62"/>
      <c r="AB291" s="62"/>
      <c r="AC291" s="62"/>
    </row>
    <row r="292">
      <c r="A292" s="61"/>
      <c r="B292" s="61"/>
      <c r="C292" s="62"/>
      <c r="D292" s="62"/>
      <c r="E292" s="62"/>
      <c r="F292" s="62"/>
      <c r="G292" s="62"/>
      <c r="H292" s="190"/>
      <c r="I292" s="62"/>
      <c r="J292" s="62"/>
      <c r="K292" s="62"/>
      <c r="L292" s="62"/>
      <c r="M292" s="62"/>
      <c r="N292" s="62"/>
      <c r="O292" s="62"/>
      <c r="P292" s="62"/>
      <c r="Q292" s="62"/>
      <c r="R292" s="62"/>
      <c r="S292" s="62"/>
      <c r="T292" s="62"/>
      <c r="U292" s="62"/>
      <c r="V292" s="62"/>
      <c r="W292" s="62"/>
      <c r="X292" s="62"/>
      <c r="Y292" s="62"/>
      <c r="Z292" s="62"/>
      <c r="AA292" s="62"/>
      <c r="AB292" s="62"/>
      <c r="AC292" s="62"/>
    </row>
    <row r="293">
      <c r="A293" s="61"/>
      <c r="B293" s="61"/>
      <c r="C293" s="62"/>
      <c r="D293" s="62"/>
      <c r="E293" s="62"/>
      <c r="F293" s="62"/>
      <c r="G293" s="62"/>
      <c r="H293" s="190"/>
      <c r="I293" s="62"/>
      <c r="J293" s="62"/>
      <c r="K293" s="62"/>
      <c r="L293" s="62"/>
      <c r="M293" s="62"/>
      <c r="N293" s="62"/>
      <c r="O293" s="62"/>
      <c r="P293" s="62"/>
      <c r="Q293" s="62"/>
      <c r="R293" s="62"/>
      <c r="S293" s="62"/>
      <c r="T293" s="62"/>
      <c r="U293" s="62"/>
      <c r="V293" s="62"/>
      <c r="W293" s="62"/>
      <c r="X293" s="62"/>
      <c r="Y293" s="62"/>
      <c r="Z293" s="62"/>
      <c r="AA293" s="62"/>
      <c r="AB293" s="62"/>
      <c r="AC293" s="62"/>
    </row>
    <row r="294">
      <c r="A294" s="61"/>
      <c r="B294" s="61"/>
      <c r="C294" s="62"/>
      <c r="D294" s="62"/>
      <c r="E294" s="62"/>
      <c r="F294" s="62"/>
      <c r="G294" s="62"/>
      <c r="H294" s="190"/>
      <c r="I294" s="62"/>
      <c r="J294" s="62"/>
      <c r="K294" s="62"/>
      <c r="L294" s="62"/>
      <c r="M294" s="62"/>
      <c r="N294" s="62"/>
      <c r="O294" s="62"/>
      <c r="P294" s="62"/>
      <c r="Q294" s="62"/>
      <c r="R294" s="62"/>
      <c r="S294" s="62"/>
      <c r="T294" s="62"/>
      <c r="U294" s="62"/>
      <c r="V294" s="62"/>
      <c r="W294" s="62"/>
      <c r="X294" s="62"/>
      <c r="Y294" s="62"/>
      <c r="Z294" s="62"/>
      <c r="AA294" s="62"/>
      <c r="AB294" s="62"/>
      <c r="AC294" s="62"/>
    </row>
    <row r="295">
      <c r="A295" s="61"/>
      <c r="B295" s="61"/>
      <c r="C295" s="62"/>
      <c r="D295" s="62"/>
      <c r="E295" s="62"/>
      <c r="F295" s="62"/>
      <c r="G295" s="62"/>
      <c r="H295" s="190"/>
      <c r="I295" s="62"/>
      <c r="J295" s="62"/>
      <c r="K295" s="62"/>
      <c r="L295" s="62"/>
      <c r="M295" s="62"/>
      <c r="N295" s="62"/>
      <c r="O295" s="62"/>
      <c r="P295" s="62"/>
      <c r="Q295" s="62"/>
      <c r="R295" s="62"/>
      <c r="S295" s="62"/>
      <c r="T295" s="62"/>
      <c r="U295" s="62"/>
      <c r="V295" s="62"/>
      <c r="W295" s="62"/>
      <c r="X295" s="62"/>
      <c r="Y295" s="62"/>
      <c r="Z295" s="62"/>
      <c r="AA295" s="62"/>
      <c r="AB295" s="62"/>
      <c r="AC295" s="62"/>
    </row>
    <row r="296">
      <c r="A296" s="61"/>
      <c r="B296" s="61"/>
      <c r="C296" s="62"/>
      <c r="D296" s="62"/>
      <c r="E296" s="62"/>
      <c r="F296" s="62"/>
      <c r="G296" s="62"/>
      <c r="H296" s="190"/>
      <c r="I296" s="62"/>
      <c r="J296" s="62"/>
      <c r="K296" s="62"/>
      <c r="L296" s="62"/>
      <c r="M296" s="62"/>
      <c r="N296" s="62"/>
      <c r="O296" s="62"/>
      <c r="P296" s="62"/>
      <c r="Q296" s="62"/>
      <c r="R296" s="62"/>
      <c r="S296" s="62"/>
      <c r="T296" s="62"/>
      <c r="U296" s="62"/>
      <c r="V296" s="62"/>
      <c r="W296" s="62"/>
      <c r="X296" s="62"/>
      <c r="Y296" s="62"/>
      <c r="Z296" s="62"/>
      <c r="AA296" s="62"/>
      <c r="AB296" s="62"/>
      <c r="AC296" s="62"/>
    </row>
    <row r="297">
      <c r="A297" s="61"/>
      <c r="B297" s="61"/>
      <c r="C297" s="62"/>
      <c r="D297" s="62"/>
      <c r="E297" s="62"/>
      <c r="F297" s="62"/>
      <c r="G297" s="62"/>
      <c r="H297" s="190"/>
      <c r="I297" s="62"/>
      <c r="J297" s="62"/>
      <c r="K297" s="62"/>
      <c r="L297" s="62"/>
      <c r="M297" s="62"/>
      <c r="N297" s="62"/>
      <c r="O297" s="62"/>
      <c r="P297" s="62"/>
      <c r="Q297" s="62"/>
      <c r="R297" s="62"/>
      <c r="S297" s="62"/>
      <c r="T297" s="62"/>
      <c r="U297" s="62"/>
      <c r="V297" s="62"/>
      <c r="W297" s="62"/>
      <c r="X297" s="62"/>
      <c r="Y297" s="62"/>
      <c r="Z297" s="62"/>
      <c r="AA297" s="62"/>
      <c r="AB297" s="62"/>
      <c r="AC297" s="62"/>
    </row>
    <row r="298">
      <c r="A298" s="61"/>
      <c r="B298" s="61"/>
      <c r="C298" s="62"/>
      <c r="D298" s="62"/>
      <c r="E298" s="62"/>
      <c r="F298" s="62"/>
      <c r="G298" s="62"/>
      <c r="H298" s="190"/>
      <c r="I298" s="62"/>
      <c r="J298" s="62"/>
      <c r="K298" s="62"/>
      <c r="L298" s="62"/>
      <c r="M298" s="62"/>
      <c r="N298" s="62"/>
      <c r="O298" s="62"/>
      <c r="P298" s="62"/>
      <c r="Q298" s="62"/>
      <c r="R298" s="62"/>
      <c r="S298" s="62"/>
      <c r="T298" s="62"/>
      <c r="U298" s="62"/>
      <c r="V298" s="62"/>
      <c r="W298" s="62"/>
      <c r="X298" s="62"/>
      <c r="Y298" s="62"/>
      <c r="Z298" s="62"/>
      <c r="AA298" s="62"/>
      <c r="AB298" s="62"/>
      <c r="AC298" s="62"/>
    </row>
    <row r="299">
      <c r="A299" s="61"/>
      <c r="B299" s="61"/>
      <c r="C299" s="62"/>
      <c r="D299" s="62"/>
      <c r="E299" s="62"/>
      <c r="F299" s="62"/>
      <c r="G299" s="62"/>
      <c r="H299" s="190"/>
      <c r="I299" s="62"/>
      <c r="J299" s="62"/>
      <c r="K299" s="62"/>
      <c r="L299" s="62"/>
      <c r="M299" s="62"/>
      <c r="N299" s="62"/>
      <c r="O299" s="62"/>
      <c r="P299" s="62"/>
      <c r="Q299" s="62"/>
      <c r="R299" s="62"/>
      <c r="S299" s="62"/>
      <c r="T299" s="62"/>
      <c r="U299" s="62"/>
      <c r="V299" s="62"/>
      <c r="W299" s="62"/>
      <c r="X299" s="62"/>
      <c r="Y299" s="62"/>
      <c r="Z299" s="62"/>
      <c r="AA299" s="62"/>
      <c r="AB299" s="62"/>
      <c r="AC299" s="62"/>
    </row>
    <row r="300">
      <c r="A300" s="61"/>
      <c r="B300" s="61"/>
      <c r="C300" s="62"/>
      <c r="D300" s="62"/>
      <c r="E300" s="62"/>
      <c r="F300" s="62"/>
      <c r="G300" s="62"/>
      <c r="H300" s="190"/>
      <c r="I300" s="62"/>
      <c r="J300" s="62"/>
      <c r="K300" s="62"/>
      <c r="L300" s="62"/>
      <c r="M300" s="62"/>
      <c r="N300" s="62"/>
      <c r="O300" s="62"/>
      <c r="P300" s="62"/>
      <c r="Q300" s="62"/>
      <c r="R300" s="62"/>
      <c r="S300" s="62"/>
      <c r="T300" s="62"/>
      <c r="U300" s="62"/>
      <c r="V300" s="62"/>
      <c r="W300" s="62"/>
      <c r="X300" s="62"/>
      <c r="Y300" s="62"/>
      <c r="Z300" s="62"/>
      <c r="AA300" s="62"/>
      <c r="AB300" s="62"/>
      <c r="AC300" s="62"/>
    </row>
    <row r="301">
      <c r="A301" s="61"/>
      <c r="B301" s="61"/>
      <c r="C301" s="62"/>
      <c r="D301" s="62"/>
      <c r="E301" s="62"/>
      <c r="F301" s="62"/>
      <c r="G301" s="62"/>
      <c r="H301" s="190"/>
      <c r="I301" s="62"/>
      <c r="J301" s="62"/>
      <c r="K301" s="62"/>
      <c r="L301" s="62"/>
      <c r="M301" s="62"/>
      <c r="N301" s="62"/>
      <c r="O301" s="62"/>
      <c r="P301" s="62"/>
      <c r="Q301" s="62"/>
      <c r="R301" s="62"/>
      <c r="S301" s="62"/>
      <c r="T301" s="62"/>
      <c r="U301" s="62"/>
      <c r="V301" s="62"/>
      <c r="W301" s="62"/>
      <c r="X301" s="62"/>
      <c r="Y301" s="62"/>
      <c r="Z301" s="62"/>
      <c r="AA301" s="62"/>
      <c r="AB301" s="62"/>
      <c r="AC301" s="62"/>
    </row>
    <row r="302">
      <c r="A302" s="61"/>
      <c r="B302" s="61"/>
      <c r="C302" s="62"/>
      <c r="D302" s="62"/>
      <c r="E302" s="62"/>
      <c r="F302" s="62"/>
      <c r="G302" s="62"/>
      <c r="H302" s="190"/>
      <c r="I302" s="62"/>
      <c r="J302" s="62"/>
      <c r="K302" s="62"/>
      <c r="L302" s="62"/>
      <c r="M302" s="62"/>
      <c r="N302" s="62"/>
      <c r="O302" s="62"/>
      <c r="P302" s="62"/>
      <c r="Q302" s="62"/>
      <c r="R302" s="62"/>
      <c r="S302" s="62"/>
      <c r="T302" s="62"/>
      <c r="U302" s="62"/>
      <c r="V302" s="62"/>
      <c r="W302" s="62"/>
      <c r="X302" s="62"/>
      <c r="Y302" s="62"/>
      <c r="Z302" s="62"/>
      <c r="AA302" s="62"/>
      <c r="AB302" s="62"/>
      <c r="AC302" s="62"/>
    </row>
    <row r="303">
      <c r="A303" s="61"/>
      <c r="B303" s="61"/>
      <c r="C303" s="62"/>
      <c r="D303" s="62"/>
      <c r="E303" s="62"/>
      <c r="F303" s="62"/>
      <c r="G303" s="62"/>
      <c r="H303" s="190"/>
      <c r="I303" s="62"/>
      <c r="J303" s="62"/>
      <c r="K303" s="62"/>
      <c r="L303" s="62"/>
      <c r="M303" s="62"/>
      <c r="N303" s="62"/>
      <c r="O303" s="62"/>
      <c r="P303" s="62"/>
      <c r="Q303" s="62"/>
      <c r="R303" s="62"/>
      <c r="S303" s="62"/>
      <c r="T303" s="62"/>
      <c r="U303" s="62"/>
      <c r="V303" s="62"/>
      <c r="W303" s="62"/>
      <c r="X303" s="62"/>
      <c r="Y303" s="62"/>
      <c r="Z303" s="62"/>
      <c r="AA303" s="62"/>
      <c r="AB303" s="62"/>
      <c r="AC303" s="62"/>
    </row>
    <row r="304">
      <c r="A304" s="61"/>
      <c r="B304" s="61"/>
      <c r="C304" s="62"/>
      <c r="D304" s="62"/>
      <c r="E304" s="62"/>
      <c r="F304" s="62"/>
      <c r="G304" s="62"/>
      <c r="H304" s="190"/>
      <c r="I304" s="62"/>
      <c r="J304" s="62"/>
      <c r="K304" s="62"/>
      <c r="L304" s="62"/>
      <c r="M304" s="62"/>
      <c r="N304" s="62"/>
      <c r="O304" s="62"/>
      <c r="P304" s="62"/>
      <c r="Q304" s="62"/>
      <c r="R304" s="62"/>
      <c r="S304" s="62"/>
      <c r="T304" s="62"/>
      <c r="U304" s="62"/>
      <c r="V304" s="62"/>
      <c r="W304" s="62"/>
      <c r="X304" s="62"/>
      <c r="Y304" s="62"/>
      <c r="Z304" s="62"/>
      <c r="AA304" s="62"/>
      <c r="AB304" s="62"/>
      <c r="AC304" s="62"/>
    </row>
    <row r="305">
      <c r="A305" s="61"/>
      <c r="B305" s="61"/>
      <c r="C305" s="62"/>
      <c r="D305" s="62"/>
      <c r="E305" s="62"/>
      <c r="F305" s="62"/>
      <c r="G305" s="62"/>
      <c r="H305" s="190"/>
      <c r="I305" s="62"/>
      <c r="J305" s="62"/>
      <c r="K305" s="62"/>
      <c r="L305" s="62"/>
      <c r="M305" s="62"/>
      <c r="N305" s="62"/>
      <c r="O305" s="62"/>
      <c r="P305" s="62"/>
      <c r="Q305" s="62"/>
      <c r="R305" s="62"/>
      <c r="S305" s="62"/>
      <c r="T305" s="62"/>
      <c r="U305" s="62"/>
      <c r="V305" s="62"/>
      <c r="W305" s="62"/>
      <c r="X305" s="62"/>
      <c r="Y305" s="62"/>
      <c r="Z305" s="62"/>
      <c r="AA305" s="62"/>
      <c r="AB305" s="62"/>
      <c r="AC305" s="62"/>
    </row>
    <row r="306">
      <c r="A306" s="61"/>
      <c r="B306" s="61"/>
      <c r="C306" s="62"/>
      <c r="D306" s="62"/>
      <c r="E306" s="62"/>
      <c r="F306" s="62"/>
      <c r="G306" s="62"/>
      <c r="H306" s="190"/>
      <c r="I306" s="62"/>
      <c r="J306" s="62"/>
      <c r="K306" s="62"/>
      <c r="L306" s="62"/>
      <c r="M306" s="62"/>
      <c r="N306" s="62"/>
      <c r="O306" s="62"/>
      <c r="P306" s="62"/>
      <c r="Q306" s="62"/>
      <c r="R306" s="62"/>
      <c r="S306" s="62"/>
      <c r="T306" s="62"/>
      <c r="U306" s="62"/>
      <c r="V306" s="62"/>
      <c r="W306" s="62"/>
      <c r="X306" s="62"/>
      <c r="Y306" s="62"/>
      <c r="Z306" s="62"/>
      <c r="AA306" s="62"/>
      <c r="AB306" s="62"/>
      <c r="AC306" s="62"/>
    </row>
    <row r="307">
      <c r="A307" s="61"/>
      <c r="B307" s="61"/>
      <c r="C307" s="62"/>
      <c r="D307" s="62"/>
      <c r="E307" s="62"/>
      <c r="F307" s="62"/>
      <c r="G307" s="62"/>
      <c r="H307" s="190"/>
      <c r="I307" s="62"/>
      <c r="J307" s="62"/>
      <c r="K307" s="62"/>
      <c r="L307" s="62"/>
      <c r="M307" s="62"/>
      <c r="N307" s="62"/>
      <c r="O307" s="62"/>
      <c r="P307" s="62"/>
      <c r="Q307" s="62"/>
      <c r="R307" s="62"/>
      <c r="S307" s="62"/>
      <c r="T307" s="62"/>
      <c r="U307" s="62"/>
      <c r="V307" s="62"/>
      <c r="W307" s="62"/>
      <c r="X307" s="62"/>
      <c r="Y307" s="62"/>
      <c r="Z307" s="62"/>
      <c r="AA307" s="62"/>
      <c r="AB307" s="62"/>
      <c r="AC307" s="62"/>
    </row>
    <row r="308">
      <c r="A308" s="61"/>
      <c r="B308" s="61"/>
      <c r="C308" s="62"/>
      <c r="D308" s="62"/>
      <c r="E308" s="62"/>
      <c r="F308" s="62"/>
      <c r="G308" s="62"/>
      <c r="H308" s="190"/>
      <c r="I308" s="62"/>
      <c r="J308" s="62"/>
      <c r="K308" s="62"/>
      <c r="L308" s="62"/>
      <c r="M308" s="62"/>
      <c r="N308" s="62"/>
      <c r="O308" s="62"/>
      <c r="P308" s="62"/>
      <c r="Q308" s="62"/>
      <c r="R308" s="62"/>
      <c r="S308" s="62"/>
      <c r="T308" s="62"/>
      <c r="U308" s="62"/>
      <c r="V308" s="62"/>
      <c r="W308" s="62"/>
      <c r="X308" s="62"/>
      <c r="Y308" s="62"/>
      <c r="Z308" s="62"/>
      <c r="AA308" s="62"/>
      <c r="AB308" s="62"/>
      <c r="AC308" s="62"/>
    </row>
    <row r="309">
      <c r="A309" s="61"/>
      <c r="B309" s="61"/>
      <c r="C309" s="62"/>
      <c r="D309" s="62"/>
      <c r="E309" s="62"/>
      <c r="F309" s="62"/>
      <c r="G309" s="62"/>
      <c r="H309" s="190"/>
      <c r="I309" s="62"/>
      <c r="J309" s="62"/>
      <c r="K309" s="62"/>
      <c r="L309" s="62"/>
      <c r="M309" s="62"/>
      <c r="N309" s="62"/>
      <c r="O309" s="62"/>
      <c r="P309" s="62"/>
      <c r="Q309" s="62"/>
      <c r="R309" s="62"/>
      <c r="S309" s="62"/>
      <c r="T309" s="62"/>
      <c r="U309" s="62"/>
      <c r="V309" s="62"/>
      <c r="W309" s="62"/>
      <c r="X309" s="62"/>
      <c r="Y309" s="62"/>
      <c r="Z309" s="62"/>
      <c r="AA309" s="62"/>
      <c r="AB309" s="62"/>
      <c r="AC309" s="62"/>
    </row>
    <row r="310">
      <c r="A310" s="61"/>
      <c r="B310" s="61"/>
      <c r="C310" s="62"/>
      <c r="D310" s="62"/>
      <c r="E310" s="62"/>
      <c r="F310" s="62"/>
      <c r="G310" s="62"/>
      <c r="H310" s="190"/>
      <c r="I310" s="62"/>
      <c r="J310" s="62"/>
      <c r="K310" s="62"/>
      <c r="L310" s="62"/>
      <c r="M310" s="62"/>
      <c r="N310" s="62"/>
      <c r="O310" s="62"/>
      <c r="P310" s="62"/>
      <c r="Q310" s="62"/>
      <c r="R310" s="62"/>
      <c r="S310" s="62"/>
      <c r="T310" s="62"/>
      <c r="U310" s="62"/>
      <c r="V310" s="62"/>
      <c r="W310" s="62"/>
      <c r="X310" s="62"/>
      <c r="Y310" s="62"/>
      <c r="Z310" s="62"/>
      <c r="AA310" s="62"/>
      <c r="AB310" s="62"/>
      <c r="AC310" s="62"/>
    </row>
    <row r="311">
      <c r="A311" s="61"/>
      <c r="B311" s="61"/>
      <c r="C311" s="62"/>
      <c r="D311" s="62"/>
      <c r="E311" s="62"/>
      <c r="F311" s="62"/>
      <c r="G311" s="62"/>
      <c r="H311" s="190"/>
      <c r="I311" s="62"/>
      <c r="J311" s="62"/>
      <c r="K311" s="62"/>
      <c r="L311" s="62"/>
      <c r="M311" s="62"/>
      <c r="N311" s="62"/>
      <c r="O311" s="62"/>
      <c r="P311" s="62"/>
      <c r="Q311" s="62"/>
      <c r="R311" s="62"/>
      <c r="S311" s="62"/>
      <c r="T311" s="62"/>
      <c r="U311" s="62"/>
      <c r="V311" s="62"/>
      <c r="W311" s="62"/>
      <c r="X311" s="62"/>
      <c r="Y311" s="62"/>
      <c r="Z311" s="62"/>
      <c r="AA311" s="62"/>
      <c r="AB311" s="62"/>
      <c r="AC311" s="62"/>
    </row>
    <row r="312">
      <c r="A312" s="61"/>
      <c r="B312" s="61"/>
      <c r="C312" s="62"/>
      <c r="D312" s="62"/>
      <c r="E312" s="62"/>
      <c r="F312" s="62"/>
      <c r="G312" s="62"/>
      <c r="H312" s="190"/>
      <c r="I312" s="62"/>
      <c r="J312" s="62"/>
      <c r="K312" s="62"/>
      <c r="L312" s="62"/>
      <c r="M312" s="62"/>
      <c r="N312" s="62"/>
      <c r="O312" s="62"/>
      <c r="P312" s="62"/>
      <c r="Q312" s="62"/>
      <c r="R312" s="62"/>
      <c r="S312" s="62"/>
      <c r="T312" s="62"/>
      <c r="U312" s="62"/>
      <c r="V312" s="62"/>
      <c r="W312" s="62"/>
      <c r="X312" s="62"/>
      <c r="Y312" s="62"/>
      <c r="Z312" s="62"/>
      <c r="AA312" s="62"/>
      <c r="AB312" s="62"/>
      <c r="AC312" s="62"/>
    </row>
    <row r="313">
      <c r="A313" s="61"/>
      <c r="B313" s="61"/>
      <c r="C313" s="62"/>
      <c r="D313" s="62"/>
      <c r="E313" s="62"/>
      <c r="F313" s="62"/>
      <c r="G313" s="62"/>
      <c r="H313" s="190"/>
      <c r="I313" s="62"/>
      <c r="J313" s="62"/>
      <c r="K313" s="62"/>
      <c r="L313" s="62"/>
      <c r="M313" s="62"/>
      <c r="N313" s="62"/>
      <c r="O313" s="62"/>
      <c r="P313" s="62"/>
      <c r="Q313" s="62"/>
      <c r="R313" s="62"/>
      <c r="S313" s="62"/>
      <c r="T313" s="62"/>
      <c r="U313" s="62"/>
      <c r="V313" s="62"/>
      <c r="W313" s="62"/>
      <c r="X313" s="62"/>
      <c r="Y313" s="62"/>
      <c r="Z313" s="62"/>
      <c r="AA313" s="62"/>
      <c r="AB313" s="62"/>
      <c r="AC313" s="62"/>
    </row>
    <row r="314">
      <c r="A314" s="61"/>
      <c r="B314" s="61"/>
      <c r="C314" s="62"/>
      <c r="D314" s="62"/>
      <c r="E314" s="62"/>
      <c r="F314" s="62"/>
      <c r="G314" s="62"/>
      <c r="H314" s="190"/>
      <c r="I314" s="62"/>
      <c r="J314" s="62"/>
      <c r="K314" s="62"/>
      <c r="L314" s="62"/>
      <c r="M314" s="62"/>
      <c r="N314" s="62"/>
      <c r="O314" s="62"/>
      <c r="P314" s="62"/>
      <c r="Q314" s="62"/>
      <c r="R314" s="62"/>
      <c r="S314" s="62"/>
      <c r="T314" s="62"/>
      <c r="U314" s="62"/>
      <c r="V314" s="62"/>
      <c r="W314" s="62"/>
      <c r="X314" s="62"/>
      <c r="Y314" s="62"/>
      <c r="Z314" s="62"/>
      <c r="AA314" s="62"/>
      <c r="AB314" s="62"/>
      <c r="AC314" s="62"/>
    </row>
    <row r="315">
      <c r="A315" s="61"/>
      <c r="B315" s="61"/>
      <c r="C315" s="62"/>
      <c r="D315" s="62"/>
      <c r="E315" s="62"/>
      <c r="F315" s="62"/>
      <c r="G315" s="62"/>
      <c r="H315" s="190"/>
      <c r="I315" s="62"/>
      <c r="J315" s="62"/>
      <c r="K315" s="62"/>
      <c r="L315" s="62"/>
      <c r="M315" s="62"/>
      <c r="N315" s="62"/>
      <c r="O315" s="62"/>
      <c r="P315" s="62"/>
      <c r="Q315" s="62"/>
      <c r="R315" s="62"/>
      <c r="S315" s="62"/>
      <c r="T315" s="62"/>
      <c r="U315" s="62"/>
      <c r="V315" s="62"/>
      <c r="W315" s="62"/>
      <c r="X315" s="62"/>
      <c r="Y315" s="62"/>
      <c r="Z315" s="62"/>
      <c r="AA315" s="62"/>
      <c r="AB315" s="62"/>
      <c r="AC315" s="62"/>
    </row>
    <row r="316">
      <c r="A316" s="61"/>
      <c r="B316" s="61"/>
      <c r="C316" s="62"/>
      <c r="D316" s="62"/>
      <c r="E316" s="62"/>
      <c r="F316" s="62"/>
      <c r="G316" s="62"/>
      <c r="H316" s="190"/>
      <c r="I316" s="62"/>
      <c r="J316" s="62"/>
      <c r="K316" s="62"/>
      <c r="L316" s="62"/>
      <c r="M316" s="62"/>
      <c r="N316" s="62"/>
      <c r="O316" s="62"/>
      <c r="P316" s="62"/>
      <c r="Q316" s="62"/>
      <c r="R316" s="62"/>
      <c r="S316" s="62"/>
      <c r="T316" s="62"/>
      <c r="U316" s="62"/>
      <c r="V316" s="62"/>
      <c r="W316" s="62"/>
      <c r="X316" s="62"/>
      <c r="Y316" s="62"/>
      <c r="Z316" s="62"/>
      <c r="AA316" s="62"/>
      <c r="AB316" s="62"/>
      <c r="AC316" s="62"/>
    </row>
    <row r="317">
      <c r="A317" s="61"/>
      <c r="B317" s="61"/>
      <c r="C317" s="62"/>
      <c r="D317" s="62"/>
      <c r="E317" s="62"/>
      <c r="F317" s="62"/>
      <c r="G317" s="62"/>
      <c r="H317" s="190"/>
      <c r="I317" s="62"/>
      <c r="J317" s="62"/>
      <c r="K317" s="62"/>
      <c r="L317" s="62"/>
      <c r="M317" s="62"/>
      <c r="N317" s="62"/>
      <c r="O317" s="62"/>
      <c r="P317" s="62"/>
      <c r="Q317" s="62"/>
      <c r="R317" s="62"/>
      <c r="S317" s="62"/>
      <c r="T317" s="62"/>
      <c r="U317" s="62"/>
      <c r="V317" s="62"/>
      <c r="W317" s="62"/>
      <c r="X317" s="62"/>
      <c r="Y317" s="62"/>
      <c r="Z317" s="62"/>
      <c r="AA317" s="62"/>
      <c r="AB317" s="62"/>
      <c r="AC317" s="62"/>
    </row>
    <row r="318">
      <c r="A318" s="61"/>
      <c r="B318" s="61"/>
      <c r="C318" s="62"/>
      <c r="D318" s="62"/>
      <c r="E318" s="62"/>
      <c r="F318" s="62"/>
      <c r="G318" s="62"/>
      <c r="H318" s="190"/>
      <c r="I318" s="62"/>
      <c r="J318" s="62"/>
      <c r="K318" s="62"/>
      <c r="L318" s="62"/>
      <c r="M318" s="62"/>
      <c r="N318" s="62"/>
      <c r="O318" s="62"/>
      <c r="P318" s="62"/>
      <c r="Q318" s="62"/>
      <c r="R318" s="62"/>
      <c r="S318" s="62"/>
      <c r="T318" s="62"/>
      <c r="U318" s="62"/>
      <c r="V318" s="62"/>
      <c r="W318" s="62"/>
      <c r="X318" s="62"/>
      <c r="Y318" s="62"/>
      <c r="Z318" s="62"/>
      <c r="AA318" s="62"/>
      <c r="AB318" s="62"/>
      <c r="AC318" s="62"/>
    </row>
    <row r="319">
      <c r="A319" s="61"/>
      <c r="B319" s="61"/>
      <c r="C319" s="62"/>
      <c r="D319" s="62"/>
      <c r="E319" s="62"/>
      <c r="F319" s="62"/>
      <c r="G319" s="62"/>
      <c r="H319" s="190"/>
      <c r="I319" s="62"/>
      <c r="J319" s="62"/>
      <c r="K319" s="62"/>
      <c r="L319" s="62"/>
      <c r="M319" s="62"/>
      <c r="N319" s="62"/>
      <c r="O319" s="62"/>
      <c r="P319" s="62"/>
      <c r="Q319" s="62"/>
      <c r="R319" s="62"/>
      <c r="S319" s="62"/>
      <c r="T319" s="62"/>
      <c r="U319" s="62"/>
      <c r="V319" s="62"/>
      <c r="W319" s="62"/>
      <c r="X319" s="62"/>
      <c r="Y319" s="62"/>
      <c r="Z319" s="62"/>
      <c r="AA319" s="62"/>
      <c r="AB319" s="62"/>
      <c r="AC319" s="62"/>
    </row>
    <row r="320">
      <c r="A320" s="61"/>
      <c r="B320" s="61"/>
      <c r="C320" s="62"/>
      <c r="D320" s="62"/>
      <c r="E320" s="62"/>
      <c r="F320" s="62"/>
      <c r="G320" s="62"/>
      <c r="H320" s="190"/>
      <c r="I320" s="62"/>
      <c r="J320" s="62"/>
      <c r="K320" s="62"/>
      <c r="L320" s="62"/>
      <c r="M320" s="62"/>
      <c r="N320" s="62"/>
      <c r="O320" s="62"/>
      <c r="P320" s="62"/>
      <c r="Q320" s="62"/>
      <c r="R320" s="62"/>
      <c r="S320" s="62"/>
      <c r="T320" s="62"/>
      <c r="U320" s="62"/>
      <c r="V320" s="62"/>
      <c r="W320" s="62"/>
      <c r="X320" s="62"/>
      <c r="Y320" s="62"/>
      <c r="Z320" s="62"/>
      <c r="AA320" s="62"/>
      <c r="AB320" s="62"/>
      <c r="AC320" s="62"/>
    </row>
    <row r="321">
      <c r="A321" s="61"/>
      <c r="B321" s="61"/>
      <c r="C321" s="62"/>
      <c r="D321" s="62"/>
      <c r="E321" s="62"/>
      <c r="F321" s="62"/>
      <c r="G321" s="62"/>
      <c r="H321" s="190"/>
      <c r="I321" s="62"/>
      <c r="J321" s="62"/>
      <c r="K321" s="62"/>
      <c r="L321" s="62"/>
      <c r="M321" s="62"/>
      <c r="N321" s="62"/>
      <c r="O321" s="62"/>
      <c r="P321" s="62"/>
      <c r="Q321" s="62"/>
      <c r="R321" s="62"/>
      <c r="S321" s="62"/>
      <c r="T321" s="62"/>
      <c r="U321" s="62"/>
      <c r="V321" s="62"/>
      <c r="W321" s="62"/>
      <c r="X321" s="62"/>
      <c r="Y321" s="62"/>
      <c r="Z321" s="62"/>
      <c r="AA321" s="62"/>
      <c r="AB321" s="62"/>
      <c r="AC321" s="62"/>
    </row>
    <row r="322">
      <c r="A322" s="61"/>
      <c r="B322" s="61"/>
      <c r="C322" s="62"/>
      <c r="D322" s="62"/>
      <c r="E322" s="62"/>
      <c r="F322" s="62"/>
      <c r="G322" s="62"/>
      <c r="H322" s="190"/>
      <c r="I322" s="62"/>
      <c r="J322" s="62"/>
      <c r="K322" s="62"/>
      <c r="L322" s="62"/>
      <c r="M322" s="62"/>
      <c r="N322" s="62"/>
      <c r="O322" s="62"/>
      <c r="P322" s="62"/>
      <c r="Q322" s="62"/>
      <c r="R322" s="62"/>
      <c r="S322" s="62"/>
      <c r="T322" s="62"/>
      <c r="U322" s="62"/>
      <c r="V322" s="62"/>
      <c r="W322" s="62"/>
      <c r="X322" s="62"/>
      <c r="Y322" s="62"/>
      <c r="Z322" s="62"/>
      <c r="AA322" s="62"/>
      <c r="AB322" s="62"/>
      <c r="AC322" s="62"/>
    </row>
    <row r="323">
      <c r="A323" s="61"/>
      <c r="B323" s="61"/>
      <c r="C323" s="62"/>
      <c r="D323" s="62"/>
      <c r="E323" s="62"/>
      <c r="F323" s="62"/>
      <c r="G323" s="62"/>
      <c r="H323" s="190"/>
      <c r="I323" s="62"/>
      <c r="J323" s="62"/>
      <c r="K323" s="62"/>
      <c r="L323" s="62"/>
      <c r="M323" s="62"/>
      <c r="N323" s="62"/>
      <c r="O323" s="62"/>
      <c r="P323" s="62"/>
      <c r="Q323" s="62"/>
      <c r="R323" s="62"/>
      <c r="S323" s="62"/>
      <c r="T323" s="62"/>
      <c r="U323" s="62"/>
      <c r="V323" s="62"/>
      <c r="W323" s="62"/>
      <c r="X323" s="62"/>
      <c r="Y323" s="62"/>
      <c r="Z323" s="62"/>
      <c r="AA323" s="62"/>
      <c r="AB323" s="62"/>
      <c r="AC323" s="62"/>
    </row>
    <row r="324">
      <c r="A324" s="61"/>
      <c r="B324" s="61"/>
      <c r="C324" s="62"/>
      <c r="D324" s="62"/>
      <c r="E324" s="62"/>
      <c r="F324" s="62"/>
      <c r="G324" s="62"/>
      <c r="H324" s="190"/>
      <c r="I324" s="62"/>
      <c r="J324" s="62"/>
      <c r="K324" s="62"/>
      <c r="L324" s="62"/>
      <c r="M324" s="62"/>
      <c r="N324" s="62"/>
      <c r="O324" s="62"/>
      <c r="P324" s="62"/>
      <c r="Q324" s="62"/>
      <c r="R324" s="62"/>
      <c r="S324" s="62"/>
      <c r="T324" s="62"/>
      <c r="U324" s="62"/>
      <c r="V324" s="62"/>
      <c r="W324" s="62"/>
      <c r="X324" s="62"/>
      <c r="Y324" s="62"/>
      <c r="Z324" s="62"/>
      <c r="AA324" s="62"/>
      <c r="AB324" s="62"/>
      <c r="AC324" s="62"/>
    </row>
    <row r="325">
      <c r="A325" s="61"/>
      <c r="B325" s="61"/>
      <c r="C325" s="62"/>
      <c r="D325" s="62"/>
      <c r="E325" s="62"/>
      <c r="F325" s="62"/>
      <c r="G325" s="62"/>
      <c r="H325" s="190"/>
      <c r="I325" s="62"/>
      <c r="J325" s="62"/>
      <c r="K325" s="62"/>
      <c r="L325" s="62"/>
      <c r="M325" s="62"/>
      <c r="N325" s="62"/>
      <c r="O325" s="62"/>
      <c r="P325" s="62"/>
      <c r="Q325" s="62"/>
      <c r="R325" s="62"/>
      <c r="S325" s="62"/>
      <c r="T325" s="62"/>
      <c r="U325" s="62"/>
      <c r="V325" s="62"/>
      <c r="W325" s="62"/>
      <c r="X325" s="62"/>
      <c r="Y325" s="62"/>
      <c r="Z325" s="62"/>
      <c r="AA325" s="62"/>
      <c r="AB325" s="62"/>
      <c r="AC325" s="62"/>
    </row>
    <row r="326">
      <c r="A326" s="61"/>
      <c r="B326" s="61"/>
      <c r="C326" s="62"/>
      <c r="D326" s="62"/>
      <c r="E326" s="62"/>
      <c r="F326" s="62"/>
      <c r="G326" s="62"/>
      <c r="H326" s="190"/>
      <c r="I326" s="62"/>
      <c r="J326" s="62"/>
      <c r="K326" s="62"/>
      <c r="L326" s="62"/>
      <c r="M326" s="62"/>
      <c r="N326" s="62"/>
      <c r="O326" s="62"/>
      <c r="P326" s="62"/>
      <c r="Q326" s="62"/>
      <c r="R326" s="62"/>
      <c r="S326" s="62"/>
      <c r="T326" s="62"/>
      <c r="U326" s="62"/>
      <c r="V326" s="62"/>
      <c r="W326" s="62"/>
      <c r="X326" s="62"/>
      <c r="Y326" s="62"/>
      <c r="Z326" s="62"/>
      <c r="AA326" s="62"/>
      <c r="AB326" s="62"/>
      <c r="AC326" s="62"/>
    </row>
    <row r="327">
      <c r="A327" s="61"/>
      <c r="B327" s="61"/>
      <c r="C327" s="62"/>
      <c r="D327" s="62"/>
      <c r="E327" s="62"/>
      <c r="F327" s="62"/>
      <c r="G327" s="62"/>
      <c r="H327" s="190"/>
      <c r="I327" s="62"/>
      <c r="J327" s="62"/>
      <c r="K327" s="62"/>
      <c r="L327" s="62"/>
      <c r="M327" s="62"/>
      <c r="N327" s="62"/>
      <c r="O327" s="62"/>
      <c r="P327" s="62"/>
      <c r="Q327" s="62"/>
      <c r="R327" s="62"/>
      <c r="S327" s="62"/>
      <c r="T327" s="62"/>
      <c r="U327" s="62"/>
      <c r="V327" s="62"/>
      <c r="W327" s="62"/>
      <c r="X327" s="62"/>
      <c r="Y327" s="62"/>
      <c r="Z327" s="62"/>
      <c r="AA327" s="62"/>
      <c r="AB327" s="62"/>
      <c r="AC327" s="62"/>
    </row>
    <row r="328">
      <c r="A328" s="61"/>
      <c r="B328" s="61"/>
      <c r="C328" s="62"/>
      <c r="D328" s="62"/>
      <c r="E328" s="62"/>
      <c r="F328" s="62"/>
      <c r="G328" s="62"/>
      <c r="H328" s="190"/>
      <c r="I328" s="62"/>
      <c r="J328" s="62"/>
      <c r="K328" s="62"/>
      <c r="L328" s="62"/>
      <c r="M328" s="62"/>
      <c r="N328" s="62"/>
      <c r="O328" s="62"/>
      <c r="P328" s="62"/>
      <c r="Q328" s="62"/>
      <c r="R328" s="62"/>
      <c r="S328" s="62"/>
      <c r="T328" s="62"/>
      <c r="U328" s="62"/>
      <c r="V328" s="62"/>
      <c r="W328" s="62"/>
      <c r="X328" s="62"/>
      <c r="Y328" s="62"/>
      <c r="Z328" s="62"/>
      <c r="AA328" s="62"/>
      <c r="AB328" s="62"/>
      <c r="AC328" s="62"/>
    </row>
    <row r="329">
      <c r="A329" s="61"/>
      <c r="B329" s="61"/>
      <c r="C329" s="62"/>
      <c r="D329" s="62"/>
      <c r="E329" s="62"/>
      <c r="F329" s="62"/>
      <c r="G329" s="62"/>
      <c r="H329" s="190"/>
      <c r="I329" s="62"/>
      <c r="J329" s="62"/>
      <c r="K329" s="62"/>
      <c r="L329" s="62"/>
      <c r="M329" s="62"/>
      <c r="N329" s="62"/>
      <c r="O329" s="62"/>
      <c r="P329" s="62"/>
      <c r="Q329" s="62"/>
      <c r="R329" s="62"/>
      <c r="S329" s="62"/>
      <c r="T329" s="62"/>
      <c r="U329" s="62"/>
      <c r="V329" s="62"/>
      <c r="W329" s="62"/>
      <c r="X329" s="62"/>
      <c r="Y329" s="62"/>
      <c r="Z329" s="62"/>
      <c r="AA329" s="62"/>
      <c r="AB329" s="62"/>
      <c r="AC329" s="62"/>
    </row>
    <row r="330">
      <c r="A330" s="61"/>
      <c r="B330" s="61"/>
      <c r="C330" s="62"/>
      <c r="D330" s="62"/>
      <c r="E330" s="62"/>
      <c r="F330" s="62"/>
      <c r="G330" s="62"/>
      <c r="H330" s="190"/>
      <c r="I330" s="62"/>
      <c r="J330" s="62"/>
      <c r="K330" s="62"/>
      <c r="L330" s="62"/>
      <c r="M330" s="62"/>
      <c r="N330" s="62"/>
      <c r="O330" s="62"/>
      <c r="P330" s="62"/>
      <c r="Q330" s="62"/>
      <c r="R330" s="62"/>
      <c r="S330" s="62"/>
      <c r="T330" s="62"/>
      <c r="U330" s="62"/>
      <c r="V330" s="62"/>
      <c r="W330" s="62"/>
      <c r="X330" s="62"/>
      <c r="Y330" s="62"/>
      <c r="Z330" s="62"/>
      <c r="AA330" s="62"/>
      <c r="AB330" s="62"/>
      <c r="AC330" s="62"/>
    </row>
    <row r="331">
      <c r="A331" s="61"/>
      <c r="B331" s="61"/>
      <c r="C331" s="62"/>
      <c r="D331" s="62"/>
      <c r="E331" s="62"/>
      <c r="F331" s="62"/>
      <c r="G331" s="62"/>
      <c r="H331" s="190"/>
      <c r="I331" s="62"/>
      <c r="J331" s="62"/>
      <c r="K331" s="62"/>
      <c r="L331" s="62"/>
      <c r="M331" s="62"/>
      <c r="N331" s="62"/>
      <c r="O331" s="62"/>
      <c r="P331" s="62"/>
      <c r="Q331" s="62"/>
      <c r="R331" s="62"/>
      <c r="S331" s="62"/>
      <c r="T331" s="62"/>
      <c r="U331" s="62"/>
      <c r="V331" s="62"/>
      <c r="W331" s="62"/>
      <c r="X331" s="62"/>
      <c r="Y331" s="62"/>
      <c r="Z331" s="62"/>
      <c r="AA331" s="62"/>
      <c r="AB331" s="62"/>
      <c r="AC331" s="62"/>
    </row>
    <row r="332">
      <c r="A332" s="61"/>
      <c r="B332" s="61"/>
      <c r="C332" s="62"/>
      <c r="D332" s="62"/>
      <c r="E332" s="62"/>
      <c r="F332" s="62"/>
      <c r="G332" s="62"/>
      <c r="H332" s="190"/>
      <c r="I332" s="62"/>
      <c r="J332" s="62"/>
      <c r="K332" s="62"/>
      <c r="L332" s="62"/>
      <c r="M332" s="62"/>
      <c r="N332" s="62"/>
      <c r="O332" s="62"/>
      <c r="P332" s="62"/>
      <c r="Q332" s="62"/>
      <c r="R332" s="62"/>
      <c r="S332" s="62"/>
      <c r="T332" s="62"/>
      <c r="U332" s="62"/>
      <c r="V332" s="62"/>
      <c r="W332" s="62"/>
      <c r="X332" s="62"/>
      <c r="Y332" s="62"/>
      <c r="Z332" s="62"/>
      <c r="AA332" s="62"/>
      <c r="AB332" s="62"/>
      <c r="AC332" s="62"/>
    </row>
    <row r="333">
      <c r="A333" s="61"/>
      <c r="B333" s="61"/>
      <c r="C333" s="62"/>
      <c r="D333" s="62"/>
      <c r="E333" s="62"/>
      <c r="F333" s="62"/>
      <c r="G333" s="62"/>
      <c r="H333" s="190"/>
      <c r="I333" s="62"/>
      <c r="J333" s="62"/>
      <c r="K333" s="62"/>
      <c r="L333" s="62"/>
      <c r="M333" s="62"/>
      <c r="N333" s="62"/>
      <c r="O333" s="62"/>
      <c r="P333" s="62"/>
      <c r="Q333" s="62"/>
      <c r="R333" s="62"/>
      <c r="S333" s="62"/>
      <c r="T333" s="62"/>
      <c r="U333" s="62"/>
      <c r="V333" s="62"/>
      <c r="W333" s="62"/>
      <c r="X333" s="62"/>
      <c r="Y333" s="62"/>
      <c r="Z333" s="62"/>
      <c r="AA333" s="62"/>
      <c r="AB333" s="62"/>
      <c r="AC333" s="62"/>
    </row>
    <row r="334">
      <c r="A334" s="61"/>
      <c r="B334" s="61"/>
      <c r="C334" s="62"/>
      <c r="D334" s="62"/>
      <c r="E334" s="62"/>
      <c r="F334" s="62"/>
      <c r="G334" s="62"/>
      <c r="H334" s="190"/>
      <c r="I334" s="62"/>
      <c r="J334" s="62"/>
      <c r="K334" s="62"/>
      <c r="L334" s="62"/>
      <c r="M334" s="62"/>
      <c r="N334" s="62"/>
      <c r="O334" s="62"/>
      <c r="P334" s="62"/>
      <c r="Q334" s="62"/>
      <c r="R334" s="62"/>
      <c r="S334" s="62"/>
      <c r="T334" s="62"/>
      <c r="U334" s="62"/>
      <c r="V334" s="62"/>
      <c r="W334" s="62"/>
      <c r="X334" s="62"/>
      <c r="Y334" s="62"/>
      <c r="Z334" s="62"/>
      <c r="AA334" s="62"/>
      <c r="AB334" s="62"/>
      <c r="AC334" s="62"/>
    </row>
    <row r="335">
      <c r="A335" s="61"/>
      <c r="B335" s="61"/>
      <c r="C335" s="62"/>
      <c r="D335" s="62"/>
      <c r="E335" s="62"/>
      <c r="F335" s="62"/>
      <c r="G335" s="62"/>
      <c r="H335" s="190"/>
      <c r="I335" s="62"/>
      <c r="J335" s="62"/>
      <c r="K335" s="62"/>
      <c r="L335" s="62"/>
      <c r="M335" s="62"/>
      <c r="N335" s="62"/>
      <c r="O335" s="62"/>
      <c r="P335" s="62"/>
      <c r="Q335" s="62"/>
      <c r="R335" s="62"/>
      <c r="S335" s="62"/>
      <c r="T335" s="62"/>
      <c r="U335" s="62"/>
      <c r="V335" s="62"/>
      <c r="W335" s="62"/>
      <c r="X335" s="62"/>
      <c r="Y335" s="62"/>
      <c r="Z335" s="62"/>
      <c r="AA335" s="62"/>
      <c r="AB335" s="62"/>
      <c r="AC335" s="62"/>
    </row>
    <row r="336">
      <c r="A336" s="61"/>
      <c r="B336" s="61"/>
      <c r="C336" s="62"/>
      <c r="D336" s="62"/>
      <c r="E336" s="62"/>
      <c r="F336" s="62"/>
      <c r="G336" s="62"/>
      <c r="H336" s="190"/>
      <c r="I336" s="62"/>
      <c r="J336" s="62"/>
      <c r="K336" s="62"/>
      <c r="L336" s="62"/>
      <c r="M336" s="62"/>
      <c r="N336" s="62"/>
      <c r="O336" s="62"/>
      <c r="P336" s="62"/>
      <c r="Q336" s="62"/>
      <c r="R336" s="62"/>
      <c r="S336" s="62"/>
      <c r="T336" s="62"/>
      <c r="U336" s="62"/>
      <c r="V336" s="62"/>
      <c r="W336" s="62"/>
      <c r="X336" s="62"/>
      <c r="Y336" s="62"/>
      <c r="Z336" s="62"/>
      <c r="AA336" s="62"/>
      <c r="AB336" s="62"/>
      <c r="AC336" s="62"/>
    </row>
    <row r="337">
      <c r="A337" s="61"/>
      <c r="B337" s="61"/>
      <c r="C337" s="62"/>
      <c r="D337" s="62"/>
      <c r="E337" s="62"/>
      <c r="F337" s="62"/>
      <c r="G337" s="62"/>
      <c r="H337" s="190"/>
      <c r="I337" s="62"/>
      <c r="J337" s="62"/>
      <c r="K337" s="62"/>
      <c r="L337" s="62"/>
      <c r="M337" s="62"/>
      <c r="N337" s="62"/>
      <c r="O337" s="62"/>
      <c r="P337" s="62"/>
      <c r="Q337" s="62"/>
      <c r="R337" s="62"/>
      <c r="S337" s="62"/>
      <c r="T337" s="62"/>
      <c r="U337" s="62"/>
      <c r="V337" s="62"/>
      <c r="W337" s="62"/>
      <c r="X337" s="62"/>
      <c r="Y337" s="62"/>
      <c r="Z337" s="62"/>
      <c r="AA337" s="62"/>
      <c r="AB337" s="62"/>
      <c r="AC337" s="62"/>
    </row>
    <row r="338">
      <c r="A338" s="61"/>
      <c r="B338" s="61"/>
      <c r="C338" s="62"/>
      <c r="D338" s="62"/>
      <c r="E338" s="62"/>
      <c r="F338" s="62"/>
      <c r="G338" s="62"/>
      <c r="H338" s="190"/>
      <c r="I338" s="62"/>
      <c r="J338" s="62"/>
      <c r="K338" s="62"/>
      <c r="L338" s="62"/>
      <c r="M338" s="62"/>
      <c r="N338" s="62"/>
      <c r="O338" s="62"/>
      <c r="P338" s="62"/>
      <c r="Q338" s="62"/>
      <c r="R338" s="62"/>
      <c r="S338" s="62"/>
      <c r="T338" s="62"/>
      <c r="U338" s="62"/>
      <c r="V338" s="62"/>
      <c r="W338" s="62"/>
      <c r="X338" s="62"/>
      <c r="Y338" s="62"/>
      <c r="Z338" s="62"/>
      <c r="AA338" s="62"/>
      <c r="AB338" s="62"/>
      <c r="AC338" s="62"/>
    </row>
    <row r="339">
      <c r="A339" s="61"/>
      <c r="B339" s="61"/>
      <c r="C339" s="62"/>
      <c r="D339" s="62"/>
      <c r="E339" s="62"/>
      <c r="F339" s="62"/>
      <c r="G339" s="62"/>
      <c r="H339" s="190"/>
      <c r="I339" s="62"/>
      <c r="J339" s="62"/>
      <c r="K339" s="62"/>
      <c r="L339" s="62"/>
      <c r="M339" s="62"/>
      <c r="N339" s="62"/>
      <c r="O339" s="62"/>
      <c r="P339" s="62"/>
      <c r="Q339" s="62"/>
      <c r="R339" s="62"/>
      <c r="S339" s="62"/>
      <c r="T339" s="62"/>
      <c r="U339" s="62"/>
      <c r="V339" s="62"/>
      <c r="W339" s="62"/>
      <c r="X339" s="62"/>
      <c r="Y339" s="62"/>
      <c r="Z339" s="62"/>
      <c r="AA339" s="62"/>
      <c r="AB339" s="62"/>
      <c r="AC339" s="62"/>
    </row>
    <row r="340">
      <c r="A340" s="61"/>
      <c r="B340" s="61"/>
      <c r="C340" s="62"/>
      <c r="D340" s="62"/>
      <c r="E340" s="62"/>
      <c r="F340" s="62"/>
      <c r="G340" s="62"/>
      <c r="H340" s="190"/>
      <c r="I340" s="62"/>
      <c r="J340" s="62"/>
      <c r="K340" s="62"/>
      <c r="L340" s="62"/>
      <c r="M340" s="62"/>
      <c r="N340" s="62"/>
      <c r="O340" s="62"/>
      <c r="P340" s="62"/>
      <c r="Q340" s="62"/>
      <c r="R340" s="62"/>
      <c r="S340" s="62"/>
      <c r="T340" s="62"/>
      <c r="U340" s="62"/>
      <c r="V340" s="62"/>
      <c r="W340" s="62"/>
      <c r="X340" s="62"/>
      <c r="Y340" s="62"/>
      <c r="Z340" s="62"/>
      <c r="AA340" s="62"/>
      <c r="AB340" s="62"/>
      <c r="AC340" s="62"/>
    </row>
    <row r="341">
      <c r="A341" s="61"/>
      <c r="B341" s="61"/>
      <c r="C341" s="62"/>
      <c r="D341" s="62"/>
      <c r="E341" s="62"/>
      <c r="F341" s="62"/>
      <c r="G341" s="62"/>
      <c r="H341" s="190"/>
      <c r="I341" s="62"/>
      <c r="J341" s="62"/>
      <c r="K341" s="62"/>
      <c r="L341" s="62"/>
      <c r="M341" s="62"/>
      <c r="N341" s="62"/>
      <c r="O341" s="62"/>
      <c r="P341" s="62"/>
      <c r="Q341" s="62"/>
      <c r="R341" s="62"/>
      <c r="S341" s="62"/>
      <c r="T341" s="62"/>
      <c r="U341" s="62"/>
      <c r="V341" s="62"/>
      <c r="W341" s="62"/>
      <c r="X341" s="62"/>
      <c r="Y341" s="62"/>
      <c r="Z341" s="62"/>
      <c r="AA341" s="62"/>
      <c r="AB341" s="62"/>
      <c r="AC341" s="62"/>
    </row>
    <row r="342">
      <c r="A342" s="61"/>
      <c r="B342" s="61"/>
      <c r="C342" s="62"/>
      <c r="D342" s="62"/>
      <c r="E342" s="62"/>
      <c r="F342" s="62"/>
      <c r="G342" s="62"/>
      <c r="H342" s="190"/>
      <c r="I342" s="62"/>
      <c r="J342" s="62"/>
      <c r="K342" s="62"/>
      <c r="L342" s="62"/>
      <c r="M342" s="62"/>
      <c r="N342" s="62"/>
      <c r="O342" s="62"/>
      <c r="P342" s="62"/>
      <c r="Q342" s="62"/>
      <c r="R342" s="62"/>
      <c r="S342" s="62"/>
      <c r="T342" s="62"/>
      <c r="U342" s="62"/>
      <c r="V342" s="62"/>
      <c r="W342" s="62"/>
      <c r="X342" s="62"/>
      <c r="Y342" s="62"/>
      <c r="Z342" s="62"/>
      <c r="AA342" s="62"/>
      <c r="AB342" s="62"/>
      <c r="AC342" s="62"/>
    </row>
    <row r="343">
      <c r="A343" s="61"/>
      <c r="B343" s="61"/>
      <c r="C343" s="62"/>
      <c r="D343" s="62"/>
      <c r="E343" s="62"/>
      <c r="F343" s="62"/>
      <c r="G343" s="62"/>
      <c r="H343" s="190"/>
      <c r="I343" s="62"/>
      <c r="J343" s="62"/>
      <c r="K343" s="62"/>
      <c r="L343" s="62"/>
      <c r="M343" s="62"/>
      <c r="N343" s="62"/>
      <c r="O343" s="62"/>
      <c r="P343" s="62"/>
      <c r="Q343" s="62"/>
      <c r="R343" s="62"/>
      <c r="S343" s="62"/>
      <c r="T343" s="62"/>
      <c r="U343" s="62"/>
      <c r="V343" s="62"/>
      <c r="W343" s="62"/>
      <c r="X343" s="62"/>
      <c r="Y343" s="62"/>
      <c r="Z343" s="62"/>
      <c r="AA343" s="62"/>
      <c r="AB343" s="62"/>
      <c r="AC343" s="62"/>
    </row>
    <row r="344">
      <c r="A344" s="61"/>
      <c r="B344" s="61"/>
      <c r="C344" s="62"/>
      <c r="D344" s="62"/>
      <c r="E344" s="62"/>
      <c r="F344" s="62"/>
      <c r="G344" s="62"/>
      <c r="H344" s="190"/>
      <c r="I344" s="62"/>
      <c r="J344" s="62"/>
      <c r="K344" s="62"/>
      <c r="L344" s="62"/>
      <c r="M344" s="62"/>
      <c r="N344" s="62"/>
      <c r="O344" s="62"/>
      <c r="P344" s="62"/>
      <c r="Q344" s="62"/>
      <c r="R344" s="62"/>
      <c r="S344" s="62"/>
      <c r="T344" s="62"/>
      <c r="U344" s="62"/>
      <c r="V344" s="62"/>
      <c r="W344" s="62"/>
      <c r="X344" s="62"/>
      <c r="Y344" s="62"/>
      <c r="Z344" s="62"/>
      <c r="AA344" s="62"/>
      <c r="AB344" s="62"/>
      <c r="AC344" s="62"/>
    </row>
    <row r="345">
      <c r="A345" s="61"/>
      <c r="B345" s="61"/>
      <c r="C345" s="62"/>
      <c r="D345" s="62"/>
      <c r="E345" s="62"/>
      <c r="F345" s="62"/>
      <c r="G345" s="62"/>
      <c r="H345" s="190"/>
      <c r="I345" s="62"/>
      <c r="J345" s="62"/>
      <c r="K345" s="62"/>
      <c r="L345" s="62"/>
      <c r="M345" s="62"/>
      <c r="N345" s="62"/>
      <c r="O345" s="62"/>
      <c r="P345" s="62"/>
      <c r="Q345" s="62"/>
      <c r="R345" s="62"/>
      <c r="S345" s="62"/>
      <c r="T345" s="62"/>
      <c r="U345" s="62"/>
      <c r="V345" s="62"/>
      <c r="W345" s="62"/>
      <c r="X345" s="62"/>
      <c r="Y345" s="62"/>
      <c r="Z345" s="62"/>
      <c r="AA345" s="62"/>
      <c r="AB345" s="62"/>
      <c r="AC345" s="62"/>
    </row>
    <row r="346">
      <c r="A346" s="61"/>
      <c r="B346" s="61"/>
      <c r="C346" s="62"/>
      <c r="D346" s="62"/>
      <c r="E346" s="62"/>
      <c r="F346" s="62"/>
      <c r="G346" s="62"/>
      <c r="H346" s="190"/>
      <c r="I346" s="62"/>
      <c r="J346" s="62"/>
      <c r="K346" s="62"/>
      <c r="L346" s="62"/>
      <c r="M346" s="62"/>
      <c r="N346" s="62"/>
      <c r="O346" s="62"/>
      <c r="P346" s="62"/>
      <c r="Q346" s="62"/>
      <c r="R346" s="62"/>
      <c r="S346" s="62"/>
      <c r="T346" s="62"/>
      <c r="U346" s="62"/>
      <c r="V346" s="62"/>
      <c r="W346" s="62"/>
      <c r="X346" s="62"/>
      <c r="Y346" s="62"/>
      <c r="Z346" s="62"/>
      <c r="AA346" s="62"/>
      <c r="AB346" s="62"/>
      <c r="AC346" s="62"/>
    </row>
    <row r="347">
      <c r="A347" s="61"/>
      <c r="B347" s="61"/>
      <c r="C347" s="62"/>
      <c r="D347" s="62"/>
      <c r="E347" s="62"/>
      <c r="F347" s="62"/>
      <c r="G347" s="62"/>
      <c r="H347" s="190"/>
      <c r="I347" s="62"/>
      <c r="J347" s="62"/>
      <c r="K347" s="62"/>
      <c r="L347" s="62"/>
      <c r="M347" s="62"/>
      <c r="N347" s="62"/>
      <c r="O347" s="62"/>
      <c r="P347" s="62"/>
      <c r="Q347" s="62"/>
      <c r="R347" s="62"/>
      <c r="S347" s="62"/>
      <c r="T347" s="62"/>
      <c r="U347" s="62"/>
      <c r="V347" s="62"/>
      <c r="W347" s="62"/>
      <c r="X347" s="62"/>
      <c r="Y347" s="62"/>
      <c r="Z347" s="62"/>
      <c r="AA347" s="62"/>
      <c r="AB347" s="62"/>
      <c r="AC347" s="62"/>
    </row>
    <row r="348">
      <c r="A348" s="61"/>
      <c r="B348" s="61"/>
      <c r="C348" s="62"/>
      <c r="D348" s="62"/>
      <c r="E348" s="62"/>
      <c r="F348" s="62"/>
      <c r="G348" s="62"/>
      <c r="H348" s="190"/>
      <c r="I348" s="62"/>
      <c r="J348" s="62"/>
      <c r="K348" s="62"/>
      <c r="L348" s="62"/>
      <c r="M348" s="62"/>
      <c r="N348" s="62"/>
      <c r="O348" s="62"/>
      <c r="P348" s="62"/>
      <c r="Q348" s="62"/>
      <c r="R348" s="62"/>
      <c r="S348" s="62"/>
      <c r="T348" s="62"/>
      <c r="U348" s="62"/>
      <c r="V348" s="62"/>
      <c r="W348" s="62"/>
      <c r="X348" s="62"/>
      <c r="Y348" s="62"/>
      <c r="Z348" s="62"/>
      <c r="AA348" s="62"/>
      <c r="AB348" s="62"/>
      <c r="AC348" s="62"/>
    </row>
    <row r="349">
      <c r="A349" s="61"/>
      <c r="B349" s="61"/>
      <c r="C349" s="62"/>
      <c r="D349" s="62"/>
      <c r="E349" s="62"/>
      <c r="F349" s="62"/>
      <c r="G349" s="62"/>
      <c r="H349" s="190"/>
      <c r="I349" s="62"/>
      <c r="J349" s="62"/>
      <c r="K349" s="62"/>
      <c r="L349" s="62"/>
      <c r="M349" s="62"/>
      <c r="N349" s="62"/>
      <c r="O349" s="62"/>
      <c r="P349" s="62"/>
      <c r="Q349" s="62"/>
      <c r="R349" s="62"/>
      <c r="S349" s="62"/>
      <c r="T349" s="62"/>
      <c r="U349" s="62"/>
      <c r="V349" s="62"/>
      <c r="W349" s="62"/>
      <c r="X349" s="62"/>
      <c r="Y349" s="62"/>
      <c r="Z349" s="62"/>
      <c r="AA349" s="62"/>
      <c r="AB349" s="62"/>
      <c r="AC349" s="62"/>
    </row>
    <row r="350">
      <c r="A350" s="61"/>
      <c r="B350" s="61"/>
      <c r="C350" s="62"/>
      <c r="D350" s="62"/>
      <c r="E350" s="62"/>
      <c r="F350" s="62"/>
      <c r="G350" s="62"/>
      <c r="H350" s="190"/>
      <c r="I350" s="62"/>
      <c r="J350" s="62"/>
      <c r="K350" s="62"/>
      <c r="L350" s="62"/>
      <c r="M350" s="62"/>
      <c r="N350" s="62"/>
      <c r="O350" s="62"/>
      <c r="P350" s="62"/>
      <c r="Q350" s="62"/>
      <c r="R350" s="62"/>
      <c r="S350" s="62"/>
      <c r="T350" s="62"/>
      <c r="U350" s="62"/>
      <c r="V350" s="62"/>
      <c r="W350" s="62"/>
      <c r="X350" s="62"/>
      <c r="Y350" s="62"/>
      <c r="Z350" s="62"/>
      <c r="AA350" s="62"/>
      <c r="AB350" s="62"/>
      <c r="AC350" s="62"/>
    </row>
    <row r="351">
      <c r="A351" s="61"/>
      <c r="B351" s="61"/>
      <c r="C351" s="62"/>
      <c r="D351" s="62"/>
      <c r="E351" s="62"/>
      <c r="F351" s="62"/>
      <c r="G351" s="62"/>
      <c r="H351" s="190"/>
      <c r="I351" s="62"/>
      <c r="J351" s="62"/>
      <c r="K351" s="62"/>
      <c r="L351" s="62"/>
      <c r="M351" s="62"/>
      <c r="N351" s="62"/>
      <c r="O351" s="62"/>
      <c r="P351" s="62"/>
      <c r="Q351" s="62"/>
      <c r="R351" s="62"/>
      <c r="S351" s="62"/>
      <c r="T351" s="62"/>
      <c r="U351" s="62"/>
      <c r="V351" s="62"/>
      <c r="W351" s="62"/>
      <c r="X351" s="62"/>
      <c r="Y351" s="62"/>
      <c r="Z351" s="62"/>
      <c r="AA351" s="62"/>
      <c r="AB351" s="62"/>
      <c r="AC351" s="62"/>
    </row>
    <row r="352">
      <c r="A352" s="61"/>
      <c r="B352" s="61"/>
      <c r="C352" s="62"/>
      <c r="D352" s="62"/>
      <c r="E352" s="62"/>
      <c r="F352" s="62"/>
      <c r="G352" s="62"/>
      <c r="H352" s="190"/>
      <c r="I352" s="62"/>
      <c r="J352" s="62"/>
      <c r="K352" s="62"/>
      <c r="L352" s="62"/>
      <c r="M352" s="62"/>
      <c r="N352" s="62"/>
      <c r="O352" s="62"/>
      <c r="P352" s="62"/>
      <c r="Q352" s="62"/>
      <c r="R352" s="62"/>
      <c r="S352" s="62"/>
      <c r="T352" s="62"/>
      <c r="U352" s="62"/>
      <c r="V352" s="62"/>
      <c r="W352" s="62"/>
      <c r="X352" s="62"/>
      <c r="Y352" s="62"/>
      <c r="Z352" s="62"/>
      <c r="AA352" s="62"/>
      <c r="AB352" s="62"/>
      <c r="AC352" s="62"/>
    </row>
    <row r="353">
      <c r="A353" s="61"/>
      <c r="B353" s="61"/>
      <c r="C353" s="62"/>
      <c r="D353" s="62"/>
      <c r="E353" s="62"/>
      <c r="F353" s="62"/>
      <c r="G353" s="62"/>
      <c r="H353" s="190"/>
      <c r="I353" s="62"/>
      <c r="J353" s="62"/>
      <c r="K353" s="62"/>
      <c r="L353" s="62"/>
      <c r="M353" s="62"/>
      <c r="N353" s="62"/>
      <c r="O353" s="62"/>
      <c r="P353" s="62"/>
      <c r="Q353" s="62"/>
      <c r="R353" s="62"/>
      <c r="S353" s="62"/>
      <c r="T353" s="62"/>
      <c r="U353" s="62"/>
      <c r="V353" s="62"/>
      <c r="W353" s="62"/>
      <c r="X353" s="62"/>
      <c r="Y353" s="62"/>
      <c r="Z353" s="62"/>
      <c r="AA353" s="62"/>
      <c r="AB353" s="62"/>
      <c r="AC353" s="62"/>
    </row>
    <row r="354">
      <c r="A354" s="61"/>
      <c r="B354" s="61"/>
      <c r="C354" s="62"/>
      <c r="D354" s="62"/>
      <c r="E354" s="62"/>
      <c r="F354" s="62"/>
      <c r="G354" s="62"/>
      <c r="H354" s="190"/>
      <c r="I354" s="62"/>
      <c r="J354" s="62"/>
      <c r="K354" s="62"/>
      <c r="L354" s="62"/>
      <c r="M354" s="62"/>
      <c r="N354" s="62"/>
      <c r="O354" s="62"/>
      <c r="P354" s="62"/>
      <c r="Q354" s="62"/>
      <c r="R354" s="62"/>
      <c r="S354" s="62"/>
      <c r="T354" s="62"/>
      <c r="U354" s="62"/>
      <c r="V354" s="62"/>
      <c r="W354" s="62"/>
      <c r="X354" s="62"/>
      <c r="Y354" s="62"/>
      <c r="Z354" s="62"/>
      <c r="AA354" s="62"/>
      <c r="AB354" s="62"/>
      <c r="AC354" s="62"/>
    </row>
    <row r="355">
      <c r="A355" s="61"/>
      <c r="B355" s="61"/>
      <c r="C355" s="62"/>
      <c r="D355" s="62"/>
      <c r="E355" s="62"/>
      <c r="F355" s="62"/>
      <c r="G355" s="62"/>
      <c r="H355" s="190"/>
      <c r="I355" s="62"/>
      <c r="J355" s="62"/>
      <c r="K355" s="62"/>
      <c r="L355" s="62"/>
      <c r="M355" s="62"/>
      <c r="N355" s="62"/>
      <c r="O355" s="62"/>
      <c r="P355" s="62"/>
      <c r="Q355" s="62"/>
      <c r="R355" s="62"/>
      <c r="S355" s="62"/>
      <c r="T355" s="62"/>
      <c r="U355" s="62"/>
      <c r="V355" s="62"/>
      <c r="W355" s="62"/>
      <c r="X355" s="62"/>
      <c r="Y355" s="62"/>
      <c r="Z355" s="62"/>
      <c r="AA355" s="62"/>
      <c r="AB355" s="62"/>
      <c r="AC355" s="62"/>
    </row>
    <row r="356">
      <c r="A356" s="61"/>
      <c r="B356" s="61"/>
      <c r="C356" s="62"/>
      <c r="D356" s="62"/>
      <c r="E356" s="62"/>
      <c r="F356" s="62"/>
      <c r="G356" s="62"/>
      <c r="H356" s="190"/>
      <c r="I356" s="62"/>
      <c r="J356" s="62"/>
      <c r="K356" s="62"/>
      <c r="L356" s="62"/>
      <c r="M356" s="62"/>
      <c r="N356" s="62"/>
      <c r="O356" s="62"/>
      <c r="P356" s="62"/>
      <c r="Q356" s="62"/>
      <c r="R356" s="62"/>
      <c r="S356" s="62"/>
      <c r="T356" s="62"/>
      <c r="U356" s="62"/>
      <c r="V356" s="62"/>
      <c r="W356" s="62"/>
      <c r="X356" s="62"/>
      <c r="Y356" s="62"/>
      <c r="Z356" s="62"/>
      <c r="AA356" s="62"/>
      <c r="AB356" s="62"/>
      <c r="AC356" s="62"/>
    </row>
    <row r="357">
      <c r="A357" s="61"/>
      <c r="B357" s="61"/>
      <c r="C357" s="62"/>
      <c r="D357" s="62"/>
      <c r="E357" s="62"/>
      <c r="F357" s="62"/>
      <c r="G357" s="62"/>
      <c r="H357" s="190"/>
      <c r="I357" s="62"/>
      <c r="J357" s="62"/>
      <c r="K357" s="62"/>
      <c r="L357" s="62"/>
      <c r="M357" s="62"/>
      <c r="N357" s="62"/>
      <c r="O357" s="62"/>
      <c r="P357" s="62"/>
      <c r="Q357" s="62"/>
      <c r="R357" s="62"/>
      <c r="S357" s="62"/>
      <c r="T357" s="62"/>
      <c r="U357" s="62"/>
      <c r="V357" s="62"/>
      <c r="W357" s="62"/>
      <c r="X357" s="62"/>
      <c r="Y357" s="62"/>
      <c r="Z357" s="62"/>
      <c r="AA357" s="62"/>
      <c r="AB357" s="62"/>
      <c r="AC357" s="62"/>
    </row>
    <row r="358">
      <c r="A358" s="61"/>
      <c r="B358" s="61"/>
      <c r="C358" s="62"/>
      <c r="D358" s="62"/>
      <c r="E358" s="62"/>
      <c r="F358" s="62"/>
      <c r="G358" s="62"/>
      <c r="H358" s="190"/>
      <c r="I358" s="62"/>
      <c r="J358" s="62"/>
      <c r="K358" s="62"/>
      <c r="L358" s="62"/>
      <c r="M358" s="62"/>
      <c r="N358" s="62"/>
      <c r="O358" s="62"/>
      <c r="P358" s="62"/>
      <c r="Q358" s="62"/>
      <c r="R358" s="62"/>
      <c r="S358" s="62"/>
      <c r="T358" s="62"/>
      <c r="U358" s="62"/>
      <c r="V358" s="62"/>
      <c r="W358" s="62"/>
      <c r="X358" s="62"/>
      <c r="Y358" s="62"/>
      <c r="Z358" s="62"/>
      <c r="AA358" s="62"/>
      <c r="AB358" s="62"/>
      <c r="AC358" s="62"/>
    </row>
    <row r="359">
      <c r="A359" s="61"/>
      <c r="B359" s="61"/>
      <c r="C359" s="62"/>
      <c r="D359" s="62"/>
      <c r="E359" s="62"/>
      <c r="F359" s="62"/>
      <c r="G359" s="62"/>
      <c r="H359" s="190"/>
      <c r="I359" s="62"/>
      <c r="J359" s="62"/>
      <c r="K359" s="62"/>
      <c r="L359" s="62"/>
      <c r="M359" s="62"/>
      <c r="N359" s="62"/>
      <c r="O359" s="62"/>
      <c r="P359" s="62"/>
      <c r="Q359" s="62"/>
      <c r="R359" s="62"/>
      <c r="S359" s="62"/>
      <c r="T359" s="62"/>
      <c r="U359" s="62"/>
      <c r="V359" s="62"/>
      <c r="W359" s="62"/>
      <c r="X359" s="62"/>
      <c r="Y359" s="62"/>
      <c r="Z359" s="62"/>
      <c r="AA359" s="62"/>
      <c r="AB359" s="62"/>
      <c r="AC359" s="62"/>
    </row>
    <row r="360">
      <c r="A360" s="61"/>
      <c r="B360" s="61"/>
      <c r="C360" s="62"/>
      <c r="D360" s="62"/>
      <c r="E360" s="62"/>
      <c r="F360" s="62"/>
      <c r="G360" s="62"/>
      <c r="H360" s="190"/>
      <c r="I360" s="62"/>
      <c r="J360" s="62"/>
      <c r="K360" s="62"/>
      <c r="L360" s="62"/>
      <c r="M360" s="62"/>
      <c r="N360" s="62"/>
      <c r="O360" s="62"/>
      <c r="P360" s="62"/>
      <c r="Q360" s="62"/>
      <c r="R360" s="62"/>
      <c r="S360" s="62"/>
      <c r="T360" s="62"/>
      <c r="U360" s="62"/>
      <c r="V360" s="62"/>
      <c r="W360" s="62"/>
      <c r="X360" s="62"/>
      <c r="Y360" s="62"/>
      <c r="Z360" s="62"/>
      <c r="AA360" s="62"/>
      <c r="AB360" s="62"/>
      <c r="AC360" s="62"/>
    </row>
    <row r="361">
      <c r="A361" s="61"/>
      <c r="B361" s="61"/>
      <c r="C361" s="62"/>
      <c r="D361" s="62"/>
      <c r="E361" s="62"/>
      <c r="F361" s="62"/>
      <c r="G361" s="62"/>
      <c r="H361" s="190"/>
      <c r="I361" s="62"/>
      <c r="J361" s="62"/>
      <c r="K361" s="62"/>
      <c r="L361" s="62"/>
      <c r="M361" s="62"/>
      <c r="N361" s="62"/>
      <c r="O361" s="62"/>
      <c r="P361" s="62"/>
      <c r="Q361" s="62"/>
      <c r="R361" s="62"/>
      <c r="S361" s="62"/>
      <c r="T361" s="62"/>
      <c r="U361" s="62"/>
      <c r="V361" s="62"/>
      <c r="W361" s="62"/>
      <c r="X361" s="62"/>
      <c r="Y361" s="62"/>
      <c r="Z361" s="62"/>
      <c r="AA361" s="62"/>
      <c r="AB361" s="62"/>
      <c r="AC361" s="62"/>
    </row>
    <row r="362">
      <c r="A362" s="61"/>
      <c r="B362" s="61"/>
      <c r="C362" s="62"/>
      <c r="D362" s="62"/>
      <c r="E362" s="62"/>
      <c r="F362" s="62"/>
      <c r="G362" s="62"/>
      <c r="H362" s="190"/>
      <c r="I362" s="62"/>
      <c r="J362" s="62"/>
      <c r="K362" s="62"/>
      <c r="L362" s="62"/>
      <c r="M362" s="62"/>
      <c r="N362" s="62"/>
      <c r="O362" s="62"/>
      <c r="P362" s="62"/>
      <c r="Q362" s="62"/>
      <c r="R362" s="62"/>
      <c r="S362" s="62"/>
      <c r="T362" s="62"/>
      <c r="U362" s="62"/>
      <c r="V362" s="62"/>
      <c r="W362" s="62"/>
      <c r="X362" s="62"/>
      <c r="Y362" s="62"/>
      <c r="Z362" s="62"/>
      <c r="AA362" s="62"/>
      <c r="AB362" s="62"/>
      <c r="AC362" s="62"/>
    </row>
    <row r="363">
      <c r="A363" s="61"/>
      <c r="B363" s="61"/>
      <c r="C363" s="62"/>
      <c r="D363" s="62"/>
      <c r="E363" s="62"/>
      <c r="F363" s="62"/>
      <c r="G363" s="62"/>
      <c r="H363" s="190"/>
      <c r="I363" s="62"/>
      <c r="J363" s="62"/>
      <c r="K363" s="62"/>
      <c r="L363" s="62"/>
      <c r="M363" s="62"/>
      <c r="N363" s="62"/>
      <c r="O363" s="62"/>
      <c r="P363" s="62"/>
      <c r="Q363" s="62"/>
      <c r="R363" s="62"/>
      <c r="S363" s="62"/>
      <c r="T363" s="62"/>
      <c r="U363" s="62"/>
      <c r="V363" s="62"/>
      <c r="W363" s="62"/>
      <c r="X363" s="62"/>
      <c r="Y363" s="62"/>
      <c r="Z363" s="62"/>
      <c r="AA363" s="62"/>
      <c r="AB363" s="62"/>
      <c r="AC363" s="62"/>
    </row>
    <row r="364">
      <c r="A364" s="61"/>
      <c r="B364" s="61"/>
      <c r="C364" s="62"/>
      <c r="D364" s="62"/>
      <c r="E364" s="62"/>
      <c r="F364" s="62"/>
      <c r="G364" s="62"/>
      <c r="H364" s="190"/>
      <c r="I364" s="62"/>
      <c r="J364" s="62"/>
      <c r="K364" s="62"/>
      <c r="L364" s="62"/>
      <c r="M364" s="62"/>
      <c r="N364" s="62"/>
      <c r="O364" s="62"/>
      <c r="P364" s="62"/>
      <c r="Q364" s="62"/>
      <c r="R364" s="62"/>
      <c r="S364" s="62"/>
      <c r="T364" s="62"/>
      <c r="U364" s="62"/>
      <c r="V364" s="62"/>
      <c r="W364" s="62"/>
      <c r="X364" s="62"/>
      <c r="Y364" s="62"/>
      <c r="Z364" s="62"/>
      <c r="AA364" s="62"/>
      <c r="AB364" s="62"/>
      <c r="AC364" s="62"/>
    </row>
    <row r="365">
      <c r="A365" s="61"/>
      <c r="B365" s="61"/>
      <c r="C365" s="62"/>
      <c r="D365" s="62"/>
      <c r="E365" s="62"/>
      <c r="F365" s="62"/>
      <c r="G365" s="62"/>
      <c r="H365" s="190"/>
      <c r="I365" s="62"/>
      <c r="J365" s="62"/>
      <c r="K365" s="62"/>
      <c r="L365" s="62"/>
      <c r="M365" s="62"/>
      <c r="N365" s="62"/>
      <c r="O365" s="62"/>
      <c r="P365" s="62"/>
      <c r="Q365" s="62"/>
      <c r="R365" s="62"/>
      <c r="S365" s="62"/>
      <c r="T365" s="62"/>
      <c r="U365" s="62"/>
      <c r="V365" s="62"/>
      <c r="W365" s="62"/>
      <c r="X365" s="62"/>
      <c r="Y365" s="62"/>
      <c r="Z365" s="62"/>
      <c r="AA365" s="62"/>
      <c r="AB365" s="62"/>
      <c r="AC365" s="62"/>
    </row>
    <row r="366">
      <c r="A366" s="61"/>
      <c r="B366" s="61"/>
      <c r="C366" s="62"/>
      <c r="D366" s="62"/>
      <c r="E366" s="62"/>
      <c r="F366" s="62"/>
      <c r="G366" s="62"/>
      <c r="H366" s="190"/>
      <c r="I366" s="62"/>
      <c r="J366" s="62"/>
      <c r="K366" s="62"/>
      <c r="L366" s="62"/>
      <c r="M366" s="62"/>
      <c r="N366" s="62"/>
      <c r="O366" s="62"/>
      <c r="P366" s="62"/>
      <c r="Q366" s="62"/>
      <c r="R366" s="62"/>
      <c r="S366" s="62"/>
      <c r="T366" s="62"/>
      <c r="U366" s="62"/>
      <c r="V366" s="62"/>
      <c r="W366" s="62"/>
      <c r="X366" s="62"/>
      <c r="Y366" s="62"/>
      <c r="Z366" s="62"/>
      <c r="AA366" s="62"/>
      <c r="AB366" s="62"/>
      <c r="AC366" s="62"/>
    </row>
    <row r="367">
      <c r="A367" s="61"/>
      <c r="B367" s="61"/>
      <c r="C367" s="62"/>
      <c r="D367" s="62"/>
      <c r="E367" s="62"/>
      <c r="F367" s="62"/>
      <c r="G367" s="62"/>
      <c r="H367" s="190"/>
      <c r="I367" s="62"/>
      <c r="J367" s="62"/>
      <c r="K367" s="62"/>
      <c r="L367" s="62"/>
      <c r="M367" s="62"/>
      <c r="N367" s="62"/>
      <c r="O367" s="62"/>
      <c r="P367" s="62"/>
      <c r="Q367" s="62"/>
      <c r="R367" s="62"/>
      <c r="S367" s="62"/>
      <c r="T367" s="62"/>
      <c r="U367" s="62"/>
      <c r="V367" s="62"/>
      <c r="W367" s="62"/>
      <c r="X367" s="62"/>
      <c r="Y367" s="62"/>
      <c r="Z367" s="62"/>
      <c r="AA367" s="62"/>
      <c r="AB367" s="62"/>
      <c r="AC367" s="62"/>
    </row>
    <row r="368">
      <c r="A368" s="61"/>
      <c r="B368" s="61"/>
      <c r="C368" s="62"/>
      <c r="D368" s="62"/>
      <c r="E368" s="62"/>
      <c r="F368" s="62"/>
      <c r="G368" s="62"/>
      <c r="H368" s="190"/>
      <c r="I368" s="62"/>
      <c r="J368" s="62"/>
      <c r="K368" s="62"/>
      <c r="L368" s="62"/>
      <c r="M368" s="62"/>
      <c r="N368" s="62"/>
      <c r="O368" s="62"/>
      <c r="P368" s="62"/>
      <c r="Q368" s="62"/>
      <c r="R368" s="62"/>
      <c r="S368" s="62"/>
      <c r="T368" s="62"/>
      <c r="U368" s="62"/>
      <c r="V368" s="62"/>
      <c r="W368" s="62"/>
      <c r="X368" s="62"/>
      <c r="Y368" s="62"/>
      <c r="Z368" s="62"/>
      <c r="AA368" s="62"/>
      <c r="AB368" s="62"/>
      <c r="AC368" s="62"/>
    </row>
    <row r="369">
      <c r="A369" s="61"/>
      <c r="B369" s="61"/>
      <c r="C369" s="62"/>
      <c r="D369" s="62"/>
      <c r="E369" s="62"/>
      <c r="F369" s="62"/>
      <c r="G369" s="62"/>
      <c r="H369" s="190"/>
      <c r="I369" s="62"/>
      <c r="J369" s="62"/>
      <c r="K369" s="62"/>
      <c r="L369" s="62"/>
      <c r="M369" s="62"/>
      <c r="N369" s="62"/>
      <c r="O369" s="62"/>
      <c r="P369" s="62"/>
      <c r="Q369" s="62"/>
      <c r="R369" s="62"/>
      <c r="S369" s="62"/>
      <c r="T369" s="62"/>
      <c r="U369" s="62"/>
      <c r="V369" s="62"/>
      <c r="W369" s="62"/>
      <c r="X369" s="62"/>
      <c r="Y369" s="62"/>
      <c r="Z369" s="62"/>
      <c r="AA369" s="62"/>
      <c r="AB369" s="62"/>
      <c r="AC369" s="62"/>
    </row>
    <row r="370">
      <c r="A370" s="61"/>
      <c r="B370" s="61"/>
      <c r="C370" s="62"/>
      <c r="D370" s="62"/>
      <c r="E370" s="62"/>
      <c r="F370" s="62"/>
      <c r="G370" s="62"/>
      <c r="H370" s="190"/>
      <c r="I370" s="62"/>
      <c r="J370" s="62"/>
      <c r="K370" s="62"/>
      <c r="L370" s="62"/>
      <c r="M370" s="62"/>
      <c r="N370" s="62"/>
      <c r="O370" s="62"/>
      <c r="P370" s="62"/>
      <c r="Q370" s="62"/>
      <c r="R370" s="62"/>
      <c r="S370" s="62"/>
      <c r="T370" s="62"/>
      <c r="U370" s="62"/>
      <c r="V370" s="62"/>
      <c r="W370" s="62"/>
      <c r="X370" s="62"/>
      <c r="Y370" s="62"/>
      <c r="Z370" s="62"/>
      <c r="AA370" s="62"/>
      <c r="AB370" s="62"/>
      <c r="AC370" s="62"/>
    </row>
    <row r="371">
      <c r="A371" s="61"/>
      <c r="B371" s="61"/>
      <c r="C371" s="62"/>
      <c r="D371" s="62"/>
      <c r="E371" s="62"/>
      <c r="F371" s="62"/>
      <c r="G371" s="62"/>
      <c r="H371" s="190"/>
      <c r="I371" s="62"/>
      <c r="J371" s="62"/>
      <c r="K371" s="62"/>
      <c r="L371" s="62"/>
      <c r="M371" s="62"/>
      <c r="N371" s="62"/>
      <c r="O371" s="62"/>
      <c r="P371" s="62"/>
      <c r="Q371" s="62"/>
      <c r="R371" s="62"/>
      <c r="S371" s="62"/>
      <c r="T371" s="62"/>
      <c r="U371" s="62"/>
      <c r="V371" s="62"/>
      <c r="W371" s="62"/>
      <c r="X371" s="62"/>
      <c r="Y371" s="62"/>
      <c r="Z371" s="62"/>
      <c r="AA371" s="62"/>
      <c r="AB371" s="62"/>
      <c r="AC371" s="62"/>
    </row>
    <row r="372">
      <c r="A372" s="61"/>
      <c r="B372" s="61"/>
      <c r="C372" s="62"/>
      <c r="D372" s="62"/>
      <c r="E372" s="62"/>
      <c r="F372" s="62"/>
      <c r="G372" s="62"/>
      <c r="H372" s="190"/>
      <c r="I372" s="62"/>
      <c r="J372" s="62"/>
      <c r="K372" s="62"/>
      <c r="L372" s="62"/>
      <c r="M372" s="62"/>
      <c r="N372" s="62"/>
      <c r="O372" s="62"/>
      <c r="P372" s="62"/>
      <c r="Q372" s="62"/>
      <c r="R372" s="62"/>
      <c r="S372" s="62"/>
      <c r="T372" s="62"/>
      <c r="U372" s="62"/>
      <c r="V372" s="62"/>
      <c r="W372" s="62"/>
      <c r="X372" s="62"/>
      <c r="Y372" s="62"/>
      <c r="Z372" s="62"/>
      <c r="AA372" s="62"/>
      <c r="AB372" s="62"/>
      <c r="AC372" s="62"/>
    </row>
    <row r="373">
      <c r="A373" s="61"/>
      <c r="B373" s="61"/>
      <c r="C373" s="62"/>
      <c r="D373" s="62"/>
      <c r="E373" s="62"/>
      <c r="F373" s="62"/>
      <c r="G373" s="62"/>
      <c r="H373" s="190"/>
      <c r="I373" s="62"/>
      <c r="J373" s="62"/>
      <c r="K373" s="62"/>
      <c r="L373" s="62"/>
      <c r="M373" s="62"/>
      <c r="N373" s="62"/>
      <c r="O373" s="62"/>
      <c r="P373" s="62"/>
      <c r="Q373" s="62"/>
      <c r="R373" s="62"/>
      <c r="S373" s="62"/>
      <c r="T373" s="62"/>
      <c r="U373" s="62"/>
      <c r="V373" s="62"/>
      <c r="W373" s="62"/>
      <c r="X373" s="62"/>
      <c r="Y373" s="62"/>
      <c r="Z373" s="62"/>
      <c r="AA373" s="62"/>
      <c r="AB373" s="62"/>
      <c r="AC373" s="62"/>
    </row>
    <row r="374">
      <c r="A374" s="61"/>
      <c r="B374" s="61"/>
      <c r="C374" s="62"/>
      <c r="D374" s="62"/>
      <c r="E374" s="62"/>
      <c r="F374" s="62"/>
      <c r="G374" s="62"/>
      <c r="H374" s="190"/>
      <c r="I374" s="62"/>
      <c r="J374" s="62"/>
      <c r="K374" s="62"/>
      <c r="L374" s="62"/>
      <c r="M374" s="62"/>
      <c r="N374" s="62"/>
      <c r="O374" s="62"/>
      <c r="P374" s="62"/>
      <c r="Q374" s="62"/>
      <c r="R374" s="62"/>
      <c r="S374" s="62"/>
      <c r="T374" s="62"/>
      <c r="U374" s="62"/>
      <c r="V374" s="62"/>
      <c r="W374" s="62"/>
      <c r="X374" s="62"/>
      <c r="Y374" s="62"/>
      <c r="Z374" s="62"/>
      <c r="AA374" s="62"/>
      <c r="AB374" s="62"/>
      <c r="AC374" s="62"/>
    </row>
    <row r="375">
      <c r="A375" s="61"/>
      <c r="B375" s="61"/>
      <c r="C375" s="62"/>
      <c r="D375" s="62"/>
      <c r="E375" s="62"/>
      <c r="F375" s="62"/>
      <c r="G375" s="62"/>
      <c r="H375" s="190"/>
      <c r="I375" s="62"/>
      <c r="J375" s="62"/>
      <c r="K375" s="62"/>
      <c r="L375" s="62"/>
      <c r="M375" s="62"/>
      <c r="N375" s="62"/>
      <c r="O375" s="62"/>
      <c r="P375" s="62"/>
      <c r="Q375" s="62"/>
      <c r="R375" s="62"/>
      <c r="S375" s="62"/>
      <c r="T375" s="62"/>
      <c r="U375" s="62"/>
      <c r="V375" s="62"/>
      <c r="W375" s="62"/>
      <c r="X375" s="62"/>
      <c r="Y375" s="62"/>
      <c r="Z375" s="62"/>
      <c r="AA375" s="62"/>
      <c r="AB375" s="62"/>
      <c r="AC375" s="62"/>
    </row>
    <row r="376">
      <c r="A376" s="61"/>
      <c r="B376" s="61"/>
      <c r="C376" s="62"/>
      <c r="D376" s="62"/>
      <c r="E376" s="62"/>
      <c r="F376" s="62"/>
      <c r="G376" s="62"/>
      <c r="H376" s="190"/>
      <c r="I376" s="62"/>
      <c r="J376" s="62"/>
      <c r="K376" s="62"/>
      <c r="L376" s="62"/>
      <c r="M376" s="62"/>
      <c r="N376" s="62"/>
      <c r="O376" s="62"/>
      <c r="P376" s="62"/>
      <c r="Q376" s="62"/>
      <c r="R376" s="62"/>
      <c r="S376" s="62"/>
      <c r="T376" s="62"/>
      <c r="U376" s="62"/>
      <c r="V376" s="62"/>
      <c r="W376" s="62"/>
      <c r="X376" s="62"/>
      <c r="Y376" s="62"/>
      <c r="Z376" s="62"/>
      <c r="AA376" s="62"/>
      <c r="AB376" s="62"/>
      <c r="AC376" s="62"/>
    </row>
    <row r="377">
      <c r="A377" s="61"/>
      <c r="B377" s="61"/>
      <c r="C377" s="62"/>
      <c r="D377" s="62"/>
      <c r="E377" s="62"/>
      <c r="F377" s="62"/>
      <c r="G377" s="62"/>
      <c r="H377" s="190"/>
      <c r="I377" s="62"/>
      <c r="J377" s="62"/>
      <c r="K377" s="62"/>
      <c r="L377" s="62"/>
      <c r="M377" s="62"/>
      <c r="N377" s="62"/>
      <c r="O377" s="62"/>
      <c r="P377" s="62"/>
      <c r="Q377" s="62"/>
      <c r="R377" s="62"/>
      <c r="S377" s="62"/>
      <c r="T377" s="62"/>
      <c r="U377" s="62"/>
      <c r="V377" s="62"/>
      <c r="W377" s="62"/>
      <c r="X377" s="62"/>
      <c r="Y377" s="62"/>
      <c r="Z377" s="62"/>
      <c r="AA377" s="62"/>
      <c r="AB377" s="62"/>
      <c r="AC377" s="62"/>
    </row>
    <row r="378">
      <c r="A378" s="61"/>
      <c r="B378" s="61"/>
      <c r="C378" s="62"/>
      <c r="D378" s="62"/>
      <c r="E378" s="62"/>
      <c r="F378" s="62"/>
      <c r="G378" s="62"/>
      <c r="H378" s="190"/>
      <c r="I378" s="62"/>
      <c r="J378" s="62"/>
      <c r="K378" s="62"/>
      <c r="L378" s="62"/>
      <c r="M378" s="62"/>
      <c r="N378" s="62"/>
      <c r="O378" s="62"/>
      <c r="P378" s="62"/>
      <c r="Q378" s="62"/>
      <c r="R378" s="62"/>
      <c r="S378" s="62"/>
      <c r="T378" s="62"/>
      <c r="U378" s="62"/>
      <c r="V378" s="62"/>
      <c r="W378" s="62"/>
      <c r="X378" s="62"/>
      <c r="Y378" s="62"/>
      <c r="Z378" s="62"/>
      <c r="AA378" s="62"/>
      <c r="AB378" s="62"/>
      <c r="AC378" s="62"/>
    </row>
    <row r="379">
      <c r="A379" s="61"/>
      <c r="B379" s="61"/>
      <c r="C379" s="62"/>
      <c r="D379" s="62"/>
      <c r="E379" s="62"/>
      <c r="F379" s="62"/>
      <c r="G379" s="62"/>
      <c r="H379" s="190"/>
      <c r="I379" s="62"/>
      <c r="J379" s="62"/>
      <c r="K379" s="62"/>
      <c r="L379" s="62"/>
      <c r="M379" s="62"/>
      <c r="N379" s="62"/>
      <c r="O379" s="62"/>
      <c r="P379" s="62"/>
      <c r="Q379" s="62"/>
      <c r="R379" s="62"/>
      <c r="S379" s="62"/>
      <c r="T379" s="62"/>
      <c r="U379" s="62"/>
      <c r="V379" s="62"/>
      <c r="W379" s="62"/>
      <c r="X379" s="62"/>
      <c r="Y379" s="62"/>
      <c r="Z379" s="62"/>
      <c r="AA379" s="62"/>
      <c r="AB379" s="62"/>
      <c r="AC379" s="62"/>
    </row>
    <row r="380">
      <c r="A380" s="61"/>
      <c r="B380" s="61"/>
      <c r="C380" s="62"/>
      <c r="D380" s="62"/>
      <c r="E380" s="62"/>
      <c r="F380" s="62"/>
      <c r="G380" s="62"/>
      <c r="H380" s="190"/>
      <c r="I380" s="62"/>
      <c r="J380" s="62"/>
      <c r="K380" s="62"/>
      <c r="L380" s="62"/>
      <c r="M380" s="62"/>
      <c r="N380" s="62"/>
      <c r="O380" s="62"/>
      <c r="P380" s="62"/>
      <c r="Q380" s="62"/>
      <c r="R380" s="62"/>
      <c r="S380" s="62"/>
      <c r="T380" s="62"/>
      <c r="U380" s="62"/>
      <c r="V380" s="62"/>
      <c r="W380" s="62"/>
      <c r="X380" s="62"/>
      <c r="Y380" s="62"/>
      <c r="Z380" s="62"/>
      <c r="AA380" s="62"/>
      <c r="AB380" s="62"/>
      <c r="AC380" s="62"/>
    </row>
    <row r="381">
      <c r="A381" s="61"/>
      <c r="B381" s="61"/>
      <c r="C381" s="62"/>
      <c r="D381" s="62"/>
      <c r="E381" s="62"/>
      <c r="F381" s="62"/>
      <c r="G381" s="62"/>
      <c r="H381" s="190"/>
      <c r="I381" s="62"/>
      <c r="J381" s="62"/>
      <c r="K381" s="62"/>
      <c r="L381" s="62"/>
      <c r="M381" s="62"/>
      <c r="N381" s="62"/>
      <c r="O381" s="62"/>
      <c r="P381" s="62"/>
      <c r="Q381" s="62"/>
      <c r="R381" s="62"/>
      <c r="S381" s="62"/>
      <c r="T381" s="62"/>
      <c r="U381" s="62"/>
      <c r="V381" s="62"/>
      <c r="W381" s="62"/>
      <c r="X381" s="62"/>
      <c r="Y381" s="62"/>
      <c r="Z381" s="62"/>
      <c r="AA381" s="62"/>
      <c r="AB381" s="62"/>
      <c r="AC381" s="62"/>
    </row>
    <row r="382">
      <c r="A382" s="61"/>
      <c r="B382" s="61"/>
      <c r="C382" s="62"/>
      <c r="D382" s="62"/>
      <c r="E382" s="62"/>
      <c r="F382" s="62"/>
      <c r="G382" s="62"/>
      <c r="H382" s="190"/>
      <c r="I382" s="62"/>
      <c r="J382" s="62"/>
      <c r="K382" s="62"/>
      <c r="L382" s="62"/>
      <c r="M382" s="62"/>
      <c r="N382" s="62"/>
      <c r="O382" s="62"/>
      <c r="P382" s="62"/>
      <c r="Q382" s="62"/>
      <c r="R382" s="62"/>
      <c r="S382" s="62"/>
      <c r="T382" s="62"/>
      <c r="U382" s="62"/>
      <c r="V382" s="62"/>
      <c r="W382" s="62"/>
      <c r="X382" s="62"/>
      <c r="Y382" s="62"/>
      <c r="Z382" s="62"/>
      <c r="AA382" s="62"/>
      <c r="AB382" s="62"/>
      <c r="AC382" s="62"/>
    </row>
    <row r="383">
      <c r="A383" s="61"/>
      <c r="B383" s="61"/>
      <c r="C383" s="62"/>
      <c r="D383" s="62"/>
      <c r="E383" s="62"/>
      <c r="F383" s="62"/>
      <c r="G383" s="62"/>
      <c r="H383" s="190"/>
      <c r="I383" s="62"/>
      <c r="J383" s="62"/>
      <c r="K383" s="62"/>
      <c r="L383" s="62"/>
      <c r="M383" s="62"/>
      <c r="N383" s="62"/>
      <c r="O383" s="62"/>
      <c r="P383" s="62"/>
      <c r="Q383" s="62"/>
      <c r="R383" s="62"/>
      <c r="S383" s="62"/>
      <c r="T383" s="62"/>
      <c r="U383" s="62"/>
      <c r="V383" s="62"/>
      <c r="W383" s="62"/>
      <c r="X383" s="62"/>
      <c r="Y383" s="62"/>
      <c r="Z383" s="62"/>
      <c r="AA383" s="62"/>
      <c r="AB383" s="62"/>
      <c r="AC383" s="62"/>
    </row>
    <row r="384">
      <c r="A384" s="61"/>
      <c r="B384" s="61"/>
      <c r="C384" s="62"/>
      <c r="D384" s="62"/>
      <c r="E384" s="62"/>
      <c r="F384" s="62"/>
      <c r="G384" s="62"/>
      <c r="H384" s="190"/>
      <c r="I384" s="62"/>
      <c r="J384" s="62"/>
      <c r="K384" s="62"/>
      <c r="L384" s="62"/>
      <c r="M384" s="62"/>
      <c r="N384" s="62"/>
      <c r="O384" s="62"/>
      <c r="P384" s="62"/>
      <c r="Q384" s="62"/>
      <c r="R384" s="62"/>
      <c r="S384" s="62"/>
      <c r="T384" s="62"/>
      <c r="U384" s="62"/>
      <c r="V384" s="62"/>
      <c r="W384" s="62"/>
      <c r="X384" s="62"/>
      <c r="Y384" s="62"/>
      <c r="Z384" s="62"/>
      <c r="AA384" s="62"/>
      <c r="AB384" s="62"/>
      <c r="AC384" s="62"/>
    </row>
    <row r="385">
      <c r="A385" s="61"/>
      <c r="B385" s="61"/>
      <c r="C385" s="62"/>
      <c r="D385" s="62"/>
      <c r="E385" s="62"/>
      <c r="F385" s="62"/>
      <c r="G385" s="62"/>
      <c r="H385" s="190"/>
      <c r="I385" s="62"/>
      <c r="J385" s="62"/>
      <c r="K385" s="62"/>
      <c r="L385" s="62"/>
      <c r="M385" s="62"/>
      <c r="N385" s="62"/>
      <c r="O385" s="62"/>
      <c r="P385" s="62"/>
      <c r="Q385" s="62"/>
      <c r="R385" s="62"/>
      <c r="S385" s="62"/>
      <c r="T385" s="62"/>
      <c r="U385" s="62"/>
      <c r="V385" s="62"/>
      <c r="W385" s="62"/>
      <c r="X385" s="62"/>
      <c r="Y385" s="62"/>
      <c r="Z385" s="62"/>
      <c r="AA385" s="62"/>
      <c r="AB385" s="62"/>
      <c r="AC385" s="62"/>
    </row>
    <row r="386">
      <c r="A386" s="61"/>
      <c r="B386" s="61"/>
      <c r="C386" s="62"/>
      <c r="D386" s="62"/>
      <c r="E386" s="62"/>
      <c r="F386" s="62"/>
      <c r="G386" s="62"/>
      <c r="H386" s="190"/>
      <c r="I386" s="62"/>
      <c r="J386" s="62"/>
      <c r="K386" s="62"/>
      <c r="L386" s="62"/>
      <c r="M386" s="62"/>
      <c r="N386" s="62"/>
      <c r="O386" s="62"/>
      <c r="P386" s="62"/>
      <c r="Q386" s="62"/>
      <c r="R386" s="62"/>
      <c r="S386" s="62"/>
      <c r="T386" s="62"/>
      <c r="U386" s="62"/>
      <c r="V386" s="62"/>
      <c r="W386" s="62"/>
      <c r="X386" s="62"/>
      <c r="Y386" s="62"/>
      <c r="Z386" s="62"/>
      <c r="AA386" s="62"/>
      <c r="AB386" s="62"/>
      <c r="AC386" s="62"/>
    </row>
    <row r="387">
      <c r="A387" s="61"/>
      <c r="B387" s="61"/>
      <c r="C387" s="62"/>
      <c r="D387" s="62"/>
      <c r="E387" s="62"/>
      <c r="F387" s="62"/>
      <c r="G387" s="62"/>
      <c r="H387" s="190"/>
      <c r="I387" s="62"/>
      <c r="J387" s="62"/>
      <c r="K387" s="62"/>
      <c r="L387" s="62"/>
      <c r="M387" s="62"/>
      <c r="N387" s="62"/>
      <c r="O387" s="62"/>
      <c r="P387" s="62"/>
      <c r="Q387" s="62"/>
      <c r="R387" s="62"/>
      <c r="S387" s="62"/>
      <c r="T387" s="62"/>
      <c r="U387" s="62"/>
      <c r="V387" s="62"/>
      <c r="W387" s="62"/>
      <c r="X387" s="62"/>
      <c r="Y387" s="62"/>
      <c r="Z387" s="62"/>
      <c r="AA387" s="62"/>
      <c r="AB387" s="62"/>
      <c r="AC387" s="62"/>
    </row>
    <row r="388">
      <c r="A388" s="61"/>
      <c r="B388" s="61"/>
      <c r="C388" s="62"/>
      <c r="D388" s="62"/>
      <c r="E388" s="62"/>
      <c r="F388" s="62"/>
      <c r="G388" s="62"/>
      <c r="H388" s="190"/>
      <c r="I388" s="62"/>
      <c r="J388" s="62"/>
      <c r="K388" s="62"/>
      <c r="L388" s="62"/>
      <c r="M388" s="62"/>
      <c r="N388" s="62"/>
      <c r="O388" s="62"/>
      <c r="P388" s="62"/>
      <c r="Q388" s="62"/>
      <c r="R388" s="62"/>
      <c r="S388" s="62"/>
      <c r="T388" s="62"/>
      <c r="U388" s="62"/>
      <c r="V388" s="62"/>
      <c r="W388" s="62"/>
      <c r="X388" s="62"/>
      <c r="Y388" s="62"/>
      <c r="Z388" s="62"/>
      <c r="AA388" s="62"/>
      <c r="AB388" s="62"/>
      <c r="AC388" s="62"/>
    </row>
    <row r="389">
      <c r="A389" s="61"/>
      <c r="B389" s="61"/>
      <c r="C389" s="62"/>
      <c r="D389" s="62"/>
      <c r="E389" s="62"/>
      <c r="F389" s="62"/>
      <c r="G389" s="62"/>
      <c r="H389" s="190"/>
      <c r="I389" s="62"/>
      <c r="J389" s="62"/>
      <c r="K389" s="62"/>
      <c r="L389" s="62"/>
      <c r="M389" s="62"/>
      <c r="N389" s="62"/>
      <c r="O389" s="62"/>
      <c r="P389" s="62"/>
      <c r="Q389" s="62"/>
      <c r="R389" s="62"/>
      <c r="S389" s="62"/>
      <c r="T389" s="62"/>
      <c r="U389" s="62"/>
      <c r="V389" s="62"/>
      <c r="W389" s="62"/>
      <c r="X389" s="62"/>
      <c r="Y389" s="62"/>
      <c r="Z389" s="62"/>
      <c r="AA389" s="62"/>
      <c r="AB389" s="62"/>
      <c r="AC389" s="62"/>
    </row>
    <row r="390">
      <c r="A390" s="61"/>
      <c r="B390" s="61"/>
      <c r="C390" s="62"/>
      <c r="D390" s="62"/>
      <c r="E390" s="62"/>
      <c r="F390" s="62"/>
      <c r="G390" s="62"/>
      <c r="H390" s="190"/>
      <c r="I390" s="62"/>
      <c r="J390" s="62"/>
      <c r="K390" s="62"/>
      <c r="L390" s="62"/>
      <c r="M390" s="62"/>
      <c r="N390" s="62"/>
      <c r="O390" s="62"/>
      <c r="P390" s="62"/>
      <c r="Q390" s="62"/>
      <c r="R390" s="62"/>
      <c r="S390" s="62"/>
      <c r="T390" s="62"/>
      <c r="U390" s="62"/>
      <c r="V390" s="62"/>
      <c r="W390" s="62"/>
      <c r="X390" s="62"/>
      <c r="Y390" s="62"/>
      <c r="Z390" s="62"/>
      <c r="AA390" s="62"/>
      <c r="AB390" s="62"/>
      <c r="AC390" s="62"/>
    </row>
    <row r="391">
      <c r="A391" s="61"/>
      <c r="B391" s="61"/>
      <c r="C391" s="62"/>
      <c r="D391" s="62"/>
      <c r="E391" s="62"/>
      <c r="F391" s="62"/>
      <c r="G391" s="62"/>
      <c r="H391" s="190"/>
      <c r="I391" s="62"/>
      <c r="J391" s="62"/>
      <c r="K391" s="62"/>
      <c r="L391" s="62"/>
      <c r="M391" s="62"/>
      <c r="N391" s="62"/>
      <c r="O391" s="62"/>
      <c r="P391" s="62"/>
      <c r="Q391" s="62"/>
      <c r="R391" s="62"/>
      <c r="S391" s="62"/>
      <c r="T391" s="62"/>
      <c r="U391" s="62"/>
      <c r="V391" s="62"/>
      <c r="W391" s="62"/>
      <c r="X391" s="62"/>
      <c r="Y391" s="62"/>
      <c r="Z391" s="62"/>
      <c r="AA391" s="62"/>
      <c r="AB391" s="62"/>
      <c r="AC391" s="62"/>
    </row>
    <row r="392">
      <c r="A392" s="61"/>
      <c r="B392" s="61"/>
      <c r="C392" s="62"/>
      <c r="D392" s="62"/>
      <c r="E392" s="62"/>
      <c r="F392" s="62"/>
      <c r="G392" s="62"/>
      <c r="H392" s="190"/>
      <c r="I392" s="62"/>
      <c r="J392" s="62"/>
      <c r="K392" s="62"/>
      <c r="L392" s="62"/>
      <c r="M392" s="62"/>
      <c r="N392" s="62"/>
      <c r="O392" s="62"/>
      <c r="P392" s="62"/>
      <c r="Q392" s="62"/>
      <c r="R392" s="62"/>
      <c r="S392" s="62"/>
      <c r="T392" s="62"/>
      <c r="U392" s="62"/>
      <c r="V392" s="62"/>
      <c r="W392" s="62"/>
      <c r="X392" s="62"/>
      <c r="Y392" s="62"/>
      <c r="Z392" s="62"/>
      <c r="AA392" s="62"/>
      <c r="AB392" s="62"/>
      <c r="AC392" s="62"/>
    </row>
    <row r="393">
      <c r="A393" s="61"/>
      <c r="B393" s="61"/>
      <c r="C393" s="62"/>
      <c r="D393" s="62"/>
      <c r="E393" s="62"/>
      <c r="F393" s="62"/>
      <c r="G393" s="62"/>
      <c r="H393" s="190"/>
      <c r="I393" s="62"/>
      <c r="J393" s="62"/>
      <c r="K393" s="62"/>
      <c r="L393" s="62"/>
      <c r="M393" s="62"/>
      <c r="N393" s="62"/>
      <c r="O393" s="62"/>
      <c r="P393" s="62"/>
      <c r="Q393" s="62"/>
      <c r="R393" s="62"/>
      <c r="S393" s="62"/>
      <c r="T393" s="62"/>
      <c r="U393" s="62"/>
      <c r="V393" s="62"/>
      <c r="W393" s="62"/>
      <c r="X393" s="62"/>
      <c r="Y393" s="62"/>
      <c r="Z393" s="62"/>
      <c r="AA393" s="62"/>
      <c r="AB393" s="62"/>
      <c r="AC393" s="62"/>
    </row>
    <row r="394">
      <c r="A394" s="61"/>
      <c r="B394" s="61"/>
      <c r="C394" s="62"/>
      <c r="D394" s="62"/>
      <c r="E394" s="62"/>
      <c r="F394" s="62"/>
      <c r="G394" s="62"/>
      <c r="H394" s="190"/>
      <c r="I394" s="62"/>
      <c r="J394" s="62"/>
      <c r="K394" s="62"/>
      <c r="L394" s="62"/>
      <c r="M394" s="62"/>
      <c r="N394" s="62"/>
      <c r="O394" s="62"/>
      <c r="P394" s="62"/>
      <c r="Q394" s="62"/>
      <c r="R394" s="62"/>
      <c r="S394" s="62"/>
      <c r="T394" s="62"/>
      <c r="U394" s="62"/>
      <c r="V394" s="62"/>
      <c r="W394" s="62"/>
      <c r="X394" s="62"/>
      <c r="Y394" s="62"/>
      <c r="Z394" s="62"/>
      <c r="AA394" s="62"/>
      <c r="AB394" s="62"/>
      <c r="AC394" s="62"/>
    </row>
    <row r="395">
      <c r="A395" s="61"/>
      <c r="B395" s="61"/>
      <c r="C395" s="62"/>
      <c r="D395" s="62"/>
      <c r="E395" s="62"/>
      <c r="F395" s="62"/>
      <c r="G395" s="62"/>
      <c r="H395" s="190"/>
      <c r="I395" s="62"/>
      <c r="J395" s="62"/>
      <c r="K395" s="62"/>
      <c r="L395" s="62"/>
      <c r="M395" s="62"/>
      <c r="N395" s="62"/>
      <c r="O395" s="62"/>
      <c r="P395" s="62"/>
      <c r="Q395" s="62"/>
      <c r="R395" s="62"/>
      <c r="S395" s="62"/>
      <c r="T395" s="62"/>
      <c r="U395" s="62"/>
      <c r="V395" s="62"/>
      <c r="W395" s="62"/>
      <c r="X395" s="62"/>
      <c r="Y395" s="62"/>
      <c r="Z395" s="62"/>
      <c r="AA395" s="62"/>
      <c r="AB395" s="62"/>
      <c r="AC395" s="62"/>
    </row>
    <row r="396">
      <c r="A396" s="61"/>
      <c r="B396" s="61"/>
      <c r="C396" s="62"/>
      <c r="D396" s="62"/>
      <c r="E396" s="62"/>
      <c r="F396" s="62"/>
      <c r="G396" s="62"/>
      <c r="H396" s="190"/>
      <c r="I396" s="62"/>
      <c r="J396" s="62"/>
      <c r="K396" s="62"/>
      <c r="L396" s="62"/>
      <c r="M396" s="62"/>
      <c r="N396" s="62"/>
      <c r="O396" s="62"/>
      <c r="P396" s="62"/>
      <c r="Q396" s="62"/>
      <c r="R396" s="62"/>
      <c r="S396" s="62"/>
      <c r="T396" s="62"/>
      <c r="U396" s="62"/>
      <c r="V396" s="62"/>
      <c r="W396" s="62"/>
      <c r="X396" s="62"/>
      <c r="Y396" s="62"/>
      <c r="Z396" s="62"/>
      <c r="AA396" s="62"/>
      <c r="AB396" s="62"/>
      <c r="AC396" s="62"/>
    </row>
    <row r="397">
      <c r="A397" s="61"/>
      <c r="B397" s="61"/>
      <c r="C397" s="62"/>
      <c r="D397" s="62"/>
      <c r="E397" s="62"/>
      <c r="F397" s="62"/>
      <c r="G397" s="62"/>
      <c r="H397" s="190"/>
      <c r="I397" s="62"/>
      <c r="J397" s="62"/>
      <c r="K397" s="62"/>
      <c r="L397" s="62"/>
      <c r="M397" s="62"/>
      <c r="N397" s="62"/>
      <c r="O397" s="62"/>
      <c r="P397" s="62"/>
      <c r="Q397" s="62"/>
      <c r="R397" s="62"/>
      <c r="S397" s="62"/>
      <c r="T397" s="62"/>
      <c r="U397" s="62"/>
      <c r="V397" s="62"/>
      <c r="W397" s="62"/>
      <c r="X397" s="62"/>
      <c r="Y397" s="62"/>
      <c r="Z397" s="62"/>
      <c r="AA397" s="62"/>
      <c r="AB397" s="62"/>
      <c r="AC397" s="62"/>
    </row>
    <row r="398">
      <c r="A398" s="61"/>
      <c r="B398" s="61"/>
      <c r="C398" s="62"/>
      <c r="D398" s="62"/>
      <c r="E398" s="62"/>
      <c r="F398" s="62"/>
      <c r="G398" s="62"/>
      <c r="H398" s="190"/>
      <c r="I398" s="62"/>
      <c r="J398" s="62"/>
      <c r="K398" s="62"/>
      <c r="L398" s="62"/>
      <c r="M398" s="62"/>
      <c r="N398" s="62"/>
      <c r="O398" s="62"/>
      <c r="P398" s="62"/>
      <c r="Q398" s="62"/>
      <c r="R398" s="62"/>
      <c r="S398" s="62"/>
      <c r="T398" s="62"/>
      <c r="U398" s="62"/>
      <c r="V398" s="62"/>
      <c r="W398" s="62"/>
      <c r="X398" s="62"/>
      <c r="Y398" s="62"/>
      <c r="Z398" s="62"/>
      <c r="AA398" s="62"/>
      <c r="AB398" s="62"/>
      <c r="AC398" s="62"/>
    </row>
    <row r="399">
      <c r="A399" s="61"/>
      <c r="B399" s="61"/>
      <c r="C399" s="62"/>
      <c r="D399" s="62"/>
      <c r="E399" s="62"/>
      <c r="F399" s="62"/>
      <c r="G399" s="62"/>
      <c r="H399" s="190"/>
      <c r="I399" s="62"/>
      <c r="J399" s="62"/>
      <c r="K399" s="62"/>
      <c r="L399" s="62"/>
      <c r="M399" s="62"/>
      <c r="N399" s="62"/>
      <c r="O399" s="62"/>
      <c r="P399" s="62"/>
      <c r="Q399" s="62"/>
      <c r="R399" s="62"/>
      <c r="S399" s="62"/>
      <c r="T399" s="62"/>
      <c r="U399" s="62"/>
      <c r="V399" s="62"/>
      <c r="W399" s="62"/>
      <c r="X399" s="62"/>
      <c r="Y399" s="62"/>
      <c r="Z399" s="62"/>
      <c r="AA399" s="62"/>
      <c r="AB399" s="62"/>
      <c r="AC399" s="62"/>
    </row>
    <row r="400">
      <c r="A400" s="61"/>
      <c r="B400" s="61"/>
      <c r="C400" s="62"/>
      <c r="D400" s="62"/>
      <c r="E400" s="62"/>
      <c r="F400" s="62"/>
      <c r="G400" s="62"/>
      <c r="H400" s="190"/>
      <c r="I400" s="62"/>
      <c r="J400" s="62"/>
      <c r="K400" s="62"/>
      <c r="L400" s="62"/>
      <c r="M400" s="62"/>
      <c r="N400" s="62"/>
      <c r="O400" s="62"/>
      <c r="P400" s="62"/>
      <c r="Q400" s="62"/>
      <c r="R400" s="62"/>
      <c r="S400" s="62"/>
      <c r="T400" s="62"/>
      <c r="U400" s="62"/>
      <c r="V400" s="62"/>
      <c r="W400" s="62"/>
      <c r="X400" s="62"/>
      <c r="Y400" s="62"/>
      <c r="Z400" s="62"/>
      <c r="AA400" s="62"/>
      <c r="AB400" s="62"/>
      <c r="AC400" s="62"/>
    </row>
    <row r="401">
      <c r="A401" s="61"/>
      <c r="B401" s="61"/>
      <c r="C401" s="62"/>
      <c r="D401" s="62"/>
      <c r="E401" s="62"/>
      <c r="F401" s="62"/>
      <c r="G401" s="62"/>
      <c r="H401" s="190"/>
      <c r="I401" s="62"/>
      <c r="J401" s="62"/>
      <c r="K401" s="62"/>
      <c r="L401" s="62"/>
      <c r="M401" s="62"/>
      <c r="N401" s="62"/>
      <c r="O401" s="62"/>
      <c r="P401" s="62"/>
      <c r="Q401" s="62"/>
      <c r="R401" s="62"/>
      <c r="S401" s="62"/>
      <c r="T401" s="62"/>
      <c r="U401" s="62"/>
      <c r="V401" s="62"/>
      <c r="W401" s="62"/>
      <c r="X401" s="62"/>
      <c r="Y401" s="62"/>
      <c r="Z401" s="62"/>
      <c r="AA401" s="62"/>
      <c r="AB401" s="62"/>
      <c r="AC401" s="62"/>
    </row>
    <row r="402">
      <c r="A402" s="61"/>
      <c r="B402" s="61"/>
      <c r="C402" s="62"/>
      <c r="D402" s="62"/>
      <c r="E402" s="62"/>
      <c r="F402" s="62"/>
      <c r="G402" s="62"/>
      <c r="H402" s="190"/>
      <c r="I402" s="62"/>
      <c r="J402" s="62"/>
      <c r="K402" s="62"/>
      <c r="L402" s="62"/>
      <c r="M402" s="62"/>
      <c r="N402" s="62"/>
      <c r="O402" s="62"/>
      <c r="P402" s="62"/>
      <c r="Q402" s="62"/>
      <c r="R402" s="62"/>
      <c r="S402" s="62"/>
      <c r="T402" s="62"/>
      <c r="U402" s="62"/>
      <c r="V402" s="62"/>
      <c r="W402" s="62"/>
      <c r="X402" s="62"/>
      <c r="Y402" s="62"/>
      <c r="Z402" s="62"/>
      <c r="AA402" s="62"/>
      <c r="AB402" s="62"/>
      <c r="AC402" s="62"/>
    </row>
    <row r="403">
      <c r="A403" s="61"/>
      <c r="B403" s="61"/>
      <c r="C403" s="62"/>
      <c r="D403" s="62"/>
      <c r="E403" s="62"/>
      <c r="F403" s="62"/>
      <c r="G403" s="62"/>
      <c r="H403" s="190"/>
      <c r="I403" s="62"/>
      <c r="J403" s="62"/>
      <c r="K403" s="62"/>
      <c r="L403" s="62"/>
      <c r="M403" s="62"/>
      <c r="N403" s="62"/>
      <c r="O403" s="62"/>
      <c r="P403" s="62"/>
      <c r="Q403" s="62"/>
      <c r="R403" s="62"/>
      <c r="S403" s="62"/>
      <c r="T403" s="62"/>
      <c r="U403" s="62"/>
      <c r="V403" s="62"/>
      <c r="W403" s="62"/>
      <c r="X403" s="62"/>
      <c r="Y403" s="62"/>
      <c r="Z403" s="62"/>
      <c r="AA403" s="62"/>
      <c r="AB403" s="62"/>
      <c r="AC403" s="62"/>
    </row>
    <row r="404">
      <c r="A404" s="61"/>
      <c r="B404" s="61"/>
      <c r="C404" s="62"/>
      <c r="D404" s="62"/>
      <c r="E404" s="62"/>
      <c r="F404" s="62"/>
      <c r="G404" s="62"/>
      <c r="H404" s="190"/>
      <c r="I404" s="62"/>
      <c r="J404" s="62"/>
      <c r="K404" s="62"/>
      <c r="L404" s="62"/>
      <c r="M404" s="62"/>
      <c r="N404" s="62"/>
      <c r="O404" s="62"/>
      <c r="P404" s="62"/>
      <c r="Q404" s="62"/>
      <c r="R404" s="62"/>
      <c r="S404" s="62"/>
      <c r="T404" s="62"/>
      <c r="U404" s="62"/>
      <c r="V404" s="62"/>
      <c r="W404" s="62"/>
      <c r="X404" s="62"/>
      <c r="Y404" s="62"/>
      <c r="Z404" s="62"/>
      <c r="AA404" s="62"/>
      <c r="AB404" s="62"/>
      <c r="AC404" s="62"/>
    </row>
    <row r="405">
      <c r="A405" s="61"/>
      <c r="B405" s="61"/>
      <c r="C405" s="62"/>
      <c r="D405" s="62"/>
      <c r="E405" s="62"/>
      <c r="F405" s="62"/>
      <c r="G405" s="62"/>
      <c r="H405" s="190"/>
      <c r="I405" s="62"/>
      <c r="J405" s="62"/>
      <c r="K405" s="62"/>
      <c r="L405" s="62"/>
      <c r="M405" s="62"/>
      <c r="N405" s="62"/>
      <c r="O405" s="62"/>
      <c r="P405" s="62"/>
      <c r="Q405" s="62"/>
      <c r="R405" s="62"/>
      <c r="S405" s="62"/>
      <c r="T405" s="62"/>
      <c r="U405" s="62"/>
      <c r="V405" s="62"/>
      <c r="W405" s="62"/>
      <c r="X405" s="62"/>
      <c r="Y405" s="62"/>
      <c r="Z405" s="62"/>
      <c r="AA405" s="62"/>
      <c r="AB405" s="62"/>
      <c r="AC405" s="62"/>
    </row>
    <row r="406">
      <c r="A406" s="61"/>
      <c r="B406" s="61"/>
      <c r="C406" s="62"/>
      <c r="D406" s="62"/>
      <c r="E406" s="62"/>
      <c r="F406" s="62"/>
      <c r="G406" s="62"/>
      <c r="H406" s="190"/>
      <c r="I406" s="62"/>
      <c r="J406" s="62"/>
      <c r="K406" s="62"/>
      <c r="L406" s="62"/>
      <c r="M406" s="62"/>
      <c r="N406" s="62"/>
      <c r="O406" s="62"/>
      <c r="P406" s="62"/>
      <c r="Q406" s="62"/>
      <c r="R406" s="62"/>
      <c r="S406" s="62"/>
      <c r="T406" s="62"/>
      <c r="U406" s="62"/>
      <c r="V406" s="62"/>
      <c r="W406" s="62"/>
      <c r="X406" s="62"/>
      <c r="Y406" s="62"/>
      <c r="Z406" s="62"/>
      <c r="AA406" s="62"/>
      <c r="AB406" s="62"/>
      <c r="AC406" s="62"/>
    </row>
    <row r="407">
      <c r="A407" s="61"/>
      <c r="B407" s="61"/>
      <c r="C407" s="62"/>
      <c r="D407" s="62"/>
      <c r="E407" s="62"/>
      <c r="F407" s="62"/>
      <c r="G407" s="62"/>
      <c r="H407" s="190"/>
      <c r="I407" s="62"/>
      <c r="J407" s="62"/>
      <c r="K407" s="62"/>
      <c r="L407" s="62"/>
      <c r="M407" s="62"/>
      <c r="N407" s="62"/>
      <c r="O407" s="62"/>
      <c r="P407" s="62"/>
      <c r="Q407" s="62"/>
      <c r="R407" s="62"/>
      <c r="S407" s="62"/>
      <c r="T407" s="62"/>
      <c r="U407" s="62"/>
      <c r="V407" s="62"/>
      <c r="W407" s="62"/>
      <c r="X407" s="62"/>
      <c r="Y407" s="62"/>
      <c r="Z407" s="62"/>
      <c r="AA407" s="62"/>
      <c r="AB407" s="62"/>
      <c r="AC407" s="62"/>
    </row>
    <row r="408">
      <c r="A408" s="61"/>
      <c r="B408" s="61"/>
      <c r="C408" s="62"/>
      <c r="D408" s="62"/>
      <c r="E408" s="62"/>
      <c r="F408" s="62"/>
      <c r="G408" s="62"/>
      <c r="H408" s="190"/>
      <c r="I408" s="62"/>
      <c r="J408" s="62"/>
      <c r="K408" s="62"/>
      <c r="L408" s="62"/>
      <c r="M408" s="62"/>
      <c r="N408" s="62"/>
      <c r="O408" s="62"/>
      <c r="P408" s="62"/>
      <c r="Q408" s="62"/>
      <c r="R408" s="62"/>
      <c r="S408" s="62"/>
      <c r="T408" s="62"/>
      <c r="U408" s="62"/>
      <c r="V408" s="62"/>
      <c r="W408" s="62"/>
      <c r="X408" s="62"/>
      <c r="Y408" s="62"/>
      <c r="Z408" s="62"/>
      <c r="AA408" s="62"/>
      <c r="AB408" s="62"/>
      <c r="AC408" s="62"/>
    </row>
    <row r="409">
      <c r="A409" s="61"/>
      <c r="B409" s="61"/>
      <c r="C409" s="62"/>
      <c r="D409" s="62"/>
      <c r="E409" s="62"/>
      <c r="F409" s="62"/>
      <c r="G409" s="62"/>
      <c r="H409" s="190"/>
      <c r="I409" s="62"/>
      <c r="J409" s="62"/>
      <c r="K409" s="62"/>
      <c r="L409" s="62"/>
      <c r="M409" s="62"/>
      <c r="N409" s="62"/>
      <c r="O409" s="62"/>
      <c r="P409" s="62"/>
      <c r="Q409" s="62"/>
      <c r="R409" s="62"/>
      <c r="S409" s="62"/>
      <c r="T409" s="62"/>
      <c r="U409" s="62"/>
      <c r="V409" s="62"/>
      <c r="W409" s="62"/>
      <c r="X409" s="62"/>
      <c r="Y409" s="62"/>
      <c r="Z409" s="62"/>
      <c r="AA409" s="62"/>
      <c r="AB409" s="62"/>
      <c r="AC409" s="62"/>
    </row>
    <row r="410">
      <c r="A410" s="61"/>
      <c r="B410" s="61"/>
      <c r="C410" s="62"/>
      <c r="D410" s="62"/>
      <c r="E410" s="62"/>
      <c r="F410" s="62"/>
      <c r="G410" s="62"/>
      <c r="H410" s="190"/>
      <c r="I410" s="62"/>
      <c r="J410" s="62"/>
      <c r="K410" s="62"/>
      <c r="L410" s="62"/>
      <c r="M410" s="62"/>
      <c r="N410" s="62"/>
      <c r="O410" s="62"/>
      <c r="P410" s="62"/>
      <c r="Q410" s="62"/>
      <c r="R410" s="62"/>
      <c r="S410" s="62"/>
      <c r="T410" s="62"/>
      <c r="U410" s="62"/>
      <c r="V410" s="62"/>
      <c r="W410" s="62"/>
      <c r="X410" s="62"/>
      <c r="Y410" s="62"/>
      <c r="Z410" s="62"/>
      <c r="AA410" s="62"/>
      <c r="AB410" s="62"/>
      <c r="AC410" s="62"/>
    </row>
    <row r="411">
      <c r="A411" s="61"/>
      <c r="B411" s="61"/>
      <c r="C411" s="62"/>
      <c r="D411" s="62"/>
      <c r="E411" s="62"/>
      <c r="F411" s="62"/>
      <c r="G411" s="62"/>
      <c r="H411" s="190"/>
      <c r="I411" s="62"/>
      <c r="J411" s="62"/>
      <c r="K411" s="62"/>
      <c r="L411" s="62"/>
      <c r="M411" s="62"/>
      <c r="N411" s="62"/>
      <c r="O411" s="62"/>
      <c r="P411" s="62"/>
      <c r="Q411" s="62"/>
      <c r="R411" s="62"/>
      <c r="S411" s="62"/>
      <c r="T411" s="62"/>
      <c r="U411" s="62"/>
      <c r="V411" s="62"/>
      <c r="W411" s="62"/>
      <c r="X411" s="62"/>
      <c r="Y411" s="62"/>
      <c r="Z411" s="62"/>
      <c r="AA411" s="62"/>
      <c r="AB411" s="62"/>
      <c r="AC411" s="62"/>
    </row>
    <row r="412">
      <c r="A412" s="61"/>
      <c r="B412" s="61"/>
      <c r="C412" s="62"/>
      <c r="D412" s="62"/>
      <c r="E412" s="62"/>
      <c r="F412" s="62"/>
      <c r="G412" s="62"/>
      <c r="H412" s="190"/>
      <c r="I412" s="62"/>
      <c r="J412" s="62"/>
      <c r="K412" s="62"/>
      <c r="L412" s="62"/>
      <c r="M412" s="62"/>
      <c r="N412" s="62"/>
      <c r="O412" s="62"/>
      <c r="P412" s="62"/>
      <c r="Q412" s="62"/>
      <c r="R412" s="62"/>
      <c r="S412" s="62"/>
      <c r="T412" s="62"/>
      <c r="U412" s="62"/>
      <c r="V412" s="62"/>
      <c r="W412" s="62"/>
      <c r="X412" s="62"/>
      <c r="Y412" s="62"/>
      <c r="Z412" s="62"/>
      <c r="AA412" s="62"/>
      <c r="AB412" s="62"/>
      <c r="AC412" s="62"/>
    </row>
    <row r="413">
      <c r="A413" s="61"/>
      <c r="B413" s="61"/>
      <c r="C413" s="62"/>
      <c r="D413" s="62"/>
      <c r="E413" s="62"/>
      <c r="F413" s="62"/>
      <c r="G413" s="62"/>
      <c r="H413" s="190"/>
      <c r="I413" s="62"/>
      <c r="J413" s="62"/>
      <c r="K413" s="62"/>
      <c r="L413" s="62"/>
      <c r="M413" s="62"/>
      <c r="N413" s="62"/>
      <c r="O413" s="62"/>
      <c r="P413" s="62"/>
      <c r="Q413" s="62"/>
      <c r="R413" s="62"/>
      <c r="S413" s="62"/>
      <c r="T413" s="62"/>
      <c r="U413" s="62"/>
      <c r="V413" s="62"/>
      <c r="W413" s="62"/>
      <c r="X413" s="62"/>
      <c r="Y413" s="62"/>
      <c r="Z413" s="62"/>
      <c r="AA413" s="62"/>
      <c r="AB413" s="62"/>
      <c r="AC413" s="62"/>
    </row>
    <row r="414">
      <c r="A414" s="61"/>
      <c r="B414" s="61"/>
      <c r="C414" s="62"/>
      <c r="D414" s="62"/>
      <c r="E414" s="62"/>
      <c r="F414" s="62"/>
      <c r="G414" s="62"/>
      <c r="H414" s="190"/>
      <c r="I414" s="62"/>
      <c r="J414" s="62"/>
      <c r="K414" s="62"/>
      <c r="L414" s="62"/>
      <c r="M414" s="62"/>
      <c r="N414" s="62"/>
      <c r="O414" s="62"/>
      <c r="P414" s="62"/>
      <c r="Q414" s="62"/>
      <c r="R414" s="62"/>
      <c r="S414" s="62"/>
      <c r="T414" s="62"/>
      <c r="U414" s="62"/>
      <c r="V414" s="62"/>
      <c r="W414" s="62"/>
      <c r="X414" s="62"/>
      <c r="Y414" s="62"/>
      <c r="Z414" s="62"/>
      <c r="AA414" s="62"/>
      <c r="AB414" s="62"/>
      <c r="AC414" s="62"/>
    </row>
    <row r="415">
      <c r="A415" s="61"/>
      <c r="B415" s="61"/>
      <c r="C415" s="62"/>
      <c r="D415" s="62"/>
      <c r="E415" s="62"/>
      <c r="F415" s="62"/>
      <c r="G415" s="62"/>
      <c r="H415" s="190"/>
      <c r="I415" s="62"/>
      <c r="J415" s="62"/>
      <c r="K415" s="62"/>
      <c r="L415" s="62"/>
      <c r="M415" s="62"/>
      <c r="N415" s="62"/>
      <c r="O415" s="62"/>
      <c r="P415" s="62"/>
      <c r="Q415" s="62"/>
      <c r="R415" s="62"/>
      <c r="S415" s="62"/>
      <c r="T415" s="62"/>
      <c r="U415" s="62"/>
      <c r="V415" s="62"/>
      <c r="W415" s="62"/>
      <c r="X415" s="62"/>
      <c r="Y415" s="62"/>
      <c r="Z415" s="62"/>
      <c r="AA415" s="62"/>
      <c r="AB415" s="62"/>
      <c r="AC415" s="62"/>
    </row>
    <row r="416">
      <c r="A416" s="61"/>
      <c r="B416" s="61"/>
      <c r="C416" s="62"/>
      <c r="D416" s="62"/>
      <c r="E416" s="62"/>
      <c r="F416" s="62"/>
      <c r="G416" s="62"/>
      <c r="H416" s="190"/>
      <c r="I416" s="62"/>
      <c r="J416" s="62"/>
      <c r="K416" s="62"/>
      <c r="L416" s="62"/>
      <c r="M416" s="62"/>
      <c r="N416" s="62"/>
      <c r="O416" s="62"/>
      <c r="P416" s="62"/>
      <c r="Q416" s="62"/>
      <c r="R416" s="62"/>
      <c r="S416" s="62"/>
      <c r="T416" s="62"/>
      <c r="U416" s="62"/>
      <c r="V416" s="62"/>
      <c r="W416" s="62"/>
      <c r="X416" s="62"/>
      <c r="Y416" s="62"/>
      <c r="Z416" s="62"/>
      <c r="AA416" s="62"/>
      <c r="AB416" s="62"/>
      <c r="AC416" s="62"/>
    </row>
    <row r="417">
      <c r="A417" s="61"/>
      <c r="B417" s="61"/>
      <c r="C417" s="62"/>
      <c r="D417" s="62"/>
      <c r="E417" s="62"/>
      <c r="F417" s="62"/>
      <c r="G417" s="62"/>
      <c r="H417" s="190"/>
      <c r="I417" s="62"/>
      <c r="J417" s="62"/>
      <c r="K417" s="62"/>
      <c r="L417" s="62"/>
      <c r="M417" s="62"/>
      <c r="N417" s="62"/>
      <c r="O417" s="62"/>
      <c r="P417" s="62"/>
      <c r="Q417" s="62"/>
      <c r="R417" s="62"/>
      <c r="S417" s="62"/>
      <c r="T417" s="62"/>
      <c r="U417" s="62"/>
      <c r="V417" s="62"/>
      <c r="W417" s="62"/>
      <c r="X417" s="62"/>
      <c r="Y417" s="62"/>
      <c r="Z417" s="62"/>
      <c r="AA417" s="62"/>
      <c r="AB417" s="62"/>
      <c r="AC417" s="62"/>
    </row>
    <row r="418">
      <c r="A418" s="61"/>
      <c r="B418" s="61"/>
      <c r="C418" s="62"/>
      <c r="D418" s="62"/>
      <c r="E418" s="62"/>
      <c r="F418" s="62"/>
      <c r="G418" s="62"/>
      <c r="H418" s="190"/>
      <c r="I418" s="62"/>
      <c r="J418" s="62"/>
      <c r="K418" s="62"/>
      <c r="L418" s="62"/>
      <c r="M418" s="62"/>
      <c r="N418" s="62"/>
      <c r="O418" s="62"/>
      <c r="P418" s="62"/>
      <c r="Q418" s="62"/>
      <c r="R418" s="62"/>
      <c r="S418" s="62"/>
      <c r="T418" s="62"/>
      <c r="U418" s="62"/>
      <c r="V418" s="62"/>
      <c r="W418" s="62"/>
      <c r="X418" s="62"/>
      <c r="Y418" s="62"/>
      <c r="Z418" s="62"/>
      <c r="AA418" s="62"/>
      <c r="AB418" s="62"/>
      <c r="AC418" s="62"/>
    </row>
    <row r="419">
      <c r="A419" s="61"/>
      <c r="B419" s="61"/>
      <c r="C419" s="62"/>
      <c r="D419" s="62"/>
      <c r="E419" s="62"/>
      <c r="F419" s="62"/>
      <c r="G419" s="62"/>
      <c r="H419" s="190"/>
      <c r="I419" s="62"/>
      <c r="J419" s="62"/>
      <c r="K419" s="62"/>
      <c r="L419" s="62"/>
      <c r="M419" s="62"/>
      <c r="N419" s="62"/>
      <c r="O419" s="62"/>
      <c r="P419" s="62"/>
      <c r="Q419" s="62"/>
      <c r="R419" s="62"/>
      <c r="S419" s="62"/>
      <c r="T419" s="62"/>
      <c r="U419" s="62"/>
      <c r="V419" s="62"/>
      <c r="W419" s="62"/>
      <c r="X419" s="62"/>
      <c r="Y419" s="62"/>
      <c r="Z419" s="62"/>
      <c r="AA419" s="62"/>
      <c r="AB419" s="62"/>
      <c r="AC419" s="62"/>
    </row>
    <row r="420">
      <c r="A420" s="61"/>
      <c r="B420" s="61"/>
      <c r="C420" s="62"/>
      <c r="D420" s="62"/>
      <c r="E420" s="62"/>
      <c r="F420" s="62"/>
      <c r="G420" s="62"/>
      <c r="H420" s="190"/>
      <c r="I420" s="62"/>
      <c r="J420" s="62"/>
      <c r="K420" s="62"/>
      <c r="L420" s="62"/>
      <c r="M420" s="62"/>
      <c r="N420" s="62"/>
      <c r="O420" s="62"/>
      <c r="P420" s="62"/>
      <c r="Q420" s="62"/>
      <c r="R420" s="62"/>
      <c r="S420" s="62"/>
      <c r="T420" s="62"/>
      <c r="U420" s="62"/>
      <c r="V420" s="62"/>
      <c r="W420" s="62"/>
      <c r="X420" s="62"/>
      <c r="Y420" s="62"/>
      <c r="Z420" s="62"/>
      <c r="AA420" s="62"/>
      <c r="AB420" s="62"/>
      <c r="AC420" s="62"/>
    </row>
    <row r="421">
      <c r="A421" s="61"/>
      <c r="B421" s="61"/>
      <c r="C421" s="62"/>
      <c r="D421" s="62"/>
      <c r="E421" s="62"/>
      <c r="F421" s="62"/>
      <c r="G421" s="62"/>
      <c r="H421" s="190"/>
      <c r="I421" s="62"/>
      <c r="J421" s="62"/>
      <c r="K421" s="62"/>
      <c r="L421" s="62"/>
      <c r="M421" s="62"/>
      <c r="N421" s="62"/>
      <c r="O421" s="62"/>
      <c r="P421" s="62"/>
      <c r="Q421" s="62"/>
      <c r="R421" s="62"/>
      <c r="S421" s="62"/>
      <c r="T421" s="62"/>
      <c r="U421" s="62"/>
      <c r="V421" s="62"/>
      <c r="W421" s="62"/>
      <c r="X421" s="62"/>
      <c r="Y421" s="62"/>
      <c r="Z421" s="62"/>
      <c r="AA421" s="62"/>
      <c r="AB421" s="62"/>
      <c r="AC421" s="62"/>
    </row>
    <row r="422">
      <c r="A422" s="61"/>
      <c r="B422" s="61"/>
      <c r="C422" s="62"/>
      <c r="D422" s="62"/>
      <c r="E422" s="62"/>
      <c r="F422" s="62"/>
      <c r="G422" s="62"/>
      <c r="H422" s="190"/>
      <c r="I422" s="62"/>
      <c r="J422" s="62"/>
      <c r="K422" s="62"/>
      <c r="L422" s="62"/>
      <c r="M422" s="62"/>
      <c r="N422" s="62"/>
      <c r="O422" s="62"/>
      <c r="P422" s="62"/>
      <c r="Q422" s="62"/>
      <c r="R422" s="62"/>
      <c r="S422" s="62"/>
      <c r="T422" s="62"/>
      <c r="U422" s="62"/>
      <c r="V422" s="62"/>
      <c r="W422" s="62"/>
      <c r="X422" s="62"/>
      <c r="Y422" s="62"/>
      <c r="Z422" s="62"/>
      <c r="AA422" s="62"/>
      <c r="AB422" s="62"/>
      <c r="AC422" s="62"/>
    </row>
    <row r="423">
      <c r="A423" s="61"/>
      <c r="B423" s="61"/>
      <c r="C423" s="62"/>
      <c r="D423" s="62"/>
      <c r="E423" s="62"/>
      <c r="F423" s="62"/>
      <c r="G423" s="62"/>
      <c r="H423" s="190"/>
      <c r="I423" s="62"/>
      <c r="J423" s="62"/>
      <c r="K423" s="62"/>
      <c r="L423" s="62"/>
      <c r="M423" s="62"/>
      <c r="N423" s="62"/>
      <c r="O423" s="62"/>
      <c r="P423" s="62"/>
      <c r="Q423" s="62"/>
      <c r="R423" s="62"/>
      <c r="S423" s="62"/>
      <c r="T423" s="62"/>
      <c r="U423" s="62"/>
      <c r="V423" s="62"/>
      <c r="W423" s="62"/>
      <c r="X423" s="62"/>
      <c r="Y423" s="62"/>
      <c r="Z423" s="62"/>
      <c r="AA423" s="62"/>
      <c r="AB423" s="62"/>
      <c r="AC423" s="62"/>
    </row>
    <row r="424">
      <c r="A424" s="61"/>
      <c r="B424" s="61"/>
      <c r="C424" s="62"/>
      <c r="D424" s="62"/>
      <c r="E424" s="62"/>
      <c r="F424" s="62"/>
      <c r="G424" s="62"/>
      <c r="H424" s="190"/>
      <c r="I424" s="62"/>
      <c r="J424" s="62"/>
      <c r="K424" s="62"/>
      <c r="L424" s="62"/>
      <c r="M424" s="62"/>
      <c r="N424" s="62"/>
      <c r="O424" s="62"/>
      <c r="P424" s="62"/>
      <c r="Q424" s="62"/>
      <c r="R424" s="62"/>
      <c r="S424" s="62"/>
      <c r="T424" s="62"/>
      <c r="U424" s="62"/>
      <c r="V424" s="62"/>
      <c r="W424" s="62"/>
      <c r="X424" s="62"/>
      <c r="Y424" s="62"/>
      <c r="Z424" s="62"/>
      <c r="AA424" s="62"/>
      <c r="AB424" s="62"/>
      <c r="AC424" s="62"/>
    </row>
    <row r="425">
      <c r="A425" s="61"/>
      <c r="B425" s="61"/>
      <c r="C425" s="62"/>
      <c r="D425" s="62"/>
      <c r="E425" s="62"/>
      <c r="F425" s="62"/>
      <c r="G425" s="62"/>
      <c r="H425" s="190"/>
      <c r="I425" s="62"/>
      <c r="J425" s="62"/>
      <c r="K425" s="62"/>
      <c r="L425" s="62"/>
      <c r="M425" s="62"/>
      <c r="N425" s="62"/>
      <c r="O425" s="62"/>
      <c r="P425" s="62"/>
      <c r="Q425" s="62"/>
      <c r="R425" s="62"/>
      <c r="S425" s="62"/>
      <c r="T425" s="62"/>
      <c r="U425" s="62"/>
      <c r="V425" s="62"/>
      <c r="W425" s="62"/>
      <c r="X425" s="62"/>
      <c r="Y425" s="62"/>
      <c r="Z425" s="62"/>
      <c r="AA425" s="62"/>
      <c r="AB425" s="62"/>
      <c r="AC425" s="62"/>
    </row>
    <row r="426">
      <c r="A426" s="61"/>
      <c r="B426" s="61"/>
      <c r="C426" s="62"/>
      <c r="D426" s="62"/>
      <c r="E426" s="62"/>
      <c r="F426" s="62"/>
      <c r="G426" s="62"/>
      <c r="H426" s="190"/>
      <c r="I426" s="62"/>
      <c r="J426" s="62"/>
      <c r="K426" s="62"/>
      <c r="L426" s="62"/>
      <c r="M426" s="62"/>
      <c r="N426" s="62"/>
      <c r="O426" s="62"/>
      <c r="P426" s="62"/>
      <c r="Q426" s="62"/>
      <c r="R426" s="62"/>
      <c r="S426" s="62"/>
      <c r="T426" s="62"/>
      <c r="U426" s="62"/>
      <c r="V426" s="62"/>
      <c r="W426" s="62"/>
      <c r="X426" s="62"/>
      <c r="Y426" s="62"/>
      <c r="Z426" s="62"/>
      <c r="AA426" s="62"/>
      <c r="AB426" s="62"/>
      <c r="AC426" s="62"/>
    </row>
    <row r="427">
      <c r="A427" s="61"/>
      <c r="B427" s="61"/>
      <c r="C427" s="62"/>
      <c r="D427" s="62"/>
      <c r="E427" s="62"/>
      <c r="F427" s="62"/>
      <c r="G427" s="62"/>
      <c r="H427" s="190"/>
      <c r="I427" s="62"/>
      <c r="J427" s="62"/>
      <c r="K427" s="62"/>
      <c r="L427" s="62"/>
      <c r="M427" s="62"/>
      <c r="N427" s="62"/>
      <c r="O427" s="62"/>
      <c r="P427" s="62"/>
      <c r="Q427" s="62"/>
      <c r="R427" s="62"/>
      <c r="S427" s="62"/>
      <c r="T427" s="62"/>
      <c r="U427" s="62"/>
      <c r="V427" s="62"/>
      <c r="W427" s="62"/>
      <c r="X427" s="62"/>
      <c r="Y427" s="62"/>
      <c r="Z427" s="62"/>
      <c r="AA427" s="62"/>
      <c r="AB427" s="62"/>
      <c r="AC427" s="62"/>
    </row>
    <row r="428">
      <c r="A428" s="61"/>
      <c r="B428" s="61"/>
      <c r="C428" s="62"/>
      <c r="D428" s="62"/>
      <c r="E428" s="62"/>
      <c r="F428" s="62"/>
      <c r="G428" s="62"/>
      <c r="H428" s="190"/>
      <c r="I428" s="62"/>
      <c r="J428" s="62"/>
      <c r="K428" s="62"/>
      <c r="L428" s="62"/>
      <c r="M428" s="62"/>
      <c r="N428" s="62"/>
      <c r="O428" s="62"/>
      <c r="P428" s="62"/>
      <c r="Q428" s="62"/>
      <c r="R428" s="62"/>
      <c r="S428" s="62"/>
      <c r="T428" s="62"/>
      <c r="U428" s="62"/>
      <c r="V428" s="62"/>
      <c r="W428" s="62"/>
      <c r="X428" s="62"/>
      <c r="Y428" s="62"/>
      <c r="Z428" s="62"/>
      <c r="AA428" s="62"/>
      <c r="AB428" s="62"/>
      <c r="AC428" s="62"/>
    </row>
    <row r="429">
      <c r="A429" s="61"/>
      <c r="B429" s="61"/>
      <c r="C429" s="62"/>
      <c r="D429" s="62"/>
      <c r="E429" s="62"/>
      <c r="F429" s="62"/>
      <c r="G429" s="62"/>
      <c r="H429" s="190"/>
      <c r="I429" s="62"/>
      <c r="J429" s="62"/>
      <c r="K429" s="62"/>
      <c r="L429" s="62"/>
      <c r="M429" s="62"/>
      <c r="N429" s="62"/>
      <c r="O429" s="62"/>
      <c r="P429" s="62"/>
      <c r="Q429" s="62"/>
      <c r="R429" s="62"/>
      <c r="S429" s="62"/>
      <c r="T429" s="62"/>
      <c r="U429" s="62"/>
      <c r="V429" s="62"/>
      <c r="W429" s="62"/>
      <c r="X429" s="62"/>
      <c r="Y429" s="62"/>
      <c r="Z429" s="62"/>
      <c r="AA429" s="62"/>
      <c r="AB429" s="62"/>
      <c r="AC429" s="62"/>
    </row>
    <row r="430">
      <c r="A430" s="61"/>
      <c r="B430" s="61"/>
      <c r="C430" s="62"/>
      <c r="D430" s="62"/>
      <c r="E430" s="62"/>
      <c r="F430" s="62"/>
      <c r="G430" s="62"/>
      <c r="H430" s="190"/>
      <c r="I430" s="62"/>
      <c r="J430" s="62"/>
      <c r="K430" s="62"/>
      <c r="L430" s="62"/>
      <c r="M430" s="62"/>
      <c r="N430" s="62"/>
      <c r="O430" s="62"/>
      <c r="P430" s="62"/>
      <c r="Q430" s="62"/>
      <c r="R430" s="62"/>
      <c r="S430" s="62"/>
      <c r="T430" s="62"/>
      <c r="U430" s="62"/>
      <c r="V430" s="62"/>
      <c r="W430" s="62"/>
      <c r="X430" s="62"/>
      <c r="Y430" s="62"/>
      <c r="Z430" s="62"/>
      <c r="AA430" s="62"/>
      <c r="AB430" s="62"/>
      <c r="AC430" s="62"/>
    </row>
    <row r="431">
      <c r="A431" s="61"/>
      <c r="B431" s="61"/>
      <c r="C431" s="62"/>
      <c r="D431" s="62"/>
      <c r="E431" s="62"/>
      <c r="F431" s="62"/>
      <c r="G431" s="62"/>
      <c r="H431" s="190"/>
      <c r="I431" s="62"/>
      <c r="J431" s="62"/>
      <c r="K431" s="62"/>
      <c r="L431" s="62"/>
      <c r="M431" s="62"/>
      <c r="N431" s="62"/>
      <c r="O431" s="62"/>
      <c r="P431" s="62"/>
      <c r="Q431" s="62"/>
      <c r="R431" s="62"/>
      <c r="S431" s="62"/>
      <c r="T431" s="62"/>
      <c r="U431" s="62"/>
      <c r="V431" s="62"/>
      <c r="W431" s="62"/>
      <c r="X431" s="62"/>
      <c r="Y431" s="62"/>
      <c r="Z431" s="62"/>
      <c r="AA431" s="62"/>
      <c r="AB431" s="62"/>
      <c r="AC431" s="62"/>
    </row>
    <row r="432">
      <c r="A432" s="61"/>
      <c r="B432" s="61"/>
      <c r="C432" s="62"/>
      <c r="D432" s="62"/>
      <c r="E432" s="62"/>
      <c r="F432" s="62"/>
      <c r="G432" s="62"/>
      <c r="H432" s="190"/>
      <c r="I432" s="62"/>
      <c r="J432" s="62"/>
      <c r="K432" s="62"/>
      <c r="L432" s="62"/>
      <c r="M432" s="62"/>
      <c r="N432" s="62"/>
      <c r="O432" s="62"/>
      <c r="P432" s="62"/>
      <c r="Q432" s="62"/>
      <c r="R432" s="62"/>
      <c r="S432" s="62"/>
      <c r="T432" s="62"/>
      <c r="U432" s="62"/>
      <c r="V432" s="62"/>
      <c r="W432" s="62"/>
      <c r="X432" s="62"/>
      <c r="Y432" s="62"/>
      <c r="Z432" s="62"/>
      <c r="AA432" s="62"/>
      <c r="AB432" s="62"/>
      <c r="AC432" s="62"/>
    </row>
    <row r="433">
      <c r="A433" s="61"/>
      <c r="B433" s="61"/>
      <c r="C433" s="62"/>
      <c r="D433" s="62"/>
      <c r="E433" s="62"/>
      <c r="F433" s="62"/>
      <c r="G433" s="62"/>
      <c r="H433" s="190"/>
      <c r="I433" s="62"/>
      <c r="J433" s="62"/>
      <c r="K433" s="62"/>
      <c r="L433" s="62"/>
      <c r="M433" s="62"/>
      <c r="N433" s="62"/>
      <c r="O433" s="62"/>
      <c r="P433" s="62"/>
      <c r="Q433" s="62"/>
      <c r="R433" s="62"/>
      <c r="S433" s="62"/>
      <c r="T433" s="62"/>
      <c r="U433" s="62"/>
      <c r="V433" s="62"/>
      <c r="W433" s="62"/>
      <c r="X433" s="62"/>
      <c r="Y433" s="62"/>
      <c r="Z433" s="62"/>
      <c r="AA433" s="62"/>
      <c r="AB433" s="62"/>
      <c r="AC433" s="62"/>
    </row>
    <row r="434">
      <c r="A434" s="61"/>
      <c r="B434" s="61"/>
      <c r="C434" s="62"/>
      <c r="D434" s="62"/>
      <c r="E434" s="62"/>
      <c r="F434" s="62"/>
      <c r="G434" s="62"/>
      <c r="H434" s="190"/>
      <c r="I434" s="62"/>
      <c r="J434" s="62"/>
      <c r="K434" s="62"/>
      <c r="L434" s="62"/>
      <c r="M434" s="62"/>
      <c r="N434" s="62"/>
      <c r="O434" s="62"/>
      <c r="P434" s="62"/>
      <c r="Q434" s="62"/>
      <c r="R434" s="62"/>
      <c r="S434" s="62"/>
      <c r="T434" s="62"/>
      <c r="U434" s="62"/>
      <c r="V434" s="62"/>
      <c r="W434" s="62"/>
      <c r="X434" s="62"/>
      <c r="Y434" s="62"/>
      <c r="Z434" s="62"/>
      <c r="AA434" s="62"/>
      <c r="AB434" s="62"/>
      <c r="AC434" s="62"/>
    </row>
    <row r="435">
      <c r="A435" s="61"/>
      <c r="B435" s="61"/>
      <c r="C435" s="62"/>
      <c r="D435" s="62"/>
      <c r="E435" s="62"/>
      <c r="F435" s="62"/>
      <c r="G435" s="62"/>
      <c r="H435" s="190"/>
      <c r="I435" s="62"/>
      <c r="J435" s="62"/>
      <c r="K435" s="62"/>
      <c r="L435" s="62"/>
      <c r="M435" s="62"/>
      <c r="N435" s="62"/>
      <c r="O435" s="62"/>
      <c r="P435" s="62"/>
      <c r="Q435" s="62"/>
      <c r="R435" s="62"/>
      <c r="S435" s="62"/>
      <c r="T435" s="62"/>
      <c r="U435" s="62"/>
      <c r="V435" s="62"/>
      <c r="W435" s="62"/>
      <c r="X435" s="62"/>
      <c r="Y435" s="62"/>
      <c r="Z435" s="62"/>
      <c r="AA435" s="62"/>
      <c r="AB435" s="62"/>
      <c r="AC435" s="62"/>
    </row>
    <row r="436">
      <c r="A436" s="61"/>
      <c r="B436" s="61"/>
      <c r="C436" s="62"/>
      <c r="D436" s="62"/>
      <c r="E436" s="62"/>
      <c r="F436" s="62"/>
      <c r="G436" s="62"/>
      <c r="H436" s="190"/>
      <c r="I436" s="62"/>
      <c r="J436" s="62"/>
      <c r="K436" s="62"/>
      <c r="L436" s="62"/>
      <c r="M436" s="62"/>
      <c r="N436" s="62"/>
      <c r="O436" s="62"/>
      <c r="P436" s="62"/>
      <c r="Q436" s="62"/>
      <c r="R436" s="62"/>
      <c r="S436" s="62"/>
      <c r="T436" s="62"/>
      <c r="U436" s="62"/>
      <c r="V436" s="62"/>
      <c r="W436" s="62"/>
      <c r="X436" s="62"/>
      <c r="Y436" s="62"/>
      <c r="Z436" s="62"/>
      <c r="AA436" s="62"/>
      <c r="AB436" s="62"/>
      <c r="AC436" s="62"/>
    </row>
    <row r="437">
      <c r="A437" s="61"/>
      <c r="B437" s="61"/>
      <c r="C437" s="62"/>
      <c r="D437" s="62"/>
      <c r="E437" s="62"/>
      <c r="F437" s="62"/>
      <c r="G437" s="62"/>
      <c r="H437" s="190"/>
      <c r="I437" s="62"/>
      <c r="J437" s="62"/>
      <c r="K437" s="62"/>
      <c r="L437" s="62"/>
      <c r="M437" s="62"/>
      <c r="N437" s="62"/>
      <c r="O437" s="62"/>
      <c r="P437" s="62"/>
      <c r="Q437" s="62"/>
      <c r="R437" s="62"/>
      <c r="S437" s="62"/>
      <c r="T437" s="62"/>
      <c r="U437" s="62"/>
      <c r="V437" s="62"/>
      <c r="W437" s="62"/>
      <c r="X437" s="62"/>
      <c r="Y437" s="62"/>
      <c r="Z437" s="62"/>
      <c r="AA437" s="62"/>
      <c r="AB437" s="62"/>
      <c r="AC437" s="62"/>
    </row>
    <row r="438">
      <c r="A438" s="61"/>
      <c r="B438" s="61"/>
      <c r="C438" s="62"/>
      <c r="D438" s="62"/>
      <c r="E438" s="62"/>
      <c r="F438" s="62"/>
      <c r="G438" s="62"/>
      <c r="H438" s="190"/>
      <c r="I438" s="62"/>
      <c r="J438" s="62"/>
      <c r="K438" s="62"/>
      <c r="L438" s="62"/>
      <c r="M438" s="62"/>
      <c r="N438" s="62"/>
      <c r="O438" s="62"/>
      <c r="P438" s="62"/>
      <c r="Q438" s="62"/>
      <c r="R438" s="62"/>
      <c r="S438" s="62"/>
      <c r="T438" s="62"/>
      <c r="U438" s="62"/>
      <c r="V438" s="62"/>
      <c r="W438" s="62"/>
      <c r="X438" s="62"/>
      <c r="Y438" s="62"/>
      <c r="Z438" s="62"/>
      <c r="AA438" s="62"/>
      <c r="AB438" s="62"/>
      <c r="AC438" s="62"/>
    </row>
    <row r="439">
      <c r="A439" s="61"/>
      <c r="B439" s="61"/>
      <c r="C439" s="62"/>
      <c r="D439" s="62"/>
      <c r="E439" s="62"/>
      <c r="F439" s="62"/>
      <c r="G439" s="62"/>
      <c r="H439" s="190"/>
      <c r="I439" s="62"/>
      <c r="J439" s="62"/>
      <c r="K439" s="62"/>
      <c r="L439" s="62"/>
      <c r="M439" s="62"/>
      <c r="N439" s="62"/>
      <c r="O439" s="62"/>
      <c r="P439" s="62"/>
      <c r="Q439" s="62"/>
      <c r="R439" s="62"/>
      <c r="S439" s="62"/>
      <c r="T439" s="62"/>
      <c r="U439" s="62"/>
      <c r="V439" s="62"/>
      <c r="W439" s="62"/>
      <c r="X439" s="62"/>
      <c r="Y439" s="62"/>
      <c r="Z439" s="62"/>
      <c r="AA439" s="62"/>
      <c r="AB439" s="62"/>
      <c r="AC439" s="62"/>
    </row>
    <row r="440">
      <c r="A440" s="61"/>
      <c r="B440" s="61"/>
      <c r="C440" s="62"/>
      <c r="D440" s="62"/>
      <c r="E440" s="62"/>
      <c r="F440" s="62"/>
      <c r="G440" s="62"/>
      <c r="H440" s="190"/>
      <c r="I440" s="62"/>
      <c r="J440" s="62"/>
      <c r="K440" s="62"/>
      <c r="L440" s="62"/>
      <c r="M440" s="62"/>
      <c r="N440" s="62"/>
      <c r="O440" s="62"/>
      <c r="P440" s="62"/>
      <c r="Q440" s="62"/>
      <c r="R440" s="62"/>
      <c r="S440" s="62"/>
      <c r="T440" s="62"/>
      <c r="U440" s="62"/>
      <c r="V440" s="62"/>
      <c r="W440" s="62"/>
      <c r="X440" s="62"/>
      <c r="Y440" s="62"/>
      <c r="Z440" s="62"/>
      <c r="AA440" s="62"/>
      <c r="AB440" s="62"/>
      <c r="AC440" s="62"/>
    </row>
    <row r="441">
      <c r="A441" s="61"/>
      <c r="B441" s="61"/>
      <c r="C441" s="62"/>
      <c r="D441" s="62"/>
      <c r="E441" s="62"/>
      <c r="F441" s="62"/>
      <c r="G441" s="62"/>
      <c r="H441" s="190"/>
      <c r="I441" s="62"/>
      <c r="J441" s="62"/>
      <c r="K441" s="62"/>
      <c r="L441" s="62"/>
      <c r="M441" s="62"/>
      <c r="N441" s="62"/>
      <c r="O441" s="62"/>
      <c r="P441" s="62"/>
      <c r="Q441" s="62"/>
      <c r="R441" s="62"/>
      <c r="S441" s="62"/>
      <c r="T441" s="62"/>
      <c r="U441" s="62"/>
      <c r="V441" s="62"/>
      <c r="W441" s="62"/>
      <c r="X441" s="62"/>
      <c r="Y441" s="62"/>
      <c r="Z441" s="62"/>
      <c r="AA441" s="62"/>
      <c r="AB441" s="62"/>
      <c r="AC441" s="62"/>
    </row>
    <row r="442">
      <c r="A442" s="61"/>
      <c r="B442" s="61"/>
      <c r="C442" s="62"/>
      <c r="D442" s="62"/>
      <c r="E442" s="62"/>
      <c r="F442" s="62"/>
      <c r="G442" s="62"/>
      <c r="H442" s="190"/>
      <c r="I442" s="62"/>
      <c r="J442" s="62"/>
      <c r="K442" s="62"/>
      <c r="L442" s="62"/>
      <c r="M442" s="62"/>
      <c r="N442" s="62"/>
      <c r="O442" s="62"/>
      <c r="P442" s="62"/>
      <c r="Q442" s="62"/>
      <c r="R442" s="62"/>
      <c r="S442" s="62"/>
      <c r="T442" s="62"/>
      <c r="U442" s="62"/>
      <c r="V442" s="62"/>
      <c r="W442" s="62"/>
      <c r="X442" s="62"/>
      <c r="Y442" s="62"/>
      <c r="Z442" s="62"/>
      <c r="AA442" s="62"/>
      <c r="AB442" s="62"/>
      <c r="AC442" s="62"/>
    </row>
    <row r="443">
      <c r="A443" s="61"/>
      <c r="B443" s="61"/>
      <c r="C443" s="62"/>
      <c r="D443" s="62"/>
      <c r="E443" s="62"/>
      <c r="F443" s="62"/>
      <c r="G443" s="62"/>
      <c r="H443" s="190"/>
      <c r="I443" s="62"/>
      <c r="J443" s="62"/>
      <c r="K443" s="62"/>
      <c r="L443" s="62"/>
      <c r="M443" s="62"/>
      <c r="N443" s="62"/>
      <c r="O443" s="62"/>
      <c r="P443" s="62"/>
      <c r="Q443" s="62"/>
      <c r="R443" s="62"/>
      <c r="S443" s="62"/>
      <c r="T443" s="62"/>
      <c r="U443" s="62"/>
      <c r="V443" s="62"/>
      <c r="W443" s="62"/>
      <c r="X443" s="62"/>
      <c r="Y443" s="62"/>
      <c r="Z443" s="62"/>
      <c r="AA443" s="62"/>
      <c r="AB443" s="62"/>
      <c r="AC443" s="62"/>
    </row>
    <row r="444">
      <c r="A444" s="61"/>
      <c r="B444" s="61"/>
      <c r="C444" s="62"/>
      <c r="D444" s="62"/>
      <c r="E444" s="62"/>
      <c r="F444" s="62"/>
      <c r="G444" s="62"/>
      <c r="H444" s="190"/>
      <c r="I444" s="62"/>
      <c r="J444" s="62"/>
      <c r="K444" s="62"/>
      <c r="L444" s="62"/>
      <c r="M444" s="62"/>
      <c r="N444" s="62"/>
      <c r="O444" s="62"/>
      <c r="P444" s="62"/>
      <c r="Q444" s="62"/>
      <c r="R444" s="62"/>
      <c r="S444" s="62"/>
      <c r="T444" s="62"/>
      <c r="U444" s="62"/>
      <c r="V444" s="62"/>
      <c r="W444" s="62"/>
      <c r="X444" s="62"/>
      <c r="Y444" s="62"/>
      <c r="Z444" s="62"/>
      <c r="AA444" s="62"/>
      <c r="AB444" s="62"/>
      <c r="AC444" s="62"/>
    </row>
    <row r="445">
      <c r="A445" s="61"/>
      <c r="B445" s="61"/>
      <c r="C445" s="62"/>
      <c r="D445" s="62"/>
      <c r="E445" s="62"/>
      <c r="F445" s="62"/>
      <c r="G445" s="62"/>
      <c r="H445" s="190"/>
      <c r="I445" s="62"/>
      <c r="J445" s="62"/>
      <c r="K445" s="62"/>
      <c r="L445" s="62"/>
      <c r="M445" s="62"/>
      <c r="N445" s="62"/>
      <c r="O445" s="62"/>
      <c r="P445" s="62"/>
      <c r="Q445" s="62"/>
      <c r="R445" s="62"/>
      <c r="S445" s="62"/>
      <c r="T445" s="62"/>
      <c r="U445" s="62"/>
      <c r="V445" s="62"/>
      <c r="W445" s="62"/>
      <c r="X445" s="62"/>
      <c r="Y445" s="62"/>
      <c r="Z445" s="62"/>
      <c r="AA445" s="62"/>
      <c r="AB445" s="62"/>
      <c r="AC445" s="62"/>
    </row>
    <row r="446">
      <c r="A446" s="61"/>
      <c r="B446" s="61"/>
      <c r="C446" s="62"/>
      <c r="D446" s="62"/>
      <c r="E446" s="62"/>
      <c r="F446" s="62"/>
      <c r="G446" s="62"/>
      <c r="H446" s="190"/>
      <c r="I446" s="62"/>
      <c r="J446" s="62"/>
      <c r="K446" s="62"/>
      <c r="L446" s="62"/>
      <c r="M446" s="62"/>
      <c r="N446" s="62"/>
      <c r="O446" s="62"/>
      <c r="P446" s="62"/>
      <c r="Q446" s="62"/>
      <c r="R446" s="62"/>
      <c r="S446" s="62"/>
      <c r="T446" s="62"/>
      <c r="U446" s="62"/>
      <c r="V446" s="62"/>
      <c r="W446" s="62"/>
      <c r="X446" s="62"/>
      <c r="Y446" s="62"/>
      <c r="Z446" s="62"/>
      <c r="AA446" s="62"/>
      <c r="AB446" s="62"/>
      <c r="AC446" s="62"/>
    </row>
    <row r="447">
      <c r="A447" s="61"/>
      <c r="B447" s="61"/>
      <c r="C447" s="62"/>
      <c r="D447" s="62"/>
      <c r="E447" s="62"/>
      <c r="F447" s="62"/>
      <c r="G447" s="62"/>
      <c r="H447" s="190"/>
      <c r="I447" s="62"/>
      <c r="J447" s="62"/>
      <c r="K447" s="62"/>
      <c r="L447" s="62"/>
      <c r="M447" s="62"/>
      <c r="N447" s="62"/>
      <c r="O447" s="62"/>
      <c r="P447" s="62"/>
      <c r="Q447" s="62"/>
      <c r="R447" s="62"/>
      <c r="S447" s="62"/>
      <c r="T447" s="62"/>
      <c r="U447" s="62"/>
      <c r="V447" s="62"/>
      <c r="W447" s="62"/>
      <c r="X447" s="62"/>
      <c r="Y447" s="62"/>
      <c r="Z447" s="62"/>
      <c r="AA447" s="62"/>
      <c r="AB447" s="62"/>
      <c r="AC447" s="62"/>
    </row>
    <row r="448">
      <c r="A448" s="61"/>
      <c r="B448" s="61"/>
      <c r="C448" s="62"/>
      <c r="D448" s="62"/>
      <c r="E448" s="62"/>
      <c r="F448" s="62"/>
      <c r="G448" s="62"/>
      <c r="H448" s="190"/>
      <c r="I448" s="62"/>
      <c r="J448" s="62"/>
      <c r="K448" s="62"/>
      <c r="L448" s="62"/>
      <c r="M448" s="62"/>
      <c r="N448" s="62"/>
      <c r="O448" s="62"/>
      <c r="P448" s="62"/>
      <c r="Q448" s="62"/>
      <c r="R448" s="62"/>
      <c r="S448" s="62"/>
      <c r="T448" s="62"/>
      <c r="U448" s="62"/>
      <c r="V448" s="62"/>
      <c r="W448" s="62"/>
      <c r="X448" s="62"/>
      <c r="Y448" s="62"/>
      <c r="Z448" s="62"/>
      <c r="AA448" s="62"/>
      <c r="AB448" s="62"/>
      <c r="AC448" s="62"/>
    </row>
    <row r="449">
      <c r="A449" s="61"/>
      <c r="B449" s="61"/>
      <c r="C449" s="62"/>
      <c r="D449" s="62"/>
      <c r="E449" s="62"/>
      <c r="F449" s="62"/>
      <c r="G449" s="62"/>
      <c r="H449" s="190"/>
      <c r="I449" s="62"/>
      <c r="J449" s="62"/>
      <c r="K449" s="62"/>
      <c r="L449" s="62"/>
      <c r="M449" s="62"/>
      <c r="N449" s="62"/>
      <c r="O449" s="62"/>
      <c r="P449" s="62"/>
      <c r="Q449" s="62"/>
      <c r="R449" s="62"/>
      <c r="S449" s="62"/>
      <c r="T449" s="62"/>
      <c r="U449" s="62"/>
      <c r="V449" s="62"/>
      <c r="W449" s="62"/>
      <c r="X449" s="62"/>
      <c r="Y449" s="62"/>
      <c r="Z449" s="62"/>
      <c r="AA449" s="62"/>
      <c r="AB449" s="62"/>
      <c r="AC449" s="62"/>
    </row>
    <row r="450">
      <c r="A450" s="61"/>
      <c r="B450" s="61"/>
      <c r="C450" s="62"/>
      <c r="D450" s="62"/>
      <c r="E450" s="62"/>
      <c r="F450" s="62"/>
      <c r="G450" s="62"/>
      <c r="H450" s="190"/>
      <c r="I450" s="62"/>
      <c r="J450" s="62"/>
      <c r="K450" s="62"/>
      <c r="L450" s="62"/>
      <c r="M450" s="62"/>
      <c r="N450" s="62"/>
      <c r="O450" s="62"/>
      <c r="P450" s="62"/>
      <c r="Q450" s="62"/>
      <c r="R450" s="62"/>
      <c r="S450" s="62"/>
      <c r="T450" s="62"/>
      <c r="U450" s="62"/>
      <c r="V450" s="62"/>
      <c r="W450" s="62"/>
      <c r="X450" s="62"/>
      <c r="Y450" s="62"/>
      <c r="Z450" s="62"/>
      <c r="AA450" s="62"/>
      <c r="AB450" s="62"/>
      <c r="AC450" s="62"/>
    </row>
    <row r="451">
      <c r="A451" s="61"/>
      <c r="B451" s="61"/>
      <c r="C451" s="62"/>
      <c r="D451" s="62"/>
      <c r="E451" s="62"/>
      <c r="F451" s="62"/>
      <c r="G451" s="62"/>
      <c r="H451" s="190"/>
      <c r="I451" s="62"/>
      <c r="J451" s="62"/>
      <c r="K451" s="62"/>
      <c r="L451" s="62"/>
      <c r="M451" s="62"/>
      <c r="N451" s="62"/>
      <c r="O451" s="62"/>
      <c r="P451" s="62"/>
      <c r="Q451" s="62"/>
      <c r="R451" s="62"/>
      <c r="S451" s="62"/>
      <c r="T451" s="62"/>
      <c r="U451" s="62"/>
      <c r="V451" s="62"/>
      <c r="W451" s="62"/>
      <c r="X451" s="62"/>
      <c r="Y451" s="62"/>
      <c r="Z451" s="62"/>
      <c r="AA451" s="62"/>
      <c r="AB451" s="62"/>
      <c r="AC451" s="62"/>
    </row>
    <row r="452">
      <c r="A452" s="61"/>
      <c r="B452" s="61"/>
      <c r="C452" s="62"/>
      <c r="D452" s="62"/>
      <c r="E452" s="62"/>
      <c r="F452" s="62"/>
      <c r="G452" s="62"/>
      <c r="H452" s="190"/>
      <c r="I452" s="62"/>
      <c r="J452" s="62"/>
      <c r="K452" s="62"/>
      <c r="L452" s="62"/>
      <c r="M452" s="62"/>
      <c r="N452" s="62"/>
      <c r="O452" s="62"/>
      <c r="P452" s="62"/>
      <c r="Q452" s="62"/>
      <c r="R452" s="62"/>
      <c r="S452" s="62"/>
      <c r="T452" s="62"/>
      <c r="U452" s="62"/>
      <c r="V452" s="62"/>
      <c r="W452" s="62"/>
      <c r="X452" s="62"/>
      <c r="Y452" s="62"/>
      <c r="Z452" s="62"/>
      <c r="AA452" s="62"/>
      <c r="AB452" s="62"/>
      <c r="AC452" s="62"/>
    </row>
    <row r="453">
      <c r="A453" s="61"/>
      <c r="B453" s="61"/>
      <c r="C453" s="62"/>
      <c r="D453" s="62"/>
      <c r="E453" s="62"/>
      <c r="F453" s="62"/>
      <c r="G453" s="62"/>
      <c r="H453" s="190"/>
      <c r="I453" s="62"/>
      <c r="J453" s="62"/>
      <c r="K453" s="62"/>
      <c r="L453" s="62"/>
      <c r="M453" s="62"/>
      <c r="N453" s="62"/>
      <c r="O453" s="62"/>
      <c r="P453" s="62"/>
      <c r="Q453" s="62"/>
      <c r="R453" s="62"/>
      <c r="S453" s="62"/>
      <c r="T453" s="62"/>
      <c r="U453" s="62"/>
      <c r="V453" s="62"/>
      <c r="W453" s="62"/>
      <c r="X453" s="62"/>
      <c r="Y453" s="62"/>
      <c r="Z453" s="62"/>
      <c r="AA453" s="62"/>
      <c r="AB453" s="62"/>
      <c r="AC453" s="62"/>
    </row>
    <row r="454">
      <c r="A454" s="61"/>
      <c r="B454" s="61"/>
      <c r="C454" s="62"/>
      <c r="D454" s="62"/>
      <c r="E454" s="62"/>
      <c r="F454" s="62"/>
      <c r="G454" s="62"/>
      <c r="H454" s="190"/>
      <c r="I454" s="62"/>
      <c r="J454" s="62"/>
      <c r="K454" s="62"/>
      <c r="L454" s="62"/>
      <c r="M454" s="62"/>
      <c r="N454" s="62"/>
      <c r="O454" s="62"/>
      <c r="P454" s="62"/>
      <c r="Q454" s="62"/>
      <c r="R454" s="62"/>
      <c r="S454" s="62"/>
      <c r="T454" s="62"/>
      <c r="U454" s="62"/>
      <c r="V454" s="62"/>
      <c r="W454" s="62"/>
      <c r="X454" s="62"/>
      <c r="Y454" s="62"/>
      <c r="Z454" s="62"/>
      <c r="AA454" s="62"/>
      <c r="AB454" s="62"/>
      <c r="AC454" s="62"/>
    </row>
    <row r="455">
      <c r="A455" s="61"/>
      <c r="B455" s="61"/>
      <c r="C455" s="62"/>
      <c r="D455" s="62"/>
      <c r="E455" s="62"/>
      <c r="F455" s="62"/>
      <c r="G455" s="62"/>
      <c r="H455" s="190"/>
      <c r="I455" s="62"/>
      <c r="J455" s="62"/>
      <c r="K455" s="62"/>
      <c r="L455" s="62"/>
      <c r="M455" s="62"/>
      <c r="N455" s="62"/>
      <c r="O455" s="62"/>
      <c r="P455" s="62"/>
      <c r="Q455" s="62"/>
      <c r="R455" s="62"/>
      <c r="S455" s="62"/>
      <c r="T455" s="62"/>
      <c r="U455" s="62"/>
      <c r="V455" s="62"/>
      <c r="W455" s="62"/>
      <c r="X455" s="62"/>
      <c r="Y455" s="62"/>
      <c r="Z455" s="62"/>
      <c r="AA455" s="62"/>
      <c r="AB455" s="62"/>
      <c r="AC455" s="62"/>
    </row>
    <row r="456">
      <c r="A456" s="61"/>
      <c r="B456" s="61"/>
      <c r="C456" s="62"/>
      <c r="D456" s="62"/>
      <c r="E456" s="62"/>
      <c r="F456" s="62"/>
      <c r="G456" s="62"/>
      <c r="H456" s="190"/>
      <c r="I456" s="62"/>
      <c r="J456" s="62"/>
      <c r="K456" s="62"/>
      <c r="L456" s="62"/>
      <c r="M456" s="62"/>
      <c r="N456" s="62"/>
      <c r="O456" s="62"/>
      <c r="P456" s="62"/>
      <c r="Q456" s="62"/>
      <c r="R456" s="62"/>
      <c r="S456" s="62"/>
      <c r="T456" s="62"/>
      <c r="U456" s="62"/>
      <c r="V456" s="62"/>
      <c r="W456" s="62"/>
      <c r="X456" s="62"/>
      <c r="Y456" s="62"/>
      <c r="Z456" s="62"/>
      <c r="AA456" s="62"/>
      <c r="AB456" s="62"/>
      <c r="AC456" s="62"/>
    </row>
    <row r="457">
      <c r="A457" s="61"/>
      <c r="B457" s="61"/>
      <c r="C457" s="62"/>
      <c r="D457" s="62"/>
      <c r="E457" s="62"/>
      <c r="F457" s="62"/>
      <c r="G457" s="62"/>
      <c r="H457" s="190"/>
      <c r="I457" s="62"/>
      <c r="J457" s="62"/>
      <c r="K457" s="62"/>
      <c r="L457" s="62"/>
      <c r="M457" s="62"/>
      <c r="N457" s="62"/>
      <c r="O457" s="62"/>
      <c r="P457" s="62"/>
      <c r="Q457" s="62"/>
      <c r="R457" s="62"/>
      <c r="S457" s="62"/>
      <c r="T457" s="62"/>
      <c r="U457" s="62"/>
      <c r="V457" s="62"/>
      <c r="W457" s="62"/>
      <c r="X457" s="62"/>
      <c r="Y457" s="62"/>
      <c r="Z457" s="62"/>
      <c r="AA457" s="62"/>
      <c r="AB457" s="62"/>
      <c r="AC457" s="62"/>
    </row>
    <row r="458">
      <c r="A458" s="61"/>
      <c r="B458" s="61"/>
      <c r="C458" s="62"/>
      <c r="D458" s="62"/>
      <c r="E458" s="62"/>
      <c r="F458" s="62"/>
      <c r="G458" s="62"/>
      <c r="H458" s="190"/>
      <c r="I458" s="62"/>
      <c r="J458" s="62"/>
      <c r="K458" s="62"/>
      <c r="L458" s="62"/>
      <c r="M458" s="62"/>
      <c r="N458" s="62"/>
      <c r="O458" s="62"/>
      <c r="P458" s="62"/>
      <c r="Q458" s="62"/>
      <c r="R458" s="62"/>
      <c r="S458" s="62"/>
      <c r="T458" s="62"/>
      <c r="U458" s="62"/>
      <c r="V458" s="62"/>
      <c r="W458" s="62"/>
      <c r="X458" s="62"/>
      <c r="Y458" s="62"/>
      <c r="Z458" s="62"/>
      <c r="AA458" s="62"/>
      <c r="AB458" s="62"/>
      <c r="AC458" s="62"/>
    </row>
    <row r="459">
      <c r="A459" s="61"/>
      <c r="B459" s="61"/>
      <c r="C459" s="62"/>
      <c r="D459" s="62"/>
      <c r="E459" s="62"/>
      <c r="F459" s="62"/>
      <c r="G459" s="62"/>
      <c r="H459" s="190"/>
      <c r="I459" s="62"/>
      <c r="J459" s="62"/>
      <c r="K459" s="62"/>
      <c r="L459" s="62"/>
      <c r="M459" s="62"/>
      <c r="N459" s="62"/>
      <c r="O459" s="62"/>
      <c r="P459" s="62"/>
      <c r="Q459" s="62"/>
      <c r="R459" s="62"/>
      <c r="S459" s="62"/>
      <c r="T459" s="62"/>
      <c r="U459" s="62"/>
      <c r="V459" s="62"/>
      <c r="W459" s="62"/>
      <c r="X459" s="62"/>
      <c r="Y459" s="62"/>
      <c r="Z459" s="62"/>
      <c r="AA459" s="62"/>
      <c r="AB459" s="62"/>
      <c r="AC459" s="62"/>
    </row>
    <row r="460">
      <c r="A460" s="61"/>
      <c r="B460" s="61"/>
      <c r="C460" s="62"/>
      <c r="D460" s="62"/>
      <c r="E460" s="62"/>
      <c r="F460" s="62"/>
      <c r="G460" s="62"/>
      <c r="H460" s="190"/>
      <c r="I460" s="62"/>
      <c r="J460" s="62"/>
      <c r="K460" s="62"/>
      <c r="L460" s="62"/>
      <c r="M460" s="62"/>
      <c r="N460" s="62"/>
      <c r="O460" s="62"/>
      <c r="P460" s="62"/>
      <c r="Q460" s="62"/>
      <c r="R460" s="62"/>
      <c r="S460" s="62"/>
      <c r="T460" s="62"/>
      <c r="U460" s="62"/>
      <c r="V460" s="62"/>
      <c r="W460" s="62"/>
      <c r="X460" s="62"/>
      <c r="Y460" s="62"/>
      <c r="Z460" s="62"/>
      <c r="AA460" s="62"/>
      <c r="AB460" s="62"/>
      <c r="AC460" s="62"/>
    </row>
    <row r="461">
      <c r="A461" s="61"/>
      <c r="B461" s="61"/>
      <c r="C461" s="62"/>
      <c r="D461" s="62"/>
      <c r="E461" s="62"/>
      <c r="F461" s="62"/>
      <c r="G461" s="62"/>
      <c r="H461" s="190"/>
      <c r="I461" s="62"/>
      <c r="J461" s="62"/>
      <c r="K461" s="62"/>
      <c r="L461" s="62"/>
      <c r="M461" s="62"/>
      <c r="N461" s="62"/>
      <c r="O461" s="62"/>
      <c r="P461" s="62"/>
      <c r="Q461" s="62"/>
      <c r="R461" s="62"/>
      <c r="S461" s="62"/>
      <c r="T461" s="62"/>
      <c r="U461" s="62"/>
      <c r="V461" s="62"/>
      <c r="W461" s="62"/>
      <c r="X461" s="62"/>
      <c r="Y461" s="62"/>
      <c r="Z461" s="62"/>
      <c r="AA461" s="62"/>
      <c r="AB461" s="62"/>
      <c r="AC461" s="62"/>
    </row>
    <row r="462">
      <c r="A462" s="61"/>
      <c r="B462" s="61"/>
      <c r="C462" s="62"/>
      <c r="D462" s="62"/>
      <c r="E462" s="62"/>
      <c r="F462" s="62"/>
      <c r="G462" s="62"/>
      <c r="H462" s="190"/>
      <c r="I462" s="62"/>
      <c r="J462" s="62"/>
      <c r="K462" s="62"/>
      <c r="L462" s="62"/>
      <c r="M462" s="62"/>
      <c r="N462" s="62"/>
      <c r="O462" s="62"/>
      <c r="P462" s="62"/>
      <c r="Q462" s="62"/>
      <c r="R462" s="62"/>
      <c r="S462" s="62"/>
      <c r="T462" s="62"/>
      <c r="U462" s="62"/>
      <c r="V462" s="62"/>
      <c r="W462" s="62"/>
      <c r="X462" s="62"/>
      <c r="Y462" s="62"/>
      <c r="Z462" s="62"/>
      <c r="AA462" s="62"/>
      <c r="AB462" s="62"/>
      <c r="AC462" s="62"/>
    </row>
    <row r="463">
      <c r="A463" s="61"/>
      <c r="B463" s="61"/>
      <c r="C463" s="62"/>
      <c r="D463" s="62"/>
      <c r="E463" s="62"/>
      <c r="F463" s="62"/>
      <c r="G463" s="62"/>
      <c r="H463" s="190"/>
      <c r="I463" s="62"/>
      <c r="J463" s="62"/>
      <c r="K463" s="62"/>
      <c r="L463" s="62"/>
      <c r="M463" s="62"/>
      <c r="N463" s="62"/>
      <c r="O463" s="62"/>
      <c r="P463" s="62"/>
      <c r="Q463" s="62"/>
      <c r="R463" s="62"/>
      <c r="S463" s="62"/>
      <c r="T463" s="62"/>
      <c r="U463" s="62"/>
      <c r="V463" s="62"/>
      <c r="W463" s="62"/>
      <c r="X463" s="62"/>
      <c r="Y463" s="62"/>
      <c r="Z463" s="62"/>
      <c r="AA463" s="62"/>
      <c r="AB463" s="62"/>
      <c r="AC463" s="62"/>
    </row>
    <row r="464">
      <c r="A464" s="61"/>
      <c r="B464" s="61"/>
      <c r="C464" s="62"/>
      <c r="D464" s="62"/>
      <c r="E464" s="62"/>
      <c r="F464" s="62"/>
      <c r="G464" s="62"/>
      <c r="H464" s="190"/>
      <c r="I464" s="62"/>
      <c r="J464" s="62"/>
      <c r="K464" s="62"/>
      <c r="L464" s="62"/>
      <c r="M464" s="62"/>
      <c r="N464" s="62"/>
      <c r="O464" s="62"/>
      <c r="P464" s="62"/>
      <c r="Q464" s="62"/>
      <c r="R464" s="62"/>
      <c r="S464" s="62"/>
      <c r="T464" s="62"/>
      <c r="U464" s="62"/>
      <c r="V464" s="62"/>
      <c r="W464" s="62"/>
      <c r="X464" s="62"/>
      <c r="Y464" s="62"/>
      <c r="Z464" s="62"/>
      <c r="AA464" s="62"/>
      <c r="AB464" s="62"/>
      <c r="AC464" s="62"/>
    </row>
    <row r="465">
      <c r="A465" s="61"/>
      <c r="B465" s="61"/>
      <c r="C465" s="62"/>
      <c r="D465" s="62"/>
      <c r="E465" s="62"/>
      <c r="F465" s="62"/>
      <c r="G465" s="62"/>
      <c r="H465" s="190"/>
      <c r="I465" s="62"/>
      <c r="J465" s="62"/>
      <c r="K465" s="62"/>
      <c r="L465" s="62"/>
      <c r="M465" s="62"/>
      <c r="N465" s="62"/>
      <c r="O465" s="62"/>
      <c r="P465" s="62"/>
      <c r="Q465" s="62"/>
      <c r="R465" s="62"/>
      <c r="S465" s="62"/>
      <c r="T465" s="62"/>
      <c r="U465" s="62"/>
      <c r="V465" s="62"/>
      <c r="W465" s="62"/>
      <c r="X465" s="62"/>
      <c r="Y465" s="62"/>
      <c r="Z465" s="62"/>
      <c r="AA465" s="62"/>
      <c r="AB465" s="62"/>
      <c r="AC465" s="62"/>
    </row>
    <row r="466">
      <c r="A466" s="61"/>
      <c r="B466" s="61"/>
      <c r="C466" s="62"/>
      <c r="D466" s="62"/>
      <c r="E466" s="62"/>
      <c r="F466" s="62"/>
      <c r="G466" s="62"/>
      <c r="H466" s="190"/>
      <c r="I466" s="62"/>
      <c r="J466" s="62"/>
      <c r="K466" s="62"/>
      <c r="L466" s="62"/>
      <c r="M466" s="62"/>
      <c r="N466" s="62"/>
      <c r="O466" s="62"/>
      <c r="P466" s="62"/>
      <c r="Q466" s="62"/>
      <c r="R466" s="62"/>
      <c r="S466" s="62"/>
      <c r="T466" s="62"/>
      <c r="U466" s="62"/>
      <c r="V466" s="62"/>
      <c r="W466" s="62"/>
      <c r="X466" s="62"/>
      <c r="Y466" s="62"/>
      <c r="Z466" s="62"/>
      <c r="AA466" s="62"/>
      <c r="AB466" s="62"/>
      <c r="AC466" s="62"/>
    </row>
    <row r="467">
      <c r="A467" s="61"/>
      <c r="B467" s="61"/>
      <c r="C467" s="62"/>
      <c r="D467" s="62"/>
      <c r="E467" s="62"/>
      <c r="F467" s="62"/>
      <c r="G467" s="62"/>
      <c r="H467" s="190"/>
      <c r="I467" s="62"/>
      <c r="J467" s="62"/>
      <c r="K467" s="62"/>
      <c r="L467" s="62"/>
      <c r="M467" s="62"/>
      <c r="N467" s="62"/>
      <c r="O467" s="62"/>
      <c r="P467" s="62"/>
      <c r="Q467" s="62"/>
      <c r="R467" s="62"/>
      <c r="S467" s="62"/>
      <c r="T467" s="62"/>
      <c r="U467" s="62"/>
      <c r="V467" s="62"/>
      <c r="W467" s="62"/>
      <c r="X467" s="62"/>
      <c r="Y467" s="62"/>
      <c r="Z467" s="62"/>
      <c r="AA467" s="62"/>
      <c r="AB467" s="62"/>
      <c r="AC467" s="62"/>
    </row>
    <row r="468">
      <c r="A468" s="61"/>
      <c r="B468" s="61"/>
      <c r="C468" s="62"/>
      <c r="D468" s="62"/>
      <c r="E468" s="62"/>
      <c r="F468" s="62"/>
      <c r="G468" s="62"/>
      <c r="H468" s="190"/>
      <c r="I468" s="62"/>
      <c r="J468" s="62"/>
      <c r="K468" s="62"/>
      <c r="L468" s="62"/>
      <c r="M468" s="62"/>
      <c r="N468" s="62"/>
      <c r="O468" s="62"/>
      <c r="P468" s="62"/>
      <c r="Q468" s="62"/>
      <c r="R468" s="62"/>
      <c r="S468" s="62"/>
      <c r="T468" s="62"/>
      <c r="U468" s="62"/>
      <c r="V468" s="62"/>
      <c r="W468" s="62"/>
      <c r="X468" s="62"/>
      <c r="Y468" s="62"/>
      <c r="Z468" s="62"/>
      <c r="AA468" s="62"/>
      <c r="AB468" s="62"/>
      <c r="AC468" s="62"/>
    </row>
    <row r="469">
      <c r="A469" s="61"/>
      <c r="B469" s="61"/>
      <c r="C469" s="62"/>
      <c r="D469" s="62"/>
      <c r="E469" s="62"/>
      <c r="F469" s="62"/>
      <c r="G469" s="62"/>
      <c r="H469" s="190"/>
      <c r="I469" s="62"/>
      <c r="J469" s="62"/>
      <c r="K469" s="62"/>
      <c r="L469" s="62"/>
      <c r="M469" s="62"/>
      <c r="N469" s="62"/>
      <c r="O469" s="62"/>
      <c r="P469" s="62"/>
      <c r="Q469" s="62"/>
      <c r="R469" s="62"/>
      <c r="S469" s="62"/>
      <c r="T469" s="62"/>
      <c r="U469" s="62"/>
      <c r="V469" s="62"/>
      <c r="W469" s="62"/>
      <c r="X469" s="62"/>
      <c r="Y469" s="62"/>
      <c r="Z469" s="62"/>
      <c r="AA469" s="62"/>
      <c r="AB469" s="62"/>
      <c r="AC469" s="62"/>
    </row>
    <row r="470">
      <c r="A470" s="61"/>
      <c r="B470" s="61"/>
      <c r="C470" s="62"/>
      <c r="D470" s="62"/>
      <c r="E470" s="62"/>
      <c r="F470" s="62"/>
      <c r="G470" s="62"/>
      <c r="H470" s="190"/>
      <c r="I470" s="62"/>
      <c r="J470" s="62"/>
      <c r="K470" s="62"/>
      <c r="L470" s="62"/>
      <c r="M470" s="62"/>
      <c r="N470" s="62"/>
      <c r="O470" s="62"/>
      <c r="P470" s="62"/>
      <c r="Q470" s="62"/>
      <c r="R470" s="62"/>
      <c r="S470" s="62"/>
      <c r="T470" s="62"/>
      <c r="U470" s="62"/>
      <c r="V470" s="62"/>
      <c r="W470" s="62"/>
      <c r="X470" s="62"/>
      <c r="Y470" s="62"/>
      <c r="Z470" s="62"/>
      <c r="AA470" s="62"/>
      <c r="AB470" s="62"/>
      <c r="AC470" s="62"/>
    </row>
    <row r="471">
      <c r="A471" s="61"/>
      <c r="B471" s="61"/>
      <c r="C471" s="62"/>
      <c r="D471" s="62"/>
      <c r="E471" s="62"/>
      <c r="F471" s="62"/>
      <c r="G471" s="62"/>
      <c r="H471" s="190"/>
      <c r="I471" s="62"/>
      <c r="J471" s="62"/>
      <c r="K471" s="62"/>
      <c r="L471" s="62"/>
      <c r="M471" s="62"/>
      <c r="N471" s="62"/>
      <c r="O471" s="62"/>
      <c r="P471" s="62"/>
      <c r="Q471" s="62"/>
      <c r="R471" s="62"/>
      <c r="S471" s="62"/>
      <c r="T471" s="62"/>
      <c r="U471" s="62"/>
      <c r="V471" s="62"/>
      <c r="W471" s="62"/>
      <c r="X471" s="62"/>
      <c r="Y471" s="62"/>
      <c r="Z471" s="62"/>
      <c r="AA471" s="62"/>
      <c r="AB471" s="62"/>
      <c r="AC471" s="62"/>
    </row>
    <row r="472">
      <c r="A472" s="61"/>
      <c r="B472" s="61"/>
      <c r="C472" s="62"/>
      <c r="D472" s="62"/>
      <c r="E472" s="62"/>
      <c r="F472" s="62"/>
      <c r="G472" s="62"/>
      <c r="H472" s="190"/>
      <c r="I472" s="62"/>
      <c r="J472" s="62"/>
      <c r="K472" s="62"/>
      <c r="L472" s="62"/>
      <c r="M472" s="62"/>
      <c r="N472" s="62"/>
      <c r="O472" s="62"/>
      <c r="P472" s="62"/>
      <c r="Q472" s="62"/>
      <c r="R472" s="62"/>
      <c r="S472" s="62"/>
      <c r="T472" s="62"/>
      <c r="U472" s="62"/>
      <c r="V472" s="62"/>
      <c r="W472" s="62"/>
      <c r="X472" s="62"/>
      <c r="Y472" s="62"/>
      <c r="Z472" s="62"/>
      <c r="AA472" s="62"/>
      <c r="AB472" s="62"/>
      <c r="AC472" s="62"/>
    </row>
    <row r="473">
      <c r="A473" s="61"/>
      <c r="B473" s="61"/>
      <c r="C473" s="62"/>
      <c r="D473" s="62"/>
      <c r="E473" s="62"/>
      <c r="F473" s="62"/>
      <c r="G473" s="62"/>
      <c r="H473" s="190"/>
      <c r="I473" s="62"/>
      <c r="J473" s="62"/>
      <c r="K473" s="62"/>
      <c r="L473" s="62"/>
      <c r="M473" s="62"/>
      <c r="N473" s="62"/>
      <c r="O473" s="62"/>
      <c r="P473" s="62"/>
      <c r="Q473" s="62"/>
      <c r="R473" s="62"/>
      <c r="S473" s="62"/>
      <c r="T473" s="62"/>
      <c r="U473" s="62"/>
      <c r="V473" s="62"/>
      <c r="W473" s="62"/>
      <c r="X473" s="62"/>
      <c r="Y473" s="62"/>
      <c r="Z473" s="62"/>
      <c r="AA473" s="62"/>
      <c r="AB473" s="62"/>
      <c r="AC473" s="62"/>
    </row>
    <row r="474">
      <c r="A474" s="61"/>
      <c r="B474" s="61"/>
      <c r="C474" s="62"/>
      <c r="D474" s="62"/>
      <c r="E474" s="62"/>
      <c r="F474" s="62"/>
      <c r="G474" s="62"/>
      <c r="H474" s="190"/>
      <c r="I474" s="62"/>
      <c r="J474" s="62"/>
      <c r="K474" s="62"/>
      <c r="L474" s="62"/>
      <c r="M474" s="62"/>
      <c r="N474" s="62"/>
      <c r="O474" s="62"/>
      <c r="P474" s="62"/>
      <c r="Q474" s="62"/>
      <c r="R474" s="62"/>
      <c r="S474" s="62"/>
      <c r="T474" s="62"/>
      <c r="U474" s="62"/>
      <c r="V474" s="62"/>
      <c r="W474" s="62"/>
      <c r="X474" s="62"/>
      <c r="Y474" s="62"/>
      <c r="Z474" s="62"/>
      <c r="AA474" s="62"/>
      <c r="AB474" s="62"/>
      <c r="AC474" s="62"/>
    </row>
    <row r="475">
      <c r="A475" s="61"/>
      <c r="B475" s="61"/>
      <c r="C475" s="62"/>
      <c r="D475" s="62"/>
      <c r="E475" s="62"/>
      <c r="F475" s="62"/>
      <c r="G475" s="62"/>
      <c r="H475" s="190"/>
      <c r="I475" s="62"/>
      <c r="J475" s="62"/>
      <c r="K475" s="62"/>
      <c r="L475" s="62"/>
      <c r="M475" s="62"/>
      <c r="N475" s="62"/>
      <c r="O475" s="62"/>
      <c r="P475" s="62"/>
      <c r="Q475" s="62"/>
      <c r="R475" s="62"/>
      <c r="S475" s="62"/>
      <c r="T475" s="62"/>
      <c r="U475" s="62"/>
      <c r="V475" s="62"/>
      <c r="W475" s="62"/>
      <c r="X475" s="62"/>
      <c r="Y475" s="62"/>
      <c r="Z475" s="62"/>
      <c r="AA475" s="62"/>
      <c r="AB475" s="62"/>
      <c r="AC475" s="62"/>
    </row>
    <row r="476">
      <c r="A476" s="61"/>
      <c r="B476" s="61"/>
      <c r="C476" s="62"/>
      <c r="D476" s="62"/>
      <c r="E476" s="62"/>
      <c r="F476" s="62"/>
      <c r="G476" s="62"/>
      <c r="H476" s="190"/>
      <c r="I476" s="62"/>
      <c r="J476" s="62"/>
      <c r="K476" s="62"/>
      <c r="L476" s="62"/>
      <c r="M476" s="62"/>
      <c r="N476" s="62"/>
      <c r="O476" s="62"/>
      <c r="P476" s="62"/>
      <c r="Q476" s="62"/>
      <c r="R476" s="62"/>
      <c r="S476" s="62"/>
      <c r="T476" s="62"/>
      <c r="U476" s="62"/>
      <c r="V476" s="62"/>
      <c r="W476" s="62"/>
      <c r="X476" s="62"/>
      <c r="Y476" s="62"/>
      <c r="Z476" s="62"/>
      <c r="AA476" s="62"/>
      <c r="AB476" s="62"/>
      <c r="AC476" s="62"/>
    </row>
    <row r="477">
      <c r="A477" s="61"/>
      <c r="B477" s="61"/>
      <c r="C477" s="62"/>
      <c r="D477" s="62"/>
      <c r="E477" s="62"/>
      <c r="F477" s="62"/>
      <c r="G477" s="62"/>
      <c r="H477" s="190"/>
      <c r="I477" s="62"/>
      <c r="J477" s="62"/>
      <c r="K477" s="62"/>
      <c r="L477" s="62"/>
      <c r="M477" s="62"/>
      <c r="N477" s="62"/>
      <c r="O477" s="62"/>
      <c r="P477" s="62"/>
      <c r="Q477" s="62"/>
      <c r="R477" s="62"/>
      <c r="S477" s="62"/>
      <c r="T477" s="62"/>
      <c r="U477" s="62"/>
      <c r="V477" s="62"/>
      <c r="W477" s="62"/>
      <c r="X477" s="62"/>
      <c r="Y477" s="62"/>
      <c r="Z477" s="62"/>
      <c r="AA477" s="62"/>
      <c r="AB477" s="62"/>
      <c r="AC477" s="62"/>
    </row>
    <row r="478">
      <c r="A478" s="61"/>
      <c r="B478" s="61"/>
      <c r="C478" s="62"/>
      <c r="D478" s="62"/>
      <c r="E478" s="62"/>
      <c r="F478" s="62"/>
      <c r="G478" s="62"/>
      <c r="H478" s="190"/>
      <c r="I478" s="62"/>
      <c r="J478" s="62"/>
      <c r="K478" s="62"/>
      <c r="L478" s="62"/>
      <c r="M478" s="62"/>
      <c r="N478" s="62"/>
      <c r="O478" s="62"/>
      <c r="P478" s="62"/>
      <c r="Q478" s="62"/>
      <c r="R478" s="62"/>
      <c r="S478" s="62"/>
      <c r="T478" s="62"/>
      <c r="U478" s="62"/>
      <c r="V478" s="62"/>
      <c r="W478" s="62"/>
      <c r="X478" s="62"/>
      <c r="Y478" s="62"/>
      <c r="Z478" s="62"/>
      <c r="AA478" s="62"/>
      <c r="AB478" s="62"/>
      <c r="AC478" s="62"/>
    </row>
    <row r="479">
      <c r="A479" s="61"/>
      <c r="B479" s="61"/>
      <c r="C479" s="62"/>
      <c r="D479" s="62"/>
      <c r="E479" s="62"/>
      <c r="F479" s="62"/>
      <c r="G479" s="62"/>
      <c r="H479" s="190"/>
      <c r="I479" s="62"/>
      <c r="J479" s="62"/>
      <c r="K479" s="62"/>
      <c r="L479" s="62"/>
      <c r="M479" s="62"/>
      <c r="N479" s="62"/>
      <c r="O479" s="62"/>
      <c r="P479" s="62"/>
      <c r="Q479" s="62"/>
      <c r="R479" s="62"/>
      <c r="S479" s="62"/>
      <c r="T479" s="62"/>
      <c r="U479" s="62"/>
      <c r="V479" s="62"/>
      <c r="W479" s="62"/>
      <c r="X479" s="62"/>
      <c r="Y479" s="62"/>
      <c r="Z479" s="62"/>
      <c r="AA479" s="62"/>
      <c r="AB479" s="62"/>
      <c r="AC479" s="62"/>
    </row>
    <row r="480">
      <c r="A480" s="61"/>
      <c r="B480" s="61"/>
      <c r="C480" s="62"/>
      <c r="D480" s="62"/>
      <c r="E480" s="62"/>
      <c r="F480" s="62"/>
      <c r="G480" s="62"/>
      <c r="H480" s="190"/>
      <c r="I480" s="62"/>
      <c r="J480" s="62"/>
      <c r="K480" s="62"/>
      <c r="L480" s="62"/>
      <c r="M480" s="62"/>
      <c r="N480" s="62"/>
      <c r="O480" s="62"/>
      <c r="P480" s="62"/>
      <c r="Q480" s="62"/>
      <c r="R480" s="62"/>
      <c r="S480" s="62"/>
      <c r="T480" s="62"/>
      <c r="U480" s="62"/>
      <c r="V480" s="62"/>
      <c r="W480" s="62"/>
      <c r="X480" s="62"/>
      <c r="Y480" s="62"/>
      <c r="Z480" s="62"/>
      <c r="AA480" s="62"/>
      <c r="AB480" s="62"/>
      <c r="AC480" s="62"/>
    </row>
    <row r="481">
      <c r="A481" s="61"/>
      <c r="B481" s="61"/>
      <c r="C481" s="62"/>
      <c r="D481" s="62"/>
      <c r="E481" s="62"/>
      <c r="F481" s="62"/>
      <c r="G481" s="62"/>
      <c r="H481" s="190"/>
      <c r="I481" s="62"/>
      <c r="J481" s="62"/>
      <c r="K481" s="62"/>
      <c r="L481" s="62"/>
      <c r="M481" s="62"/>
      <c r="N481" s="62"/>
      <c r="O481" s="62"/>
      <c r="P481" s="62"/>
      <c r="Q481" s="62"/>
      <c r="R481" s="62"/>
      <c r="S481" s="62"/>
      <c r="T481" s="62"/>
      <c r="U481" s="62"/>
      <c r="V481" s="62"/>
      <c r="W481" s="62"/>
      <c r="X481" s="62"/>
      <c r="Y481" s="62"/>
      <c r="Z481" s="62"/>
      <c r="AA481" s="62"/>
      <c r="AB481" s="62"/>
      <c r="AC481" s="62"/>
    </row>
    <row r="482">
      <c r="A482" s="61"/>
      <c r="B482" s="61"/>
      <c r="C482" s="62"/>
      <c r="D482" s="62"/>
      <c r="E482" s="62"/>
      <c r="F482" s="62"/>
      <c r="G482" s="62"/>
      <c r="H482" s="190"/>
      <c r="I482" s="62"/>
      <c r="J482" s="62"/>
      <c r="K482" s="62"/>
      <c r="L482" s="62"/>
      <c r="M482" s="62"/>
      <c r="N482" s="62"/>
      <c r="O482" s="62"/>
      <c r="P482" s="62"/>
      <c r="Q482" s="62"/>
      <c r="R482" s="62"/>
      <c r="S482" s="62"/>
      <c r="T482" s="62"/>
      <c r="U482" s="62"/>
      <c r="V482" s="62"/>
      <c r="W482" s="62"/>
      <c r="X482" s="62"/>
      <c r="Y482" s="62"/>
      <c r="Z482" s="62"/>
      <c r="AA482" s="62"/>
      <c r="AB482" s="62"/>
      <c r="AC482" s="62"/>
    </row>
    <row r="483">
      <c r="A483" s="61"/>
      <c r="B483" s="61"/>
      <c r="C483" s="62"/>
      <c r="D483" s="62"/>
      <c r="E483" s="62"/>
      <c r="F483" s="62"/>
      <c r="G483" s="62"/>
      <c r="H483" s="190"/>
      <c r="I483" s="62"/>
      <c r="J483" s="62"/>
      <c r="K483" s="62"/>
      <c r="L483" s="62"/>
      <c r="M483" s="62"/>
      <c r="N483" s="62"/>
      <c r="O483" s="62"/>
      <c r="P483" s="62"/>
      <c r="Q483" s="62"/>
      <c r="R483" s="62"/>
      <c r="S483" s="62"/>
      <c r="T483" s="62"/>
      <c r="U483" s="62"/>
      <c r="V483" s="62"/>
      <c r="W483" s="62"/>
      <c r="X483" s="62"/>
      <c r="Y483" s="62"/>
      <c r="Z483" s="62"/>
      <c r="AA483" s="62"/>
      <c r="AB483" s="62"/>
      <c r="AC483" s="62"/>
    </row>
    <row r="484">
      <c r="A484" s="61"/>
      <c r="B484" s="61"/>
      <c r="C484" s="62"/>
      <c r="D484" s="62"/>
      <c r="E484" s="62"/>
      <c r="F484" s="62"/>
      <c r="G484" s="62"/>
      <c r="H484" s="190"/>
      <c r="I484" s="62"/>
      <c r="J484" s="62"/>
      <c r="K484" s="62"/>
      <c r="L484" s="62"/>
      <c r="M484" s="62"/>
      <c r="N484" s="62"/>
      <c r="O484" s="62"/>
      <c r="P484" s="62"/>
      <c r="Q484" s="62"/>
      <c r="R484" s="62"/>
      <c r="S484" s="62"/>
      <c r="T484" s="62"/>
      <c r="U484" s="62"/>
      <c r="V484" s="62"/>
      <c r="W484" s="62"/>
      <c r="X484" s="62"/>
      <c r="Y484" s="62"/>
      <c r="Z484" s="62"/>
      <c r="AA484" s="62"/>
      <c r="AB484" s="62"/>
      <c r="AC484" s="62"/>
    </row>
    <row r="485">
      <c r="A485" s="61"/>
      <c r="B485" s="61"/>
      <c r="C485" s="62"/>
      <c r="D485" s="62"/>
      <c r="E485" s="62"/>
      <c r="F485" s="62"/>
      <c r="G485" s="62"/>
      <c r="H485" s="190"/>
      <c r="I485" s="62"/>
      <c r="J485" s="62"/>
      <c r="K485" s="62"/>
      <c r="L485" s="62"/>
      <c r="M485" s="62"/>
      <c r="N485" s="62"/>
      <c r="O485" s="62"/>
      <c r="P485" s="62"/>
      <c r="Q485" s="62"/>
      <c r="R485" s="62"/>
      <c r="S485" s="62"/>
      <c r="T485" s="62"/>
      <c r="U485" s="62"/>
      <c r="V485" s="62"/>
      <c r="W485" s="62"/>
      <c r="X485" s="62"/>
      <c r="Y485" s="62"/>
      <c r="Z485" s="62"/>
      <c r="AA485" s="62"/>
      <c r="AB485" s="62"/>
      <c r="AC485" s="62"/>
    </row>
    <row r="486">
      <c r="A486" s="61"/>
      <c r="B486" s="61"/>
      <c r="C486" s="62"/>
      <c r="D486" s="62"/>
      <c r="E486" s="62"/>
      <c r="F486" s="62"/>
      <c r="G486" s="62"/>
      <c r="H486" s="190"/>
      <c r="I486" s="62"/>
      <c r="J486" s="62"/>
      <c r="K486" s="62"/>
      <c r="L486" s="62"/>
      <c r="M486" s="62"/>
      <c r="N486" s="62"/>
      <c r="O486" s="62"/>
      <c r="P486" s="62"/>
      <c r="Q486" s="62"/>
      <c r="R486" s="62"/>
      <c r="S486" s="62"/>
      <c r="T486" s="62"/>
      <c r="U486" s="62"/>
      <c r="V486" s="62"/>
      <c r="W486" s="62"/>
      <c r="X486" s="62"/>
      <c r="Y486" s="62"/>
      <c r="Z486" s="62"/>
      <c r="AA486" s="62"/>
      <c r="AB486" s="62"/>
      <c r="AC486" s="62"/>
    </row>
    <row r="487">
      <c r="A487" s="61"/>
      <c r="B487" s="61"/>
      <c r="C487" s="62"/>
      <c r="D487" s="62"/>
      <c r="E487" s="62"/>
      <c r="F487" s="62"/>
      <c r="G487" s="62"/>
      <c r="H487" s="190"/>
      <c r="I487" s="62"/>
      <c r="J487" s="62"/>
      <c r="K487" s="62"/>
      <c r="L487" s="62"/>
      <c r="M487" s="62"/>
      <c r="N487" s="62"/>
      <c r="O487" s="62"/>
      <c r="P487" s="62"/>
      <c r="Q487" s="62"/>
      <c r="R487" s="62"/>
      <c r="S487" s="62"/>
      <c r="T487" s="62"/>
      <c r="U487" s="62"/>
      <c r="V487" s="62"/>
      <c r="W487" s="62"/>
      <c r="X487" s="62"/>
      <c r="Y487" s="62"/>
      <c r="Z487" s="62"/>
      <c r="AA487" s="62"/>
      <c r="AB487" s="62"/>
      <c r="AC487" s="62"/>
    </row>
    <row r="488">
      <c r="A488" s="61"/>
      <c r="B488" s="61"/>
      <c r="C488" s="62"/>
      <c r="D488" s="62"/>
      <c r="E488" s="62"/>
      <c r="F488" s="62"/>
      <c r="G488" s="62"/>
      <c r="H488" s="190"/>
      <c r="I488" s="62"/>
      <c r="J488" s="62"/>
      <c r="K488" s="62"/>
      <c r="L488" s="62"/>
      <c r="M488" s="62"/>
      <c r="N488" s="62"/>
      <c r="O488" s="62"/>
      <c r="P488" s="62"/>
      <c r="Q488" s="62"/>
      <c r="R488" s="62"/>
      <c r="S488" s="62"/>
      <c r="T488" s="62"/>
      <c r="U488" s="62"/>
      <c r="V488" s="62"/>
      <c r="W488" s="62"/>
      <c r="X488" s="62"/>
      <c r="Y488" s="62"/>
      <c r="Z488" s="62"/>
      <c r="AA488" s="62"/>
      <c r="AB488" s="62"/>
      <c r="AC488" s="62"/>
    </row>
    <row r="489">
      <c r="A489" s="61"/>
      <c r="B489" s="61"/>
      <c r="C489" s="62"/>
      <c r="D489" s="62"/>
      <c r="E489" s="62"/>
      <c r="F489" s="62"/>
      <c r="G489" s="62"/>
      <c r="H489" s="190"/>
      <c r="I489" s="62"/>
      <c r="J489" s="62"/>
      <c r="K489" s="62"/>
      <c r="L489" s="62"/>
      <c r="M489" s="62"/>
      <c r="N489" s="62"/>
      <c r="O489" s="62"/>
      <c r="P489" s="62"/>
      <c r="Q489" s="62"/>
      <c r="R489" s="62"/>
      <c r="S489" s="62"/>
      <c r="T489" s="62"/>
      <c r="U489" s="62"/>
      <c r="V489" s="62"/>
      <c r="W489" s="62"/>
      <c r="X489" s="62"/>
      <c r="Y489" s="62"/>
      <c r="Z489" s="62"/>
      <c r="AA489" s="62"/>
      <c r="AB489" s="62"/>
      <c r="AC489" s="62"/>
    </row>
    <row r="490">
      <c r="A490" s="61"/>
      <c r="B490" s="61"/>
      <c r="C490" s="62"/>
      <c r="D490" s="62"/>
      <c r="E490" s="62"/>
      <c r="F490" s="62"/>
      <c r="G490" s="62"/>
      <c r="H490" s="190"/>
      <c r="I490" s="62"/>
      <c r="J490" s="62"/>
      <c r="K490" s="62"/>
      <c r="L490" s="62"/>
      <c r="M490" s="62"/>
      <c r="N490" s="62"/>
      <c r="O490" s="62"/>
      <c r="P490" s="62"/>
      <c r="Q490" s="62"/>
      <c r="R490" s="62"/>
      <c r="S490" s="62"/>
      <c r="T490" s="62"/>
      <c r="U490" s="62"/>
      <c r="V490" s="62"/>
      <c r="W490" s="62"/>
      <c r="X490" s="62"/>
      <c r="Y490" s="62"/>
      <c r="Z490" s="62"/>
      <c r="AA490" s="62"/>
      <c r="AB490" s="62"/>
      <c r="AC490" s="62"/>
    </row>
    <row r="491">
      <c r="A491" s="61"/>
      <c r="B491" s="61"/>
      <c r="C491" s="62"/>
      <c r="D491" s="62"/>
      <c r="E491" s="62"/>
      <c r="F491" s="62"/>
      <c r="G491" s="62"/>
      <c r="H491" s="190"/>
      <c r="I491" s="62"/>
      <c r="J491" s="62"/>
      <c r="K491" s="62"/>
      <c r="L491" s="62"/>
      <c r="M491" s="62"/>
      <c r="N491" s="62"/>
      <c r="O491" s="62"/>
      <c r="P491" s="62"/>
      <c r="Q491" s="62"/>
      <c r="R491" s="62"/>
      <c r="S491" s="62"/>
      <c r="T491" s="62"/>
      <c r="U491" s="62"/>
      <c r="V491" s="62"/>
      <c r="W491" s="62"/>
      <c r="X491" s="62"/>
      <c r="Y491" s="62"/>
      <c r="Z491" s="62"/>
      <c r="AA491" s="62"/>
      <c r="AB491" s="62"/>
      <c r="AC491" s="62"/>
    </row>
    <row r="492">
      <c r="A492" s="61"/>
      <c r="B492" s="61"/>
      <c r="C492" s="62"/>
      <c r="D492" s="62"/>
      <c r="E492" s="62"/>
      <c r="F492" s="62"/>
      <c r="G492" s="62"/>
      <c r="H492" s="190"/>
      <c r="I492" s="62"/>
      <c r="J492" s="62"/>
      <c r="K492" s="62"/>
      <c r="L492" s="62"/>
      <c r="M492" s="62"/>
      <c r="N492" s="62"/>
      <c r="O492" s="62"/>
      <c r="P492" s="62"/>
      <c r="Q492" s="62"/>
      <c r="R492" s="62"/>
      <c r="S492" s="62"/>
      <c r="T492" s="62"/>
      <c r="U492" s="62"/>
      <c r="V492" s="62"/>
      <c r="W492" s="62"/>
      <c r="X492" s="62"/>
      <c r="Y492" s="62"/>
      <c r="Z492" s="62"/>
      <c r="AA492" s="62"/>
      <c r="AB492" s="62"/>
      <c r="AC492" s="62"/>
    </row>
    <row r="493">
      <c r="A493" s="61"/>
      <c r="B493" s="61"/>
      <c r="C493" s="62"/>
      <c r="D493" s="62"/>
      <c r="E493" s="62"/>
      <c r="F493" s="62"/>
      <c r="G493" s="62"/>
      <c r="H493" s="190"/>
      <c r="I493" s="62"/>
      <c r="J493" s="62"/>
      <c r="K493" s="62"/>
      <c r="L493" s="62"/>
      <c r="M493" s="62"/>
      <c r="N493" s="62"/>
      <c r="O493" s="62"/>
      <c r="P493" s="62"/>
      <c r="Q493" s="62"/>
      <c r="R493" s="62"/>
      <c r="S493" s="62"/>
      <c r="T493" s="62"/>
      <c r="U493" s="62"/>
      <c r="V493" s="62"/>
      <c r="W493" s="62"/>
      <c r="X493" s="62"/>
      <c r="Y493" s="62"/>
      <c r="Z493" s="62"/>
      <c r="AA493" s="62"/>
      <c r="AB493" s="62"/>
      <c r="AC493" s="62"/>
    </row>
    <row r="494">
      <c r="A494" s="61"/>
      <c r="B494" s="61"/>
      <c r="C494" s="62"/>
      <c r="D494" s="62"/>
      <c r="E494" s="62"/>
      <c r="F494" s="62"/>
      <c r="G494" s="62"/>
      <c r="H494" s="190"/>
      <c r="I494" s="62"/>
      <c r="J494" s="62"/>
      <c r="K494" s="62"/>
      <c r="L494" s="62"/>
      <c r="M494" s="62"/>
      <c r="N494" s="62"/>
      <c r="O494" s="62"/>
      <c r="P494" s="62"/>
      <c r="Q494" s="62"/>
      <c r="R494" s="62"/>
      <c r="S494" s="62"/>
      <c r="T494" s="62"/>
      <c r="U494" s="62"/>
      <c r="V494" s="62"/>
      <c r="W494" s="62"/>
      <c r="X494" s="62"/>
      <c r="Y494" s="62"/>
      <c r="Z494" s="62"/>
      <c r="AA494" s="62"/>
      <c r="AB494" s="62"/>
      <c r="AC494" s="62"/>
    </row>
    <row r="495">
      <c r="A495" s="61"/>
      <c r="B495" s="61"/>
      <c r="C495" s="62"/>
      <c r="D495" s="62"/>
      <c r="E495" s="62"/>
      <c r="F495" s="62"/>
      <c r="G495" s="62"/>
      <c r="H495" s="190"/>
      <c r="I495" s="62"/>
      <c r="J495" s="62"/>
      <c r="K495" s="62"/>
      <c r="L495" s="62"/>
      <c r="M495" s="62"/>
      <c r="N495" s="62"/>
      <c r="O495" s="62"/>
      <c r="P495" s="62"/>
      <c r="Q495" s="62"/>
      <c r="R495" s="62"/>
      <c r="S495" s="62"/>
      <c r="T495" s="62"/>
      <c r="U495" s="62"/>
      <c r="V495" s="62"/>
      <c r="W495" s="62"/>
      <c r="X495" s="62"/>
      <c r="Y495" s="62"/>
      <c r="Z495" s="62"/>
      <c r="AA495" s="62"/>
      <c r="AB495" s="62"/>
      <c r="AC495" s="62"/>
    </row>
    <row r="496">
      <c r="A496" s="61"/>
      <c r="B496" s="61"/>
      <c r="C496" s="62"/>
      <c r="D496" s="62"/>
      <c r="E496" s="62"/>
      <c r="F496" s="62"/>
      <c r="G496" s="62"/>
      <c r="H496" s="190"/>
      <c r="I496" s="62"/>
      <c r="J496" s="62"/>
      <c r="K496" s="62"/>
      <c r="L496" s="62"/>
      <c r="M496" s="62"/>
      <c r="N496" s="62"/>
      <c r="O496" s="62"/>
      <c r="P496" s="62"/>
      <c r="Q496" s="62"/>
      <c r="R496" s="62"/>
      <c r="S496" s="62"/>
      <c r="T496" s="62"/>
      <c r="U496" s="62"/>
      <c r="V496" s="62"/>
      <c r="W496" s="62"/>
      <c r="X496" s="62"/>
      <c r="Y496" s="62"/>
      <c r="Z496" s="62"/>
      <c r="AA496" s="62"/>
      <c r="AB496" s="62"/>
      <c r="AC496" s="62"/>
    </row>
    <row r="497">
      <c r="A497" s="61"/>
      <c r="B497" s="61"/>
      <c r="C497" s="62"/>
      <c r="D497" s="62"/>
      <c r="E497" s="62"/>
      <c r="F497" s="62"/>
      <c r="G497" s="62"/>
      <c r="H497" s="190"/>
      <c r="I497" s="62"/>
      <c r="J497" s="62"/>
      <c r="K497" s="62"/>
      <c r="L497" s="62"/>
      <c r="M497" s="62"/>
      <c r="N497" s="62"/>
      <c r="O497" s="62"/>
      <c r="P497" s="62"/>
      <c r="Q497" s="62"/>
      <c r="R497" s="62"/>
      <c r="S497" s="62"/>
      <c r="T497" s="62"/>
      <c r="U497" s="62"/>
      <c r="V497" s="62"/>
      <c r="W497" s="62"/>
      <c r="X497" s="62"/>
      <c r="Y497" s="62"/>
      <c r="Z497" s="62"/>
      <c r="AA497" s="62"/>
      <c r="AB497" s="62"/>
      <c r="AC497" s="62"/>
    </row>
    <row r="498">
      <c r="A498" s="61"/>
      <c r="B498" s="61"/>
      <c r="C498" s="62"/>
      <c r="D498" s="62"/>
      <c r="E498" s="62"/>
      <c r="F498" s="62"/>
      <c r="G498" s="62"/>
      <c r="H498" s="190"/>
      <c r="I498" s="62"/>
      <c r="J498" s="62"/>
      <c r="K498" s="62"/>
      <c r="L498" s="62"/>
      <c r="M498" s="62"/>
      <c r="N498" s="62"/>
      <c r="O498" s="62"/>
      <c r="P498" s="62"/>
      <c r="Q498" s="62"/>
      <c r="R498" s="62"/>
      <c r="S498" s="62"/>
      <c r="T498" s="62"/>
      <c r="U498" s="62"/>
      <c r="V498" s="62"/>
      <c r="W498" s="62"/>
      <c r="X498" s="62"/>
      <c r="Y498" s="62"/>
      <c r="Z498" s="62"/>
      <c r="AA498" s="62"/>
      <c r="AB498" s="62"/>
      <c r="AC498" s="62"/>
    </row>
    <row r="499">
      <c r="A499" s="61"/>
      <c r="B499" s="61"/>
      <c r="C499" s="62"/>
      <c r="D499" s="62"/>
      <c r="E499" s="62"/>
      <c r="F499" s="62"/>
      <c r="G499" s="62"/>
      <c r="H499" s="190"/>
      <c r="I499" s="62"/>
      <c r="J499" s="62"/>
      <c r="K499" s="62"/>
      <c r="L499" s="62"/>
      <c r="M499" s="62"/>
      <c r="N499" s="62"/>
      <c r="O499" s="62"/>
      <c r="P499" s="62"/>
      <c r="Q499" s="62"/>
      <c r="R499" s="62"/>
      <c r="S499" s="62"/>
      <c r="T499" s="62"/>
      <c r="U499" s="62"/>
      <c r="V499" s="62"/>
      <c r="W499" s="62"/>
      <c r="X499" s="62"/>
      <c r="Y499" s="62"/>
      <c r="Z499" s="62"/>
      <c r="AA499" s="62"/>
      <c r="AB499" s="62"/>
      <c r="AC499" s="62"/>
    </row>
    <row r="500">
      <c r="A500" s="61"/>
      <c r="B500" s="61"/>
      <c r="C500" s="62"/>
      <c r="D500" s="62"/>
      <c r="E500" s="62"/>
      <c r="F500" s="62"/>
      <c r="G500" s="62"/>
      <c r="H500" s="190"/>
      <c r="I500" s="62"/>
      <c r="J500" s="62"/>
      <c r="K500" s="62"/>
      <c r="L500" s="62"/>
      <c r="M500" s="62"/>
      <c r="N500" s="62"/>
      <c r="O500" s="62"/>
      <c r="P500" s="62"/>
      <c r="Q500" s="62"/>
      <c r="R500" s="62"/>
      <c r="S500" s="62"/>
      <c r="T500" s="62"/>
      <c r="U500" s="62"/>
      <c r="V500" s="62"/>
      <c r="W500" s="62"/>
      <c r="X500" s="62"/>
      <c r="Y500" s="62"/>
      <c r="Z500" s="62"/>
      <c r="AA500" s="62"/>
      <c r="AB500" s="62"/>
      <c r="AC500" s="62"/>
    </row>
    <row r="501">
      <c r="A501" s="61"/>
      <c r="B501" s="61"/>
      <c r="C501" s="62"/>
      <c r="D501" s="62"/>
      <c r="E501" s="62"/>
      <c r="F501" s="62"/>
      <c r="G501" s="62"/>
      <c r="H501" s="190"/>
      <c r="I501" s="62"/>
      <c r="J501" s="62"/>
      <c r="K501" s="62"/>
      <c r="L501" s="62"/>
      <c r="M501" s="62"/>
      <c r="N501" s="62"/>
      <c r="O501" s="62"/>
      <c r="P501" s="62"/>
      <c r="Q501" s="62"/>
      <c r="R501" s="62"/>
      <c r="S501" s="62"/>
      <c r="T501" s="62"/>
      <c r="U501" s="62"/>
      <c r="V501" s="62"/>
      <c r="W501" s="62"/>
      <c r="X501" s="62"/>
      <c r="Y501" s="62"/>
      <c r="Z501" s="62"/>
      <c r="AA501" s="62"/>
      <c r="AB501" s="62"/>
      <c r="AC501" s="62"/>
    </row>
    <row r="502">
      <c r="A502" s="61"/>
      <c r="B502" s="61"/>
      <c r="C502" s="62"/>
      <c r="D502" s="62"/>
      <c r="E502" s="62"/>
      <c r="F502" s="62"/>
      <c r="G502" s="62"/>
      <c r="H502" s="190"/>
      <c r="I502" s="62"/>
      <c r="J502" s="62"/>
      <c r="K502" s="62"/>
      <c r="L502" s="62"/>
      <c r="M502" s="62"/>
      <c r="N502" s="62"/>
      <c r="O502" s="62"/>
      <c r="P502" s="62"/>
      <c r="Q502" s="62"/>
      <c r="R502" s="62"/>
      <c r="S502" s="62"/>
      <c r="T502" s="62"/>
      <c r="U502" s="62"/>
      <c r="V502" s="62"/>
      <c r="W502" s="62"/>
      <c r="X502" s="62"/>
      <c r="Y502" s="62"/>
      <c r="Z502" s="62"/>
      <c r="AA502" s="62"/>
      <c r="AB502" s="62"/>
      <c r="AC502" s="62"/>
    </row>
    <row r="503">
      <c r="A503" s="61"/>
      <c r="B503" s="61"/>
      <c r="C503" s="62"/>
      <c r="D503" s="62"/>
      <c r="E503" s="62"/>
      <c r="F503" s="62"/>
      <c r="G503" s="62"/>
      <c r="H503" s="190"/>
      <c r="I503" s="62"/>
      <c r="J503" s="62"/>
      <c r="K503" s="62"/>
      <c r="L503" s="62"/>
      <c r="M503" s="62"/>
      <c r="N503" s="62"/>
      <c r="O503" s="62"/>
      <c r="P503" s="62"/>
      <c r="Q503" s="62"/>
      <c r="R503" s="62"/>
      <c r="S503" s="62"/>
      <c r="T503" s="62"/>
      <c r="U503" s="62"/>
      <c r="V503" s="62"/>
      <c r="W503" s="62"/>
      <c r="X503" s="62"/>
      <c r="Y503" s="62"/>
      <c r="Z503" s="62"/>
      <c r="AA503" s="62"/>
      <c r="AB503" s="62"/>
      <c r="AC503" s="62"/>
    </row>
    <row r="504">
      <c r="A504" s="61"/>
      <c r="B504" s="61"/>
      <c r="C504" s="62"/>
      <c r="D504" s="62"/>
      <c r="E504" s="62"/>
      <c r="F504" s="62"/>
      <c r="G504" s="62"/>
      <c r="H504" s="190"/>
      <c r="I504" s="62"/>
      <c r="J504" s="62"/>
      <c r="K504" s="62"/>
      <c r="L504" s="62"/>
      <c r="M504" s="62"/>
      <c r="N504" s="62"/>
      <c r="O504" s="62"/>
      <c r="P504" s="62"/>
      <c r="Q504" s="62"/>
      <c r="R504" s="62"/>
      <c r="S504" s="62"/>
      <c r="T504" s="62"/>
      <c r="U504" s="62"/>
      <c r="V504" s="62"/>
      <c r="W504" s="62"/>
      <c r="X504" s="62"/>
      <c r="Y504" s="62"/>
      <c r="Z504" s="62"/>
      <c r="AA504" s="62"/>
      <c r="AB504" s="62"/>
      <c r="AC504" s="62"/>
    </row>
    <row r="505">
      <c r="A505" s="61"/>
      <c r="B505" s="61"/>
      <c r="C505" s="62"/>
      <c r="D505" s="62"/>
      <c r="E505" s="62"/>
      <c r="F505" s="62"/>
      <c r="G505" s="62"/>
      <c r="H505" s="190"/>
      <c r="I505" s="62"/>
      <c r="J505" s="62"/>
      <c r="K505" s="62"/>
      <c r="L505" s="62"/>
      <c r="M505" s="62"/>
      <c r="N505" s="62"/>
      <c r="O505" s="62"/>
      <c r="P505" s="62"/>
      <c r="Q505" s="62"/>
      <c r="R505" s="62"/>
      <c r="S505" s="62"/>
      <c r="T505" s="62"/>
      <c r="U505" s="62"/>
      <c r="V505" s="62"/>
      <c r="W505" s="62"/>
      <c r="X505" s="62"/>
      <c r="Y505" s="62"/>
      <c r="Z505" s="62"/>
      <c r="AA505" s="62"/>
      <c r="AB505" s="62"/>
      <c r="AC505" s="62"/>
    </row>
    <row r="506">
      <c r="A506" s="61"/>
      <c r="B506" s="61"/>
      <c r="C506" s="62"/>
      <c r="D506" s="62"/>
      <c r="E506" s="62"/>
      <c r="F506" s="62"/>
      <c r="G506" s="62"/>
      <c r="H506" s="190"/>
      <c r="I506" s="62"/>
      <c r="J506" s="62"/>
      <c r="K506" s="62"/>
      <c r="L506" s="62"/>
      <c r="M506" s="62"/>
      <c r="N506" s="62"/>
      <c r="O506" s="62"/>
      <c r="P506" s="62"/>
      <c r="Q506" s="62"/>
      <c r="R506" s="62"/>
      <c r="S506" s="62"/>
      <c r="T506" s="62"/>
      <c r="U506" s="62"/>
      <c r="V506" s="62"/>
      <c r="W506" s="62"/>
      <c r="X506" s="62"/>
      <c r="Y506" s="62"/>
      <c r="Z506" s="62"/>
      <c r="AA506" s="62"/>
      <c r="AB506" s="62"/>
      <c r="AC506" s="62"/>
    </row>
    <row r="507">
      <c r="A507" s="61"/>
      <c r="B507" s="61"/>
      <c r="C507" s="62"/>
      <c r="D507" s="62"/>
      <c r="E507" s="62"/>
      <c r="F507" s="62"/>
      <c r="G507" s="62"/>
      <c r="H507" s="190"/>
      <c r="I507" s="62"/>
      <c r="J507" s="62"/>
      <c r="K507" s="62"/>
      <c r="L507" s="62"/>
      <c r="M507" s="62"/>
      <c r="N507" s="62"/>
      <c r="O507" s="62"/>
      <c r="P507" s="62"/>
      <c r="Q507" s="62"/>
      <c r="R507" s="62"/>
      <c r="S507" s="62"/>
      <c r="T507" s="62"/>
      <c r="U507" s="62"/>
      <c r="V507" s="62"/>
      <c r="W507" s="62"/>
      <c r="X507" s="62"/>
      <c r="Y507" s="62"/>
      <c r="Z507" s="62"/>
      <c r="AA507" s="62"/>
      <c r="AB507" s="62"/>
      <c r="AC507" s="62"/>
    </row>
    <row r="508">
      <c r="A508" s="61"/>
      <c r="B508" s="61"/>
      <c r="C508" s="62"/>
      <c r="D508" s="62"/>
      <c r="E508" s="62"/>
      <c r="F508" s="62"/>
      <c r="G508" s="62"/>
      <c r="H508" s="190"/>
      <c r="I508" s="62"/>
      <c r="J508" s="62"/>
      <c r="K508" s="62"/>
      <c r="L508" s="62"/>
      <c r="M508" s="62"/>
      <c r="N508" s="62"/>
      <c r="O508" s="62"/>
      <c r="P508" s="62"/>
      <c r="Q508" s="62"/>
      <c r="R508" s="62"/>
      <c r="S508" s="62"/>
      <c r="T508" s="62"/>
      <c r="U508" s="62"/>
      <c r="V508" s="62"/>
      <c r="W508" s="62"/>
      <c r="X508" s="62"/>
      <c r="Y508" s="62"/>
      <c r="Z508" s="62"/>
      <c r="AA508" s="62"/>
      <c r="AB508" s="62"/>
      <c r="AC508" s="62"/>
    </row>
    <row r="509">
      <c r="A509" s="61"/>
      <c r="B509" s="61"/>
      <c r="C509" s="62"/>
      <c r="D509" s="62"/>
      <c r="E509" s="62"/>
      <c r="F509" s="62"/>
      <c r="G509" s="62"/>
      <c r="H509" s="190"/>
      <c r="I509" s="62"/>
      <c r="J509" s="62"/>
      <c r="K509" s="62"/>
      <c r="L509" s="62"/>
      <c r="M509" s="62"/>
      <c r="N509" s="62"/>
      <c r="O509" s="62"/>
      <c r="P509" s="62"/>
      <c r="Q509" s="62"/>
      <c r="R509" s="62"/>
      <c r="S509" s="62"/>
      <c r="T509" s="62"/>
      <c r="U509" s="62"/>
      <c r="V509" s="62"/>
      <c r="W509" s="62"/>
      <c r="X509" s="62"/>
      <c r="Y509" s="62"/>
      <c r="Z509" s="62"/>
      <c r="AA509" s="62"/>
      <c r="AB509" s="62"/>
      <c r="AC509" s="62"/>
    </row>
    <row r="510">
      <c r="A510" s="61"/>
      <c r="B510" s="61"/>
      <c r="C510" s="62"/>
      <c r="D510" s="62"/>
      <c r="E510" s="62"/>
      <c r="F510" s="62"/>
      <c r="G510" s="62"/>
      <c r="H510" s="190"/>
      <c r="I510" s="62"/>
      <c r="J510" s="62"/>
      <c r="K510" s="62"/>
      <c r="L510" s="62"/>
      <c r="M510" s="62"/>
      <c r="N510" s="62"/>
      <c r="O510" s="62"/>
      <c r="P510" s="62"/>
      <c r="Q510" s="62"/>
      <c r="R510" s="62"/>
      <c r="S510" s="62"/>
      <c r="T510" s="62"/>
      <c r="U510" s="62"/>
      <c r="V510" s="62"/>
      <c r="W510" s="62"/>
      <c r="X510" s="62"/>
      <c r="Y510" s="62"/>
      <c r="Z510" s="62"/>
      <c r="AA510" s="62"/>
      <c r="AB510" s="62"/>
      <c r="AC510" s="62"/>
    </row>
    <row r="511">
      <c r="A511" s="61"/>
      <c r="B511" s="61"/>
      <c r="C511" s="62"/>
      <c r="D511" s="62"/>
      <c r="E511" s="62"/>
      <c r="F511" s="62"/>
      <c r="G511" s="62"/>
      <c r="H511" s="190"/>
      <c r="I511" s="62"/>
      <c r="J511" s="62"/>
      <c r="K511" s="62"/>
      <c r="L511" s="62"/>
      <c r="M511" s="62"/>
      <c r="N511" s="62"/>
      <c r="O511" s="62"/>
      <c r="P511" s="62"/>
      <c r="Q511" s="62"/>
      <c r="R511" s="62"/>
      <c r="S511" s="62"/>
      <c r="T511" s="62"/>
      <c r="U511" s="62"/>
      <c r="V511" s="62"/>
      <c r="W511" s="62"/>
      <c r="X511" s="62"/>
      <c r="Y511" s="62"/>
      <c r="Z511" s="62"/>
      <c r="AA511" s="62"/>
      <c r="AB511" s="62"/>
      <c r="AC511" s="62"/>
    </row>
    <row r="512">
      <c r="A512" s="61"/>
      <c r="B512" s="61"/>
      <c r="C512" s="62"/>
      <c r="D512" s="62"/>
      <c r="E512" s="62"/>
      <c r="F512" s="62"/>
      <c r="G512" s="62"/>
      <c r="H512" s="190"/>
      <c r="I512" s="62"/>
      <c r="J512" s="62"/>
      <c r="K512" s="62"/>
      <c r="L512" s="62"/>
      <c r="M512" s="62"/>
      <c r="N512" s="62"/>
      <c r="O512" s="62"/>
      <c r="P512" s="62"/>
      <c r="Q512" s="62"/>
      <c r="R512" s="62"/>
      <c r="S512" s="62"/>
      <c r="T512" s="62"/>
      <c r="U512" s="62"/>
      <c r="V512" s="62"/>
      <c r="W512" s="62"/>
      <c r="X512" s="62"/>
      <c r="Y512" s="62"/>
      <c r="Z512" s="62"/>
      <c r="AA512" s="62"/>
      <c r="AB512" s="62"/>
      <c r="AC512" s="62"/>
    </row>
    <row r="513">
      <c r="A513" s="61"/>
      <c r="B513" s="61"/>
      <c r="C513" s="62"/>
      <c r="D513" s="62"/>
      <c r="E513" s="62"/>
      <c r="F513" s="62"/>
      <c r="G513" s="62"/>
      <c r="H513" s="190"/>
      <c r="I513" s="62"/>
      <c r="J513" s="62"/>
      <c r="K513" s="62"/>
      <c r="L513" s="62"/>
      <c r="M513" s="62"/>
      <c r="N513" s="62"/>
      <c r="O513" s="62"/>
      <c r="P513" s="62"/>
      <c r="Q513" s="62"/>
      <c r="R513" s="62"/>
      <c r="S513" s="62"/>
      <c r="T513" s="62"/>
      <c r="U513" s="62"/>
      <c r="V513" s="62"/>
      <c r="W513" s="62"/>
      <c r="X513" s="62"/>
      <c r="Y513" s="62"/>
      <c r="Z513" s="62"/>
      <c r="AA513" s="62"/>
      <c r="AB513" s="62"/>
      <c r="AC513" s="62"/>
    </row>
    <row r="514">
      <c r="A514" s="61"/>
      <c r="B514" s="61"/>
      <c r="C514" s="62"/>
      <c r="D514" s="62"/>
      <c r="E514" s="62"/>
      <c r="F514" s="62"/>
      <c r="G514" s="62"/>
      <c r="H514" s="190"/>
      <c r="I514" s="62"/>
      <c r="J514" s="62"/>
      <c r="K514" s="62"/>
      <c r="L514" s="62"/>
      <c r="M514" s="62"/>
      <c r="N514" s="62"/>
      <c r="O514" s="62"/>
      <c r="P514" s="62"/>
      <c r="Q514" s="62"/>
      <c r="R514" s="62"/>
      <c r="S514" s="62"/>
      <c r="T514" s="62"/>
      <c r="U514" s="62"/>
      <c r="V514" s="62"/>
      <c r="W514" s="62"/>
      <c r="X514" s="62"/>
      <c r="Y514" s="62"/>
      <c r="Z514" s="62"/>
      <c r="AA514" s="62"/>
      <c r="AB514" s="62"/>
      <c r="AC514" s="62"/>
    </row>
    <row r="515">
      <c r="A515" s="61"/>
      <c r="B515" s="61"/>
      <c r="C515" s="62"/>
      <c r="D515" s="62"/>
      <c r="E515" s="62"/>
      <c r="F515" s="62"/>
      <c r="G515" s="62"/>
      <c r="H515" s="190"/>
      <c r="I515" s="62"/>
      <c r="J515" s="62"/>
      <c r="K515" s="62"/>
      <c r="L515" s="62"/>
      <c r="M515" s="62"/>
      <c r="N515" s="62"/>
      <c r="O515" s="62"/>
      <c r="P515" s="62"/>
      <c r="Q515" s="62"/>
      <c r="R515" s="62"/>
      <c r="S515" s="62"/>
      <c r="T515" s="62"/>
      <c r="U515" s="62"/>
      <c r="V515" s="62"/>
      <c r="W515" s="62"/>
      <c r="X515" s="62"/>
      <c r="Y515" s="62"/>
      <c r="Z515" s="62"/>
      <c r="AA515" s="62"/>
      <c r="AB515" s="62"/>
      <c r="AC515" s="62"/>
    </row>
    <row r="516">
      <c r="A516" s="61"/>
      <c r="B516" s="61"/>
      <c r="C516" s="62"/>
      <c r="D516" s="62"/>
      <c r="E516" s="62"/>
      <c r="F516" s="62"/>
      <c r="G516" s="62"/>
      <c r="H516" s="190"/>
      <c r="I516" s="62"/>
      <c r="J516" s="62"/>
      <c r="K516" s="62"/>
      <c r="L516" s="62"/>
      <c r="M516" s="62"/>
      <c r="N516" s="62"/>
      <c r="O516" s="62"/>
      <c r="P516" s="62"/>
      <c r="Q516" s="62"/>
      <c r="R516" s="62"/>
      <c r="S516" s="62"/>
      <c r="T516" s="62"/>
      <c r="U516" s="62"/>
      <c r="V516" s="62"/>
      <c r="W516" s="62"/>
      <c r="X516" s="62"/>
      <c r="Y516" s="62"/>
      <c r="Z516" s="62"/>
      <c r="AA516" s="62"/>
      <c r="AB516" s="62"/>
      <c r="AC516" s="62"/>
    </row>
    <row r="517">
      <c r="A517" s="61"/>
      <c r="B517" s="61"/>
      <c r="C517" s="62"/>
      <c r="D517" s="62"/>
      <c r="E517" s="62"/>
      <c r="F517" s="62"/>
      <c r="G517" s="62"/>
      <c r="H517" s="190"/>
      <c r="I517" s="62"/>
      <c r="J517" s="62"/>
      <c r="K517" s="62"/>
      <c r="L517" s="62"/>
      <c r="M517" s="62"/>
      <c r="N517" s="62"/>
      <c r="O517" s="62"/>
      <c r="P517" s="62"/>
      <c r="Q517" s="62"/>
      <c r="R517" s="62"/>
      <c r="S517" s="62"/>
      <c r="T517" s="62"/>
      <c r="U517" s="62"/>
      <c r="V517" s="62"/>
      <c r="W517" s="62"/>
      <c r="X517" s="62"/>
      <c r="Y517" s="62"/>
      <c r="Z517" s="62"/>
      <c r="AA517" s="62"/>
      <c r="AB517" s="62"/>
      <c r="AC517" s="62"/>
    </row>
    <row r="518">
      <c r="A518" s="61"/>
      <c r="B518" s="61"/>
      <c r="C518" s="62"/>
      <c r="D518" s="62"/>
      <c r="E518" s="62"/>
      <c r="F518" s="62"/>
      <c r="G518" s="62"/>
      <c r="H518" s="190"/>
      <c r="I518" s="62"/>
      <c r="J518" s="62"/>
      <c r="K518" s="62"/>
      <c r="L518" s="62"/>
      <c r="M518" s="62"/>
      <c r="N518" s="62"/>
      <c r="O518" s="62"/>
      <c r="P518" s="62"/>
      <c r="Q518" s="62"/>
      <c r="R518" s="62"/>
      <c r="S518" s="62"/>
      <c r="T518" s="62"/>
      <c r="U518" s="62"/>
      <c r="V518" s="62"/>
      <c r="W518" s="62"/>
      <c r="X518" s="62"/>
      <c r="Y518" s="62"/>
      <c r="Z518" s="62"/>
      <c r="AA518" s="62"/>
      <c r="AB518" s="62"/>
      <c r="AC518" s="62"/>
    </row>
    <row r="519">
      <c r="A519" s="61"/>
      <c r="B519" s="61"/>
      <c r="C519" s="62"/>
      <c r="D519" s="62"/>
      <c r="E519" s="62"/>
      <c r="F519" s="62"/>
      <c r="G519" s="62"/>
      <c r="H519" s="190"/>
      <c r="I519" s="62"/>
      <c r="J519" s="62"/>
      <c r="K519" s="62"/>
      <c r="L519" s="62"/>
      <c r="M519" s="62"/>
      <c r="N519" s="62"/>
      <c r="O519" s="62"/>
      <c r="P519" s="62"/>
      <c r="Q519" s="62"/>
      <c r="R519" s="62"/>
      <c r="S519" s="62"/>
      <c r="T519" s="62"/>
      <c r="U519" s="62"/>
      <c r="V519" s="62"/>
      <c r="W519" s="62"/>
      <c r="X519" s="62"/>
      <c r="Y519" s="62"/>
      <c r="Z519" s="62"/>
      <c r="AA519" s="62"/>
      <c r="AB519" s="62"/>
      <c r="AC519" s="62"/>
    </row>
    <row r="520">
      <c r="A520" s="61"/>
      <c r="B520" s="61"/>
      <c r="C520" s="62"/>
      <c r="D520" s="62"/>
      <c r="E520" s="62"/>
      <c r="F520" s="62"/>
      <c r="G520" s="62"/>
      <c r="H520" s="190"/>
      <c r="I520" s="62"/>
      <c r="J520" s="62"/>
      <c r="K520" s="62"/>
      <c r="L520" s="62"/>
      <c r="M520" s="62"/>
      <c r="N520" s="62"/>
      <c r="O520" s="62"/>
      <c r="P520" s="62"/>
      <c r="Q520" s="62"/>
      <c r="R520" s="62"/>
      <c r="S520" s="62"/>
      <c r="T520" s="62"/>
      <c r="U520" s="62"/>
      <c r="V520" s="62"/>
      <c r="W520" s="62"/>
      <c r="X520" s="62"/>
      <c r="Y520" s="62"/>
      <c r="Z520" s="62"/>
      <c r="AA520" s="62"/>
      <c r="AB520" s="62"/>
      <c r="AC520" s="62"/>
    </row>
    <row r="521">
      <c r="A521" s="61"/>
      <c r="B521" s="61"/>
      <c r="C521" s="62"/>
      <c r="D521" s="62"/>
      <c r="E521" s="62"/>
      <c r="F521" s="62"/>
      <c r="G521" s="62"/>
      <c r="H521" s="190"/>
      <c r="I521" s="62"/>
      <c r="J521" s="62"/>
      <c r="K521" s="62"/>
      <c r="L521" s="62"/>
      <c r="M521" s="62"/>
      <c r="N521" s="62"/>
      <c r="O521" s="62"/>
      <c r="P521" s="62"/>
      <c r="Q521" s="62"/>
      <c r="R521" s="62"/>
      <c r="S521" s="62"/>
      <c r="T521" s="62"/>
      <c r="U521" s="62"/>
      <c r="V521" s="62"/>
      <c r="W521" s="62"/>
      <c r="X521" s="62"/>
      <c r="Y521" s="62"/>
      <c r="Z521" s="62"/>
      <c r="AA521" s="62"/>
      <c r="AB521" s="62"/>
      <c r="AC521" s="62"/>
    </row>
    <row r="522">
      <c r="A522" s="61"/>
      <c r="B522" s="61"/>
      <c r="C522" s="62"/>
      <c r="D522" s="62"/>
      <c r="E522" s="62"/>
      <c r="F522" s="62"/>
      <c r="G522" s="62"/>
      <c r="H522" s="190"/>
      <c r="I522" s="62"/>
      <c r="J522" s="62"/>
      <c r="K522" s="62"/>
      <c r="L522" s="62"/>
      <c r="M522" s="62"/>
      <c r="N522" s="62"/>
      <c r="O522" s="62"/>
      <c r="P522" s="62"/>
      <c r="Q522" s="62"/>
      <c r="R522" s="62"/>
      <c r="S522" s="62"/>
      <c r="T522" s="62"/>
      <c r="U522" s="62"/>
      <c r="V522" s="62"/>
      <c r="W522" s="62"/>
      <c r="X522" s="62"/>
      <c r="Y522" s="62"/>
      <c r="Z522" s="62"/>
      <c r="AA522" s="62"/>
      <c r="AB522" s="62"/>
      <c r="AC522" s="62"/>
    </row>
    <row r="523">
      <c r="A523" s="61"/>
      <c r="B523" s="61"/>
      <c r="C523" s="62"/>
      <c r="D523" s="62"/>
      <c r="E523" s="62"/>
      <c r="F523" s="62"/>
      <c r="G523" s="62"/>
      <c r="H523" s="190"/>
      <c r="I523" s="62"/>
      <c r="J523" s="62"/>
      <c r="K523" s="62"/>
      <c r="L523" s="62"/>
      <c r="M523" s="62"/>
      <c r="N523" s="62"/>
      <c r="O523" s="62"/>
      <c r="P523" s="62"/>
      <c r="Q523" s="62"/>
      <c r="R523" s="62"/>
      <c r="S523" s="62"/>
      <c r="T523" s="62"/>
      <c r="U523" s="62"/>
      <c r="V523" s="62"/>
      <c r="W523" s="62"/>
      <c r="X523" s="62"/>
      <c r="Y523" s="62"/>
      <c r="Z523" s="62"/>
      <c r="AA523" s="62"/>
      <c r="AB523" s="62"/>
      <c r="AC523" s="62"/>
    </row>
    <row r="524">
      <c r="A524" s="61"/>
      <c r="B524" s="61"/>
      <c r="C524" s="62"/>
      <c r="D524" s="62"/>
      <c r="E524" s="62"/>
      <c r="F524" s="62"/>
      <c r="G524" s="62"/>
      <c r="H524" s="190"/>
      <c r="I524" s="62"/>
      <c r="J524" s="62"/>
      <c r="K524" s="62"/>
      <c r="L524" s="62"/>
      <c r="M524" s="62"/>
      <c r="N524" s="62"/>
      <c r="O524" s="62"/>
      <c r="P524" s="62"/>
      <c r="Q524" s="62"/>
      <c r="R524" s="62"/>
      <c r="S524" s="62"/>
      <c r="T524" s="62"/>
      <c r="U524" s="62"/>
      <c r="V524" s="62"/>
      <c r="W524" s="62"/>
      <c r="X524" s="62"/>
      <c r="Y524" s="62"/>
      <c r="Z524" s="62"/>
      <c r="AA524" s="62"/>
      <c r="AB524" s="62"/>
      <c r="AC524" s="62"/>
    </row>
    <row r="525">
      <c r="A525" s="61"/>
      <c r="B525" s="61"/>
      <c r="C525" s="62"/>
      <c r="D525" s="62"/>
      <c r="E525" s="62"/>
      <c r="F525" s="62"/>
      <c r="G525" s="62"/>
      <c r="H525" s="190"/>
      <c r="I525" s="62"/>
      <c r="J525" s="62"/>
      <c r="K525" s="62"/>
      <c r="L525" s="62"/>
      <c r="M525" s="62"/>
      <c r="N525" s="62"/>
      <c r="O525" s="62"/>
      <c r="P525" s="62"/>
      <c r="Q525" s="62"/>
      <c r="R525" s="62"/>
      <c r="S525" s="62"/>
      <c r="T525" s="62"/>
      <c r="U525" s="62"/>
      <c r="V525" s="62"/>
      <c r="W525" s="62"/>
      <c r="X525" s="62"/>
      <c r="Y525" s="62"/>
      <c r="Z525" s="62"/>
      <c r="AA525" s="62"/>
      <c r="AB525" s="62"/>
      <c r="AC525" s="62"/>
    </row>
    <row r="526">
      <c r="A526" s="61"/>
      <c r="B526" s="61"/>
      <c r="C526" s="62"/>
      <c r="D526" s="62"/>
      <c r="E526" s="62"/>
      <c r="F526" s="62"/>
      <c r="G526" s="62"/>
      <c r="H526" s="190"/>
      <c r="I526" s="62"/>
      <c r="J526" s="62"/>
      <c r="K526" s="62"/>
      <c r="L526" s="62"/>
      <c r="M526" s="62"/>
      <c r="N526" s="62"/>
      <c r="O526" s="62"/>
      <c r="P526" s="62"/>
      <c r="Q526" s="62"/>
      <c r="R526" s="62"/>
      <c r="S526" s="62"/>
      <c r="T526" s="62"/>
      <c r="U526" s="62"/>
      <c r="V526" s="62"/>
      <c r="W526" s="62"/>
      <c r="X526" s="62"/>
      <c r="Y526" s="62"/>
      <c r="Z526" s="62"/>
      <c r="AA526" s="62"/>
      <c r="AB526" s="62"/>
      <c r="AC526" s="62"/>
    </row>
    <row r="527">
      <c r="A527" s="61"/>
      <c r="B527" s="61"/>
      <c r="C527" s="62"/>
      <c r="D527" s="62"/>
      <c r="E527" s="62"/>
      <c r="F527" s="62"/>
      <c r="G527" s="62"/>
      <c r="H527" s="190"/>
      <c r="I527" s="62"/>
      <c r="J527" s="62"/>
      <c r="K527" s="62"/>
      <c r="L527" s="62"/>
      <c r="M527" s="62"/>
      <c r="N527" s="62"/>
      <c r="O527" s="62"/>
      <c r="P527" s="62"/>
      <c r="Q527" s="62"/>
      <c r="R527" s="62"/>
      <c r="S527" s="62"/>
      <c r="T527" s="62"/>
      <c r="U527" s="62"/>
      <c r="V527" s="62"/>
      <c r="W527" s="62"/>
      <c r="X527" s="62"/>
      <c r="Y527" s="62"/>
      <c r="Z527" s="62"/>
      <c r="AA527" s="62"/>
      <c r="AB527" s="62"/>
      <c r="AC527" s="62"/>
    </row>
    <row r="528">
      <c r="A528" s="61"/>
      <c r="B528" s="61"/>
      <c r="C528" s="62"/>
      <c r="D528" s="62"/>
      <c r="E528" s="62"/>
      <c r="F528" s="62"/>
      <c r="G528" s="62"/>
      <c r="H528" s="190"/>
      <c r="I528" s="62"/>
      <c r="J528" s="62"/>
      <c r="K528" s="62"/>
      <c r="L528" s="62"/>
      <c r="M528" s="62"/>
      <c r="N528" s="62"/>
      <c r="O528" s="62"/>
      <c r="P528" s="62"/>
      <c r="Q528" s="62"/>
      <c r="R528" s="62"/>
      <c r="S528" s="62"/>
      <c r="T528" s="62"/>
      <c r="U528" s="62"/>
      <c r="V528" s="62"/>
      <c r="W528" s="62"/>
      <c r="X528" s="62"/>
      <c r="Y528" s="62"/>
      <c r="Z528" s="62"/>
      <c r="AA528" s="62"/>
      <c r="AB528" s="62"/>
      <c r="AC528" s="62"/>
    </row>
    <row r="529">
      <c r="A529" s="61"/>
      <c r="B529" s="61"/>
      <c r="C529" s="62"/>
      <c r="D529" s="62"/>
      <c r="E529" s="62"/>
      <c r="F529" s="62"/>
      <c r="G529" s="62"/>
      <c r="H529" s="190"/>
      <c r="I529" s="62"/>
      <c r="J529" s="62"/>
      <c r="K529" s="62"/>
      <c r="L529" s="62"/>
      <c r="M529" s="62"/>
      <c r="N529" s="62"/>
      <c r="O529" s="62"/>
      <c r="P529" s="62"/>
      <c r="Q529" s="62"/>
      <c r="R529" s="62"/>
      <c r="S529" s="62"/>
      <c r="T529" s="62"/>
      <c r="U529" s="62"/>
      <c r="V529" s="62"/>
      <c r="W529" s="62"/>
      <c r="X529" s="62"/>
      <c r="Y529" s="62"/>
      <c r="Z529" s="62"/>
      <c r="AA529" s="62"/>
      <c r="AB529" s="62"/>
      <c r="AC529" s="62"/>
    </row>
    <row r="530">
      <c r="A530" s="61"/>
      <c r="B530" s="61"/>
      <c r="C530" s="62"/>
      <c r="D530" s="62"/>
      <c r="E530" s="62"/>
      <c r="F530" s="62"/>
      <c r="G530" s="62"/>
      <c r="H530" s="190"/>
      <c r="I530" s="62"/>
      <c r="J530" s="62"/>
      <c r="K530" s="62"/>
      <c r="L530" s="62"/>
      <c r="M530" s="62"/>
      <c r="N530" s="62"/>
      <c r="O530" s="62"/>
      <c r="P530" s="62"/>
      <c r="Q530" s="62"/>
      <c r="R530" s="62"/>
      <c r="S530" s="62"/>
      <c r="T530" s="62"/>
      <c r="U530" s="62"/>
      <c r="V530" s="62"/>
      <c r="W530" s="62"/>
      <c r="X530" s="62"/>
      <c r="Y530" s="62"/>
      <c r="Z530" s="62"/>
      <c r="AA530" s="62"/>
      <c r="AB530" s="62"/>
      <c r="AC530" s="62"/>
    </row>
    <row r="531">
      <c r="A531" s="61"/>
      <c r="B531" s="61"/>
      <c r="C531" s="62"/>
      <c r="D531" s="62"/>
      <c r="E531" s="62"/>
      <c r="F531" s="62"/>
      <c r="G531" s="62"/>
      <c r="H531" s="190"/>
      <c r="I531" s="62"/>
      <c r="J531" s="62"/>
      <c r="K531" s="62"/>
      <c r="L531" s="62"/>
      <c r="M531" s="62"/>
      <c r="N531" s="62"/>
      <c r="O531" s="62"/>
      <c r="P531" s="62"/>
      <c r="Q531" s="62"/>
      <c r="R531" s="62"/>
      <c r="S531" s="62"/>
      <c r="T531" s="62"/>
      <c r="U531" s="62"/>
      <c r="V531" s="62"/>
      <c r="W531" s="62"/>
      <c r="X531" s="62"/>
      <c r="Y531" s="62"/>
      <c r="Z531" s="62"/>
      <c r="AA531" s="62"/>
      <c r="AB531" s="62"/>
      <c r="AC531" s="62"/>
    </row>
    <row r="532">
      <c r="A532" s="61"/>
      <c r="B532" s="61"/>
      <c r="C532" s="62"/>
      <c r="D532" s="62"/>
      <c r="E532" s="62"/>
      <c r="F532" s="62"/>
      <c r="G532" s="62"/>
      <c r="H532" s="190"/>
      <c r="I532" s="62"/>
      <c r="J532" s="62"/>
      <c r="K532" s="62"/>
      <c r="L532" s="62"/>
      <c r="M532" s="62"/>
      <c r="N532" s="62"/>
      <c r="O532" s="62"/>
      <c r="P532" s="62"/>
      <c r="Q532" s="62"/>
      <c r="R532" s="62"/>
      <c r="S532" s="62"/>
      <c r="T532" s="62"/>
      <c r="U532" s="62"/>
      <c r="V532" s="62"/>
      <c r="W532" s="62"/>
      <c r="X532" s="62"/>
      <c r="Y532" s="62"/>
      <c r="Z532" s="62"/>
      <c r="AA532" s="62"/>
      <c r="AB532" s="62"/>
      <c r="AC532" s="62"/>
    </row>
    <row r="533">
      <c r="A533" s="61"/>
      <c r="B533" s="61"/>
      <c r="C533" s="62"/>
      <c r="D533" s="62"/>
      <c r="E533" s="62"/>
      <c r="F533" s="62"/>
      <c r="G533" s="62"/>
      <c r="H533" s="190"/>
      <c r="I533" s="62"/>
      <c r="J533" s="62"/>
      <c r="K533" s="62"/>
      <c r="L533" s="62"/>
      <c r="M533" s="62"/>
      <c r="N533" s="62"/>
      <c r="O533" s="62"/>
      <c r="P533" s="62"/>
      <c r="Q533" s="62"/>
      <c r="R533" s="62"/>
      <c r="S533" s="62"/>
      <c r="T533" s="62"/>
      <c r="U533" s="62"/>
      <c r="V533" s="62"/>
      <c r="W533" s="62"/>
      <c r="X533" s="62"/>
      <c r="Y533" s="62"/>
      <c r="Z533" s="62"/>
      <c r="AA533" s="62"/>
      <c r="AB533" s="62"/>
      <c r="AC533" s="62"/>
    </row>
    <row r="534">
      <c r="A534" s="61"/>
      <c r="B534" s="61"/>
      <c r="C534" s="62"/>
      <c r="D534" s="62"/>
      <c r="E534" s="62"/>
      <c r="F534" s="62"/>
      <c r="G534" s="62"/>
      <c r="H534" s="190"/>
      <c r="I534" s="62"/>
      <c r="J534" s="62"/>
      <c r="K534" s="62"/>
      <c r="L534" s="62"/>
      <c r="M534" s="62"/>
      <c r="N534" s="62"/>
      <c r="O534" s="62"/>
      <c r="P534" s="62"/>
      <c r="Q534" s="62"/>
      <c r="R534" s="62"/>
      <c r="S534" s="62"/>
      <c r="T534" s="62"/>
      <c r="U534" s="62"/>
      <c r="V534" s="62"/>
      <c r="W534" s="62"/>
      <c r="X534" s="62"/>
      <c r="Y534" s="62"/>
      <c r="Z534" s="62"/>
      <c r="AA534" s="62"/>
      <c r="AB534" s="62"/>
      <c r="AC534" s="62"/>
    </row>
    <row r="535">
      <c r="A535" s="61"/>
      <c r="B535" s="61"/>
      <c r="C535" s="62"/>
      <c r="D535" s="62"/>
      <c r="E535" s="62"/>
      <c r="F535" s="62"/>
      <c r="G535" s="62"/>
      <c r="H535" s="190"/>
      <c r="I535" s="62"/>
      <c r="J535" s="62"/>
      <c r="K535" s="62"/>
      <c r="L535" s="62"/>
      <c r="M535" s="62"/>
      <c r="N535" s="62"/>
      <c r="O535" s="62"/>
      <c r="P535" s="62"/>
      <c r="Q535" s="62"/>
      <c r="R535" s="62"/>
      <c r="S535" s="62"/>
      <c r="T535" s="62"/>
      <c r="U535" s="62"/>
      <c r="V535" s="62"/>
      <c r="W535" s="62"/>
      <c r="X535" s="62"/>
      <c r="Y535" s="62"/>
      <c r="Z535" s="62"/>
      <c r="AA535" s="62"/>
      <c r="AB535" s="62"/>
      <c r="AC535" s="62"/>
    </row>
    <row r="536">
      <c r="A536" s="61"/>
      <c r="B536" s="61"/>
      <c r="C536" s="62"/>
      <c r="D536" s="62"/>
      <c r="E536" s="62"/>
      <c r="F536" s="62"/>
      <c r="G536" s="62"/>
      <c r="H536" s="190"/>
      <c r="I536" s="62"/>
      <c r="J536" s="62"/>
      <c r="K536" s="62"/>
      <c r="L536" s="62"/>
      <c r="M536" s="62"/>
      <c r="N536" s="62"/>
      <c r="O536" s="62"/>
      <c r="P536" s="62"/>
      <c r="Q536" s="62"/>
      <c r="R536" s="62"/>
      <c r="S536" s="62"/>
      <c r="T536" s="62"/>
      <c r="U536" s="62"/>
      <c r="V536" s="62"/>
      <c r="W536" s="62"/>
      <c r="X536" s="62"/>
      <c r="Y536" s="62"/>
      <c r="Z536" s="62"/>
      <c r="AA536" s="62"/>
      <c r="AB536" s="62"/>
      <c r="AC536" s="62"/>
    </row>
    <row r="537">
      <c r="A537" s="61"/>
      <c r="B537" s="61"/>
      <c r="C537" s="62"/>
      <c r="D537" s="62"/>
      <c r="E537" s="62"/>
      <c r="F537" s="62"/>
      <c r="G537" s="62"/>
      <c r="H537" s="190"/>
      <c r="I537" s="62"/>
      <c r="J537" s="62"/>
      <c r="K537" s="62"/>
      <c r="L537" s="62"/>
      <c r="M537" s="62"/>
      <c r="N537" s="62"/>
      <c r="O537" s="62"/>
      <c r="P537" s="62"/>
      <c r="Q537" s="62"/>
      <c r="R537" s="62"/>
      <c r="S537" s="62"/>
      <c r="T537" s="62"/>
      <c r="U537" s="62"/>
      <c r="V537" s="62"/>
      <c r="W537" s="62"/>
      <c r="X537" s="62"/>
      <c r="Y537" s="62"/>
      <c r="Z537" s="62"/>
      <c r="AA537" s="62"/>
      <c r="AB537" s="62"/>
      <c r="AC537" s="62"/>
    </row>
    <row r="538">
      <c r="A538" s="61"/>
      <c r="B538" s="61"/>
      <c r="C538" s="62"/>
      <c r="D538" s="62"/>
      <c r="E538" s="62"/>
      <c r="F538" s="62"/>
      <c r="G538" s="62"/>
      <c r="H538" s="190"/>
      <c r="I538" s="62"/>
      <c r="J538" s="62"/>
      <c r="K538" s="62"/>
      <c r="L538" s="62"/>
      <c r="M538" s="62"/>
      <c r="N538" s="62"/>
      <c r="O538" s="62"/>
      <c r="P538" s="62"/>
      <c r="Q538" s="62"/>
      <c r="R538" s="62"/>
      <c r="S538" s="62"/>
      <c r="T538" s="62"/>
      <c r="U538" s="62"/>
      <c r="V538" s="62"/>
      <c r="W538" s="62"/>
      <c r="X538" s="62"/>
      <c r="Y538" s="62"/>
      <c r="Z538" s="62"/>
      <c r="AA538" s="62"/>
      <c r="AB538" s="62"/>
      <c r="AC538" s="62"/>
    </row>
    <row r="539">
      <c r="A539" s="61"/>
      <c r="B539" s="61"/>
      <c r="C539" s="62"/>
      <c r="D539" s="62"/>
      <c r="E539" s="62"/>
      <c r="F539" s="62"/>
      <c r="G539" s="62"/>
      <c r="H539" s="190"/>
      <c r="I539" s="62"/>
      <c r="J539" s="62"/>
      <c r="K539" s="62"/>
      <c r="L539" s="62"/>
      <c r="M539" s="62"/>
      <c r="N539" s="62"/>
      <c r="O539" s="62"/>
      <c r="P539" s="62"/>
      <c r="Q539" s="62"/>
      <c r="R539" s="62"/>
      <c r="S539" s="62"/>
      <c r="T539" s="62"/>
      <c r="U539" s="62"/>
      <c r="V539" s="62"/>
      <c r="W539" s="62"/>
      <c r="X539" s="62"/>
      <c r="Y539" s="62"/>
      <c r="Z539" s="62"/>
      <c r="AA539" s="62"/>
      <c r="AB539" s="62"/>
      <c r="AC539" s="62"/>
    </row>
    <row r="540">
      <c r="A540" s="61"/>
      <c r="B540" s="61"/>
      <c r="C540" s="62"/>
      <c r="D540" s="62"/>
      <c r="E540" s="62"/>
      <c r="F540" s="62"/>
      <c r="G540" s="62"/>
      <c r="H540" s="190"/>
      <c r="I540" s="62"/>
      <c r="J540" s="62"/>
      <c r="K540" s="62"/>
      <c r="L540" s="62"/>
      <c r="M540" s="62"/>
      <c r="N540" s="62"/>
      <c r="O540" s="62"/>
      <c r="P540" s="62"/>
      <c r="Q540" s="62"/>
      <c r="R540" s="62"/>
      <c r="S540" s="62"/>
      <c r="T540" s="62"/>
      <c r="U540" s="62"/>
      <c r="V540" s="62"/>
      <c r="W540" s="62"/>
      <c r="X540" s="62"/>
      <c r="Y540" s="62"/>
      <c r="Z540" s="62"/>
      <c r="AA540" s="62"/>
      <c r="AB540" s="62"/>
      <c r="AC540" s="62"/>
    </row>
    <row r="541">
      <c r="A541" s="61"/>
      <c r="B541" s="61"/>
      <c r="C541" s="62"/>
      <c r="D541" s="62"/>
      <c r="E541" s="62"/>
      <c r="F541" s="62"/>
      <c r="G541" s="62"/>
      <c r="H541" s="190"/>
      <c r="I541" s="62"/>
      <c r="J541" s="62"/>
      <c r="K541" s="62"/>
      <c r="L541" s="62"/>
      <c r="M541" s="62"/>
      <c r="N541" s="62"/>
      <c r="O541" s="62"/>
      <c r="P541" s="62"/>
      <c r="Q541" s="62"/>
      <c r="R541" s="62"/>
      <c r="S541" s="62"/>
      <c r="T541" s="62"/>
      <c r="U541" s="62"/>
      <c r="V541" s="62"/>
      <c r="W541" s="62"/>
      <c r="X541" s="62"/>
      <c r="Y541" s="62"/>
      <c r="Z541" s="62"/>
      <c r="AA541" s="62"/>
      <c r="AB541" s="62"/>
      <c r="AC541" s="62"/>
    </row>
    <row r="542">
      <c r="A542" s="61"/>
      <c r="B542" s="61"/>
      <c r="C542" s="62"/>
      <c r="D542" s="62"/>
      <c r="E542" s="62"/>
      <c r="F542" s="62"/>
      <c r="G542" s="62"/>
      <c r="H542" s="190"/>
      <c r="I542" s="62"/>
      <c r="J542" s="62"/>
      <c r="K542" s="62"/>
      <c r="L542" s="62"/>
      <c r="M542" s="62"/>
      <c r="N542" s="62"/>
      <c r="O542" s="62"/>
      <c r="P542" s="62"/>
      <c r="Q542" s="62"/>
      <c r="R542" s="62"/>
      <c r="S542" s="62"/>
      <c r="T542" s="62"/>
      <c r="U542" s="62"/>
      <c r="V542" s="62"/>
      <c r="W542" s="62"/>
      <c r="X542" s="62"/>
      <c r="Y542" s="62"/>
      <c r="Z542" s="62"/>
      <c r="AA542" s="62"/>
      <c r="AB542" s="62"/>
      <c r="AC542" s="62"/>
    </row>
    <row r="543">
      <c r="A543" s="61"/>
      <c r="B543" s="61"/>
      <c r="C543" s="62"/>
      <c r="D543" s="62"/>
      <c r="E543" s="62"/>
      <c r="F543" s="62"/>
      <c r="G543" s="62"/>
      <c r="H543" s="190"/>
      <c r="I543" s="62"/>
      <c r="J543" s="62"/>
      <c r="K543" s="62"/>
      <c r="L543" s="62"/>
      <c r="M543" s="62"/>
      <c r="N543" s="62"/>
      <c r="O543" s="62"/>
      <c r="P543" s="62"/>
      <c r="Q543" s="62"/>
      <c r="R543" s="62"/>
      <c r="S543" s="62"/>
      <c r="T543" s="62"/>
      <c r="U543" s="62"/>
      <c r="V543" s="62"/>
      <c r="W543" s="62"/>
      <c r="X543" s="62"/>
      <c r="Y543" s="62"/>
      <c r="Z543" s="62"/>
      <c r="AA543" s="62"/>
      <c r="AB543" s="62"/>
      <c r="AC543" s="62"/>
    </row>
    <row r="544">
      <c r="A544" s="61"/>
      <c r="B544" s="61"/>
      <c r="C544" s="62"/>
      <c r="D544" s="62"/>
      <c r="E544" s="62"/>
      <c r="F544" s="62"/>
      <c r="G544" s="62"/>
      <c r="H544" s="190"/>
      <c r="I544" s="62"/>
      <c r="J544" s="62"/>
      <c r="K544" s="62"/>
      <c r="L544" s="62"/>
      <c r="M544" s="62"/>
      <c r="N544" s="62"/>
      <c r="O544" s="62"/>
      <c r="P544" s="62"/>
      <c r="Q544" s="62"/>
      <c r="R544" s="62"/>
      <c r="S544" s="62"/>
      <c r="T544" s="62"/>
      <c r="U544" s="62"/>
      <c r="V544" s="62"/>
      <c r="W544" s="62"/>
      <c r="X544" s="62"/>
      <c r="Y544" s="62"/>
      <c r="Z544" s="62"/>
      <c r="AA544" s="62"/>
      <c r="AB544" s="62"/>
      <c r="AC544" s="62"/>
    </row>
    <row r="545">
      <c r="A545" s="61"/>
      <c r="B545" s="61"/>
      <c r="C545" s="62"/>
      <c r="D545" s="62"/>
      <c r="E545" s="62"/>
      <c r="F545" s="62"/>
      <c r="G545" s="62"/>
      <c r="H545" s="190"/>
      <c r="I545" s="62"/>
      <c r="J545" s="62"/>
      <c r="K545" s="62"/>
      <c r="L545" s="62"/>
      <c r="M545" s="62"/>
      <c r="N545" s="62"/>
      <c r="O545" s="62"/>
      <c r="P545" s="62"/>
      <c r="Q545" s="62"/>
      <c r="R545" s="62"/>
      <c r="S545" s="62"/>
      <c r="T545" s="62"/>
      <c r="U545" s="62"/>
      <c r="V545" s="62"/>
      <c r="W545" s="62"/>
      <c r="X545" s="62"/>
      <c r="Y545" s="62"/>
      <c r="Z545" s="62"/>
      <c r="AA545" s="62"/>
      <c r="AB545" s="62"/>
      <c r="AC545" s="62"/>
    </row>
    <row r="546">
      <c r="A546" s="61"/>
      <c r="B546" s="61"/>
      <c r="C546" s="62"/>
      <c r="D546" s="62"/>
      <c r="E546" s="62"/>
      <c r="F546" s="62"/>
      <c r="G546" s="62"/>
      <c r="H546" s="190"/>
      <c r="I546" s="62"/>
      <c r="J546" s="62"/>
      <c r="K546" s="62"/>
      <c r="L546" s="62"/>
      <c r="M546" s="62"/>
      <c r="N546" s="62"/>
      <c r="O546" s="62"/>
      <c r="P546" s="62"/>
      <c r="Q546" s="62"/>
      <c r="R546" s="62"/>
      <c r="S546" s="62"/>
      <c r="T546" s="62"/>
      <c r="U546" s="62"/>
      <c r="V546" s="62"/>
      <c r="W546" s="62"/>
      <c r="X546" s="62"/>
      <c r="Y546" s="62"/>
      <c r="Z546" s="62"/>
      <c r="AA546" s="62"/>
      <c r="AB546" s="62"/>
      <c r="AC546" s="62"/>
    </row>
    <row r="547">
      <c r="A547" s="61"/>
      <c r="B547" s="61"/>
      <c r="C547" s="62"/>
      <c r="D547" s="62"/>
      <c r="E547" s="62"/>
      <c r="F547" s="62"/>
      <c r="G547" s="62"/>
      <c r="H547" s="190"/>
      <c r="I547" s="62"/>
      <c r="J547" s="62"/>
      <c r="K547" s="62"/>
      <c r="L547" s="62"/>
      <c r="M547" s="62"/>
      <c r="N547" s="62"/>
      <c r="O547" s="62"/>
      <c r="P547" s="62"/>
      <c r="Q547" s="62"/>
      <c r="R547" s="62"/>
      <c r="S547" s="62"/>
      <c r="T547" s="62"/>
      <c r="U547" s="62"/>
      <c r="V547" s="62"/>
      <c r="W547" s="62"/>
      <c r="X547" s="62"/>
      <c r="Y547" s="62"/>
      <c r="Z547" s="62"/>
      <c r="AA547" s="62"/>
      <c r="AB547" s="62"/>
      <c r="AC547" s="62"/>
    </row>
    <row r="548">
      <c r="A548" s="61"/>
      <c r="B548" s="61"/>
      <c r="C548" s="62"/>
      <c r="D548" s="62"/>
      <c r="E548" s="62"/>
      <c r="F548" s="62"/>
      <c r="G548" s="62"/>
      <c r="H548" s="190"/>
      <c r="I548" s="62"/>
      <c r="J548" s="62"/>
      <c r="K548" s="62"/>
      <c r="L548" s="62"/>
      <c r="M548" s="62"/>
      <c r="N548" s="62"/>
      <c r="O548" s="62"/>
      <c r="P548" s="62"/>
      <c r="Q548" s="62"/>
      <c r="R548" s="62"/>
      <c r="S548" s="62"/>
      <c r="T548" s="62"/>
      <c r="U548" s="62"/>
      <c r="V548" s="62"/>
      <c r="W548" s="62"/>
      <c r="X548" s="62"/>
      <c r="Y548" s="62"/>
      <c r="Z548" s="62"/>
      <c r="AA548" s="62"/>
      <c r="AB548" s="62"/>
      <c r="AC548" s="62"/>
    </row>
    <row r="549">
      <c r="A549" s="61"/>
      <c r="B549" s="61"/>
      <c r="C549" s="62"/>
      <c r="D549" s="62"/>
      <c r="E549" s="62"/>
      <c r="F549" s="62"/>
      <c r="G549" s="62"/>
      <c r="H549" s="190"/>
      <c r="I549" s="62"/>
      <c r="J549" s="62"/>
      <c r="K549" s="62"/>
      <c r="L549" s="62"/>
      <c r="M549" s="62"/>
      <c r="N549" s="62"/>
      <c r="O549" s="62"/>
      <c r="P549" s="62"/>
      <c r="Q549" s="62"/>
      <c r="R549" s="62"/>
      <c r="S549" s="62"/>
      <c r="T549" s="62"/>
      <c r="U549" s="62"/>
      <c r="V549" s="62"/>
      <c r="W549" s="62"/>
      <c r="X549" s="62"/>
      <c r="Y549" s="62"/>
      <c r="Z549" s="62"/>
      <c r="AA549" s="62"/>
      <c r="AB549" s="62"/>
      <c r="AC549" s="62"/>
    </row>
    <row r="550">
      <c r="A550" s="61"/>
      <c r="B550" s="61"/>
      <c r="C550" s="62"/>
      <c r="D550" s="62"/>
      <c r="E550" s="62"/>
      <c r="F550" s="62"/>
      <c r="G550" s="62"/>
      <c r="H550" s="190"/>
      <c r="I550" s="62"/>
      <c r="J550" s="62"/>
      <c r="K550" s="62"/>
      <c r="L550" s="62"/>
      <c r="M550" s="62"/>
      <c r="N550" s="62"/>
      <c r="O550" s="62"/>
      <c r="P550" s="62"/>
      <c r="Q550" s="62"/>
      <c r="R550" s="62"/>
      <c r="S550" s="62"/>
      <c r="T550" s="62"/>
      <c r="U550" s="62"/>
      <c r="V550" s="62"/>
      <c r="W550" s="62"/>
      <c r="X550" s="62"/>
      <c r="Y550" s="62"/>
      <c r="Z550" s="62"/>
      <c r="AA550" s="62"/>
      <c r="AB550" s="62"/>
      <c r="AC550" s="62"/>
    </row>
    <row r="551">
      <c r="A551" s="61"/>
      <c r="B551" s="61"/>
      <c r="C551" s="62"/>
      <c r="D551" s="62"/>
      <c r="E551" s="62"/>
      <c r="F551" s="62"/>
      <c r="G551" s="62"/>
      <c r="H551" s="190"/>
      <c r="I551" s="62"/>
      <c r="J551" s="62"/>
      <c r="K551" s="62"/>
      <c r="L551" s="62"/>
      <c r="M551" s="62"/>
      <c r="N551" s="62"/>
      <c r="O551" s="62"/>
      <c r="P551" s="62"/>
      <c r="Q551" s="62"/>
      <c r="R551" s="62"/>
      <c r="S551" s="62"/>
      <c r="T551" s="62"/>
      <c r="U551" s="62"/>
      <c r="V551" s="62"/>
      <c r="W551" s="62"/>
      <c r="X551" s="62"/>
      <c r="Y551" s="62"/>
      <c r="Z551" s="62"/>
      <c r="AA551" s="62"/>
      <c r="AB551" s="62"/>
      <c r="AC551" s="62"/>
    </row>
    <row r="552">
      <c r="A552" s="61"/>
      <c r="B552" s="61"/>
      <c r="C552" s="62"/>
      <c r="D552" s="62"/>
      <c r="E552" s="62"/>
      <c r="F552" s="62"/>
      <c r="G552" s="62"/>
      <c r="H552" s="190"/>
      <c r="I552" s="62"/>
      <c r="J552" s="62"/>
      <c r="K552" s="62"/>
      <c r="L552" s="62"/>
      <c r="M552" s="62"/>
      <c r="N552" s="62"/>
      <c r="O552" s="62"/>
      <c r="P552" s="62"/>
      <c r="Q552" s="62"/>
      <c r="R552" s="62"/>
      <c r="S552" s="62"/>
      <c r="T552" s="62"/>
      <c r="U552" s="62"/>
      <c r="V552" s="62"/>
      <c r="W552" s="62"/>
      <c r="X552" s="62"/>
      <c r="Y552" s="62"/>
      <c r="Z552" s="62"/>
      <c r="AA552" s="62"/>
      <c r="AB552" s="62"/>
      <c r="AC552" s="62"/>
    </row>
    <row r="553">
      <c r="A553" s="61"/>
      <c r="B553" s="61"/>
      <c r="C553" s="62"/>
      <c r="D553" s="62"/>
      <c r="E553" s="62"/>
      <c r="F553" s="62"/>
      <c r="G553" s="62"/>
      <c r="H553" s="190"/>
      <c r="I553" s="62"/>
      <c r="J553" s="62"/>
      <c r="K553" s="62"/>
      <c r="L553" s="62"/>
      <c r="M553" s="62"/>
      <c r="N553" s="62"/>
      <c r="O553" s="62"/>
      <c r="P553" s="62"/>
      <c r="Q553" s="62"/>
      <c r="R553" s="62"/>
      <c r="S553" s="62"/>
      <c r="T553" s="62"/>
      <c r="U553" s="62"/>
      <c r="V553" s="62"/>
      <c r="W553" s="62"/>
      <c r="X553" s="62"/>
      <c r="Y553" s="62"/>
      <c r="Z553" s="62"/>
      <c r="AA553" s="62"/>
      <c r="AB553" s="62"/>
      <c r="AC553" s="62"/>
    </row>
    <row r="554">
      <c r="A554" s="61"/>
      <c r="B554" s="61"/>
      <c r="C554" s="62"/>
      <c r="D554" s="62"/>
      <c r="E554" s="62"/>
      <c r="F554" s="62"/>
      <c r="G554" s="62"/>
      <c r="H554" s="190"/>
      <c r="I554" s="62"/>
      <c r="J554" s="62"/>
      <c r="K554" s="62"/>
      <c r="L554" s="62"/>
      <c r="M554" s="62"/>
      <c r="N554" s="62"/>
      <c r="O554" s="62"/>
      <c r="P554" s="62"/>
      <c r="Q554" s="62"/>
      <c r="R554" s="62"/>
      <c r="S554" s="62"/>
      <c r="T554" s="62"/>
      <c r="U554" s="62"/>
      <c r="V554" s="62"/>
      <c r="W554" s="62"/>
      <c r="X554" s="62"/>
      <c r="Y554" s="62"/>
      <c r="Z554" s="62"/>
      <c r="AA554" s="62"/>
      <c r="AB554" s="62"/>
      <c r="AC554" s="62"/>
    </row>
    <row r="555">
      <c r="A555" s="61"/>
      <c r="B555" s="61"/>
      <c r="C555" s="62"/>
      <c r="D555" s="62"/>
      <c r="E555" s="62"/>
      <c r="F555" s="62"/>
      <c r="G555" s="62"/>
      <c r="H555" s="190"/>
      <c r="I555" s="62"/>
      <c r="J555" s="62"/>
      <c r="K555" s="62"/>
      <c r="L555" s="62"/>
      <c r="M555" s="62"/>
      <c r="N555" s="62"/>
      <c r="O555" s="62"/>
      <c r="P555" s="62"/>
      <c r="Q555" s="62"/>
      <c r="R555" s="62"/>
      <c r="S555" s="62"/>
      <c r="T555" s="62"/>
      <c r="U555" s="62"/>
      <c r="V555" s="62"/>
      <c r="W555" s="62"/>
      <c r="X555" s="62"/>
      <c r="Y555" s="62"/>
      <c r="Z555" s="62"/>
      <c r="AA555" s="62"/>
      <c r="AB555" s="62"/>
      <c r="AC555" s="62"/>
    </row>
    <row r="556">
      <c r="A556" s="61"/>
      <c r="B556" s="61"/>
      <c r="C556" s="62"/>
      <c r="D556" s="62"/>
      <c r="E556" s="62"/>
      <c r="F556" s="62"/>
      <c r="G556" s="62"/>
      <c r="H556" s="190"/>
      <c r="I556" s="62"/>
      <c r="J556" s="62"/>
      <c r="K556" s="62"/>
      <c r="L556" s="62"/>
      <c r="M556" s="62"/>
      <c r="N556" s="62"/>
      <c r="O556" s="62"/>
      <c r="P556" s="62"/>
      <c r="Q556" s="62"/>
      <c r="R556" s="62"/>
      <c r="S556" s="62"/>
      <c r="T556" s="62"/>
      <c r="U556" s="62"/>
      <c r="V556" s="62"/>
      <c r="W556" s="62"/>
      <c r="X556" s="62"/>
      <c r="Y556" s="62"/>
      <c r="Z556" s="62"/>
      <c r="AA556" s="62"/>
      <c r="AB556" s="62"/>
      <c r="AC556" s="62"/>
    </row>
    <row r="557">
      <c r="A557" s="61"/>
      <c r="B557" s="61"/>
      <c r="C557" s="62"/>
      <c r="D557" s="62"/>
      <c r="E557" s="62"/>
      <c r="F557" s="62"/>
      <c r="G557" s="62"/>
      <c r="H557" s="190"/>
      <c r="I557" s="62"/>
      <c r="J557" s="62"/>
      <c r="K557" s="62"/>
      <c r="L557" s="62"/>
      <c r="M557" s="62"/>
      <c r="N557" s="62"/>
      <c r="O557" s="62"/>
      <c r="P557" s="62"/>
      <c r="Q557" s="62"/>
      <c r="R557" s="62"/>
      <c r="S557" s="62"/>
      <c r="T557" s="62"/>
      <c r="U557" s="62"/>
      <c r="V557" s="62"/>
      <c r="W557" s="62"/>
      <c r="X557" s="62"/>
      <c r="Y557" s="62"/>
      <c r="Z557" s="62"/>
      <c r="AA557" s="62"/>
      <c r="AB557" s="62"/>
      <c r="AC557" s="62"/>
    </row>
    <row r="558">
      <c r="A558" s="61"/>
      <c r="B558" s="61"/>
      <c r="C558" s="62"/>
      <c r="D558" s="62"/>
      <c r="E558" s="62"/>
      <c r="F558" s="62"/>
      <c r="G558" s="62"/>
      <c r="H558" s="190"/>
      <c r="I558" s="62"/>
      <c r="J558" s="62"/>
      <c r="K558" s="62"/>
      <c r="L558" s="62"/>
      <c r="M558" s="62"/>
      <c r="N558" s="62"/>
      <c r="O558" s="62"/>
      <c r="P558" s="62"/>
      <c r="Q558" s="62"/>
      <c r="R558" s="62"/>
      <c r="S558" s="62"/>
      <c r="T558" s="62"/>
      <c r="U558" s="62"/>
      <c r="V558" s="62"/>
      <c r="W558" s="62"/>
      <c r="X558" s="62"/>
      <c r="Y558" s="62"/>
      <c r="Z558" s="62"/>
      <c r="AA558" s="62"/>
      <c r="AB558" s="62"/>
      <c r="AC558" s="62"/>
    </row>
    <row r="559">
      <c r="A559" s="61"/>
      <c r="B559" s="61"/>
      <c r="C559" s="62"/>
      <c r="D559" s="62"/>
      <c r="E559" s="62"/>
      <c r="F559" s="62"/>
      <c r="G559" s="62"/>
      <c r="H559" s="190"/>
      <c r="I559" s="62"/>
      <c r="J559" s="62"/>
      <c r="K559" s="62"/>
      <c r="L559" s="62"/>
      <c r="M559" s="62"/>
      <c r="N559" s="62"/>
      <c r="O559" s="62"/>
      <c r="P559" s="62"/>
      <c r="Q559" s="62"/>
      <c r="R559" s="62"/>
      <c r="S559" s="62"/>
      <c r="T559" s="62"/>
      <c r="U559" s="62"/>
      <c r="V559" s="62"/>
      <c r="W559" s="62"/>
      <c r="X559" s="62"/>
      <c r="Y559" s="62"/>
      <c r="Z559" s="62"/>
      <c r="AA559" s="62"/>
      <c r="AB559" s="62"/>
      <c r="AC559" s="62"/>
    </row>
    <row r="560">
      <c r="A560" s="61"/>
      <c r="B560" s="61"/>
      <c r="C560" s="62"/>
      <c r="D560" s="62"/>
      <c r="E560" s="62"/>
      <c r="F560" s="62"/>
      <c r="G560" s="62"/>
      <c r="H560" s="190"/>
      <c r="I560" s="62"/>
      <c r="J560" s="62"/>
      <c r="K560" s="62"/>
      <c r="L560" s="62"/>
      <c r="M560" s="62"/>
      <c r="N560" s="62"/>
      <c r="O560" s="62"/>
      <c r="P560" s="62"/>
      <c r="Q560" s="62"/>
      <c r="R560" s="62"/>
      <c r="S560" s="62"/>
      <c r="T560" s="62"/>
      <c r="U560" s="62"/>
      <c r="V560" s="62"/>
      <c r="W560" s="62"/>
      <c r="X560" s="62"/>
      <c r="Y560" s="62"/>
      <c r="Z560" s="62"/>
      <c r="AA560" s="62"/>
      <c r="AB560" s="62"/>
      <c r="AC560" s="62"/>
    </row>
    <row r="561">
      <c r="A561" s="61"/>
      <c r="B561" s="61"/>
      <c r="C561" s="62"/>
      <c r="D561" s="62"/>
      <c r="E561" s="62"/>
      <c r="F561" s="62"/>
      <c r="G561" s="62"/>
      <c r="H561" s="190"/>
      <c r="I561" s="62"/>
      <c r="J561" s="62"/>
      <c r="K561" s="62"/>
      <c r="L561" s="62"/>
      <c r="M561" s="62"/>
      <c r="N561" s="62"/>
      <c r="O561" s="62"/>
      <c r="P561" s="62"/>
      <c r="Q561" s="62"/>
      <c r="R561" s="62"/>
      <c r="S561" s="62"/>
      <c r="T561" s="62"/>
      <c r="U561" s="62"/>
      <c r="V561" s="62"/>
      <c r="W561" s="62"/>
      <c r="X561" s="62"/>
      <c r="Y561" s="62"/>
      <c r="Z561" s="62"/>
      <c r="AA561" s="62"/>
      <c r="AB561" s="62"/>
      <c r="AC561" s="62"/>
    </row>
    <row r="562">
      <c r="A562" s="61"/>
      <c r="B562" s="61"/>
      <c r="C562" s="62"/>
      <c r="D562" s="62"/>
      <c r="E562" s="62"/>
      <c r="F562" s="62"/>
      <c r="G562" s="62"/>
      <c r="H562" s="190"/>
      <c r="I562" s="62"/>
      <c r="J562" s="62"/>
      <c r="K562" s="62"/>
      <c r="L562" s="62"/>
      <c r="M562" s="62"/>
      <c r="N562" s="62"/>
      <c r="O562" s="62"/>
      <c r="P562" s="62"/>
      <c r="Q562" s="62"/>
      <c r="R562" s="62"/>
      <c r="S562" s="62"/>
      <c r="T562" s="62"/>
      <c r="U562" s="62"/>
      <c r="V562" s="62"/>
      <c r="W562" s="62"/>
      <c r="X562" s="62"/>
      <c r="Y562" s="62"/>
      <c r="Z562" s="62"/>
      <c r="AA562" s="62"/>
      <c r="AB562" s="62"/>
      <c r="AC562" s="62"/>
    </row>
    <row r="563">
      <c r="A563" s="61"/>
      <c r="B563" s="61"/>
      <c r="C563" s="62"/>
      <c r="D563" s="62"/>
      <c r="E563" s="62"/>
      <c r="F563" s="62"/>
      <c r="G563" s="62"/>
      <c r="H563" s="190"/>
      <c r="I563" s="62"/>
      <c r="J563" s="62"/>
      <c r="K563" s="62"/>
      <c r="L563" s="62"/>
      <c r="M563" s="62"/>
      <c r="N563" s="62"/>
      <c r="O563" s="62"/>
      <c r="P563" s="62"/>
      <c r="Q563" s="62"/>
      <c r="R563" s="62"/>
      <c r="S563" s="62"/>
      <c r="T563" s="62"/>
      <c r="U563" s="62"/>
      <c r="V563" s="62"/>
      <c r="W563" s="62"/>
      <c r="X563" s="62"/>
      <c r="Y563" s="62"/>
      <c r="Z563" s="62"/>
      <c r="AA563" s="62"/>
      <c r="AB563" s="62"/>
      <c r="AC563" s="62"/>
    </row>
    <row r="564">
      <c r="A564" s="61"/>
      <c r="B564" s="61"/>
      <c r="C564" s="62"/>
      <c r="D564" s="62"/>
      <c r="E564" s="62"/>
      <c r="F564" s="62"/>
      <c r="G564" s="62"/>
      <c r="H564" s="190"/>
      <c r="I564" s="62"/>
      <c r="J564" s="62"/>
      <c r="K564" s="62"/>
      <c r="L564" s="62"/>
      <c r="M564" s="62"/>
      <c r="N564" s="62"/>
      <c r="O564" s="62"/>
      <c r="P564" s="62"/>
      <c r="Q564" s="62"/>
      <c r="R564" s="62"/>
      <c r="S564" s="62"/>
      <c r="T564" s="62"/>
      <c r="U564" s="62"/>
      <c r="V564" s="62"/>
      <c r="W564" s="62"/>
      <c r="X564" s="62"/>
      <c r="Y564" s="62"/>
      <c r="Z564" s="62"/>
      <c r="AA564" s="62"/>
      <c r="AB564" s="62"/>
      <c r="AC564" s="62"/>
    </row>
    <row r="565">
      <c r="A565" s="61"/>
      <c r="B565" s="61"/>
      <c r="C565" s="62"/>
      <c r="D565" s="62"/>
      <c r="E565" s="62"/>
      <c r="F565" s="62"/>
      <c r="G565" s="62"/>
      <c r="H565" s="190"/>
      <c r="I565" s="62"/>
      <c r="J565" s="62"/>
      <c r="K565" s="62"/>
      <c r="L565" s="62"/>
      <c r="M565" s="62"/>
      <c r="N565" s="62"/>
      <c r="O565" s="62"/>
      <c r="P565" s="62"/>
      <c r="Q565" s="62"/>
      <c r="R565" s="62"/>
      <c r="S565" s="62"/>
      <c r="T565" s="62"/>
      <c r="U565" s="62"/>
      <c r="V565" s="62"/>
      <c r="W565" s="62"/>
      <c r="X565" s="62"/>
      <c r="Y565" s="62"/>
      <c r="Z565" s="62"/>
      <c r="AA565" s="62"/>
      <c r="AB565" s="62"/>
      <c r="AC565" s="62"/>
    </row>
    <row r="566">
      <c r="A566" s="61"/>
      <c r="B566" s="61"/>
      <c r="C566" s="62"/>
      <c r="D566" s="62"/>
      <c r="E566" s="62"/>
      <c r="F566" s="62"/>
      <c r="G566" s="62"/>
      <c r="H566" s="190"/>
      <c r="I566" s="62"/>
      <c r="J566" s="62"/>
      <c r="K566" s="62"/>
      <c r="L566" s="62"/>
      <c r="M566" s="62"/>
      <c r="N566" s="62"/>
      <c r="O566" s="62"/>
      <c r="P566" s="62"/>
      <c r="Q566" s="62"/>
      <c r="R566" s="62"/>
      <c r="S566" s="62"/>
      <c r="T566" s="62"/>
      <c r="U566" s="62"/>
      <c r="V566" s="62"/>
      <c r="W566" s="62"/>
      <c r="X566" s="62"/>
      <c r="Y566" s="62"/>
      <c r="Z566" s="62"/>
      <c r="AA566" s="62"/>
      <c r="AB566" s="62"/>
      <c r="AC566" s="62"/>
    </row>
    <row r="567">
      <c r="A567" s="61"/>
      <c r="B567" s="61"/>
      <c r="C567" s="62"/>
      <c r="D567" s="62"/>
      <c r="E567" s="62"/>
      <c r="F567" s="62"/>
      <c r="G567" s="62"/>
      <c r="H567" s="190"/>
      <c r="I567" s="62"/>
      <c r="J567" s="62"/>
      <c r="K567" s="62"/>
      <c r="L567" s="62"/>
      <c r="M567" s="62"/>
      <c r="N567" s="62"/>
      <c r="O567" s="62"/>
      <c r="P567" s="62"/>
      <c r="Q567" s="62"/>
      <c r="R567" s="62"/>
      <c r="S567" s="62"/>
      <c r="T567" s="62"/>
      <c r="U567" s="62"/>
      <c r="V567" s="62"/>
      <c r="W567" s="62"/>
      <c r="X567" s="62"/>
      <c r="Y567" s="62"/>
      <c r="Z567" s="62"/>
      <c r="AA567" s="62"/>
      <c r="AB567" s="62"/>
      <c r="AC567" s="62"/>
    </row>
    <row r="568">
      <c r="A568" s="61"/>
      <c r="B568" s="61"/>
      <c r="C568" s="62"/>
      <c r="D568" s="62"/>
      <c r="E568" s="62"/>
      <c r="F568" s="62"/>
      <c r="G568" s="62"/>
      <c r="H568" s="190"/>
      <c r="I568" s="62"/>
      <c r="J568" s="62"/>
      <c r="K568" s="62"/>
      <c r="L568" s="62"/>
      <c r="M568" s="62"/>
      <c r="N568" s="62"/>
      <c r="O568" s="62"/>
      <c r="P568" s="62"/>
      <c r="Q568" s="62"/>
      <c r="R568" s="62"/>
      <c r="S568" s="62"/>
      <c r="T568" s="62"/>
      <c r="U568" s="62"/>
      <c r="V568" s="62"/>
      <c r="W568" s="62"/>
      <c r="X568" s="62"/>
      <c r="Y568" s="62"/>
      <c r="Z568" s="62"/>
      <c r="AA568" s="62"/>
      <c r="AB568" s="62"/>
      <c r="AC568" s="62"/>
    </row>
    <row r="569">
      <c r="A569" s="61"/>
      <c r="B569" s="61"/>
      <c r="C569" s="62"/>
      <c r="D569" s="62"/>
      <c r="E569" s="62"/>
      <c r="F569" s="62"/>
      <c r="G569" s="62"/>
      <c r="H569" s="190"/>
      <c r="I569" s="62"/>
      <c r="J569" s="62"/>
      <c r="K569" s="62"/>
      <c r="L569" s="62"/>
      <c r="M569" s="62"/>
      <c r="N569" s="62"/>
      <c r="O569" s="62"/>
      <c r="P569" s="62"/>
      <c r="Q569" s="62"/>
      <c r="R569" s="62"/>
      <c r="S569" s="62"/>
      <c r="T569" s="62"/>
      <c r="U569" s="62"/>
      <c r="V569" s="62"/>
      <c r="W569" s="62"/>
      <c r="X569" s="62"/>
      <c r="Y569" s="62"/>
      <c r="Z569" s="62"/>
      <c r="AA569" s="62"/>
      <c r="AB569" s="62"/>
      <c r="AC569" s="62"/>
    </row>
    <row r="570">
      <c r="A570" s="61"/>
      <c r="B570" s="61"/>
      <c r="C570" s="62"/>
      <c r="D570" s="62"/>
      <c r="E570" s="62"/>
      <c r="F570" s="62"/>
      <c r="G570" s="62"/>
      <c r="H570" s="190"/>
      <c r="I570" s="62"/>
      <c r="J570" s="62"/>
      <c r="K570" s="62"/>
      <c r="L570" s="62"/>
      <c r="M570" s="62"/>
      <c r="N570" s="62"/>
      <c r="O570" s="62"/>
      <c r="P570" s="62"/>
      <c r="Q570" s="62"/>
      <c r="R570" s="62"/>
      <c r="S570" s="62"/>
      <c r="T570" s="62"/>
      <c r="U570" s="62"/>
      <c r="V570" s="62"/>
      <c r="W570" s="62"/>
      <c r="X570" s="62"/>
      <c r="Y570" s="62"/>
      <c r="Z570" s="62"/>
      <c r="AA570" s="62"/>
      <c r="AB570" s="62"/>
      <c r="AC570" s="62"/>
    </row>
    <row r="571">
      <c r="A571" s="61"/>
      <c r="B571" s="61"/>
      <c r="C571" s="62"/>
      <c r="D571" s="62"/>
      <c r="E571" s="62"/>
      <c r="F571" s="62"/>
      <c r="G571" s="62"/>
      <c r="H571" s="190"/>
      <c r="I571" s="62"/>
      <c r="J571" s="62"/>
      <c r="K571" s="62"/>
      <c r="L571" s="62"/>
      <c r="M571" s="62"/>
      <c r="N571" s="62"/>
      <c r="O571" s="62"/>
      <c r="P571" s="62"/>
      <c r="Q571" s="62"/>
      <c r="R571" s="62"/>
      <c r="S571" s="62"/>
      <c r="T571" s="62"/>
      <c r="U571" s="62"/>
      <c r="V571" s="62"/>
      <c r="W571" s="62"/>
      <c r="X571" s="62"/>
      <c r="Y571" s="62"/>
      <c r="Z571" s="62"/>
      <c r="AA571" s="62"/>
      <c r="AB571" s="62"/>
      <c r="AC571" s="62"/>
    </row>
    <row r="572">
      <c r="A572" s="61"/>
      <c r="B572" s="61"/>
      <c r="C572" s="62"/>
      <c r="D572" s="62"/>
      <c r="E572" s="62"/>
      <c r="F572" s="62"/>
      <c r="G572" s="62"/>
      <c r="H572" s="190"/>
      <c r="I572" s="62"/>
      <c r="J572" s="62"/>
      <c r="K572" s="62"/>
      <c r="L572" s="62"/>
      <c r="M572" s="62"/>
      <c r="N572" s="62"/>
      <c r="O572" s="62"/>
      <c r="P572" s="62"/>
      <c r="Q572" s="62"/>
      <c r="R572" s="62"/>
      <c r="S572" s="62"/>
      <c r="T572" s="62"/>
      <c r="U572" s="62"/>
      <c r="V572" s="62"/>
      <c r="W572" s="62"/>
      <c r="X572" s="62"/>
      <c r="Y572" s="62"/>
      <c r="Z572" s="62"/>
      <c r="AA572" s="62"/>
      <c r="AB572" s="62"/>
      <c r="AC572" s="62"/>
    </row>
    <row r="573">
      <c r="A573" s="61"/>
      <c r="B573" s="61"/>
      <c r="C573" s="62"/>
      <c r="D573" s="62"/>
      <c r="E573" s="62"/>
      <c r="F573" s="62"/>
      <c r="G573" s="62"/>
      <c r="H573" s="190"/>
      <c r="I573" s="62"/>
      <c r="J573" s="62"/>
      <c r="K573" s="62"/>
      <c r="L573" s="62"/>
      <c r="M573" s="62"/>
      <c r="N573" s="62"/>
      <c r="O573" s="62"/>
      <c r="P573" s="62"/>
      <c r="Q573" s="62"/>
      <c r="R573" s="62"/>
      <c r="S573" s="62"/>
      <c r="T573" s="62"/>
      <c r="U573" s="62"/>
      <c r="V573" s="62"/>
      <c r="W573" s="62"/>
      <c r="X573" s="62"/>
      <c r="Y573" s="62"/>
      <c r="Z573" s="62"/>
      <c r="AA573" s="62"/>
      <c r="AB573" s="62"/>
      <c r="AC573" s="62"/>
    </row>
    <row r="574">
      <c r="A574" s="61"/>
      <c r="B574" s="61"/>
      <c r="C574" s="62"/>
      <c r="D574" s="62"/>
      <c r="E574" s="62"/>
      <c r="F574" s="62"/>
      <c r="G574" s="62"/>
      <c r="H574" s="190"/>
      <c r="I574" s="62"/>
      <c r="J574" s="62"/>
      <c r="K574" s="62"/>
      <c r="L574" s="62"/>
      <c r="M574" s="62"/>
      <c r="N574" s="62"/>
      <c r="O574" s="62"/>
      <c r="P574" s="62"/>
      <c r="Q574" s="62"/>
      <c r="R574" s="62"/>
      <c r="S574" s="62"/>
      <c r="T574" s="62"/>
      <c r="U574" s="62"/>
      <c r="V574" s="62"/>
      <c r="W574" s="62"/>
      <c r="X574" s="62"/>
      <c r="Y574" s="62"/>
      <c r="Z574" s="62"/>
      <c r="AA574" s="62"/>
      <c r="AB574" s="62"/>
      <c r="AC574" s="62"/>
    </row>
    <row r="575">
      <c r="A575" s="61"/>
      <c r="B575" s="61"/>
      <c r="C575" s="62"/>
      <c r="D575" s="62"/>
      <c r="E575" s="62"/>
      <c r="F575" s="62"/>
      <c r="G575" s="62"/>
      <c r="H575" s="190"/>
      <c r="I575" s="62"/>
      <c r="J575" s="62"/>
      <c r="K575" s="62"/>
      <c r="L575" s="62"/>
      <c r="M575" s="62"/>
      <c r="N575" s="62"/>
      <c r="O575" s="62"/>
      <c r="P575" s="62"/>
      <c r="Q575" s="62"/>
      <c r="R575" s="62"/>
      <c r="S575" s="62"/>
      <c r="T575" s="62"/>
      <c r="U575" s="62"/>
      <c r="V575" s="62"/>
      <c r="W575" s="62"/>
      <c r="X575" s="62"/>
      <c r="Y575" s="62"/>
      <c r="Z575" s="62"/>
      <c r="AA575" s="62"/>
      <c r="AB575" s="62"/>
      <c r="AC575" s="62"/>
    </row>
    <row r="576">
      <c r="A576" s="61"/>
      <c r="B576" s="61"/>
      <c r="C576" s="62"/>
      <c r="D576" s="62"/>
      <c r="E576" s="62"/>
      <c r="F576" s="62"/>
      <c r="G576" s="62"/>
      <c r="H576" s="190"/>
      <c r="I576" s="62"/>
      <c r="J576" s="62"/>
      <c r="K576" s="62"/>
      <c r="L576" s="62"/>
      <c r="M576" s="62"/>
      <c r="N576" s="62"/>
      <c r="O576" s="62"/>
      <c r="P576" s="62"/>
      <c r="Q576" s="62"/>
      <c r="R576" s="62"/>
      <c r="S576" s="62"/>
      <c r="T576" s="62"/>
      <c r="U576" s="62"/>
      <c r="V576" s="62"/>
      <c r="W576" s="62"/>
      <c r="X576" s="62"/>
      <c r="Y576" s="62"/>
      <c r="Z576" s="62"/>
      <c r="AA576" s="62"/>
      <c r="AB576" s="62"/>
      <c r="AC576" s="62"/>
    </row>
    <row r="577">
      <c r="A577" s="61"/>
      <c r="B577" s="61"/>
      <c r="C577" s="62"/>
      <c r="D577" s="62"/>
      <c r="E577" s="62"/>
      <c r="F577" s="62"/>
      <c r="G577" s="62"/>
      <c r="H577" s="190"/>
      <c r="I577" s="62"/>
      <c r="J577" s="62"/>
      <c r="K577" s="62"/>
      <c r="L577" s="62"/>
      <c r="M577" s="62"/>
      <c r="N577" s="62"/>
      <c r="O577" s="62"/>
      <c r="P577" s="62"/>
      <c r="Q577" s="62"/>
      <c r="R577" s="62"/>
      <c r="S577" s="62"/>
      <c r="T577" s="62"/>
      <c r="U577" s="62"/>
      <c r="V577" s="62"/>
      <c r="W577" s="62"/>
      <c r="X577" s="62"/>
      <c r="Y577" s="62"/>
      <c r="Z577" s="62"/>
      <c r="AA577" s="62"/>
      <c r="AB577" s="62"/>
      <c r="AC577" s="62"/>
    </row>
    <row r="578">
      <c r="A578" s="61"/>
      <c r="B578" s="61"/>
      <c r="C578" s="62"/>
      <c r="D578" s="62"/>
      <c r="E578" s="62"/>
      <c r="F578" s="62"/>
      <c r="G578" s="62"/>
      <c r="H578" s="190"/>
      <c r="I578" s="62"/>
      <c r="J578" s="62"/>
      <c r="K578" s="62"/>
      <c r="L578" s="62"/>
      <c r="M578" s="62"/>
      <c r="N578" s="62"/>
      <c r="O578" s="62"/>
      <c r="P578" s="62"/>
      <c r="Q578" s="62"/>
      <c r="R578" s="62"/>
      <c r="S578" s="62"/>
      <c r="T578" s="62"/>
      <c r="U578" s="62"/>
      <c r="V578" s="62"/>
      <c r="W578" s="62"/>
      <c r="X578" s="62"/>
      <c r="Y578" s="62"/>
      <c r="Z578" s="62"/>
      <c r="AA578" s="62"/>
      <c r="AB578" s="62"/>
      <c r="AC578" s="62"/>
    </row>
    <row r="579">
      <c r="A579" s="61"/>
      <c r="B579" s="61"/>
      <c r="C579" s="62"/>
      <c r="D579" s="62"/>
      <c r="E579" s="62"/>
      <c r="F579" s="62"/>
      <c r="G579" s="62"/>
      <c r="H579" s="190"/>
      <c r="I579" s="62"/>
      <c r="J579" s="62"/>
      <c r="K579" s="62"/>
      <c r="L579" s="62"/>
      <c r="M579" s="62"/>
      <c r="N579" s="62"/>
      <c r="O579" s="62"/>
      <c r="P579" s="62"/>
      <c r="Q579" s="62"/>
      <c r="R579" s="62"/>
      <c r="S579" s="62"/>
      <c r="T579" s="62"/>
      <c r="U579" s="62"/>
      <c r="V579" s="62"/>
      <c r="W579" s="62"/>
      <c r="X579" s="62"/>
      <c r="Y579" s="62"/>
      <c r="Z579" s="62"/>
      <c r="AA579" s="62"/>
      <c r="AB579" s="62"/>
      <c r="AC579" s="62"/>
    </row>
    <row r="580">
      <c r="A580" s="61"/>
      <c r="B580" s="61"/>
      <c r="C580" s="62"/>
      <c r="D580" s="62"/>
      <c r="E580" s="62"/>
      <c r="F580" s="62"/>
      <c r="G580" s="62"/>
      <c r="H580" s="190"/>
      <c r="I580" s="62"/>
      <c r="J580" s="62"/>
      <c r="K580" s="62"/>
      <c r="L580" s="62"/>
      <c r="M580" s="62"/>
      <c r="N580" s="62"/>
      <c r="O580" s="62"/>
      <c r="P580" s="62"/>
      <c r="Q580" s="62"/>
      <c r="R580" s="62"/>
      <c r="S580" s="62"/>
      <c r="T580" s="62"/>
      <c r="U580" s="62"/>
      <c r="V580" s="62"/>
      <c r="W580" s="62"/>
      <c r="X580" s="62"/>
      <c r="Y580" s="62"/>
      <c r="Z580" s="62"/>
      <c r="AA580" s="62"/>
      <c r="AB580" s="62"/>
      <c r="AC580" s="62"/>
    </row>
    <row r="581">
      <c r="A581" s="61"/>
      <c r="B581" s="61"/>
      <c r="C581" s="62"/>
      <c r="D581" s="62"/>
      <c r="E581" s="62"/>
      <c r="F581" s="62"/>
      <c r="G581" s="62"/>
      <c r="H581" s="190"/>
      <c r="I581" s="62"/>
      <c r="J581" s="62"/>
      <c r="K581" s="62"/>
      <c r="L581" s="62"/>
      <c r="M581" s="62"/>
      <c r="N581" s="62"/>
      <c r="O581" s="62"/>
      <c r="P581" s="62"/>
      <c r="Q581" s="62"/>
      <c r="R581" s="62"/>
      <c r="S581" s="62"/>
      <c r="T581" s="62"/>
      <c r="U581" s="62"/>
      <c r="V581" s="62"/>
      <c r="W581" s="62"/>
      <c r="X581" s="62"/>
      <c r="Y581" s="62"/>
      <c r="Z581" s="62"/>
      <c r="AA581" s="62"/>
      <c r="AB581" s="62"/>
      <c r="AC581" s="62"/>
    </row>
    <row r="582">
      <c r="A582" s="61"/>
      <c r="B582" s="61"/>
      <c r="C582" s="62"/>
      <c r="D582" s="62"/>
      <c r="E582" s="62"/>
      <c r="F582" s="62"/>
      <c r="G582" s="62"/>
      <c r="H582" s="190"/>
      <c r="I582" s="62"/>
      <c r="J582" s="62"/>
      <c r="K582" s="62"/>
      <c r="L582" s="62"/>
      <c r="M582" s="62"/>
      <c r="N582" s="62"/>
      <c r="O582" s="62"/>
      <c r="P582" s="62"/>
      <c r="Q582" s="62"/>
      <c r="R582" s="62"/>
      <c r="S582" s="62"/>
      <c r="T582" s="62"/>
      <c r="U582" s="62"/>
      <c r="V582" s="62"/>
      <c r="W582" s="62"/>
      <c r="X582" s="62"/>
      <c r="Y582" s="62"/>
      <c r="Z582" s="62"/>
      <c r="AA582" s="62"/>
      <c r="AB582" s="62"/>
      <c r="AC582" s="62"/>
    </row>
    <row r="583">
      <c r="A583" s="61"/>
      <c r="B583" s="61"/>
      <c r="C583" s="62"/>
      <c r="D583" s="62"/>
      <c r="E583" s="62"/>
      <c r="F583" s="62"/>
      <c r="G583" s="62"/>
      <c r="H583" s="190"/>
      <c r="I583" s="62"/>
      <c r="J583" s="62"/>
      <c r="K583" s="62"/>
      <c r="L583" s="62"/>
      <c r="M583" s="62"/>
      <c r="N583" s="62"/>
      <c r="O583" s="62"/>
      <c r="P583" s="62"/>
      <c r="Q583" s="62"/>
      <c r="R583" s="62"/>
      <c r="S583" s="62"/>
      <c r="T583" s="62"/>
      <c r="U583" s="62"/>
      <c r="V583" s="62"/>
      <c r="W583" s="62"/>
      <c r="X583" s="62"/>
      <c r="Y583" s="62"/>
      <c r="Z583" s="62"/>
      <c r="AA583" s="62"/>
      <c r="AB583" s="62"/>
      <c r="AC583" s="62"/>
    </row>
    <row r="584">
      <c r="A584" s="61"/>
      <c r="B584" s="61"/>
      <c r="C584" s="62"/>
      <c r="D584" s="62"/>
      <c r="E584" s="62"/>
      <c r="F584" s="62"/>
      <c r="G584" s="62"/>
      <c r="H584" s="190"/>
      <c r="I584" s="62"/>
      <c r="J584" s="62"/>
      <c r="K584" s="62"/>
      <c r="L584" s="62"/>
      <c r="M584" s="62"/>
      <c r="N584" s="62"/>
      <c r="O584" s="62"/>
      <c r="P584" s="62"/>
      <c r="Q584" s="62"/>
      <c r="R584" s="62"/>
      <c r="S584" s="62"/>
      <c r="T584" s="62"/>
      <c r="U584" s="62"/>
      <c r="V584" s="62"/>
      <c r="W584" s="62"/>
      <c r="X584" s="62"/>
      <c r="Y584" s="62"/>
      <c r="Z584" s="62"/>
      <c r="AA584" s="62"/>
      <c r="AB584" s="62"/>
      <c r="AC584" s="62"/>
    </row>
    <row r="585">
      <c r="A585" s="61"/>
      <c r="B585" s="61"/>
      <c r="C585" s="62"/>
      <c r="D585" s="62"/>
      <c r="E585" s="62"/>
      <c r="F585" s="62"/>
      <c r="G585" s="62"/>
      <c r="H585" s="190"/>
      <c r="I585" s="62"/>
      <c r="J585" s="62"/>
      <c r="K585" s="62"/>
      <c r="L585" s="62"/>
      <c r="M585" s="62"/>
      <c r="N585" s="62"/>
      <c r="O585" s="62"/>
      <c r="P585" s="62"/>
      <c r="Q585" s="62"/>
      <c r="R585" s="62"/>
      <c r="S585" s="62"/>
      <c r="T585" s="62"/>
      <c r="U585" s="62"/>
      <c r="V585" s="62"/>
      <c r="W585" s="62"/>
      <c r="X585" s="62"/>
      <c r="Y585" s="62"/>
      <c r="Z585" s="62"/>
      <c r="AA585" s="62"/>
      <c r="AB585" s="62"/>
      <c r="AC585" s="62"/>
    </row>
    <row r="586">
      <c r="A586" s="61"/>
      <c r="B586" s="61"/>
      <c r="C586" s="62"/>
      <c r="D586" s="62"/>
      <c r="E586" s="62"/>
      <c r="F586" s="62"/>
      <c r="G586" s="62"/>
      <c r="H586" s="190"/>
      <c r="I586" s="62"/>
      <c r="J586" s="62"/>
      <c r="K586" s="62"/>
      <c r="L586" s="62"/>
      <c r="M586" s="62"/>
      <c r="N586" s="62"/>
      <c r="O586" s="62"/>
      <c r="P586" s="62"/>
      <c r="Q586" s="62"/>
      <c r="R586" s="62"/>
      <c r="S586" s="62"/>
      <c r="T586" s="62"/>
      <c r="U586" s="62"/>
      <c r="V586" s="62"/>
      <c r="W586" s="62"/>
      <c r="X586" s="62"/>
      <c r="Y586" s="62"/>
      <c r="Z586" s="62"/>
      <c r="AA586" s="62"/>
      <c r="AB586" s="62"/>
      <c r="AC586" s="62"/>
    </row>
    <row r="587">
      <c r="A587" s="61"/>
      <c r="B587" s="61"/>
      <c r="C587" s="62"/>
      <c r="D587" s="62"/>
      <c r="E587" s="62"/>
      <c r="F587" s="62"/>
      <c r="G587" s="62"/>
      <c r="H587" s="190"/>
      <c r="I587" s="62"/>
      <c r="J587" s="62"/>
      <c r="K587" s="62"/>
      <c r="L587" s="62"/>
      <c r="M587" s="62"/>
      <c r="N587" s="62"/>
      <c r="O587" s="62"/>
      <c r="P587" s="62"/>
      <c r="Q587" s="62"/>
      <c r="R587" s="62"/>
      <c r="S587" s="62"/>
      <c r="T587" s="62"/>
      <c r="U587" s="62"/>
      <c r="V587" s="62"/>
      <c r="W587" s="62"/>
      <c r="X587" s="62"/>
      <c r="Y587" s="62"/>
      <c r="Z587" s="62"/>
      <c r="AA587" s="62"/>
      <c r="AB587" s="62"/>
      <c r="AC587" s="62"/>
    </row>
    <row r="588">
      <c r="A588" s="61"/>
      <c r="B588" s="61"/>
      <c r="C588" s="62"/>
      <c r="D588" s="62"/>
      <c r="E588" s="62"/>
      <c r="F588" s="62"/>
      <c r="G588" s="62"/>
      <c r="H588" s="190"/>
      <c r="I588" s="62"/>
      <c r="J588" s="62"/>
      <c r="K588" s="62"/>
      <c r="L588" s="62"/>
      <c r="M588" s="62"/>
      <c r="N588" s="62"/>
      <c r="O588" s="62"/>
      <c r="P588" s="62"/>
      <c r="Q588" s="62"/>
      <c r="R588" s="62"/>
      <c r="S588" s="62"/>
      <c r="T588" s="62"/>
      <c r="U588" s="62"/>
      <c r="V588" s="62"/>
      <c r="W588" s="62"/>
      <c r="X588" s="62"/>
      <c r="Y588" s="62"/>
      <c r="Z588" s="62"/>
      <c r="AA588" s="62"/>
      <c r="AB588" s="62"/>
      <c r="AC588" s="62"/>
    </row>
    <row r="589">
      <c r="A589" s="61"/>
      <c r="B589" s="61"/>
      <c r="C589" s="62"/>
      <c r="D589" s="62"/>
      <c r="E589" s="62"/>
      <c r="F589" s="62"/>
      <c r="G589" s="62"/>
      <c r="H589" s="190"/>
      <c r="I589" s="62"/>
      <c r="J589" s="62"/>
      <c r="K589" s="62"/>
      <c r="L589" s="62"/>
      <c r="M589" s="62"/>
      <c r="N589" s="62"/>
      <c r="O589" s="62"/>
      <c r="P589" s="62"/>
      <c r="Q589" s="62"/>
      <c r="R589" s="62"/>
      <c r="S589" s="62"/>
      <c r="T589" s="62"/>
      <c r="U589" s="62"/>
      <c r="V589" s="62"/>
      <c r="W589" s="62"/>
      <c r="X589" s="62"/>
      <c r="Y589" s="62"/>
      <c r="Z589" s="62"/>
      <c r="AA589" s="62"/>
      <c r="AB589" s="62"/>
      <c r="AC589" s="62"/>
    </row>
    <row r="590">
      <c r="A590" s="61"/>
      <c r="B590" s="61"/>
      <c r="C590" s="62"/>
      <c r="D590" s="62"/>
      <c r="E590" s="62"/>
      <c r="F590" s="62"/>
      <c r="G590" s="62"/>
      <c r="H590" s="190"/>
      <c r="I590" s="62"/>
      <c r="J590" s="62"/>
      <c r="K590" s="62"/>
      <c r="L590" s="62"/>
      <c r="M590" s="62"/>
      <c r="N590" s="62"/>
      <c r="O590" s="62"/>
      <c r="P590" s="62"/>
      <c r="Q590" s="62"/>
      <c r="R590" s="62"/>
      <c r="S590" s="62"/>
      <c r="T590" s="62"/>
      <c r="U590" s="62"/>
      <c r="V590" s="62"/>
      <c r="W590" s="62"/>
      <c r="X590" s="62"/>
      <c r="Y590" s="62"/>
      <c r="Z590" s="62"/>
      <c r="AA590" s="62"/>
      <c r="AB590" s="62"/>
      <c r="AC590" s="62"/>
    </row>
    <row r="591">
      <c r="A591" s="61"/>
      <c r="B591" s="61"/>
      <c r="C591" s="62"/>
      <c r="D591" s="62"/>
      <c r="E591" s="62"/>
      <c r="F591" s="62"/>
      <c r="G591" s="62"/>
      <c r="H591" s="190"/>
      <c r="I591" s="62"/>
      <c r="J591" s="62"/>
      <c r="K591" s="62"/>
      <c r="L591" s="62"/>
      <c r="M591" s="62"/>
      <c r="N591" s="62"/>
      <c r="O591" s="62"/>
      <c r="P591" s="62"/>
      <c r="Q591" s="62"/>
      <c r="R591" s="62"/>
      <c r="S591" s="62"/>
      <c r="T591" s="62"/>
      <c r="U591" s="62"/>
      <c r="V591" s="62"/>
      <c r="W591" s="62"/>
      <c r="X591" s="62"/>
      <c r="Y591" s="62"/>
      <c r="Z591" s="62"/>
      <c r="AA591" s="62"/>
      <c r="AB591" s="62"/>
      <c r="AC591" s="62"/>
    </row>
    <row r="592">
      <c r="A592" s="61"/>
      <c r="B592" s="61"/>
      <c r="C592" s="62"/>
      <c r="D592" s="62"/>
      <c r="E592" s="62"/>
      <c r="F592" s="62"/>
      <c r="G592" s="62"/>
      <c r="H592" s="190"/>
      <c r="I592" s="62"/>
      <c r="J592" s="62"/>
      <c r="K592" s="62"/>
      <c r="L592" s="62"/>
      <c r="M592" s="62"/>
      <c r="N592" s="62"/>
      <c r="O592" s="62"/>
      <c r="P592" s="62"/>
      <c r="Q592" s="62"/>
      <c r="R592" s="62"/>
      <c r="S592" s="62"/>
      <c r="T592" s="62"/>
      <c r="U592" s="62"/>
      <c r="V592" s="62"/>
      <c r="W592" s="62"/>
      <c r="X592" s="62"/>
      <c r="Y592" s="62"/>
      <c r="Z592" s="62"/>
      <c r="AA592" s="62"/>
      <c r="AB592" s="62"/>
      <c r="AC592" s="62"/>
    </row>
    <row r="593">
      <c r="A593" s="61"/>
      <c r="B593" s="61"/>
      <c r="C593" s="62"/>
      <c r="D593" s="62"/>
      <c r="E593" s="62"/>
      <c r="F593" s="62"/>
      <c r="G593" s="62"/>
      <c r="H593" s="190"/>
      <c r="I593" s="62"/>
      <c r="J593" s="62"/>
      <c r="K593" s="62"/>
      <c r="L593" s="62"/>
      <c r="M593" s="62"/>
      <c r="N593" s="62"/>
      <c r="O593" s="62"/>
      <c r="P593" s="62"/>
      <c r="Q593" s="62"/>
      <c r="R593" s="62"/>
      <c r="S593" s="62"/>
      <c r="T593" s="62"/>
      <c r="U593" s="62"/>
      <c r="V593" s="62"/>
      <c r="W593" s="62"/>
      <c r="X593" s="62"/>
      <c r="Y593" s="62"/>
      <c r="Z593" s="62"/>
      <c r="AA593" s="62"/>
      <c r="AB593" s="62"/>
      <c r="AC593" s="62"/>
    </row>
    <row r="594">
      <c r="A594" s="61"/>
      <c r="B594" s="61"/>
      <c r="C594" s="62"/>
      <c r="D594" s="62"/>
      <c r="E594" s="62"/>
      <c r="F594" s="62"/>
      <c r="G594" s="62"/>
      <c r="H594" s="190"/>
      <c r="I594" s="62"/>
      <c r="J594" s="62"/>
      <c r="K594" s="62"/>
      <c r="L594" s="62"/>
      <c r="M594" s="62"/>
      <c r="N594" s="62"/>
      <c r="O594" s="62"/>
      <c r="P594" s="62"/>
      <c r="Q594" s="62"/>
      <c r="R594" s="62"/>
      <c r="S594" s="62"/>
      <c r="T594" s="62"/>
      <c r="U594" s="62"/>
      <c r="V594" s="62"/>
      <c r="W594" s="62"/>
      <c r="X594" s="62"/>
      <c r="Y594" s="62"/>
      <c r="Z594" s="62"/>
      <c r="AA594" s="62"/>
      <c r="AB594" s="62"/>
      <c r="AC594" s="62"/>
    </row>
    <row r="595">
      <c r="A595" s="61"/>
      <c r="B595" s="61"/>
      <c r="C595" s="62"/>
      <c r="D595" s="62"/>
      <c r="E595" s="62"/>
      <c r="F595" s="62"/>
      <c r="G595" s="62"/>
      <c r="H595" s="190"/>
      <c r="I595" s="62"/>
      <c r="J595" s="62"/>
      <c r="K595" s="62"/>
      <c r="L595" s="62"/>
      <c r="M595" s="62"/>
      <c r="N595" s="62"/>
      <c r="O595" s="62"/>
      <c r="P595" s="62"/>
      <c r="Q595" s="62"/>
      <c r="R595" s="62"/>
      <c r="S595" s="62"/>
      <c r="T595" s="62"/>
      <c r="U595" s="62"/>
      <c r="V595" s="62"/>
      <c r="W595" s="62"/>
      <c r="X595" s="62"/>
      <c r="Y595" s="62"/>
      <c r="Z595" s="62"/>
      <c r="AA595" s="62"/>
      <c r="AB595" s="62"/>
      <c r="AC595" s="62"/>
    </row>
    <row r="596">
      <c r="A596" s="61"/>
      <c r="B596" s="61"/>
      <c r="C596" s="62"/>
      <c r="D596" s="62"/>
      <c r="E596" s="62"/>
      <c r="F596" s="62"/>
      <c r="G596" s="62"/>
      <c r="H596" s="190"/>
      <c r="I596" s="62"/>
      <c r="J596" s="62"/>
      <c r="K596" s="62"/>
      <c r="L596" s="62"/>
      <c r="M596" s="62"/>
      <c r="N596" s="62"/>
      <c r="O596" s="62"/>
      <c r="P596" s="62"/>
      <c r="Q596" s="62"/>
      <c r="R596" s="62"/>
      <c r="S596" s="62"/>
      <c r="T596" s="62"/>
      <c r="U596" s="62"/>
      <c r="V596" s="62"/>
      <c r="W596" s="62"/>
      <c r="X596" s="62"/>
      <c r="Y596" s="62"/>
      <c r="Z596" s="62"/>
      <c r="AA596" s="62"/>
      <c r="AB596" s="62"/>
      <c r="AC596" s="62"/>
    </row>
    <row r="597">
      <c r="A597" s="61"/>
      <c r="B597" s="61"/>
      <c r="C597" s="62"/>
      <c r="D597" s="62"/>
      <c r="E597" s="62"/>
      <c r="F597" s="62"/>
      <c r="G597" s="62"/>
      <c r="H597" s="190"/>
      <c r="I597" s="62"/>
      <c r="J597" s="62"/>
      <c r="K597" s="62"/>
      <c r="L597" s="62"/>
      <c r="M597" s="62"/>
      <c r="N597" s="62"/>
      <c r="O597" s="62"/>
      <c r="P597" s="62"/>
      <c r="Q597" s="62"/>
      <c r="R597" s="62"/>
      <c r="S597" s="62"/>
      <c r="T597" s="62"/>
      <c r="U597" s="62"/>
      <c r="V597" s="62"/>
      <c r="W597" s="62"/>
      <c r="X597" s="62"/>
      <c r="Y597" s="62"/>
      <c r="Z597" s="62"/>
      <c r="AA597" s="62"/>
      <c r="AB597" s="62"/>
      <c r="AC597" s="62"/>
    </row>
    <row r="598">
      <c r="A598" s="61"/>
      <c r="B598" s="61"/>
      <c r="C598" s="62"/>
      <c r="D598" s="62"/>
      <c r="E598" s="62"/>
      <c r="F598" s="62"/>
      <c r="G598" s="62"/>
      <c r="H598" s="190"/>
      <c r="I598" s="62"/>
      <c r="J598" s="62"/>
      <c r="K598" s="62"/>
      <c r="L598" s="62"/>
      <c r="M598" s="62"/>
      <c r="N598" s="62"/>
      <c r="O598" s="62"/>
      <c r="P598" s="62"/>
      <c r="Q598" s="62"/>
      <c r="R598" s="62"/>
      <c r="S598" s="62"/>
      <c r="T598" s="62"/>
      <c r="U598" s="62"/>
      <c r="V598" s="62"/>
      <c r="W598" s="62"/>
      <c r="X598" s="62"/>
      <c r="Y598" s="62"/>
      <c r="Z598" s="62"/>
      <c r="AA598" s="62"/>
      <c r="AB598" s="62"/>
      <c r="AC598" s="62"/>
    </row>
    <row r="599">
      <c r="A599" s="61"/>
      <c r="B599" s="61"/>
      <c r="C599" s="62"/>
      <c r="D599" s="62"/>
      <c r="E599" s="62"/>
      <c r="F599" s="62"/>
      <c r="G599" s="62"/>
      <c r="H599" s="190"/>
      <c r="I599" s="62"/>
      <c r="J599" s="62"/>
      <c r="K599" s="62"/>
      <c r="L599" s="62"/>
      <c r="M599" s="62"/>
      <c r="N599" s="62"/>
      <c r="O599" s="62"/>
      <c r="P599" s="62"/>
      <c r="Q599" s="62"/>
      <c r="R599" s="62"/>
      <c r="S599" s="62"/>
      <c r="T599" s="62"/>
      <c r="U599" s="62"/>
      <c r="V599" s="62"/>
      <c r="W599" s="62"/>
      <c r="X599" s="62"/>
      <c r="Y599" s="62"/>
      <c r="Z599" s="62"/>
      <c r="AA599" s="62"/>
      <c r="AB599" s="62"/>
      <c r="AC599" s="62"/>
    </row>
    <row r="600">
      <c r="A600" s="61"/>
      <c r="B600" s="61"/>
      <c r="C600" s="62"/>
      <c r="D600" s="62"/>
      <c r="E600" s="62"/>
      <c r="F600" s="62"/>
      <c r="G600" s="62"/>
      <c r="H600" s="190"/>
      <c r="I600" s="62"/>
      <c r="J600" s="62"/>
      <c r="K600" s="62"/>
      <c r="L600" s="62"/>
      <c r="M600" s="62"/>
      <c r="N600" s="62"/>
      <c r="O600" s="62"/>
      <c r="P600" s="62"/>
      <c r="Q600" s="62"/>
      <c r="R600" s="62"/>
      <c r="S600" s="62"/>
      <c r="T600" s="62"/>
      <c r="U600" s="62"/>
      <c r="V600" s="62"/>
      <c r="W600" s="62"/>
      <c r="X600" s="62"/>
      <c r="Y600" s="62"/>
      <c r="Z600" s="62"/>
      <c r="AA600" s="62"/>
      <c r="AB600" s="62"/>
      <c r="AC600" s="62"/>
    </row>
    <row r="601">
      <c r="A601" s="61"/>
      <c r="B601" s="61"/>
      <c r="C601" s="62"/>
      <c r="D601" s="62"/>
      <c r="E601" s="62"/>
      <c r="F601" s="62"/>
      <c r="G601" s="62"/>
      <c r="H601" s="190"/>
      <c r="I601" s="62"/>
      <c r="J601" s="62"/>
      <c r="K601" s="62"/>
      <c r="L601" s="62"/>
      <c r="M601" s="62"/>
      <c r="N601" s="62"/>
      <c r="O601" s="62"/>
      <c r="P601" s="62"/>
      <c r="Q601" s="62"/>
      <c r="R601" s="62"/>
      <c r="S601" s="62"/>
      <c r="T601" s="62"/>
      <c r="U601" s="62"/>
      <c r="V601" s="62"/>
      <c r="W601" s="62"/>
      <c r="X601" s="62"/>
      <c r="Y601" s="62"/>
      <c r="Z601" s="62"/>
      <c r="AA601" s="62"/>
      <c r="AB601" s="62"/>
      <c r="AC601" s="62"/>
    </row>
    <row r="602">
      <c r="A602" s="61"/>
      <c r="B602" s="61"/>
      <c r="C602" s="62"/>
      <c r="D602" s="62"/>
      <c r="E602" s="62"/>
      <c r="F602" s="62"/>
      <c r="G602" s="62"/>
      <c r="H602" s="190"/>
      <c r="I602" s="62"/>
      <c r="J602" s="62"/>
      <c r="K602" s="62"/>
      <c r="L602" s="62"/>
      <c r="M602" s="62"/>
      <c r="N602" s="62"/>
      <c r="O602" s="62"/>
      <c r="P602" s="62"/>
      <c r="Q602" s="62"/>
      <c r="R602" s="62"/>
      <c r="S602" s="62"/>
      <c r="T602" s="62"/>
      <c r="U602" s="62"/>
      <c r="V602" s="62"/>
      <c r="W602" s="62"/>
      <c r="X602" s="62"/>
      <c r="Y602" s="62"/>
      <c r="Z602" s="62"/>
      <c r="AA602" s="62"/>
      <c r="AB602" s="62"/>
      <c r="AC602" s="62"/>
    </row>
    <row r="603">
      <c r="A603" s="61"/>
      <c r="B603" s="61"/>
      <c r="C603" s="62"/>
      <c r="D603" s="62"/>
      <c r="E603" s="62"/>
      <c r="F603" s="62"/>
      <c r="G603" s="62"/>
      <c r="H603" s="190"/>
      <c r="I603" s="62"/>
      <c r="J603" s="62"/>
      <c r="K603" s="62"/>
      <c r="L603" s="62"/>
      <c r="M603" s="62"/>
      <c r="N603" s="62"/>
      <c r="O603" s="62"/>
      <c r="P603" s="62"/>
      <c r="Q603" s="62"/>
      <c r="R603" s="62"/>
      <c r="S603" s="62"/>
      <c r="T603" s="62"/>
      <c r="U603" s="62"/>
      <c r="V603" s="62"/>
      <c r="W603" s="62"/>
      <c r="X603" s="62"/>
      <c r="Y603" s="62"/>
      <c r="Z603" s="62"/>
      <c r="AA603" s="62"/>
      <c r="AB603" s="62"/>
      <c r="AC603" s="62"/>
    </row>
    <row r="604">
      <c r="A604" s="61"/>
      <c r="B604" s="61"/>
      <c r="C604" s="62"/>
      <c r="D604" s="62"/>
      <c r="E604" s="62"/>
      <c r="F604" s="62"/>
      <c r="G604" s="62"/>
      <c r="H604" s="190"/>
      <c r="I604" s="62"/>
      <c r="J604" s="62"/>
      <c r="K604" s="62"/>
      <c r="L604" s="62"/>
      <c r="M604" s="62"/>
      <c r="N604" s="62"/>
      <c r="O604" s="62"/>
      <c r="P604" s="62"/>
      <c r="Q604" s="62"/>
      <c r="R604" s="62"/>
      <c r="S604" s="62"/>
      <c r="T604" s="62"/>
      <c r="U604" s="62"/>
      <c r="V604" s="62"/>
      <c r="W604" s="62"/>
      <c r="X604" s="62"/>
      <c r="Y604" s="62"/>
      <c r="Z604" s="62"/>
      <c r="AA604" s="62"/>
      <c r="AB604" s="62"/>
      <c r="AC604" s="62"/>
    </row>
    <row r="605">
      <c r="A605" s="61"/>
      <c r="B605" s="61"/>
      <c r="C605" s="62"/>
      <c r="D605" s="62"/>
      <c r="E605" s="62"/>
      <c r="F605" s="62"/>
      <c r="G605" s="62"/>
      <c r="H605" s="190"/>
      <c r="I605" s="62"/>
      <c r="J605" s="62"/>
      <c r="K605" s="62"/>
      <c r="L605" s="62"/>
      <c r="M605" s="62"/>
      <c r="N605" s="62"/>
      <c r="O605" s="62"/>
      <c r="P605" s="62"/>
      <c r="Q605" s="62"/>
      <c r="R605" s="62"/>
      <c r="S605" s="62"/>
      <c r="T605" s="62"/>
      <c r="U605" s="62"/>
      <c r="V605" s="62"/>
      <c r="W605" s="62"/>
      <c r="X605" s="62"/>
      <c r="Y605" s="62"/>
      <c r="Z605" s="62"/>
      <c r="AA605" s="62"/>
      <c r="AB605" s="62"/>
      <c r="AC605" s="62"/>
    </row>
    <row r="606">
      <c r="A606" s="61"/>
      <c r="B606" s="61"/>
      <c r="C606" s="62"/>
      <c r="D606" s="62"/>
      <c r="E606" s="62"/>
      <c r="F606" s="62"/>
      <c r="G606" s="62"/>
      <c r="H606" s="190"/>
      <c r="I606" s="62"/>
      <c r="J606" s="62"/>
      <c r="K606" s="62"/>
      <c r="L606" s="62"/>
      <c r="M606" s="62"/>
      <c r="N606" s="62"/>
      <c r="O606" s="62"/>
      <c r="P606" s="62"/>
      <c r="Q606" s="62"/>
      <c r="R606" s="62"/>
      <c r="S606" s="62"/>
      <c r="T606" s="62"/>
      <c r="U606" s="62"/>
      <c r="V606" s="62"/>
      <c r="W606" s="62"/>
      <c r="X606" s="62"/>
      <c r="Y606" s="62"/>
      <c r="Z606" s="62"/>
      <c r="AA606" s="62"/>
      <c r="AB606" s="62"/>
      <c r="AC606" s="62"/>
    </row>
    <row r="607">
      <c r="A607" s="61"/>
      <c r="B607" s="61"/>
      <c r="C607" s="62"/>
      <c r="D607" s="62"/>
      <c r="E607" s="62"/>
      <c r="F607" s="62"/>
      <c r="G607" s="62"/>
      <c r="H607" s="190"/>
      <c r="I607" s="62"/>
      <c r="J607" s="62"/>
      <c r="K607" s="62"/>
      <c r="L607" s="62"/>
      <c r="M607" s="62"/>
      <c r="N607" s="62"/>
      <c r="O607" s="62"/>
      <c r="P607" s="62"/>
      <c r="Q607" s="62"/>
      <c r="R607" s="62"/>
      <c r="S607" s="62"/>
      <c r="T607" s="62"/>
      <c r="U607" s="62"/>
      <c r="V607" s="62"/>
      <c r="W607" s="62"/>
      <c r="X607" s="62"/>
      <c r="Y607" s="62"/>
      <c r="Z607" s="62"/>
      <c r="AA607" s="62"/>
      <c r="AB607" s="62"/>
      <c r="AC607" s="62"/>
    </row>
    <row r="608">
      <c r="A608" s="61"/>
      <c r="B608" s="61"/>
      <c r="C608" s="62"/>
      <c r="D608" s="62"/>
      <c r="E608" s="62"/>
      <c r="F608" s="62"/>
      <c r="G608" s="62"/>
      <c r="H608" s="190"/>
      <c r="I608" s="62"/>
      <c r="J608" s="62"/>
      <c r="K608" s="62"/>
      <c r="L608" s="62"/>
      <c r="M608" s="62"/>
      <c r="N608" s="62"/>
      <c r="O608" s="62"/>
      <c r="P608" s="62"/>
      <c r="Q608" s="62"/>
      <c r="R608" s="62"/>
      <c r="S608" s="62"/>
      <c r="T608" s="62"/>
      <c r="U608" s="62"/>
      <c r="V608" s="62"/>
      <c r="W608" s="62"/>
      <c r="X608" s="62"/>
      <c r="Y608" s="62"/>
      <c r="Z608" s="62"/>
      <c r="AA608" s="62"/>
      <c r="AB608" s="62"/>
      <c r="AC608" s="62"/>
    </row>
    <row r="609">
      <c r="A609" s="61"/>
      <c r="B609" s="61"/>
      <c r="C609" s="62"/>
      <c r="D609" s="62"/>
      <c r="E609" s="62"/>
      <c r="F609" s="62"/>
      <c r="G609" s="62"/>
      <c r="H609" s="190"/>
      <c r="I609" s="62"/>
      <c r="J609" s="62"/>
      <c r="K609" s="62"/>
      <c r="L609" s="62"/>
      <c r="M609" s="62"/>
      <c r="N609" s="62"/>
      <c r="O609" s="62"/>
      <c r="P609" s="62"/>
      <c r="Q609" s="62"/>
      <c r="R609" s="62"/>
      <c r="S609" s="62"/>
      <c r="T609" s="62"/>
      <c r="U609" s="62"/>
      <c r="V609" s="62"/>
      <c r="W609" s="62"/>
      <c r="X609" s="62"/>
      <c r="Y609" s="62"/>
      <c r="Z609" s="62"/>
      <c r="AA609" s="62"/>
      <c r="AB609" s="62"/>
      <c r="AC609" s="62"/>
    </row>
    <row r="610">
      <c r="A610" s="61"/>
      <c r="B610" s="61"/>
      <c r="C610" s="62"/>
      <c r="D610" s="62"/>
      <c r="E610" s="62"/>
      <c r="F610" s="62"/>
      <c r="G610" s="62"/>
      <c r="H610" s="190"/>
      <c r="I610" s="62"/>
      <c r="J610" s="62"/>
      <c r="K610" s="62"/>
      <c r="L610" s="62"/>
      <c r="M610" s="62"/>
      <c r="N610" s="62"/>
      <c r="O610" s="62"/>
      <c r="P610" s="62"/>
      <c r="Q610" s="62"/>
      <c r="R610" s="62"/>
      <c r="S610" s="62"/>
      <c r="T610" s="62"/>
      <c r="U610" s="62"/>
      <c r="V610" s="62"/>
      <c r="W610" s="62"/>
      <c r="X610" s="62"/>
      <c r="Y610" s="62"/>
      <c r="Z610" s="62"/>
      <c r="AA610" s="62"/>
      <c r="AB610" s="62"/>
      <c r="AC610" s="62"/>
    </row>
    <row r="611">
      <c r="A611" s="61"/>
      <c r="B611" s="61"/>
      <c r="C611" s="62"/>
      <c r="D611" s="62"/>
      <c r="E611" s="62"/>
      <c r="F611" s="62"/>
      <c r="G611" s="62"/>
      <c r="H611" s="190"/>
      <c r="I611" s="62"/>
      <c r="J611" s="62"/>
      <c r="K611" s="62"/>
      <c r="L611" s="62"/>
      <c r="M611" s="62"/>
      <c r="N611" s="62"/>
      <c r="O611" s="62"/>
      <c r="P611" s="62"/>
      <c r="Q611" s="62"/>
      <c r="R611" s="62"/>
      <c r="S611" s="62"/>
      <c r="T611" s="62"/>
      <c r="U611" s="62"/>
      <c r="V611" s="62"/>
      <c r="W611" s="62"/>
      <c r="X611" s="62"/>
      <c r="Y611" s="62"/>
      <c r="Z611" s="62"/>
      <c r="AA611" s="62"/>
      <c r="AB611" s="62"/>
      <c r="AC611" s="62"/>
    </row>
    <row r="612">
      <c r="A612" s="61"/>
      <c r="B612" s="61"/>
      <c r="C612" s="62"/>
      <c r="D612" s="62"/>
      <c r="E612" s="62"/>
      <c r="F612" s="62"/>
      <c r="G612" s="62"/>
      <c r="H612" s="190"/>
      <c r="I612" s="62"/>
      <c r="J612" s="62"/>
      <c r="K612" s="62"/>
      <c r="L612" s="62"/>
      <c r="M612" s="62"/>
      <c r="N612" s="62"/>
      <c r="O612" s="62"/>
      <c r="P612" s="62"/>
      <c r="Q612" s="62"/>
      <c r="R612" s="62"/>
      <c r="S612" s="62"/>
      <c r="T612" s="62"/>
      <c r="U612" s="62"/>
      <c r="V612" s="62"/>
      <c r="W612" s="62"/>
      <c r="X612" s="62"/>
      <c r="Y612" s="62"/>
      <c r="Z612" s="62"/>
      <c r="AA612" s="62"/>
      <c r="AB612" s="62"/>
      <c r="AC612" s="62"/>
    </row>
    <row r="613">
      <c r="A613" s="61"/>
      <c r="B613" s="61"/>
      <c r="C613" s="62"/>
      <c r="D613" s="62"/>
      <c r="E613" s="62"/>
      <c r="F613" s="62"/>
      <c r="G613" s="62"/>
      <c r="H613" s="190"/>
      <c r="I613" s="62"/>
      <c r="J613" s="62"/>
      <c r="K613" s="62"/>
      <c r="L613" s="62"/>
      <c r="M613" s="62"/>
      <c r="N613" s="62"/>
      <c r="O613" s="62"/>
      <c r="P613" s="62"/>
      <c r="Q613" s="62"/>
      <c r="R613" s="62"/>
      <c r="S613" s="62"/>
      <c r="T613" s="62"/>
      <c r="U613" s="62"/>
      <c r="V613" s="62"/>
      <c r="W613" s="62"/>
      <c r="X613" s="62"/>
      <c r="Y613" s="62"/>
      <c r="Z613" s="62"/>
      <c r="AA613" s="62"/>
      <c r="AB613" s="62"/>
      <c r="AC613" s="62"/>
    </row>
    <row r="614">
      <c r="A614" s="61"/>
      <c r="B614" s="61"/>
      <c r="C614" s="62"/>
      <c r="D614" s="62"/>
      <c r="E614" s="62"/>
      <c r="F614" s="62"/>
      <c r="G614" s="62"/>
      <c r="H614" s="190"/>
      <c r="I614" s="62"/>
      <c r="J614" s="62"/>
      <c r="K614" s="62"/>
      <c r="L614" s="62"/>
      <c r="M614" s="62"/>
      <c r="N614" s="62"/>
      <c r="O614" s="62"/>
      <c r="P614" s="62"/>
      <c r="Q614" s="62"/>
      <c r="R614" s="62"/>
      <c r="S614" s="62"/>
      <c r="T614" s="62"/>
      <c r="U614" s="62"/>
      <c r="V614" s="62"/>
      <c r="W614" s="62"/>
      <c r="X614" s="62"/>
      <c r="Y614" s="62"/>
      <c r="Z614" s="62"/>
      <c r="AA614" s="62"/>
      <c r="AB614" s="62"/>
      <c r="AC614" s="62"/>
    </row>
    <row r="615">
      <c r="A615" s="61"/>
      <c r="B615" s="61"/>
      <c r="C615" s="62"/>
      <c r="D615" s="62"/>
      <c r="E615" s="62"/>
      <c r="F615" s="62"/>
      <c r="G615" s="62"/>
      <c r="H615" s="190"/>
      <c r="I615" s="62"/>
      <c r="J615" s="62"/>
      <c r="K615" s="62"/>
      <c r="L615" s="62"/>
      <c r="M615" s="62"/>
      <c r="N615" s="62"/>
      <c r="O615" s="62"/>
      <c r="P615" s="62"/>
      <c r="Q615" s="62"/>
      <c r="R615" s="62"/>
      <c r="S615" s="62"/>
      <c r="T615" s="62"/>
      <c r="U615" s="62"/>
      <c r="V615" s="62"/>
      <c r="W615" s="62"/>
      <c r="X615" s="62"/>
      <c r="Y615" s="62"/>
      <c r="Z615" s="62"/>
      <c r="AA615" s="62"/>
      <c r="AB615" s="62"/>
      <c r="AC615" s="62"/>
    </row>
    <row r="616">
      <c r="A616" s="61"/>
      <c r="B616" s="61"/>
      <c r="C616" s="62"/>
      <c r="D616" s="62"/>
      <c r="E616" s="62"/>
      <c r="F616" s="62"/>
      <c r="G616" s="62"/>
      <c r="H616" s="190"/>
      <c r="I616" s="62"/>
      <c r="J616" s="62"/>
      <c r="K616" s="62"/>
      <c r="L616" s="62"/>
      <c r="M616" s="62"/>
      <c r="N616" s="62"/>
      <c r="O616" s="62"/>
      <c r="P616" s="62"/>
      <c r="Q616" s="62"/>
      <c r="R616" s="62"/>
      <c r="S616" s="62"/>
      <c r="T616" s="62"/>
      <c r="U616" s="62"/>
      <c r="V616" s="62"/>
      <c r="W616" s="62"/>
      <c r="X616" s="62"/>
      <c r="Y616" s="62"/>
      <c r="Z616" s="62"/>
      <c r="AA616" s="62"/>
      <c r="AB616" s="62"/>
      <c r="AC616" s="62"/>
    </row>
    <row r="617">
      <c r="A617" s="61"/>
      <c r="B617" s="61"/>
      <c r="C617" s="62"/>
      <c r="D617" s="62"/>
      <c r="E617" s="62"/>
      <c r="F617" s="62"/>
      <c r="G617" s="62"/>
      <c r="H617" s="190"/>
      <c r="I617" s="62"/>
      <c r="J617" s="62"/>
      <c r="K617" s="62"/>
      <c r="L617" s="62"/>
      <c r="M617" s="62"/>
      <c r="N617" s="62"/>
      <c r="O617" s="62"/>
      <c r="P617" s="62"/>
      <c r="Q617" s="62"/>
      <c r="R617" s="62"/>
      <c r="S617" s="62"/>
      <c r="T617" s="62"/>
      <c r="U617" s="62"/>
      <c r="V617" s="62"/>
      <c r="W617" s="62"/>
      <c r="X617" s="62"/>
      <c r="Y617" s="62"/>
      <c r="Z617" s="62"/>
      <c r="AA617" s="62"/>
      <c r="AB617" s="62"/>
      <c r="AC617" s="62"/>
    </row>
    <row r="618">
      <c r="A618" s="61"/>
      <c r="B618" s="61"/>
      <c r="C618" s="62"/>
      <c r="D618" s="62"/>
      <c r="E618" s="62"/>
      <c r="F618" s="62"/>
      <c r="G618" s="62"/>
      <c r="H618" s="190"/>
      <c r="I618" s="62"/>
      <c r="J618" s="62"/>
      <c r="K618" s="62"/>
      <c r="L618" s="62"/>
      <c r="M618" s="62"/>
      <c r="N618" s="62"/>
      <c r="O618" s="62"/>
      <c r="P618" s="62"/>
      <c r="Q618" s="62"/>
      <c r="R618" s="62"/>
      <c r="S618" s="62"/>
      <c r="T618" s="62"/>
      <c r="U618" s="62"/>
      <c r="V618" s="62"/>
      <c r="W618" s="62"/>
      <c r="X618" s="62"/>
      <c r="Y618" s="62"/>
      <c r="Z618" s="62"/>
      <c r="AA618" s="62"/>
      <c r="AB618" s="62"/>
      <c r="AC618" s="62"/>
    </row>
    <row r="619">
      <c r="A619" s="61"/>
      <c r="B619" s="61"/>
      <c r="C619" s="62"/>
      <c r="D619" s="62"/>
      <c r="E619" s="62"/>
      <c r="F619" s="62"/>
      <c r="G619" s="62"/>
      <c r="H619" s="190"/>
      <c r="I619" s="62"/>
      <c r="J619" s="62"/>
      <c r="K619" s="62"/>
      <c r="L619" s="62"/>
      <c r="M619" s="62"/>
      <c r="N619" s="62"/>
      <c r="O619" s="62"/>
      <c r="P619" s="62"/>
      <c r="Q619" s="62"/>
      <c r="R619" s="62"/>
      <c r="S619" s="62"/>
      <c r="T619" s="62"/>
      <c r="U619" s="62"/>
      <c r="V619" s="62"/>
      <c r="W619" s="62"/>
      <c r="X619" s="62"/>
      <c r="Y619" s="62"/>
      <c r="Z619" s="62"/>
      <c r="AA619" s="62"/>
      <c r="AB619" s="62"/>
      <c r="AC619" s="62"/>
    </row>
    <row r="620">
      <c r="A620" s="61"/>
      <c r="B620" s="61"/>
      <c r="C620" s="62"/>
      <c r="D620" s="62"/>
      <c r="E620" s="62"/>
      <c r="F620" s="62"/>
      <c r="G620" s="62"/>
      <c r="H620" s="190"/>
      <c r="I620" s="62"/>
      <c r="J620" s="62"/>
      <c r="K620" s="62"/>
      <c r="L620" s="62"/>
      <c r="M620" s="62"/>
      <c r="N620" s="62"/>
      <c r="O620" s="62"/>
      <c r="P620" s="62"/>
      <c r="Q620" s="62"/>
      <c r="R620" s="62"/>
      <c r="S620" s="62"/>
      <c r="T620" s="62"/>
      <c r="U620" s="62"/>
      <c r="V620" s="62"/>
      <c r="W620" s="62"/>
      <c r="X620" s="62"/>
      <c r="Y620" s="62"/>
      <c r="Z620" s="62"/>
      <c r="AA620" s="62"/>
      <c r="AB620" s="62"/>
      <c r="AC620" s="62"/>
    </row>
    <row r="621">
      <c r="A621" s="61"/>
      <c r="B621" s="61"/>
      <c r="C621" s="62"/>
      <c r="D621" s="62"/>
      <c r="E621" s="62"/>
      <c r="F621" s="62"/>
      <c r="G621" s="62"/>
      <c r="H621" s="190"/>
      <c r="I621" s="62"/>
      <c r="J621" s="62"/>
      <c r="K621" s="62"/>
      <c r="L621" s="62"/>
      <c r="M621" s="62"/>
      <c r="N621" s="62"/>
      <c r="O621" s="62"/>
      <c r="P621" s="62"/>
      <c r="Q621" s="62"/>
      <c r="R621" s="62"/>
      <c r="S621" s="62"/>
      <c r="T621" s="62"/>
      <c r="U621" s="62"/>
      <c r="V621" s="62"/>
      <c r="W621" s="62"/>
      <c r="X621" s="62"/>
      <c r="Y621" s="62"/>
      <c r="Z621" s="62"/>
      <c r="AA621" s="62"/>
      <c r="AB621" s="62"/>
      <c r="AC621" s="62"/>
    </row>
    <row r="622">
      <c r="A622" s="61"/>
      <c r="B622" s="61"/>
      <c r="C622" s="62"/>
      <c r="D622" s="62"/>
      <c r="E622" s="62"/>
      <c r="F622" s="62"/>
      <c r="G622" s="62"/>
      <c r="H622" s="190"/>
      <c r="I622" s="62"/>
      <c r="J622" s="62"/>
      <c r="K622" s="62"/>
      <c r="L622" s="62"/>
      <c r="M622" s="62"/>
      <c r="N622" s="62"/>
      <c r="O622" s="62"/>
      <c r="P622" s="62"/>
      <c r="Q622" s="62"/>
      <c r="R622" s="62"/>
      <c r="S622" s="62"/>
      <c r="T622" s="62"/>
      <c r="U622" s="62"/>
      <c r="V622" s="62"/>
      <c r="W622" s="62"/>
      <c r="X622" s="62"/>
      <c r="Y622" s="62"/>
      <c r="Z622" s="62"/>
      <c r="AA622" s="62"/>
      <c r="AB622" s="62"/>
      <c r="AC622" s="62"/>
    </row>
    <row r="623">
      <c r="A623" s="61"/>
      <c r="B623" s="61"/>
      <c r="C623" s="62"/>
      <c r="D623" s="62"/>
      <c r="E623" s="62"/>
      <c r="F623" s="62"/>
      <c r="G623" s="62"/>
      <c r="H623" s="190"/>
      <c r="I623" s="62"/>
      <c r="J623" s="62"/>
      <c r="K623" s="62"/>
      <c r="L623" s="62"/>
      <c r="M623" s="62"/>
      <c r="N623" s="62"/>
      <c r="O623" s="62"/>
      <c r="P623" s="62"/>
      <c r="Q623" s="62"/>
      <c r="R623" s="62"/>
      <c r="S623" s="62"/>
      <c r="T623" s="62"/>
      <c r="U623" s="62"/>
      <c r="V623" s="62"/>
      <c r="W623" s="62"/>
      <c r="X623" s="62"/>
      <c r="Y623" s="62"/>
      <c r="Z623" s="62"/>
      <c r="AA623" s="62"/>
      <c r="AB623" s="62"/>
      <c r="AC623" s="62"/>
    </row>
    <row r="624">
      <c r="A624" s="61"/>
      <c r="B624" s="61"/>
      <c r="C624" s="62"/>
      <c r="D624" s="62"/>
      <c r="E624" s="62"/>
      <c r="F624" s="62"/>
      <c r="G624" s="62"/>
      <c r="H624" s="190"/>
      <c r="I624" s="62"/>
      <c r="J624" s="62"/>
      <c r="K624" s="62"/>
      <c r="L624" s="62"/>
      <c r="M624" s="62"/>
      <c r="N624" s="62"/>
      <c r="O624" s="62"/>
      <c r="P624" s="62"/>
      <c r="Q624" s="62"/>
      <c r="R624" s="62"/>
      <c r="S624" s="62"/>
      <c r="T624" s="62"/>
      <c r="U624" s="62"/>
      <c r="V624" s="62"/>
      <c r="W624" s="62"/>
      <c r="X624" s="62"/>
      <c r="Y624" s="62"/>
      <c r="Z624" s="62"/>
      <c r="AA624" s="62"/>
      <c r="AB624" s="62"/>
      <c r="AC624" s="62"/>
    </row>
    <row r="625">
      <c r="A625" s="61"/>
      <c r="B625" s="61"/>
      <c r="C625" s="62"/>
      <c r="D625" s="62"/>
      <c r="E625" s="62"/>
      <c r="F625" s="62"/>
      <c r="G625" s="62"/>
      <c r="H625" s="190"/>
      <c r="I625" s="62"/>
      <c r="J625" s="62"/>
      <c r="K625" s="62"/>
      <c r="L625" s="62"/>
      <c r="M625" s="62"/>
      <c r="N625" s="62"/>
      <c r="O625" s="62"/>
      <c r="P625" s="62"/>
      <c r="Q625" s="62"/>
      <c r="R625" s="62"/>
      <c r="S625" s="62"/>
      <c r="T625" s="62"/>
      <c r="U625" s="62"/>
      <c r="V625" s="62"/>
      <c r="W625" s="62"/>
      <c r="X625" s="62"/>
      <c r="Y625" s="62"/>
      <c r="Z625" s="62"/>
      <c r="AA625" s="62"/>
      <c r="AB625" s="62"/>
      <c r="AC625" s="62"/>
    </row>
    <row r="626">
      <c r="A626" s="61"/>
      <c r="B626" s="61"/>
      <c r="C626" s="62"/>
      <c r="D626" s="62"/>
      <c r="E626" s="62"/>
      <c r="F626" s="62"/>
      <c r="G626" s="62"/>
      <c r="H626" s="190"/>
      <c r="I626" s="62"/>
      <c r="J626" s="62"/>
      <c r="K626" s="62"/>
      <c r="L626" s="62"/>
      <c r="M626" s="62"/>
      <c r="N626" s="62"/>
      <c r="O626" s="62"/>
      <c r="P626" s="62"/>
      <c r="Q626" s="62"/>
      <c r="R626" s="62"/>
      <c r="S626" s="62"/>
      <c r="T626" s="62"/>
      <c r="U626" s="62"/>
      <c r="V626" s="62"/>
      <c r="W626" s="62"/>
      <c r="X626" s="62"/>
      <c r="Y626" s="62"/>
      <c r="Z626" s="62"/>
      <c r="AA626" s="62"/>
      <c r="AB626" s="62"/>
      <c r="AC626" s="62"/>
    </row>
    <row r="627">
      <c r="A627" s="61"/>
      <c r="B627" s="61"/>
      <c r="C627" s="62"/>
      <c r="D627" s="62"/>
      <c r="E627" s="62"/>
      <c r="F627" s="62"/>
      <c r="G627" s="62"/>
      <c r="H627" s="190"/>
      <c r="I627" s="62"/>
      <c r="J627" s="62"/>
      <c r="K627" s="62"/>
      <c r="L627" s="62"/>
      <c r="M627" s="62"/>
      <c r="N627" s="62"/>
      <c r="O627" s="62"/>
      <c r="P627" s="62"/>
      <c r="Q627" s="62"/>
      <c r="R627" s="62"/>
      <c r="S627" s="62"/>
      <c r="T627" s="62"/>
      <c r="U627" s="62"/>
      <c r="V627" s="62"/>
      <c r="W627" s="62"/>
      <c r="X627" s="62"/>
      <c r="Y627" s="62"/>
      <c r="Z627" s="62"/>
      <c r="AA627" s="62"/>
      <c r="AB627" s="62"/>
      <c r="AC627" s="62"/>
    </row>
    <row r="628">
      <c r="A628" s="61"/>
      <c r="B628" s="61"/>
      <c r="C628" s="62"/>
      <c r="D628" s="62"/>
      <c r="E628" s="62"/>
      <c r="F628" s="62"/>
      <c r="G628" s="62"/>
      <c r="H628" s="190"/>
      <c r="I628" s="62"/>
      <c r="J628" s="62"/>
      <c r="K628" s="62"/>
      <c r="L628" s="62"/>
      <c r="M628" s="62"/>
      <c r="N628" s="62"/>
      <c r="O628" s="62"/>
      <c r="P628" s="62"/>
      <c r="Q628" s="62"/>
      <c r="R628" s="62"/>
      <c r="S628" s="62"/>
      <c r="T628" s="62"/>
      <c r="U628" s="62"/>
      <c r="V628" s="62"/>
      <c r="W628" s="62"/>
      <c r="X628" s="62"/>
      <c r="Y628" s="62"/>
      <c r="Z628" s="62"/>
      <c r="AA628" s="62"/>
      <c r="AB628" s="62"/>
      <c r="AC628" s="62"/>
    </row>
    <row r="629">
      <c r="A629" s="61"/>
      <c r="B629" s="61"/>
      <c r="C629" s="62"/>
      <c r="D629" s="62"/>
      <c r="E629" s="62"/>
      <c r="F629" s="62"/>
      <c r="G629" s="62"/>
      <c r="H629" s="190"/>
      <c r="I629" s="62"/>
      <c r="J629" s="62"/>
      <c r="K629" s="62"/>
      <c r="L629" s="62"/>
      <c r="M629" s="62"/>
      <c r="N629" s="62"/>
      <c r="O629" s="62"/>
      <c r="P629" s="62"/>
      <c r="Q629" s="62"/>
      <c r="R629" s="62"/>
      <c r="S629" s="62"/>
      <c r="T629" s="62"/>
      <c r="U629" s="62"/>
      <c r="V629" s="62"/>
      <c r="W629" s="62"/>
      <c r="X629" s="62"/>
      <c r="Y629" s="62"/>
      <c r="Z629" s="62"/>
      <c r="AA629" s="62"/>
      <c r="AB629" s="62"/>
      <c r="AC629" s="62"/>
    </row>
    <row r="630">
      <c r="A630" s="61"/>
      <c r="B630" s="61"/>
      <c r="C630" s="62"/>
      <c r="D630" s="62"/>
      <c r="E630" s="62"/>
      <c r="F630" s="62"/>
      <c r="G630" s="62"/>
      <c r="H630" s="190"/>
      <c r="I630" s="62"/>
      <c r="J630" s="62"/>
      <c r="K630" s="62"/>
      <c r="L630" s="62"/>
      <c r="M630" s="62"/>
      <c r="N630" s="62"/>
      <c r="O630" s="62"/>
      <c r="P630" s="62"/>
      <c r="Q630" s="62"/>
      <c r="R630" s="62"/>
      <c r="S630" s="62"/>
      <c r="T630" s="62"/>
      <c r="U630" s="62"/>
      <c r="V630" s="62"/>
      <c r="W630" s="62"/>
      <c r="X630" s="62"/>
      <c r="Y630" s="62"/>
      <c r="Z630" s="62"/>
      <c r="AA630" s="62"/>
      <c r="AB630" s="62"/>
      <c r="AC630" s="62"/>
    </row>
    <row r="631">
      <c r="A631" s="61"/>
      <c r="B631" s="61"/>
      <c r="C631" s="62"/>
      <c r="D631" s="62"/>
      <c r="E631" s="62"/>
      <c r="F631" s="62"/>
      <c r="G631" s="62"/>
      <c r="H631" s="190"/>
      <c r="I631" s="62"/>
      <c r="J631" s="62"/>
      <c r="K631" s="62"/>
      <c r="L631" s="62"/>
      <c r="M631" s="62"/>
      <c r="N631" s="62"/>
      <c r="O631" s="62"/>
      <c r="P631" s="62"/>
      <c r="Q631" s="62"/>
      <c r="R631" s="62"/>
      <c r="S631" s="62"/>
      <c r="T631" s="62"/>
      <c r="U631" s="62"/>
      <c r="V631" s="62"/>
      <c r="W631" s="62"/>
      <c r="X631" s="62"/>
      <c r="Y631" s="62"/>
      <c r="Z631" s="62"/>
      <c r="AA631" s="62"/>
      <c r="AB631" s="62"/>
      <c r="AC631" s="62"/>
    </row>
    <row r="632">
      <c r="A632" s="61"/>
      <c r="B632" s="61"/>
      <c r="C632" s="62"/>
      <c r="D632" s="62"/>
      <c r="E632" s="62"/>
      <c r="F632" s="62"/>
      <c r="G632" s="62"/>
      <c r="H632" s="190"/>
      <c r="I632" s="62"/>
      <c r="J632" s="62"/>
      <c r="K632" s="62"/>
      <c r="L632" s="62"/>
      <c r="M632" s="62"/>
      <c r="N632" s="62"/>
      <c r="O632" s="62"/>
      <c r="P632" s="62"/>
      <c r="Q632" s="62"/>
      <c r="R632" s="62"/>
      <c r="S632" s="62"/>
      <c r="T632" s="62"/>
      <c r="U632" s="62"/>
      <c r="V632" s="62"/>
      <c r="W632" s="62"/>
      <c r="X632" s="62"/>
      <c r="Y632" s="62"/>
      <c r="Z632" s="62"/>
      <c r="AA632" s="62"/>
      <c r="AB632" s="62"/>
      <c r="AC632" s="62"/>
    </row>
    <row r="633">
      <c r="A633" s="61"/>
      <c r="B633" s="61"/>
      <c r="C633" s="62"/>
      <c r="D633" s="62"/>
      <c r="E633" s="62"/>
      <c r="F633" s="62"/>
      <c r="G633" s="62"/>
      <c r="H633" s="190"/>
      <c r="I633" s="62"/>
      <c r="J633" s="62"/>
      <c r="K633" s="62"/>
      <c r="L633" s="62"/>
      <c r="M633" s="62"/>
      <c r="N633" s="62"/>
      <c r="O633" s="62"/>
      <c r="P633" s="62"/>
      <c r="Q633" s="62"/>
      <c r="R633" s="62"/>
      <c r="S633" s="62"/>
      <c r="T633" s="62"/>
      <c r="U633" s="62"/>
      <c r="V633" s="62"/>
      <c r="W633" s="62"/>
      <c r="X633" s="62"/>
      <c r="Y633" s="62"/>
      <c r="Z633" s="62"/>
      <c r="AA633" s="62"/>
      <c r="AB633" s="62"/>
      <c r="AC633" s="62"/>
    </row>
    <row r="634">
      <c r="A634" s="61"/>
      <c r="B634" s="61"/>
      <c r="C634" s="62"/>
      <c r="D634" s="62"/>
      <c r="E634" s="62"/>
      <c r="F634" s="62"/>
      <c r="G634" s="62"/>
      <c r="H634" s="190"/>
      <c r="I634" s="62"/>
      <c r="J634" s="62"/>
      <c r="K634" s="62"/>
      <c r="L634" s="62"/>
      <c r="M634" s="62"/>
      <c r="N634" s="62"/>
      <c r="O634" s="62"/>
      <c r="P634" s="62"/>
      <c r="Q634" s="62"/>
      <c r="R634" s="62"/>
      <c r="S634" s="62"/>
      <c r="T634" s="62"/>
      <c r="U634" s="62"/>
      <c r="V634" s="62"/>
      <c r="W634" s="62"/>
      <c r="X634" s="62"/>
      <c r="Y634" s="62"/>
      <c r="Z634" s="62"/>
      <c r="AA634" s="62"/>
      <c r="AB634" s="62"/>
      <c r="AC634" s="62"/>
    </row>
    <row r="635">
      <c r="A635" s="61"/>
      <c r="B635" s="61"/>
      <c r="C635" s="62"/>
      <c r="D635" s="62"/>
      <c r="E635" s="62"/>
      <c r="F635" s="62"/>
      <c r="G635" s="62"/>
      <c r="H635" s="190"/>
      <c r="I635" s="62"/>
      <c r="J635" s="62"/>
      <c r="K635" s="62"/>
      <c r="L635" s="62"/>
      <c r="M635" s="62"/>
      <c r="N635" s="62"/>
      <c r="O635" s="62"/>
      <c r="P635" s="62"/>
      <c r="Q635" s="62"/>
      <c r="R635" s="62"/>
      <c r="S635" s="62"/>
      <c r="T635" s="62"/>
      <c r="U635" s="62"/>
      <c r="V635" s="62"/>
      <c r="W635" s="62"/>
      <c r="X635" s="62"/>
      <c r="Y635" s="62"/>
      <c r="Z635" s="62"/>
      <c r="AA635" s="62"/>
      <c r="AB635" s="62"/>
      <c r="AC635" s="62"/>
    </row>
    <row r="636">
      <c r="A636" s="61"/>
      <c r="B636" s="61"/>
      <c r="C636" s="62"/>
      <c r="D636" s="62"/>
      <c r="E636" s="62"/>
      <c r="F636" s="62"/>
      <c r="G636" s="62"/>
      <c r="H636" s="190"/>
      <c r="I636" s="62"/>
      <c r="J636" s="62"/>
      <c r="K636" s="62"/>
      <c r="L636" s="62"/>
      <c r="M636" s="62"/>
      <c r="N636" s="62"/>
      <c r="O636" s="62"/>
      <c r="P636" s="62"/>
      <c r="Q636" s="62"/>
      <c r="R636" s="62"/>
      <c r="S636" s="62"/>
      <c r="T636" s="62"/>
      <c r="U636" s="62"/>
      <c r="V636" s="62"/>
      <c r="W636" s="62"/>
      <c r="X636" s="62"/>
      <c r="Y636" s="62"/>
      <c r="Z636" s="62"/>
      <c r="AA636" s="62"/>
      <c r="AB636" s="62"/>
      <c r="AC636" s="62"/>
    </row>
    <row r="637">
      <c r="A637" s="61"/>
      <c r="B637" s="61"/>
      <c r="C637" s="62"/>
      <c r="D637" s="62"/>
      <c r="E637" s="62"/>
      <c r="F637" s="62"/>
      <c r="G637" s="62"/>
      <c r="H637" s="190"/>
      <c r="I637" s="62"/>
      <c r="J637" s="62"/>
      <c r="K637" s="62"/>
      <c r="L637" s="62"/>
      <c r="M637" s="62"/>
      <c r="N637" s="62"/>
      <c r="O637" s="62"/>
      <c r="P637" s="62"/>
      <c r="Q637" s="62"/>
      <c r="R637" s="62"/>
      <c r="S637" s="62"/>
      <c r="T637" s="62"/>
      <c r="U637" s="62"/>
      <c r="V637" s="62"/>
      <c r="W637" s="62"/>
      <c r="X637" s="62"/>
      <c r="Y637" s="62"/>
      <c r="Z637" s="62"/>
      <c r="AA637" s="62"/>
      <c r="AB637" s="62"/>
      <c r="AC637" s="62"/>
    </row>
    <row r="638">
      <c r="A638" s="61"/>
      <c r="B638" s="61"/>
      <c r="C638" s="62"/>
      <c r="D638" s="62"/>
      <c r="E638" s="62"/>
      <c r="F638" s="62"/>
      <c r="G638" s="62"/>
      <c r="H638" s="190"/>
      <c r="I638" s="62"/>
      <c r="J638" s="62"/>
      <c r="K638" s="62"/>
      <c r="L638" s="62"/>
      <c r="M638" s="62"/>
      <c r="N638" s="62"/>
      <c r="O638" s="62"/>
      <c r="P638" s="62"/>
      <c r="Q638" s="62"/>
      <c r="R638" s="62"/>
      <c r="S638" s="62"/>
      <c r="T638" s="62"/>
      <c r="U638" s="62"/>
      <c r="V638" s="62"/>
      <c r="W638" s="62"/>
      <c r="X638" s="62"/>
      <c r="Y638" s="62"/>
      <c r="Z638" s="62"/>
      <c r="AA638" s="62"/>
      <c r="AB638" s="62"/>
      <c r="AC638" s="62"/>
    </row>
    <row r="639">
      <c r="A639" s="61"/>
      <c r="B639" s="61"/>
      <c r="C639" s="62"/>
      <c r="D639" s="62"/>
      <c r="E639" s="62"/>
      <c r="F639" s="62"/>
      <c r="G639" s="62"/>
      <c r="H639" s="190"/>
      <c r="I639" s="62"/>
      <c r="J639" s="62"/>
      <c r="K639" s="62"/>
      <c r="L639" s="62"/>
      <c r="M639" s="62"/>
      <c r="N639" s="62"/>
      <c r="O639" s="62"/>
      <c r="P639" s="62"/>
      <c r="Q639" s="62"/>
      <c r="R639" s="62"/>
      <c r="S639" s="62"/>
      <c r="T639" s="62"/>
      <c r="U639" s="62"/>
      <c r="V639" s="62"/>
      <c r="W639" s="62"/>
      <c r="X639" s="62"/>
      <c r="Y639" s="62"/>
      <c r="Z639" s="62"/>
      <c r="AA639" s="62"/>
      <c r="AB639" s="62"/>
      <c r="AC639" s="62"/>
    </row>
    <row r="640">
      <c r="A640" s="61"/>
      <c r="B640" s="61"/>
      <c r="C640" s="62"/>
      <c r="D640" s="62"/>
      <c r="E640" s="62"/>
      <c r="F640" s="62"/>
      <c r="G640" s="62"/>
      <c r="H640" s="190"/>
      <c r="I640" s="62"/>
      <c r="J640" s="62"/>
      <c r="K640" s="62"/>
      <c r="L640" s="62"/>
      <c r="M640" s="62"/>
      <c r="N640" s="62"/>
      <c r="O640" s="62"/>
      <c r="P640" s="62"/>
      <c r="Q640" s="62"/>
      <c r="R640" s="62"/>
      <c r="S640" s="62"/>
      <c r="T640" s="62"/>
      <c r="U640" s="62"/>
      <c r="V640" s="62"/>
      <c r="W640" s="62"/>
      <c r="X640" s="62"/>
      <c r="Y640" s="62"/>
      <c r="Z640" s="62"/>
      <c r="AA640" s="62"/>
      <c r="AB640" s="62"/>
      <c r="AC640" s="62"/>
    </row>
    <row r="641">
      <c r="A641" s="61"/>
      <c r="B641" s="61"/>
      <c r="C641" s="62"/>
      <c r="D641" s="62"/>
      <c r="E641" s="62"/>
      <c r="F641" s="62"/>
      <c r="G641" s="62"/>
      <c r="H641" s="190"/>
      <c r="I641" s="62"/>
      <c r="J641" s="62"/>
      <c r="K641" s="62"/>
      <c r="L641" s="62"/>
      <c r="M641" s="62"/>
      <c r="N641" s="62"/>
      <c r="O641" s="62"/>
      <c r="P641" s="62"/>
      <c r="Q641" s="62"/>
      <c r="R641" s="62"/>
      <c r="S641" s="62"/>
      <c r="T641" s="62"/>
      <c r="U641" s="62"/>
      <c r="V641" s="62"/>
      <c r="W641" s="62"/>
      <c r="X641" s="62"/>
      <c r="Y641" s="62"/>
      <c r="Z641" s="62"/>
      <c r="AA641" s="62"/>
      <c r="AB641" s="62"/>
      <c r="AC641" s="62"/>
    </row>
    <row r="642">
      <c r="A642" s="61"/>
      <c r="B642" s="61"/>
      <c r="C642" s="62"/>
      <c r="D642" s="62"/>
      <c r="E642" s="62"/>
      <c r="F642" s="62"/>
      <c r="G642" s="62"/>
      <c r="H642" s="190"/>
      <c r="I642" s="62"/>
      <c r="J642" s="62"/>
      <c r="K642" s="62"/>
      <c r="L642" s="62"/>
      <c r="M642" s="62"/>
      <c r="N642" s="62"/>
      <c r="O642" s="62"/>
      <c r="P642" s="62"/>
      <c r="Q642" s="62"/>
      <c r="R642" s="62"/>
      <c r="S642" s="62"/>
      <c r="T642" s="62"/>
      <c r="U642" s="62"/>
      <c r="V642" s="62"/>
      <c r="W642" s="62"/>
      <c r="X642" s="62"/>
      <c r="Y642" s="62"/>
      <c r="Z642" s="62"/>
      <c r="AA642" s="62"/>
      <c r="AB642" s="62"/>
      <c r="AC642" s="62"/>
    </row>
    <row r="643">
      <c r="A643" s="61"/>
      <c r="B643" s="61"/>
      <c r="C643" s="62"/>
      <c r="D643" s="62"/>
      <c r="E643" s="62"/>
      <c r="F643" s="62"/>
      <c r="G643" s="62"/>
      <c r="H643" s="190"/>
      <c r="I643" s="62"/>
      <c r="J643" s="62"/>
      <c r="K643" s="62"/>
      <c r="L643" s="62"/>
      <c r="M643" s="62"/>
      <c r="N643" s="62"/>
      <c r="O643" s="62"/>
      <c r="P643" s="62"/>
      <c r="Q643" s="62"/>
      <c r="R643" s="62"/>
      <c r="S643" s="62"/>
      <c r="T643" s="62"/>
      <c r="U643" s="62"/>
      <c r="V643" s="62"/>
      <c r="W643" s="62"/>
      <c r="X643" s="62"/>
      <c r="Y643" s="62"/>
      <c r="Z643" s="62"/>
      <c r="AA643" s="62"/>
      <c r="AB643" s="62"/>
      <c r="AC643" s="62"/>
    </row>
    <row r="644">
      <c r="A644" s="61"/>
      <c r="B644" s="61"/>
      <c r="C644" s="62"/>
      <c r="D644" s="62"/>
      <c r="E644" s="62"/>
      <c r="F644" s="62"/>
      <c r="G644" s="62"/>
      <c r="H644" s="190"/>
      <c r="I644" s="62"/>
      <c r="J644" s="62"/>
      <c r="K644" s="62"/>
      <c r="L644" s="62"/>
      <c r="M644" s="62"/>
      <c r="N644" s="62"/>
      <c r="O644" s="62"/>
      <c r="P644" s="62"/>
      <c r="Q644" s="62"/>
      <c r="R644" s="62"/>
      <c r="S644" s="62"/>
      <c r="T644" s="62"/>
      <c r="U644" s="62"/>
      <c r="V644" s="62"/>
      <c r="W644" s="62"/>
      <c r="X644" s="62"/>
      <c r="Y644" s="62"/>
      <c r="Z644" s="62"/>
      <c r="AA644" s="62"/>
      <c r="AB644" s="62"/>
      <c r="AC644" s="62"/>
    </row>
    <row r="645">
      <c r="A645" s="61"/>
      <c r="B645" s="61"/>
      <c r="C645" s="62"/>
      <c r="D645" s="62"/>
      <c r="E645" s="62"/>
      <c r="F645" s="62"/>
      <c r="G645" s="62"/>
      <c r="H645" s="190"/>
      <c r="I645" s="62"/>
      <c r="J645" s="62"/>
      <c r="K645" s="62"/>
      <c r="L645" s="62"/>
      <c r="M645" s="62"/>
      <c r="N645" s="62"/>
      <c r="O645" s="62"/>
      <c r="P645" s="62"/>
      <c r="Q645" s="62"/>
      <c r="R645" s="62"/>
      <c r="S645" s="62"/>
      <c r="T645" s="62"/>
      <c r="U645" s="62"/>
      <c r="V645" s="62"/>
      <c r="W645" s="62"/>
      <c r="X645" s="62"/>
      <c r="Y645" s="62"/>
      <c r="Z645" s="62"/>
      <c r="AA645" s="62"/>
      <c r="AB645" s="62"/>
      <c r="AC645" s="62"/>
    </row>
    <row r="646">
      <c r="A646" s="61"/>
      <c r="B646" s="61"/>
      <c r="C646" s="62"/>
      <c r="D646" s="62"/>
      <c r="E646" s="62"/>
      <c r="F646" s="62"/>
      <c r="G646" s="62"/>
      <c r="H646" s="190"/>
      <c r="I646" s="62"/>
      <c r="J646" s="62"/>
      <c r="K646" s="62"/>
      <c r="L646" s="62"/>
      <c r="M646" s="62"/>
      <c r="N646" s="62"/>
      <c r="O646" s="62"/>
      <c r="P646" s="62"/>
      <c r="Q646" s="62"/>
      <c r="R646" s="62"/>
      <c r="S646" s="62"/>
      <c r="T646" s="62"/>
      <c r="U646" s="62"/>
      <c r="V646" s="62"/>
      <c r="W646" s="62"/>
      <c r="X646" s="62"/>
      <c r="Y646" s="62"/>
      <c r="Z646" s="62"/>
      <c r="AA646" s="62"/>
      <c r="AB646" s="62"/>
      <c r="AC646" s="62"/>
    </row>
    <row r="647">
      <c r="A647" s="61"/>
      <c r="B647" s="61"/>
      <c r="C647" s="62"/>
      <c r="D647" s="62"/>
      <c r="E647" s="62"/>
      <c r="F647" s="62"/>
      <c r="G647" s="62"/>
      <c r="H647" s="190"/>
      <c r="I647" s="62"/>
      <c r="J647" s="62"/>
      <c r="K647" s="62"/>
      <c r="L647" s="62"/>
      <c r="M647" s="62"/>
      <c r="N647" s="62"/>
      <c r="O647" s="62"/>
      <c r="P647" s="62"/>
      <c r="Q647" s="62"/>
      <c r="R647" s="62"/>
      <c r="S647" s="62"/>
      <c r="T647" s="62"/>
      <c r="U647" s="62"/>
      <c r="V647" s="62"/>
      <c r="W647" s="62"/>
      <c r="X647" s="62"/>
      <c r="Y647" s="62"/>
      <c r="Z647" s="62"/>
      <c r="AA647" s="62"/>
      <c r="AB647" s="62"/>
      <c r="AC647" s="62"/>
    </row>
    <row r="648">
      <c r="A648" s="61"/>
      <c r="B648" s="61"/>
      <c r="C648" s="62"/>
      <c r="D648" s="62"/>
      <c r="E648" s="62"/>
      <c r="F648" s="62"/>
      <c r="G648" s="62"/>
      <c r="H648" s="190"/>
      <c r="I648" s="62"/>
      <c r="J648" s="62"/>
      <c r="K648" s="62"/>
      <c r="L648" s="62"/>
      <c r="M648" s="62"/>
      <c r="N648" s="62"/>
      <c r="O648" s="62"/>
      <c r="P648" s="62"/>
      <c r="Q648" s="62"/>
      <c r="R648" s="62"/>
      <c r="S648" s="62"/>
      <c r="T648" s="62"/>
      <c r="U648" s="62"/>
      <c r="V648" s="62"/>
      <c r="W648" s="62"/>
      <c r="X648" s="62"/>
      <c r="Y648" s="62"/>
      <c r="Z648" s="62"/>
      <c r="AA648" s="62"/>
      <c r="AB648" s="62"/>
      <c r="AC648" s="62"/>
    </row>
    <row r="649">
      <c r="A649" s="61"/>
      <c r="B649" s="61"/>
      <c r="C649" s="62"/>
      <c r="D649" s="62"/>
      <c r="E649" s="62"/>
      <c r="F649" s="62"/>
      <c r="G649" s="62"/>
      <c r="H649" s="190"/>
      <c r="I649" s="62"/>
      <c r="J649" s="62"/>
      <c r="K649" s="62"/>
      <c r="L649" s="62"/>
      <c r="M649" s="62"/>
      <c r="N649" s="62"/>
      <c r="O649" s="62"/>
      <c r="P649" s="62"/>
      <c r="Q649" s="62"/>
      <c r="R649" s="62"/>
      <c r="S649" s="62"/>
      <c r="T649" s="62"/>
      <c r="U649" s="62"/>
      <c r="V649" s="62"/>
      <c r="W649" s="62"/>
      <c r="X649" s="62"/>
      <c r="Y649" s="62"/>
      <c r="Z649" s="62"/>
      <c r="AA649" s="62"/>
      <c r="AB649" s="62"/>
      <c r="AC649" s="62"/>
    </row>
    <row r="650">
      <c r="A650" s="61"/>
      <c r="B650" s="61"/>
      <c r="C650" s="62"/>
      <c r="D650" s="62"/>
      <c r="E650" s="62"/>
      <c r="F650" s="62"/>
      <c r="G650" s="62"/>
      <c r="H650" s="190"/>
      <c r="I650" s="62"/>
      <c r="J650" s="62"/>
      <c r="K650" s="62"/>
      <c r="L650" s="62"/>
      <c r="M650" s="62"/>
      <c r="N650" s="62"/>
      <c r="O650" s="62"/>
      <c r="P650" s="62"/>
      <c r="Q650" s="62"/>
      <c r="R650" s="62"/>
      <c r="S650" s="62"/>
      <c r="T650" s="62"/>
      <c r="U650" s="62"/>
      <c r="V650" s="62"/>
      <c r="W650" s="62"/>
      <c r="X650" s="62"/>
      <c r="Y650" s="62"/>
      <c r="Z650" s="62"/>
      <c r="AA650" s="62"/>
      <c r="AB650" s="62"/>
      <c r="AC650" s="62"/>
    </row>
    <row r="651">
      <c r="A651" s="61"/>
      <c r="B651" s="61"/>
      <c r="C651" s="62"/>
      <c r="D651" s="62"/>
      <c r="E651" s="62"/>
      <c r="F651" s="62"/>
      <c r="G651" s="62"/>
      <c r="H651" s="190"/>
      <c r="I651" s="62"/>
      <c r="J651" s="62"/>
      <c r="K651" s="62"/>
      <c r="L651" s="62"/>
      <c r="M651" s="62"/>
      <c r="N651" s="62"/>
      <c r="O651" s="62"/>
      <c r="P651" s="62"/>
      <c r="Q651" s="62"/>
      <c r="R651" s="62"/>
      <c r="S651" s="62"/>
      <c r="T651" s="62"/>
      <c r="U651" s="62"/>
      <c r="V651" s="62"/>
      <c r="W651" s="62"/>
      <c r="X651" s="62"/>
      <c r="Y651" s="62"/>
      <c r="Z651" s="62"/>
      <c r="AA651" s="62"/>
      <c r="AB651" s="62"/>
      <c r="AC651" s="62"/>
    </row>
    <row r="652">
      <c r="A652" s="61"/>
      <c r="B652" s="61"/>
      <c r="C652" s="62"/>
      <c r="D652" s="62"/>
      <c r="E652" s="62"/>
      <c r="F652" s="62"/>
      <c r="G652" s="62"/>
      <c r="H652" s="190"/>
      <c r="I652" s="62"/>
      <c r="J652" s="62"/>
      <c r="K652" s="62"/>
      <c r="L652" s="62"/>
      <c r="M652" s="62"/>
      <c r="N652" s="62"/>
      <c r="O652" s="62"/>
      <c r="P652" s="62"/>
      <c r="Q652" s="62"/>
      <c r="R652" s="62"/>
      <c r="S652" s="62"/>
      <c r="T652" s="62"/>
      <c r="U652" s="62"/>
      <c r="V652" s="62"/>
      <c r="W652" s="62"/>
      <c r="X652" s="62"/>
      <c r="Y652" s="62"/>
      <c r="Z652" s="62"/>
      <c r="AA652" s="62"/>
      <c r="AB652" s="62"/>
      <c r="AC652" s="62"/>
    </row>
    <row r="653">
      <c r="A653" s="61"/>
      <c r="B653" s="61"/>
      <c r="C653" s="62"/>
      <c r="D653" s="62"/>
      <c r="E653" s="62"/>
      <c r="F653" s="62"/>
      <c r="G653" s="62"/>
      <c r="H653" s="190"/>
      <c r="I653" s="62"/>
      <c r="J653" s="62"/>
      <c r="K653" s="62"/>
      <c r="L653" s="62"/>
      <c r="M653" s="62"/>
      <c r="N653" s="62"/>
      <c r="O653" s="62"/>
      <c r="P653" s="62"/>
      <c r="Q653" s="62"/>
      <c r="R653" s="62"/>
      <c r="S653" s="62"/>
      <c r="T653" s="62"/>
      <c r="U653" s="62"/>
      <c r="V653" s="62"/>
      <c r="W653" s="62"/>
      <c r="X653" s="62"/>
      <c r="Y653" s="62"/>
      <c r="Z653" s="62"/>
      <c r="AA653" s="62"/>
      <c r="AB653" s="62"/>
      <c r="AC653" s="62"/>
    </row>
    <row r="654">
      <c r="A654" s="61"/>
      <c r="B654" s="61"/>
      <c r="C654" s="62"/>
      <c r="D654" s="62"/>
      <c r="E654" s="62"/>
      <c r="F654" s="62"/>
      <c r="G654" s="62"/>
      <c r="H654" s="190"/>
      <c r="I654" s="62"/>
      <c r="J654" s="62"/>
      <c r="K654" s="62"/>
      <c r="L654" s="62"/>
      <c r="M654" s="62"/>
      <c r="N654" s="62"/>
      <c r="O654" s="62"/>
      <c r="P654" s="62"/>
      <c r="Q654" s="62"/>
      <c r="R654" s="62"/>
      <c r="S654" s="62"/>
      <c r="T654" s="62"/>
      <c r="U654" s="62"/>
      <c r="V654" s="62"/>
      <c r="W654" s="62"/>
      <c r="X654" s="62"/>
      <c r="Y654" s="62"/>
      <c r="Z654" s="62"/>
      <c r="AA654" s="62"/>
      <c r="AB654" s="62"/>
      <c r="AC654" s="62"/>
    </row>
    <row r="655">
      <c r="A655" s="61"/>
      <c r="B655" s="61"/>
      <c r="C655" s="62"/>
      <c r="D655" s="62"/>
      <c r="E655" s="62"/>
      <c r="F655" s="62"/>
      <c r="G655" s="62"/>
      <c r="H655" s="190"/>
      <c r="I655" s="62"/>
      <c r="J655" s="62"/>
      <c r="K655" s="62"/>
      <c r="L655" s="62"/>
      <c r="M655" s="62"/>
      <c r="N655" s="62"/>
      <c r="O655" s="62"/>
      <c r="P655" s="62"/>
      <c r="Q655" s="62"/>
      <c r="R655" s="62"/>
      <c r="S655" s="62"/>
      <c r="T655" s="62"/>
      <c r="U655" s="62"/>
      <c r="V655" s="62"/>
      <c r="W655" s="62"/>
      <c r="X655" s="62"/>
      <c r="Y655" s="62"/>
      <c r="Z655" s="62"/>
      <c r="AA655" s="62"/>
      <c r="AB655" s="62"/>
      <c r="AC655" s="62"/>
    </row>
    <row r="656">
      <c r="A656" s="61"/>
      <c r="B656" s="61"/>
      <c r="C656" s="62"/>
      <c r="D656" s="62"/>
      <c r="E656" s="62"/>
      <c r="F656" s="62"/>
      <c r="G656" s="62"/>
      <c r="H656" s="190"/>
      <c r="I656" s="62"/>
      <c r="J656" s="62"/>
      <c r="K656" s="62"/>
      <c r="L656" s="62"/>
      <c r="M656" s="62"/>
      <c r="N656" s="62"/>
      <c r="O656" s="62"/>
      <c r="P656" s="62"/>
      <c r="Q656" s="62"/>
      <c r="R656" s="62"/>
      <c r="S656" s="62"/>
      <c r="T656" s="62"/>
      <c r="U656" s="62"/>
      <c r="V656" s="62"/>
      <c r="W656" s="62"/>
      <c r="X656" s="62"/>
      <c r="Y656" s="62"/>
      <c r="Z656" s="62"/>
      <c r="AA656" s="62"/>
      <c r="AB656" s="62"/>
      <c r="AC656" s="62"/>
    </row>
    <row r="657">
      <c r="A657" s="61"/>
      <c r="B657" s="61"/>
      <c r="C657" s="62"/>
      <c r="D657" s="62"/>
      <c r="E657" s="62"/>
      <c r="F657" s="62"/>
      <c r="G657" s="62"/>
      <c r="H657" s="190"/>
      <c r="I657" s="62"/>
      <c r="J657" s="62"/>
      <c r="K657" s="62"/>
      <c r="L657" s="62"/>
      <c r="M657" s="62"/>
      <c r="N657" s="62"/>
      <c r="O657" s="62"/>
      <c r="P657" s="62"/>
      <c r="Q657" s="62"/>
      <c r="R657" s="62"/>
      <c r="S657" s="62"/>
      <c r="T657" s="62"/>
      <c r="U657" s="62"/>
      <c r="V657" s="62"/>
      <c r="W657" s="62"/>
      <c r="X657" s="62"/>
      <c r="Y657" s="62"/>
      <c r="Z657" s="62"/>
      <c r="AA657" s="62"/>
      <c r="AB657" s="62"/>
      <c r="AC657" s="62"/>
    </row>
    <row r="658">
      <c r="A658" s="61"/>
      <c r="B658" s="61"/>
      <c r="C658" s="62"/>
      <c r="D658" s="62"/>
      <c r="E658" s="62"/>
      <c r="F658" s="62"/>
      <c r="G658" s="62"/>
      <c r="H658" s="190"/>
      <c r="I658" s="62"/>
      <c r="J658" s="62"/>
      <c r="K658" s="62"/>
      <c r="L658" s="62"/>
      <c r="M658" s="62"/>
      <c r="N658" s="62"/>
      <c r="O658" s="62"/>
      <c r="P658" s="62"/>
      <c r="Q658" s="62"/>
      <c r="R658" s="62"/>
      <c r="S658" s="62"/>
      <c r="T658" s="62"/>
      <c r="U658" s="62"/>
      <c r="V658" s="62"/>
      <c r="W658" s="62"/>
      <c r="X658" s="62"/>
      <c r="Y658" s="62"/>
      <c r="Z658" s="62"/>
      <c r="AA658" s="62"/>
      <c r="AB658" s="62"/>
      <c r="AC658" s="62"/>
    </row>
    <row r="659">
      <c r="A659" s="61"/>
      <c r="B659" s="61"/>
      <c r="C659" s="62"/>
      <c r="D659" s="62"/>
      <c r="E659" s="62"/>
      <c r="F659" s="62"/>
      <c r="G659" s="62"/>
      <c r="H659" s="190"/>
      <c r="I659" s="62"/>
      <c r="J659" s="62"/>
      <c r="K659" s="62"/>
      <c r="L659" s="62"/>
      <c r="M659" s="62"/>
      <c r="N659" s="62"/>
      <c r="O659" s="62"/>
      <c r="P659" s="62"/>
      <c r="Q659" s="62"/>
      <c r="R659" s="62"/>
      <c r="S659" s="62"/>
      <c r="T659" s="62"/>
      <c r="U659" s="62"/>
      <c r="V659" s="62"/>
      <c r="W659" s="62"/>
      <c r="X659" s="62"/>
      <c r="Y659" s="62"/>
      <c r="Z659" s="62"/>
      <c r="AA659" s="62"/>
      <c r="AB659" s="62"/>
      <c r="AC659" s="62"/>
    </row>
    <row r="660">
      <c r="A660" s="61"/>
      <c r="B660" s="61"/>
      <c r="C660" s="62"/>
      <c r="D660" s="62"/>
      <c r="E660" s="62"/>
      <c r="F660" s="62"/>
      <c r="G660" s="62"/>
      <c r="H660" s="190"/>
      <c r="I660" s="62"/>
      <c r="J660" s="62"/>
      <c r="K660" s="62"/>
      <c r="L660" s="62"/>
      <c r="M660" s="62"/>
      <c r="N660" s="62"/>
      <c r="O660" s="62"/>
      <c r="P660" s="62"/>
      <c r="Q660" s="62"/>
      <c r="R660" s="62"/>
      <c r="S660" s="62"/>
      <c r="T660" s="62"/>
      <c r="U660" s="62"/>
      <c r="V660" s="62"/>
      <c r="W660" s="62"/>
      <c r="X660" s="62"/>
      <c r="Y660" s="62"/>
      <c r="Z660" s="62"/>
      <c r="AA660" s="62"/>
      <c r="AB660" s="62"/>
      <c r="AC660" s="62"/>
    </row>
    <row r="661">
      <c r="A661" s="61"/>
      <c r="B661" s="61"/>
      <c r="C661" s="62"/>
      <c r="D661" s="62"/>
      <c r="E661" s="62"/>
      <c r="F661" s="62"/>
      <c r="G661" s="62"/>
      <c r="H661" s="190"/>
      <c r="I661" s="62"/>
      <c r="J661" s="62"/>
      <c r="K661" s="62"/>
      <c r="L661" s="62"/>
      <c r="M661" s="62"/>
      <c r="N661" s="62"/>
      <c r="O661" s="62"/>
      <c r="P661" s="62"/>
      <c r="Q661" s="62"/>
      <c r="R661" s="62"/>
      <c r="S661" s="62"/>
      <c r="T661" s="62"/>
      <c r="U661" s="62"/>
      <c r="V661" s="62"/>
      <c r="W661" s="62"/>
      <c r="X661" s="62"/>
      <c r="Y661" s="62"/>
      <c r="Z661" s="62"/>
      <c r="AA661" s="62"/>
      <c r="AB661" s="62"/>
      <c r="AC661" s="62"/>
    </row>
    <row r="662">
      <c r="A662" s="61"/>
      <c r="B662" s="61"/>
      <c r="C662" s="62"/>
      <c r="D662" s="62"/>
      <c r="E662" s="62"/>
      <c r="F662" s="62"/>
      <c r="G662" s="62"/>
      <c r="H662" s="190"/>
      <c r="I662" s="62"/>
      <c r="J662" s="62"/>
      <c r="K662" s="62"/>
      <c r="L662" s="62"/>
      <c r="M662" s="62"/>
      <c r="N662" s="62"/>
      <c r="O662" s="62"/>
      <c r="P662" s="62"/>
      <c r="Q662" s="62"/>
      <c r="R662" s="62"/>
      <c r="S662" s="62"/>
      <c r="T662" s="62"/>
      <c r="U662" s="62"/>
      <c r="V662" s="62"/>
      <c r="W662" s="62"/>
      <c r="X662" s="62"/>
      <c r="Y662" s="62"/>
      <c r="Z662" s="62"/>
      <c r="AA662" s="62"/>
      <c r="AB662" s="62"/>
      <c r="AC662" s="62"/>
    </row>
    <row r="663">
      <c r="A663" s="61"/>
      <c r="B663" s="61"/>
      <c r="C663" s="62"/>
      <c r="D663" s="62"/>
      <c r="E663" s="62"/>
      <c r="F663" s="62"/>
      <c r="G663" s="62"/>
      <c r="H663" s="190"/>
      <c r="I663" s="62"/>
      <c r="J663" s="62"/>
      <c r="K663" s="62"/>
      <c r="L663" s="62"/>
      <c r="M663" s="62"/>
      <c r="N663" s="62"/>
      <c r="O663" s="62"/>
      <c r="P663" s="62"/>
      <c r="Q663" s="62"/>
      <c r="R663" s="62"/>
      <c r="S663" s="62"/>
      <c r="T663" s="62"/>
      <c r="U663" s="62"/>
      <c r="V663" s="62"/>
      <c r="W663" s="62"/>
      <c r="X663" s="62"/>
      <c r="Y663" s="62"/>
      <c r="Z663" s="62"/>
      <c r="AA663" s="62"/>
      <c r="AB663" s="62"/>
      <c r="AC663" s="62"/>
    </row>
    <row r="664">
      <c r="A664" s="61"/>
      <c r="B664" s="61"/>
      <c r="C664" s="62"/>
      <c r="D664" s="62"/>
      <c r="E664" s="62"/>
      <c r="F664" s="62"/>
      <c r="G664" s="62"/>
      <c r="H664" s="190"/>
      <c r="I664" s="62"/>
      <c r="J664" s="62"/>
      <c r="K664" s="62"/>
      <c r="L664" s="62"/>
      <c r="M664" s="62"/>
      <c r="N664" s="62"/>
      <c r="O664" s="62"/>
      <c r="P664" s="62"/>
      <c r="Q664" s="62"/>
      <c r="R664" s="62"/>
      <c r="S664" s="62"/>
      <c r="T664" s="62"/>
      <c r="U664" s="62"/>
      <c r="V664" s="62"/>
      <c r="W664" s="62"/>
      <c r="X664" s="62"/>
      <c r="Y664" s="62"/>
      <c r="Z664" s="62"/>
      <c r="AA664" s="62"/>
      <c r="AB664" s="62"/>
      <c r="AC664" s="62"/>
    </row>
    <row r="665">
      <c r="A665" s="61"/>
      <c r="B665" s="61"/>
      <c r="C665" s="62"/>
      <c r="D665" s="62"/>
      <c r="E665" s="62"/>
      <c r="F665" s="62"/>
      <c r="G665" s="62"/>
      <c r="H665" s="190"/>
      <c r="I665" s="62"/>
      <c r="J665" s="62"/>
      <c r="K665" s="62"/>
      <c r="L665" s="62"/>
      <c r="M665" s="62"/>
      <c r="N665" s="62"/>
      <c r="O665" s="62"/>
      <c r="P665" s="62"/>
      <c r="Q665" s="62"/>
      <c r="R665" s="62"/>
      <c r="S665" s="62"/>
      <c r="T665" s="62"/>
      <c r="U665" s="62"/>
      <c r="V665" s="62"/>
      <c r="W665" s="62"/>
      <c r="X665" s="62"/>
      <c r="Y665" s="62"/>
      <c r="Z665" s="62"/>
      <c r="AA665" s="62"/>
      <c r="AB665" s="62"/>
      <c r="AC665" s="62"/>
    </row>
    <row r="666">
      <c r="A666" s="61"/>
      <c r="B666" s="61"/>
      <c r="C666" s="62"/>
      <c r="D666" s="62"/>
      <c r="E666" s="62"/>
      <c r="F666" s="62"/>
      <c r="G666" s="62"/>
      <c r="H666" s="190"/>
      <c r="I666" s="62"/>
      <c r="J666" s="62"/>
      <c r="K666" s="62"/>
      <c r="L666" s="62"/>
      <c r="M666" s="62"/>
      <c r="N666" s="62"/>
      <c r="O666" s="62"/>
      <c r="P666" s="62"/>
      <c r="Q666" s="62"/>
      <c r="R666" s="62"/>
      <c r="S666" s="62"/>
      <c r="T666" s="62"/>
      <c r="U666" s="62"/>
      <c r="V666" s="62"/>
      <c r="W666" s="62"/>
      <c r="X666" s="62"/>
      <c r="Y666" s="62"/>
      <c r="Z666" s="62"/>
      <c r="AA666" s="62"/>
      <c r="AB666" s="62"/>
      <c r="AC666" s="62"/>
    </row>
    <row r="667">
      <c r="A667" s="61"/>
      <c r="B667" s="61"/>
      <c r="C667" s="62"/>
      <c r="D667" s="62"/>
      <c r="E667" s="62"/>
      <c r="F667" s="62"/>
      <c r="G667" s="62"/>
      <c r="H667" s="190"/>
      <c r="I667" s="62"/>
      <c r="J667" s="62"/>
      <c r="K667" s="62"/>
      <c r="L667" s="62"/>
      <c r="M667" s="62"/>
      <c r="N667" s="62"/>
      <c r="O667" s="62"/>
      <c r="P667" s="62"/>
      <c r="Q667" s="62"/>
      <c r="R667" s="62"/>
      <c r="S667" s="62"/>
      <c r="T667" s="62"/>
      <c r="U667" s="62"/>
      <c r="V667" s="62"/>
      <c r="W667" s="62"/>
      <c r="X667" s="62"/>
      <c r="Y667" s="62"/>
      <c r="Z667" s="62"/>
      <c r="AA667" s="62"/>
      <c r="AB667" s="62"/>
      <c r="AC667" s="62"/>
    </row>
    <row r="668">
      <c r="A668" s="61"/>
      <c r="B668" s="61"/>
      <c r="C668" s="62"/>
      <c r="D668" s="62"/>
      <c r="E668" s="62"/>
      <c r="F668" s="62"/>
      <c r="G668" s="62"/>
      <c r="H668" s="190"/>
      <c r="I668" s="62"/>
      <c r="J668" s="62"/>
      <c r="K668" s="62"/>
      <c r="L668" s="62"/>
      <c r="M668" s="62"/>
      <c r="N668" s="62"/>
      <c r="O668" s="62"/>
      <c r="P668" s="62"/>
      <c r="Q668" s="62"/>
      <c r="R668" s="62"/>
      <c r="S668" s="62"/>
      <c r="T668" s="62"/>
      <c r="U668" s="62"/>
      <c r="V668" s="62"/>
      <c r="W668" s="62"/>
      <c r="X668" s="62"/>
      <c r="Y668" s="62"/>
      <c r="Z668" s="62"/>
      <c r="AA668" s="62"/>
      <c r="AB668" s="62"/>
      <c r="AC668" s="62"/>
    </row>
    <row r="669">
      <c r="A669" s="61"/>
      <c r="B669" s="61"/>
      <c r="C669" s="62"/>
      <c r="D669" s="62"/>
      <c r="E669" s="62"/>
      <c r="F669" s="62"/>
      <c r="G669" s="62"/>
      <c r="H669" s="190"/>
      <c r="I669" s="62"/>
      <c r="J669" s="62"/>
      <c r="K669" s="62"/>
      <c r="L669" s="62"/>
      <c r="M669" s="62"/>
      <c r="N669" s="62"/>
      <c r="O669" s="62"/>
      <c r="P669" s="62"/>
      <c r="Q669" s="62"/>
      <c r="R669" s="62"/>
      <c r="S669" s="62"/>
      <c r="T669" s="62"/>
      <c r="U669" s="62"/>
      <c r="V669" s="62"/>
      <c r="W669" s="62"/>
      <c r="X669" s="62"/>
      <c r="Y669" s="62"/>
      <c r="Z669" s="62"/>
      <c r="AA669" s="62"/>
      <c r="AB669" s="62"/>
      <c r="AC669" s="62"/>
    </row>
    <row r="670">
      <c r="A670" s="61"/>
      <c r="B670" s="61"/>
      <c r="C670" s="62"/>
      <c r="D670" s="62"/>
      <c r="E670" s="62"/>
      <c r="F670" s="62"/>
      <c r="G670" s="62"/>
      <c r="H670" s="190"/>
      <c r="I670" s="62"/>
      <c r="J670" s="62"/>
      <c r="K670" s="62"/>
      <c r="L670" s="62"/>
      <c r="M670" s="62"/>
      <c r="N670" s="62"/>
      <c r="O670" s="62"/>
      <c r="P670" s="62"/>
      <c r="Q670" s="62"/>
      <c r="R670" s="62"/>
      <c r="S670" s="62"/>
      <c r="T670" s="62"/>
      <c r="U670" s="62"/>
      <c r="V670" s="62"/>
      <c r="W670" s="62"/>
      <c r="X670" s="62"/>
      <c r="Y670" s="62"/>
      <c r="Z670" s="62"/>
      <c r="AA670" s="62"/>
      <c r="AB670" s="62"/>
      <c r="AC670" s="62"/>
    </row>
    <row r="671">
      <c r="A671" s="61"/>
      <c r="B671" s="61"/>
      <c r="C671" s="62"/>
      <c r="D671" s="62"/>
      <c r="E671" s="62"/>
      <c r="F671" s="62"/>
      <c r="G671" s="62"/>
      <c r="H671" s="190"/>
      <c r="I671" s="62"/>
      <c r="J671" s="62"/>
      <c r="K671" s="62"/>
      <c r="L671" s="62"/>
      <c r="M671" s="62"/>
      <c r="N671" s="62"/>
      <c r="O671" s="62"/>
      <c r="P671" s="62"/>
      <c r="Q671" s="62"/>
      <c r="R671" s="62"/>
      <c r="S671" s="62"/>
      <c r="T671" s="62"/>
      <c r="U671" s="62"/>
      <c r="V671" s="62"/>
      <c r="W671" s="62"/>
      <c r="X671" s="62"/>
      <c r="Y671" s="62"/>
      <c r="Z671" s="62"/>
      <c r="AA671" s="62"/>
      <c r="AB671" s="62"/>
      <c r="AC671" s="62"/>
    </row>
    <row r="672">
      <c r="A672" s="61"/>
      <c r="B672" s="61"/>
      <c r="C672" s="62"/>
      <c r="D672" s="62"/>
      <c r="E672" s="62"/>
      <c r="F672" s="62"/>
      <c r="G672" s="62"/>
      <c r="H672" s="190"/>
      <c r="I672" s="62"/>
      <c r="J672" s="62"/>
      <c r="K672" s="62"/>
      <c r="L672" s="62"/>
      <c r="M672" s="62"/>
      <c r="N672" s="62"/>
      <c r="O672" s="62"/>
      <c r="P672" s="62"/>
      <c r="Q672" s="62"/>
      <c r="R672" s="62"/>
      <c r="S672" s="62"/>
      <c r="T672" s="62"/>
      <c r="U672" s="62"/>
      <c r="V672" s="62"/>
      <c r="W672" s="62"/>
      <c r="X672" s="62"/>
      <c r="Y672" s="62"/>
      <c r="Z672" s="62"/>
      <c r="AA672" s="62"/>
      <c r="AB672" s="62"/>
      <c r="AC672" s="62"/>
    </row>
    <row r="673">
      <c r="A673" s="61"/>
      <c r="B673" s="61"/>
      <c r="C673" s="62"/>
      <c r="D673" s="62"/>
      <c r="E673" s="62"/>
      <c r="F673" s="62"/>
      <c r="G673" s="62"/>
      <c r="H673" s="190"/>
      <c r="I673" s="62"/>
      <c r="J673" s="62"/>
      <c r="K673" s="62"/>
      <c r="L673" s="62"/>
      <c r="M673" s="62"/>
      <c r="N673" s="62"/>
      <c r="O673" s="62"/>
      <c r="P673" s="62"/>
      <c r="Q673" s="62"/>
      <c r="R673" s="62"/>
      <c r="S673" s="62"/>
      <c r="T673" s="62"/>
      <c r="U673" s="62"/>
      <c r="V673" s="62"/>
      <c r="W673" s="62"/>
      <c r="X673" s="62"/>
      <c r="Y673" s="62"/>
      <c r="Z673" s="62"/>
      <c r="AA673" s="62"/>
      <c r="AB673" s="62"/>
      <c r="AC673" s="62"/>
    </row>
    <row r="674">
      <c r="A674" s="61"/>
      <c r="B674" s="61"/>
      <c r="C674" s="62"/>
      <c r="D674" s="62"/>
      <c r="E674" s="62"/>
      <c r="F674" s="62"/>
      <c r="G674" s="62"/>
      <c r="H674" s="190"/>
      <c r="I674" s="62"/>
      <c r="J674" s="62"/>
      <c r="K674" s="62"/>
      <c r="L674" s="62"/>
      <c r="M674" s="62"/>
      <c r="N674" s="62"/>
      <c r="O674" s="62"/>
      <c r="P674" s="62"/>
      <c r="Q674" s="62"/>
      <c r="R674" s="62"/>
      <c r="S674" s="62"/>
      <c r="T674" s="62"/>
      <c r="U674" s="62"/>
      <c r="V674" s="62"/>
      <c r="W674" s="62"/>
      <c r="X674" s="62"/>
      <c r="Y674" s="62"/>
      <c r="Z674" s="62"/>
      <c r="AA674" s="62"/>
      <c r="AB674" s="62"/>
      <c r="AC674" s="62"/>
    </row>
    <row r="675">
      <c r="A675" s="61"/>
      <c r="B675" s="61"/>
      <c r="C675" s="62"/>
      <c r="D675" s="62"/>
      <c r="E675" s="62"/>
      <c r="F675" s="62"/>
      <c r="G675" s="62"/>
      <c r="H675" s="190"/>
      <c r="I675" s="62"/>
      <c r="J675" s="62"/>
      <c r="K675" s="62"/>
      <c r="L675" s="62"/>
      <c r="M675" s="62"/>
      <c r="N675" s="62"/>
      <c r="O675" s="62"/>
      <c r="P675" s="62"/>
      <c r="Q675" s="62"/>
      <c r="R675" s="62"/>
      <c r="S675" s="62"/>
      <c r="T675" s="62"/>
      <c r="U675" s="62"/>
      <c r="V675" s="62"/>
      <c r="W675" s="62"/>
      <c r="X675" s="62"/>
      <c r="Y675" s="62"/>
      <c r="Z675" s="62"/>
      <c r="AA675" s="62"/>
      <c r="AB675" s="62"/>
      <c r="AC675" s="62"/>
    </row>
    <row r="676">
      <c r="A676" s="61"/>
      <c r="B676" s="61"/>
      <c r="C676" s="62"/>
      <c r="D676" s="62"/>
      <c r="E676" s="62"/>
      <c r="F676" s="62"/>
      <c r="G676" s="62"/>
      <c r="H676" s="190"/>
      <c r="I676" s="62"/>
      <c r="J676" s="62"/>
      <c r="K676" s="62"/>
      <c r="L676" s="62"/>
      <c r="M676" s="62"/>
      <c r="N676" s="62"/>
      <c r="O676" s="62"/>
      <c r="P676" s="62"/>
      <c r="Q676" s="62"/>
      <c r="R676" s="62"/>
      <c r="S676" s="62"/>
      <c r="T676" s="62"/>
      <c r="U676" s="62"/>
      <c r="V676" s="62"/>
      <c r="W676" s="62"/>
      <c r="X676" s="62"/>
      <c r="Y676" s="62"/>
      <c r="Z676" s="62"/>
      <c r="AA676" s="62"/>
      <c r="AB676" s="62"/>
      <c r="AC676" s="62"/>
    </row>
    <row r="677">
      <c r="A677" s="61"/>
      <c r="B677" s="61"/>
      <c r="C677" s="62"/>
      <c r="D677" s="62"/>
      <c r="E677" s="62"/>
      <c r="F677" s="62"/>
      <c r="G677" s="62"/>
      <c r="H677" s="190"/>
      <c r="I677" s="62"/>
      <c r="J677" s="62"/>
      <c r="K677" s="62"/>
      <c r="L677" s="62"/>
      <c r="M677" s="62"/>
      <c r="N677" s="62"/>
      <c r="O677" s="62"/>
      <c r="P677" s="62"/>
      <c r="Q677" s="62"/>
      <c r="R677" s="62"/>
      <c r="S677" s="62"/>
      <c r="T677" s="62"/>
      <c r="U677" s="62"/>
      <c r="V677" s="62"/>
      <c r="W677" s="62"/>
      <c r="X677" s="62"/>
      <c r="Y677" s="62"/>
      <c r="Z677" s="62"/>
      <c r="AA677" s="62"/>
      <c r="AB677" s="62"/>
      <c r="AC677" s="62"/>
    </row>
    <row r="678">
      <c r="A678" s="61"/>
      <c r="B678" s="61"/>
      <c r="C678" s="62"/>
      <c r="D678" s="62"/>
      <c r="E678" s="62"/>
      <c r="F678" s="62"/>
      <c r="G678" s="62"/>
      <c r="H678" s="190"/>
      <c r="I678" s="62"/>
      <c r="J678" s="62"/>
      <c r="K678" s="62"/>
      <c r="L678" s="62"/>
      <c r="M678" s="62"/>
      <c r="N678" s="62"/>
      <c r="O678" s="62"/>
      <c r="P678" s="62"/>
      <c r="Q678" s="62"/>
      <c r="R678" s="62"/>
      <c r="S678" s="62"/>
      <c r="T678" s="62"/>
      <c r="U678" s="62"/>
      <c r="V678" s="62"/>
      <c r="W678" s="62"/>
      <c r="X678" s="62"/>
      <c r="Y678" s="62"/>
      <c r="Z678" s="62"/>
      <c r="AA678" s="62"/>
      <c r="AB678" s="62"/>
      <c r="AC678" s="62"/>
    </row>
    <row r="679">
      <c r="A679" s="61"/>
      <c r="B679" s="61"/>
      <c r="C679" s="62"/>
      <c r="D679" s="62"/>
      <c r="E679" s="62"/>
      <c r="F679" s="62"/>
      <c r="G679" s="62"/>
      <c r="H679" s="190"/>
      <c r="I679" s="62"/>
      <c r="J679" s="62"/>
      <c r="K679" s="62"/>
      <c r="L679" s="62"/>
      <c r="M679" s="62"/>
      <c r="N679" s="62"/>
      <c r="O679" s="62"/>
      <c r="P679" s="62"/>
      <c r="Q679" s="62"/>
      <c r="R679" s="62"/>
      <c r="S679" s="62"/>
      <c r="T679" s="62"/>
      <c r="U679" s="62"/>
      <c r="V679" s="62"/>
      <c r="W679" s="62"/>
      <c r="X679" s="62"/>
      <c r="Y679" s="62"/>
      <c r="Z679" s="62"/>
      <c r="AA679" s="62"/>
      <c r="AB679" s="62"/>
      <c r="AC679" s="62"/>
    </row>
    <row r="680">
      <c r="A680" s="61"/>
      <c r="B680" s="61"/>
      <c r="C680" s="62"/>
      <c r="D680" s="62"/>
      <c r="E680" s="62"/>
      <c r="F680" s="62"/>
      <c r="G680" s="62"/>
      <c r="H680" s="190"/>
      <c r="I680" s="62"/>
      <c r="J680" s="62"/>
      <c r="K680" s="62"/>
      <c r="L680" s="62"/>
      <c r="M680" s="62"/>
      <c r="N680" s="62"/>
      <c r="O680" s="62"/>
      <c r="P680" s="62"/>
      <c r="Q680" s="62"/>
      <c r="R680" s="62"/>
      <c r="S680" s="62"/>
      <c r="T680" s="62"/>
      <c r="U680" s="62"/>
      <c r="V680" s="62"/>
      <c r="W680" s="62"/>
      <c r="X680" s="62"/>
      <c r="Y680" s="62"/>
      <c r="Z680" s="62"/>
      <c r="AA680" s="62"/>
      <c r="AB680" s="62"/>
      <c r="AC680" s="62"/>
    </row>
    <row r="681">
      <c r="A681" s="61"/>
      <c r="B681" s="61"/>
      <c r="C681" s="62"/>
      <c r="D681" s="62"/>
      <c r="E681" s="62"/>
      <c r="F681" s="62"/>
      <c r="G681" s="62"/>
      <c r="H681" s="190"/>
      <c r="I681" s="62"/>
      <c r="J681" s="62"/>
      <c r="K681" s="62"/>
      <c r="L681" s="62"/>
      <c r="M681" s="62"/>
      <c r="N681" s="62"/>
      <c r="O681" s="62"/>
      <c r="P681" s="62"/>
      <c r="Q681" s="62"/>
      <c r="R681" s="62"/>
      <c r="S681" s="62"/>
      <c r="T681" s="62"/>
      <c r="U681" s="62"/>
      <c r="V681" s="62"/>
      <c r="W681" s="62"/>
      <c r="X681" s="62"/>
      <c r="Y681" s="62"/>
      <c r="Z681" s="62"/>
      <c r="AA681" s="62"/>
      <c r="AB681" s="62"/>
      <c r="AC681" s="62"/>
    </row>
    <row r="682">
      <c r="A682" s="61"/>
      <c r="B682" s="61"/>
      <c r="C682" s="62"/>
      <c r="D682" s="62"/>
      <c r="E682" s="62"/>
      <c r="F682" s="62"/>
      <c r="G682" s="62"/>
      <c r="H682" s="190"/>
      <c r="I682" s="62"/>
      <c r="J682" s="62"/>
      <c r="K682" s="62"/>
      <c r="L682" s="62"/>
      <c r="M682" s="62"/>
      <c r="N682" s="62"/>
      <c r="O682" s="62"/>
      <c r="P682" s="62"/>
      <c r="Q682" s="62"/>
      <c r="R682" s="62"/>
      <c r="S682" s="62"/>
      <c r="T682" s="62"/>
      <c r="U682" s="62"/>
      <c r="V682" s="62"/>
      <c r="W682" s="62"/>
      <c r="X682" s="62"/>
      <c r="Y682" s="62"/>
      <c r="Z682" s="62"/>
      <c r="AA682" s="62"/>
      <c r="AB682" s="62"/>
      <c r="AC682" s="62"/>
    </row>
    <row r="683">
      <c r="A683" s="61"/>
      <c r="B683" s="61"/>
      <c r="C683" s="62"/>
      <c r="D683" s="62"/>
      <c r="E683" s="62"/>
      <c r="F683" s="62"/>
      <c r="G683" s="62"/>
      <c r="H683" s="190"/>
      <c r="I683" s="62"/>
      <c r="J683" s="62"/>
      <c r="K683" s="62"/>
      <c r="L683" s="62"/>
      <c r="M683" s="62"/>
      <c r="N683" s="62"/>
      <c r="O683" s="62"/>
      <c r="P683" s="62"/>
      <c r="Q683" s="62"/>
      <c r="R683" s="62"/>
      <c r="S683" s="62"/>
      <c r="T683" s="62"/>
      <c r="U683" s="62"/>
      <c r="V683" s="62"/>
      <c r="W683" s="62"/>
      <c r="X683" s="62"/>
      <c r="Y683" s="62"/>
      <c r="Z683" s="62"/>
      <c r="AA683" s="62"/>
      <c r="AB683" s="62"/>
      <c r="AC683" s="62"/>
    </row>
    <row r="684">
      <c r="A684" s="61"/>
      <c r="B684" s="61"/>
      <c r="C684" s="62"/>
      <c r="D684" s="62"/>
      <c r="E684" s="62"/>
      <c r="F684" s="62"/>
      <c r="G684" s="62"/>
      <c r="H684" s="190"/>
      <c r="I684" s="62"/>
      <c r="J684" s="62"/>
      <c r="K684" s="62"/>
      <c r="L684" s="62"/>
      <c r="M684" s="62"/>
      <c r="N684" s="62"/>
      <c r="O684" s="62"/>
      <c r="P684" s="62"/>
      <c r="Q684" s="62"/>
      <c r="R684" s="62"/>
      <c r="S684" s="62"/>
      <c r="T684" s="62"/>
      <c r="U684" s="62"/>
      <c r="V684" s="62"/>
      <c r="W684" s="62"/>
      <c r="X684" s="62"/>
      <c r="Y684" s="62"/>
      <c r="Z684" s="62"/>
      <c r="AA684" s="62"/>
      <c r="AB684" s="62"/>
      <c r="AC684" s="62"/>
    </row>
    <row r="685">
      <c r="A685" s="61"/>
      <c r="B685" s="61"/>
      <c r="C685" s="62"/>
      <c r="D685" s="62"/>
      <c r="E685" s="62"/>
      <c r="F685" s="62"/>
      <c r="G685" s="62"/>
      <c r="H685" s="190"/>
      <c r="I685" s="62"/>
      <c r="J685" s="62"/>
      <c r="K685" s="62"/>
      <c r="L685" s="62"/>
      <c r="M685" s="62"/>
      <c r="N685" s="62"/>
      <c r="O685" s="62"/>
      <c r="P685" s="62"/>
      <c r="Q685" s="62"/>
      <c r="R685" s="62"/>
      <c r="S685" s="62"/>
      <c r="T685" s="62"/>
      <c r="U685" s="62"/>
      <c r="V685" s="62"/>
      <c r="W685" s="62"/>
      <c r="X685" s="62"/>
      <c r="Y685" s="62"/>
      <c r="Z685" s="62"/>
      <c r="AA685" s="62"/>
      <c r="AB685" s="62"/>
      <c r="AC685" s="62"/>
    </row>
    <row r="686">
      <c r="A686" s="61"/>
      <c r="B686" s="61"/>
      <c r="C686" s="62"/>
      <c r="D686" s="62"/>
      <c r="E686" s="62"/>
      <c r="F686" s="62"/>
      <c r="G686" s="62"/>
      <c r="H686" s="190"/>
      <c r="I686" s="62"/>
      <c r="J686" s="62"/>
      <c r="K686" s="62"/>
      <c r="L686" s="62"/>
      <c r="M686" s="62"/>
      <c r="N686" s="62"/>
      <c r="O686" s="62"/>
      <c r="P686" s="62"/>
      <c r="Q686" s="62"/>
      <c r="R686" s="62"/>
      <c r="S686" s="62"/>
      <c r="T686" s="62"/>
      <c r="U686" s="62"/>
      <c r="V686" s="62"/>
      <c r="W686" s="62"/>
      <c r="X686" s="62"/>
      <c r="Y686" s="62"/>
      <c r="Z686" s="62"/>
      <c r="AA686" s="62"/>
      <c r="AB686" s="62"/>
      <c r="AC686" s="62"/>
    </row>
    <row r="687">
      <c r="A687" s="61"/>
      <c r="B687" s="61"/>
      <c r="C687" s="62"/>
      <c r="D687" s="62"/>
      <c r="E687" s="62"/>
      <c r="F687" s="62"/>
      <c r="G687" s="62"/>
      <c r="H687" s="190"/>
      <c r="I687" s="62"/>
      <c r="J687" s="62"/>
      <c r="K687" s="62"/>
      <c r="L687" s="62"/>
      <c r="M687" s="62"/>
      <c r="N687" s="62"/>
      <c r="O687" s="62"/>
      <c r="P687" s="62"/>
      <c r="Q687" s="62"/>
      <c r="R687" s="62"/>
      <c r="S687" s="62"/>
      <c r="T687" s="62"/>
      <c r="U687" s="62"/>
      <c r="V687" s="62"/>
      <c r="W687" s="62"/>
      <c r="X687" s="62"/>
      <c r="Y687" s="62"/>
      <c r="Z687" s="62"/>
      <c r="AA687" s="62"/>
      <c r="AB687" s="62"/>
      <c r="AC687" s="62"/>
    </row>
    <row r="688">
      <c r="A688" s="61"/>
      <c r="B688" s="61"/>
      <c r="C688" s="62"/>
      <c r="D688" s="62"/>
      <c r="E688" s="62"/>
      <c r="F688" s="62"/>
      <c r="G688" s="62"/>
      <c r="H688" s="190"/>
      <c r="I688" s="62"/>
      <c r="J688" s="62"/>
      <c r="K688" s="62"/>
      <c r="L688" s="62"/>
      <c r="M688" s="62"/>
      <c r="N688" s="62"/>
      <c r="O688" s="62"/>
      <c r="P688" s="62"/>
      <c r="Q688" s="62"/>
      <c r="R688" s="62"/>
      <c r="S688" s="62"/>
      <c r="T688" s="62"/>
      <c r="U688" s="62"/>
      <c r="V688" s="62"/>
      <c r="W688" s="62"/>
      <c r="X688" s="62"/>
      <c r="Y688" s="62"/>
      <c r="Z688" s="62"/>
      <c r="AA688" s="62"/>
      <c r="AB688" s="62"/>
      <c r="AC688" s="62"/>
    </row>
    <row r="689">
      <c r="A689" s="61"/>
      <c r="B689" s="61"/>
      <c r="C689" s="62"/>
      <c r="D689" s="62"/>
      <c r="E689" s="62"/>
      <c r="F689" s="62"/>
      <c r="G689" s="62"/>
      <c r="H689" s="190"/>
      <c r="I689" s="62"/>
      <c r="J689" s="62"/>
      <c r="K689" s="62"/>
      <c r="L689" s="62"/>
      <c r="M689" s="62"/>
      <c r="N689" s="62"/>
      <c r="O689" s="62"/>
      <c r="P689" s="62"/>
      <c r="Q689" s="62"/>
      <c r="R689" s="62"/>
      <c r="S689" s="62"/>
      <c r="T689" s="62"/>
      <c r="U689" s="62"/>
      <c r="V689" s="62"/>
      <c r="W689" s="62"/>
      <c r="X689" s="62"/>
      <c r="Y689" s="62"/>
      <c r="Z689" s="62"/>
      <c r="AA689" s="62"/>
      <c r="AB689" s="62"/>
      <c r="AC689" s="62"/>
    </row>
    <row r="690">
      <c r="A690" s="61"/>
      <c r="B690" s="61"/>
      <c r="C690" s="62"/>
      <c r="D690" s="62"/>
      <c r="E690" s="62"/>
      <c r="F690" s="62"/>
      <c r="G690" s="62"/>
      <c r="H690" s="190"/>
      <c r="I690" s="62"/>
      <c r="J690" s="62"/>
      <c r="K690" s="62"/>
      <c r="L690" s="62"/>
      <c r="M690" s="62"/>
      <c r="N690" s="62"/>
      <c r="O690" s="62"/>
      <c r="P690" s="62"/>
      <c r="Q690" s="62"/>
      <c r="R690" s="62"/>
      <c r="S690" s="62"/>
      <c r="T690" s="62"/>
      <c r="U690" s="62"/>
      <c r="V690" s="62"/>
      <c r="W690" s="62"/>
      <c r="X690" s="62"/>
      <c r="Y690" s="62"/>
      <c r="Z690" s="62"/>
      <c r="AA690" s="62"/>
      <c r="AB690" s="62"/>
      <c r="AC690" s="62"/>
    </row>
    <row r="691">
      <c r="A691" s="61"/>
      <c r="B691" s="61"/>
      <c r="C691" s="62"/>
      <c r="D691" s="62"/>
      <c r="E691" s="62"/>
      <c r="F691" s="62"/>
      <c r="G691" s="62"/>
      <c r="H691" s="190"/>
      <c r="I691" s="62"/>
      <c r="J691" s="62"/>
      <c r="K691" s="62"/>
      <c r="L691" s="62"/>
      <c r="M691" s="62"/>
      <c r="N691" s="62"/>
      <c r="O691" s="62"/>
      <c r="P691" s="62"/>
      <c r="Q691" s="62"/>
      <c r="R691" s="62"/>
      <c r="S691" s="62"/>
      <c r="T691" s="62"/>
      <c r="U691" s="62"/>
      <c r="V691" s="62"/>
      <c r="W691" s="62"/>
      <c r="X691" s="62"/>
      <c r="Y691" s="62"/>
      <c r="Z691" s="62"/>
      <c r="AA691" s="62"/>
      <c r="AB691" s="62"/>
      <c r="AC691" s="62"/>
    </row>
    <row r="692">
      <c r="A692" s="61"/>
      <c r="B692" s="61"/>
      <c r="C692" s="62"/>
      <c r="D692" s="62"/>
      <c r="E692" s="62"/>
      <c r="F692" s="62"/>
      <c r="G692" s="62"/>
      <c r="H692" s="190"/>
      <c r="I692" s="62"/>
      <c r="J692" s="62"/>
      <c r="K692" s="62"/>
      <c r="L692" s="62"/>
      <c r="M692" s="62"/>
      <c r="N692" s="62"/>
      <c r="O692" s="62"/>
      <c r="P692" s="62"/>
      <c r="Q692" s="62"/>
      <c r="R692" s="62"/>
      <c r="S692" s="62"/>
      <c r="T692" s="62"/>
      <c r="U692" s="62"/>
      <c r="V692" s="62"/>
      <c r="W692" s="62"/>
      <c r="X692" s="62"/>
      <c r="Y692" s="62"/>
      <c r="Z692" s="62"/>
      <c r="AA692" s="62"/>
      <c r="AB692" s="62"/>
      <c r="AC692" s="62"/>
    </row>
    <row r="693">
      <c r="A693" s="61"/>
      <c r="B693" s="61"/>
      <c r="C693" s="62"/>
      <c r="D693" s="62"/>
      <c r="E693" s="62"/>
      <c r="F693" s="62"/>
      <c r="G693" s="62"/>
      <c r="H693" s="190"/>
      <c r="I693" s="62"/>
      <c r="J693" s="62"/>
      <c r="K693" s="62"/>
      <c r="L693" s="62"/>
      <c r="M693" s="62"/>
      <c r="N693" s="62"/>
      <c r="O693" s="62"/>
      <c r="P693" s="62"/>
      <c r="Q693" s="62"/>
      <c r="R693" s="62"/>
      <c r="S693" s="62"/>
      <c r="T693" s="62"/>
      <c r="U693" s="62"/>
      <c r="V693" s="62"/>
      <c r="W693" s="62"/>
      <c r="X693" s="62"/>
      <c r="Y693" s="62"/>
      <c r="Z693" s="62"/>
      <c r="AA693" s="62"/>
      <c r="AB693" s="62"/>
      <c r="AC693" s="62"/>
    </row>
    <row r="694">
      <c r="A694" s="61"/>
      <c r="B694" s="61"/>
      <c r="C694" s="62"/>
      <c r="D694" s="62"/>
      <c r="E694" s="62"/>
      <c r="F694" s="62"/>
      <c r="G694" s="62"/>
      <c r="H694" s="190"/>
      <c r="I694" s="62"/>
      <c r="J694" s="62"/>
      <c r="K694" s="62"/>
      <c r="L694" s="62"/>
      <c r="M694" s="62"/>
      <c r="N694" s="62"/>
      <c r="O694" s="62"/>
      <c r="P694" s="62"/>
      <c r="Q694" s="62"/>
      <c r="R694" s="62"/>
      <c r="S694" s="62"/>
      <c r="T694" s="62"/>
      <c r="U694" s="62"/>
      <c r="V694" s="62"/>
      <c r="W694" s="62"/>
      <c r="X694" s="62"/>
      <c r="Y694" s="62"/>
      <c r="Z694" s="62"/>
      <c r="AA694" s="62"/>
      <c r="AB694" s="62"/>
      <c r="AC694" s="62"/>
    </row>
    <row r="695">
      <c r="A695" s="61"/>
      <c r="B695" s="61"/>
      <c r="C695" s="62"/>
      <c r="D695" s="62"/>
      <c r="E695" s="62"/>
      <c r="F695" s="62"/>
      <c r="G695" s="62"/>
      <c r="H695" s="190"/>
      <c r="I695" s="62"/>
      <c r="J695" s="62"/>
      <c r="K695" s="62"/>
      <c r="L695" s="62"/>
      <c r="M695" s="62"/>
      <c r="N695" s="62"/>
      <c r="O695" s="62"/>
      <c r="P695" s="62"/>
      <c r="Q695" s="62"/>
      <c r="R695" s="62"/>
      <c r="S695" s="62"/>
      <c r="T695" s="62"/>
      <c r="U695" s="62"/>
      <c r="V695" s="62"/>
      <c r="W695" s="62"/>
      <c r="X695" s="62"/>
      <c r="Y695" s="62"/>
      <c r="Z695" s="62"/>
      <c r="AA695" s="62"/>
      <c r="AB695" s="62"/>
      <c r="AC695" s="62"/>
    </row>
    <row r="696">
      <c r="A696" s="61"/>
      <c r="B696" s="61"/>
      <c r="C696" s="62"/>
      <c r="D696" s="62"/>
      <c r="E696" s="62"/>
      <c r="F696" s="62"/>
      <c r="G696" s="62"/>
      <c r="H696" s="190"/>
      <c r="I696" s="62"/>
      <c r="J696" s="62"/>
      <c r="K696" s="62"/>
      <c r="L696" s="62"/>
      <c r="M696" s="62"/>
      <c r="N696" s="62"/>
      <c r="O696" s="62"/>
      <c r="P696" s="62"/>
      <c r="Q696" s="62"/>
      <c r="R696" s="62"/>
      <c r="S696" s="62"/>
      <c r="T696" s="62"/>
      <c r="U696" s="62"/>
      <c r="V696" s="62"/>
      <c r="W696" s="62"/>
      <c r="X696" s="62"/>
      <c r="Y696" s="62"/>
      <c r="Z696" s="62"/>
      <c r="AA696" s="62"/>
      <c r="AB696" s="62"/>
      <c r="AC696" s="62"/>
    </row>
    <row r="697">
      <c r="A697" s="61"/>
      <c r="B697" s="61"/>
      <c r="C697" s="62"/>
      <c r="D697" s="62"/>
      <c r="E697" s="62"/>
      <c r="F697" s="62"/>
      <c r="G697" s="62"/>
      <c r="H697" s="190"/>
      <c r="I697" s="62"/>
      <c r="J697" s="62"/>
      <c r="K697" s="62"/>
      <c r="L697" s="62"/>
      <c r="M697" s="62"/>
      <c r="N697" s="62"/>
      <c r="O697" s="62"/>
      <c r="P697" s="62"/>
      <c r="Q697" s="62"/>
      <c r="R697" s="62"/>
      <c r="S697" s="62"/>
      <c r="T697" s="62"/>
      <c r="U697" s="62"/>
      <c r="V697" s="62"/>
      <c r="W697" s="62"/>
      <c r="X697" s="62"/>
      <c r="Y697" s="62"/>
      <c r="Z697" s="62"/>
      <c r="AA697" s="62"/>
      <c r="AB697" s="62"/>
      <c r="AC697" s="62"/>
    </row>
    <row r="698">
      <c r="A698" s="61"/>
      <c r="B698" s="61"/>
      <c r="C698" s="62"/>
      <c r="D698" s="62"/>
      <c r="E698" s="62"/>
      <c r="F698" s="62"/>
      <c r="G698" s="62"/>
      <c r="H698" s="190"/>
      <c r="I698" s="62"/>
      <c r="J698" s="62"/>
      <c r="K698" s="62"/>
      <c r="L698" s="62"/>
      <c r="M698" s="62"/>
      <c r="N698" s="62"/>
      <c r="O698" s="62"/>
      <c r="P698" s="62"/>
      <c r="Q698" s="62"/>
      <c r="R698" s="62"/>
      <c r="S698" s="62"/>
      <c r="T698" s="62"/>
      <c r="U698" s="62"/>
      <c r="V698" s="62"/>
      <c r="W698" s="62"/>
      <c r="X698" s="62"/>
      <c r="Y698" s="62"/>
      <c r="Z698" s="62"/>
      <c r="AA698" s="62"/>
      <c r="AB698" s="62"/>
      <c r="AC698" s="62"/>
    </row>
    <row r="699">
      <c r="A699" s="61"/>
      <c r="B699" s="61"/>
      <c r="C699" s="62"/>
      <c r="D699" s="62"/>
      <c r="E699" s="62"/>
      <c r="F699" s="62"/>
      <c r="G699" s="62"/>
      <c r="H699" s="190"/>
      <c r="I699" s="62"/>
      <c r="J699" s="62"/>
      <c r="K699" s="62"/>
      <c r="L699" s="62"/>
      <c r="M699" s="62"/>
      <c r="N699" s="62"/>
      <c r="O699" s="62"/>
      <c r="P699" s="62"/>
      <c r="Q699" s="62"/>
      <c r="R699" s="62"/>
      <c r="S699" s="62"/>
      <c r="T699" s="62"/>
      <c r="U699" s="62"/>
      <c r="V699" s="62"/>
      <c r="W699" s="62"/>
      <c r="X699" s="62"/>
      <c r="Y699" s="62"/>
      <c r="Z699" s="62"/>
      <c r="AA699" s="62"/>
      <c r="AB699" s="62"/>
      <c r="AC699" s="62"/>
    </row>
    <row r="700">
      <c r="A700" s="61"/>
      <c r="B700" s="61"/>
      <c r="C700" s="62"/>
      <c r="D700" s="62"/>
      <c r="E700" s="62"/>
      <c r="F700" s="62"/>
      <c r="G700" s="62"/>
      <c r="H700" s="190"/>
      <c r="I700" s="62"/>
      <c r="J700" s="62"/>
      <c r="K700" s="62"/>
      <c r="L700" s="62"/>
      <c r="M700" s="62"/>
      <c r="N700" s="62"/>
      <c r="O700" s="62"/>
      <c r="P700" s="62"/>
      <c r="Q700" s="62"/>
      <c r="R700" s="62"/>
      <c r="S700" s="62"/>
      <c r="T700" s="62"/>
      <c r="U700" s="62"/>
      <c r="V700" s="62"/>
      <c r="W700" s="62"/>
      <c r="X700" s="62"/>
      <c r="Y700" s="62"/>
      <c r="Z700" s="62"/>
      <c r="AA700" s="62"/>
      <c r="AB700" s="62"/>
      <c r="AC700" s="62"/>
    </row>
    <row r="701">
      <c r="A701" s="61"/>
      <c r="B701" s="61"/>
      <c r="C701" s="62"/>
      <c r="D701" s="62"/>
      <c r="E701" s="62"/>
      <c r="F701" s="62"/>
      <c r="G701" s="62"/>
      <c r="H701" s="190"/>
      <c r="I701" s="62"/>
      <c r="J701" s="62"/>
      <c r="K701" s="62"/>
      <c r="L701" s="62"/>
      <c r="M701" s="62"/>
      <c r="N701" s="62"/>
      <c r="O701" s="62"/>
      <c r="P701" s="62"/>
      <c r="Q701" s="62"/>
      <c r="R701" s="62"/>
      <c r="S701" s="62"/>
      <c r="T701" s="62"/>
      <c r="U701" s="62"/>
      <c r="V701" s="62"/>
      <c r="W701" s="62"/>
      <c r="X701" s="62"/>
      <c r="Y701" s="62"/>
      <c r="Z701" s="62"/>
      <c r="AA701" s="62"/>
      <c r="AB701" s="62"/>
      <c r="AC701" s="62"/>
    </row>
    <row r="702">
      <c r="A702" s="61"/>
      <c r="B702" s="61"/>
      <c r="C702" s="62"/>
      <c r="D702" s="62"/>
      <c r="E702" s="62"/>
      <c r="F702" s="62"/>
      <c r="G702" s="62"/>
      <c r="H702" s="190"/>
      <c r="I702" s="62"/>
      <c r="J702" s="62"/>
      <c r="K702" s="62"/>
      <c r="L702" s="62"/>
      <c r="M702" s="62"/>
      <c r="N702" s="62"/>
      <c r="O702" s="62"/>
      <c r="P702" s="62"/>
      <c r="Q702" s="62"/>
      <c r="R702" s="62"/>
      <c r="S702" s="62"/>
      <c r="T702" s="62"/>
      <c r="U702" s="62"/>
      <c r="V702" s="62"/>
      <c r="W702" s="62"/>
      <c r="X702" s="62"/>
      <c r="Y702" s="62"/>
      <c r="Z702" s="62"/>
      <c r="AA702" s="62"/>
      <c r="AB702" s="62"/>
      <c r="AC702" s="62"/>
    </row>
    <row r="703">
      <c r="A703" s="61"/>
      <c r="B703" s="61"/>
      <c r="C703" s="62"/>
      <c r="D703" s="62"/>
      <c r="E703" s="62"/>
      <c r="F703" s="62"/>
      <c r="G703" s="62"/>
      <c r="H703" s="190"/>
      <c r="I703" s="62"/>
      <c r="J703" s="62"/>
      <c r="K703" s="62"/>
      <c r="L703" s="62"/>
      <c r="M703" s="62"/>
      <c r="N703" s="62"/>
      <c r="O703" s="62"/>
      <c r="P703" s="62"/>
      <c r="Q703" s="62"/>
      <c r="R703" s="62"/>
      <c r="S703" s="62"/>
      <c r="T703" s="62"/>
      <c r="U703" s="62"/>
      <c r="V703" s="62"/>
      <c r="W703" s="62"/>
      <c r="X703" s="62"/>
      <c r="Y703" s="62"/>
      <c r="Z703" s="62"/>
      <c r="AA703" s="62"/>
      <c r="AB703" s="62"/>
      <c r="AC703" s="62"/>
    </row>
    <row r="704">
      <c r="A704" s="61"/>
      <c r="B704" s="61"/>
      <c r="C704" s="62"/>
      <c r="D704" s="62"/>
      <c r="E704" s="62"/>
      <c r="F704" s="62"/>
      <c r="G704" s="62"/>
      <c r="H704" s="190"/>
      <c r="I704" s="62"/>
      <c r="J704" s="62"/>
      <c r="K704" s="62"/>
      <c r="L704" s="62"/>
      <c r="M704" s="62"/>
      <c r="N704" s="62"/>
      <c r="O704" s="62"/>
      <c r="P704" s="62"/>
      <c r="Q704" s="62"/>
      <c r="R704" s="62"/>
      <c r="S704" s="62"/>
      <c r="T704" s="62"/>
      <c r="U704" s="62"/>
      <c r="V704" s="62"/>
      <c r="W704" s="62"/>
      <c r="X704" s="62"/>
      <c r="Y704" s="62"/>
      <c r="Z704" s="62"/>
      <c r="AA704" s="62"/>
      <c r="AB704" s="62"/>
      <c r="AC704" s="62"/>
    </row>
    <row r="705">
      <c r="A705" s="61"/>
      <c r="B705" s="61"/>
      <c r="C705" s="62"/>
      <c r="D705" s="62"/>
      <c r="E705" s="62"/>
      <c r="F705" s="62"/>
      <c r="G705" s="62"/>
      <c r="H705" s="190"/>
      <c r="I705" s="62"/>
      <c r="J705" s="62"/>
      <c r="K705" s="62"/>
      <c r="L705" s="62"/>
      <c r="M705" s="62"/>
      <c r="N705" s="62"/>
      <c r="O705" s="62"/>
      <c r="P705" s="62"/>
      <c r="Q705" s="62"/>
      <c r="R705" s="62"/>
      <c r="S705" s="62"/>
      <c r="T705" s="62"/>
      <c r="U705" s="62"/>
      <c r="V705" s="62"/>
      <c r="W705" s="62"/>
      <c r="X705" s="62"/>
      <c r="Y705" s="62"/>
      <c r="Z705" s="62"/>
      <c r="AA705" s="62"/>
      <c r="AB705" s="62"/>
      <c r="AC705" s="62"/>
    </row>
    <row r="706">
      <c r="A706" s="61"/>
      <c r="B706" s="61"/>
      <c r="C706" s="62"/>
      <c r="D706" s="62"/>
      <c r="E706" s="62"/>
      <c r="F706" s="62"/>
      <c r="G706" s="62"/>
      <c r="H706" s="190"/>
      <c r="I706" s="62"/>
      <c r="J706" s="62"/>
      <c r="K706" s="62"/>
      <c r="L706" s="62"/>
      <c r="M706" s="62"/>
      <c r="N706" s="62"/>
      <c r="O706" s="62"/>
      <c r="P706" s="62"/>
      <c r="Q706" s="62"/>
      <c r="R706" s="62"/>
      <c r="S706" s="62"/>
      <c r="T706" s="62"/>
      <c r="U706" s="62"/>
      <c r="V706" s="62"/>
      <c r="W706" s="62"/>
      <c r="X706" s="62"/>
      <c r="Y706" s="62"/>
      <c r="Z706" s="62"/>
      <c r="AA706" s="62"/>
      <c r="AB706" s="62"/>
      <c r="AC706" s="62"/>
    </row>
    <row r="707">
      <c r="A707" s="61"/>
      <c r="B707" s="61"/>
      <c r="C707" s="62"/>
      <c r="D707" s="62"/>
      <c r="E707" s="62"/>
      <c r="F707" s="62"/>
      <c r="G707" s="62"/>
      <c r="H707" s="190"/>
      <c r="I707" s="62"/>
      <c r="J707" s="62"/>
      <c r="K707" s="62"/>
      <c r="L707" s="62"/>
      <c r="M707" s="62"/>
      <c r="N707" s="62"/>
      <c r="O707" s="62"/>
      <c r="P707" s="62"/>
      <c r="Q707" s="62"/>
      <c r="R707" s="62"/>
      <c r="S707" s="62"/>
      <c r="T707" s="62"/>
      <c r="U707" s="62"/>
      <c r="V707" s="62"/>
      <c r="W707" s="62"/>
      <c r="X707" s="62"/>
      <c r="Y707" s="62"/>
      <c r="Z707" s="62"/>
      <c r="AA707" s="62"/>
      <c r="AB707" s="62"/>
      <c r="AC707" s="62"/>
    </row>
    <row r="708">
      <c r="A708" s="61"/>
      <c r="B708" s="61"/>
      <c r="C708" s="62"/>
      <c r="D708" s="62"/>
      <c r="E708" s="62"/>
      <c r="F708" s="62"/>
      <c r="G708" s="62"/>
      <c r="H708" s="190"/>
      <c r="I708" s="62"/>
      <c r="J708" s="62"/>
      <c r="K708" s="62"/>
      <c r="L708" s="62"/>
      <c r="M708" s="62"/>
      <c r="N708" s="62"/>
      <c r="O708" s="62"/>
      <c r="P708" s="62"/>
      <c r="Q708" s="62"/>
      <c r="R708" s="62"/>
      <c r="S708" s="62"/>
      <c r="T708" s="62"/>
      <c r="U708" s="62"/>
      <c r="V708" s="62"/>
      <c r="W708" s="62"/>
      <c r="X708" s="62"/>
      <c r="Y708" s="62"/>
      <c r="Z708" s="62"/>
      <c r="AA708" s="62"/>
      <c r="AB708" s="62"/>
      <c r="AC708" s="62"/>
    </row>
    <row r="709">
      <c r="A709" s="61"/>
      <c r="B709" s="61"/>
      <c r="C709" s="62"/>
      <c r="D709" s="62"/>
      <c r="E709" s="62"/>
      <c r="F709" s="62"/>
      <c r="G709" s="62"/>
      <c r="H709" s="190"/>
      <c r="I709" s="62"/>
      <c r="J709" s="62"/>
      <c r="K709" s="62"/>
      <c r="L709" s="62"/>
      <c r="M709" s="62"/>
      <c r="N709" s="62"/>
      <c r="O709" s="62"/>
      <c r="P709" s="62"/>
      <c r="Q709" s="62"/>
      <c r="R709" s="62"/>
      <c r="S709" s="62"/>
      <c r="T709" s="62"/>
      <c r="U709" s="62"/>
      <c r="V709" s="62"/>
      <c r="W709" s="62"/>
      <c r="X709" s="62"/>
      <c r="Y709" s="62"/>
      <c r="Z709" s="62"/>
      <c r="AA709" s="62"/>
      <c r="AB709" s="62"/>
      <c r="AC709" s="62"/>
    </row>
    <row r="710">
      <c r="A710" s="61"/>
      <c r="B710" s="61"/>
      <c r="C710" s="62"/>
      <c r="D710" s="62"/>
      <c r="E710" s="62"/>
      <c r="F710" s="62"/>
      <c r="G710" s="62"/>
      <c r="H710" s="190"/>
      <c r="I710" s="62"/>
      <c r="J710" s="62"/>
      <c r="K710" s="62"/>
      <c r="L710" s="62"/>
      <c r="M710" s="62"/>
      <c r="N710" s="62"/>
      <c r="O710" s="62"/>
      <c r="P710" s="62"/>
      <c r="Q710" s="62"/>
      <c r="R710" s="62"/>
      <c r="S710" s="62"/>
      <c r="T710" s="62"/>
      <c r="U710" s="62"/>
      <c r="V710" s="62"/>
      <c r="W710" s="62"/>
      <c r="X710" s="62"/>
      <c r="Y710" s="62"/>
      <c r="Z710" s="62"/>
      <c r="AA710" s="62"/>
      <c r="AB710" s="62"/>
      <c r="AC710" s="62"/>
    </row>
    <row r="711">
      <c r="A711" s="61"/>
      <c r="B711" s="61"/>
      <c r="C711" s="62"/>
      <c r="D711" s="62"/>
      <c r="E711" s="62"/>
      <c r="F711" s="62"/>
      <c r="G711" s="62"/>
      <c r="H711" s="190"/>
      <c r="I711" s="62"/>
      <c r="J711" s="62"/>
      <c r="K711" s="62"/>
      <c r="L711" s="62"/>
      <c r="M711" s="62"/>
      <c r="N711" s="62"/>
      <c r="O711" s="62"/>
      <c r="P711" s="62"/>
      <c r="Q711" s="62"/>
      <c r="R711" s="62"/>
      <c r="S711" s="62"/>
      <c r="T711" s="62"/>
      <c r="U711" s="62"/>
      <c r="V711" s="62"/>
      <c r="W711" s="62"/>
      <c r="X711" s="62"/>
      <c r="Y711" s="62"/>
      <c r="Z711" s="62"/>
      <c r="AA711" s="62"/>
      <c r="AB711" s="62"/>
      <c r="AC711" s="62"/>
    </row>
    <row r="712">
      <c r="A712" s="61"/>
      <c r="B712" s="61"/>
      <c r="C712" s="62"/>
      <c r="D712" s="62"/>
      <c r="E712" s="62"/>
      <c r="F712" s="62"/>
      <c r="G712" s="62"/>
      <c r="H712" s="190"/>
      <c r="I712" s="62"/>
      <c r="J712" s="62"/>
      <c r="K712" s="62"/>
      <c r="L712" s="62"/>
      <c r="M712" s="62"/>
      <c r="N712" s="62"/>
      <c r="O712" s="62"/>
      <c r="P712" s="62"/>
      <c r="Q712" s="62"/>
      <c r="R712" s="62"/>
      <c r="S712" s="62"/>
      <c r="T712" s="62"/>
      <c r="U712" s="62"/>
      <c r="V712" s="62"/>
      <c r="W712" s="62"/>
      <c r="X712" s="62"/>
      <c r="Y712" s="62"/>
      <c r="Z712" s="62"/>
      <c r="AA712" s="62"/>
      <c r="AB712" s="62"/>
      <c r="AC712" s="62"/>
    </row>
    <row r="713">
      <c r="A713" s="61"/>
      <c r="B713" s="61"/>
      <c r="C713" s="62"/>
      <c r="D713" s="62"/>
      <c r="E713" s="62"/>
      <c r="F713" s="62"/>
      <c r="G713" s="62"/>
      <c r="H713" s="190"/>
      <c r="I713" s="62"/>
      <c r="J713" s="62"/>
      <c r="K713" s="62"/>
      <c r="L713" s="62"/>
      <c r="M713" s="62"/>
      <c r="N713" s="62"/>
      <c r="O713" s="62"/>
      <c r="P713" s="62"/>
      <c r="Q713" s="62"/>
      <c r="R713" s="62"/>
      <c r="S713" s="62"/>
      <c r="T713" s="62"/>
      <c r="U713" s="62"/>
      <c r="V713" s="62"/>
      <c r="W713" s="62"/>
      <c r="X713" s="62"/>
      <c r="Y713" s="62"/>
      <c r="Z713" s="62"/>
      <c r="AA713" s="62"/>
      <c r="AB713" s="62"/>
      <c r="AC713" s="62"/>
    </row>
    <row r="714">
      <c r="A714" s="61"/>
      <c r="B714" s="61"/>
      <c r="C714" s="62"/>
      <c r="D714" s="62"/>
      <c r="E714" s="62"/>
      <c r="F714" s="62"/>
      <c r="G714" s="62"/>
      <c r="H714" s="190"/>
      <c r="I714" s="62"/>
      <c r="J714" s="62"/>
      <c r="K714" s="62"/>
      <c r="L714" s="62"/>
      <c r="M714" s="62"/>
      <c r="N714" s="62"/>
      <c r="O714" s="62"/>
      <c r="P714" s="62"/>
      <c r="Q714" s="62"/>
      <c r="R714" s="62"/>
      <c r="S714" s="62"/>
      <c r="T714" s="62"/>
      <c r="U714" s="62"/>
      <c r="V714" s="62"/>
      <c r="W714" s="62"/>
      <c r="X714" s="62"/>
      <c r="Y714" s="62"/>
      <c r="Z714" s="62"/>
      <c r="AA714" s="62"/>
      <c r="AB714" s="62"/>
      <c r="AC714" s="62"/>
    </row>
    <row r="715">
      <c r="A715" s="61"/>
      <c r="B715" s="61"/>
      <c r="C715" s="62"/>
      <c r="D715" s="62"/>
      <c r="E715" s="62"/>
      <c r="F715" s="62"/>
      <c r="G715" s="62"/>
      <c r="H715" s="190"/>
      <c r="I715" s="62"/>
      <c r="J715" s="62"/>
      <c r="K715" s="62"/>
      <c r="L715" s="62"/>
      <c r="M715" s="62"/>
      <c r="N715" s="62"/>
      <c r="O715" s="62"/>
      <c r="P715" s="62"/>
      <c r="Q715" s="62"/>
      <c r="R715" s="62"/>
      <c r="S715" s="62"/>
      <c r="T715" s="62"/>
      <c r="U715" s="62"/>
      <c r="V715" s="62"/>
      <c r="W715" s="62"/>
      <c r="X715" s="62"/>
      <c r="Y715" s="62"/>
      <c r="Z715" s="62"/>
      <c r="AA715" s="62"/>
      <c r="AB715" s="62"/>
      <c r="AC715" s="62"/>
    </row>
    <row r="716">
      <c r="A716" s="61"/>
      <c r="B716" s="61"/>
      <c r="C716" s="62"/>
      <c r="D716" s="62"/>
      <c r="E716" s="62"/>
      <c r="F716" s="62"/>
      <c r="G716" s="62"/>
      <c r="H716" s="190"/>
      <c r="I716" s="62"/>
      <c r="J716" s="62"/>
      <c r="K716" s="62"/>
      <c r="L716" s="62"/>
      <c r="M716" s="62"/>
      <c r="N716" s="62"/>
      <c r="O716" s="62"/>
      <c r="P716" s="62"/>
      <c r="Q716" s="62"/>
      <c r="R716" s="62"/>
      <c r="S716" s="62"/>
      <c r="T716" s="62"/>
      <c r="U716" s="62"/>
      <c r="V716" s="62"/>
      <c r="W716" s="62"/>
      <c r="X716" s="62"/>
      <c r="Y716" s="62"/>
      <c r="Z716" s="62"/>
      <c r="AA716" s="62"/>
      <c r="AB716" s="62"/>
      <c r="AC716" s="62"/>
    </row>
    <row r="717">
      <c r="A717" s="61"/>
      <c r="B717" s="61"/>
      <c r="C717" s="62"/>
      <c r="D717" s="62"/>
      <c r="E717" s="62"/>
      <c r="F717" s="62"/>
      <c r="G717" s="62"/>
      <c r="H717" s="190"/>
      <c r="I717" s="62"/>
      <c r="J717" s="62"/>
      <c r="K717" s="62"/>
      <c r="L717" s="62"/>
      <c r="M717" s="62"/>
      <c r="N717" s="62"/>
      <c r="O717" s="62"/>
      <c r="P717" s="62"/>
      <c r="Q717" s="62"/>
      <c r="R717" s="62"/>
      <c r="S717" s="62"/>
      <c r="T717" s="62"/>
      <c r="U717" s="62"/>
      <c r="V717" s="62"/>
      <c r="W717" s="62"/>
      <c r="X717" s="62"/>
      <c r="Y717" s="62"/>
      <c r="Z717" s="62"/>
      <c r="AA717" s="62"/>
      <c r="AB717" s="62"/>
      <c r="AC717" s="62"/>
    </row>
    <row r="718">
      <c r="A718" s="61"/>
      <c r="B718" s="61"/>
      <c r="C718" s="62"/>
      <c r="D718" s="62"/>
      <c r="E718" s="62"/>
      <c r="F718" s="62"/>
      <c r="G718" s="62"/>
      <c r="H718" s="190"/>
      <c r="I718" s="62"/>
      <c r="J718" s="62"/>
      <c r="K718" s="62"/>
      <c r="L718" s="62"/>
      <c r="M718" s="62"/>
      <c r="N718" s="62"/>
      <c r="O718" s="62"/>
      <c r="P718" s="62"/>
      <c r="Q718" s="62"/>
      <c r="R718" s="62"/>
      <c r="S718" s="62"/>
      <c r="T718" s="62"/>
      <c r="U718" s="62"/>
      <c r="V718" s="62"/>
      <c r="W718" s="62"/>
      <c r="X718" s="62"/>
      <c r="Y718" s="62"/>
      <c r="Z718" s="62"/>
      <c r="AA718" s="62"/>
      <c r="AB718" s="62"/>
      <c r="AC718" s="62"/>
    </row>
    <row r="719">
      <c r="A719" s="61"/>
      <c r="B719" s="61"/>
      <c r="C719" s="62"/>
      <c r="D719" s="62"/>
      <c r="E719" s="62"/>
      <c r="F719" s="62"/>
      <c r="G719" s="62"/>
      <c r="H719" s="190"/>
      <c r="I719" s="62"/>
      <c r="J719" s="62"/>
      <c r="K719" s="62"/>
      <c r="L719" s="62"/>
      <c r="M719" s="62"/>
      <c r="N719" s="62"/>
      <c r="O719" s="62"/>
      <c r="P719" s="62"/>
      <c r="Q719" s="62"/>
      <c r="R719" s="62"/>
      <c r="S719" s="62"/>
      <c r="T719" s="62"/>
      <c r="U719" s="62"/>
      <c r="V719" s="62"/>
      <c r="W719" s="62"/>
      <c r="X719" s="62"/>
      <c r="Y719" s="62"/>
      <c r="Z719" s="62"/>
      <c r="AA719" s="62"/>
      <c r="AB719" s="62"/>
      <c r="AC719" s="62"/>
    </row>
    <row r="720">
      <c r="A720" s="61"/>
      <c r="B720" s="61"/>
      <c r="C720" s="62"/>
      <c r="D720" s="62"/>
      <c r="E720" s="62"/>
      <c r="F720" s="62"/>
      <c r="G720" s="62"/>
      <c r="H720" s="190"/>
      <c r="I720" s="62"/>
      <c r="J720" s="62"/>
      <c r="K720" s="62"/>
      <c r="L720" s="62"/>
      <c r="M720" s="62"/>
      <c r="N720" s="62"/>
      <c r="O720" s="62"/>
      <c r="P720" s="62"/>
      <c r="Q720" s="62"/>
      <c r="R720" s="62"/>
      <c r="S720" s="62"/>
      <c r="T720" s="62"/>
      <c r="U720" s="62"/>
      <c r="V720" s="62"/>
      <c r="W720" s="62"/>
      <c r="X720" s="62"/>
      <c r="Y720" s="62"/>
      <c r="Z720" s="62"/>
      <c r="AA720" s="62"/>
      <c r="AB720" s="62"/>
      <c r="AC720" s="62"/>
    </row>
    <row r="721">
      <c r="A721" s="61"/>
      <c r="B721" s="61"/>
      <c r="C721" s="62"/>
      <c r="D721" s="62"/>
      <c r="E721" s="62"/>
      <c r="F721" s="62"/>
      <c r="G721" s="62"/>
      <c r="H721" s="190"/>
      <c r="I721" s="62"/>
      <c r="J721" s="62"/>
      <c r="K721" s="62"/>
      <c r="L721" s="62"/>
      <c r="M721" s="62"/>
      <c r="N721" s="62"/>
      <c r="O721" s="62"/>
      <c r="P721" s="62"/>
      <c r="Q721" s="62"/>
      <c r="R721" s="62"/>
      <c r="S721" s="62"/>
      <c r="T721" s="62"/>
      <c r="U721" s="62"/>
      <c r="V721" s="62"/>
      <c r="W721" s="62"/>
      <c r="X721" s="62"/>
      <c r="Y721" s="62"/>
      <c r="Z721" s="62"/>
      <c r="AA721" s="62"/>
      <c r="AB721" s="62"/>
      <c r="AC721" s="62"/>
    </row>
    <row r="722">
      <c r="A722" s="61"/>
      <c r="B722" s="61"/>
      <c r="C722" s="62"/>
      <c r="D722" s="62"/>
      <c r="E722" s="62"/>
      <c r="F722" s="62"/>
      <c r="G722" s="62"/>
      <c r="H722" s="190"/>
      <c r="I722" s="62"/>
      <c r="J722" s="62"/>
      <c r="K722" s="62"/>
      <c r="L722" s="62"/>
      <c r="M722" s="62"/>
      <c r="N722" s="62"/>
      <c r="O722" s="62"/>
      <c r="P722" s="62"/>
      <c r="Q722" s="62"/>
      <c r="R722" s="62"/>
      <c r="S722" s="62"/>
      <c r="T722" s="62"/>
      <c r="U722" s="62"/>
      <c r="V722" s="62"/>
      <c r="W722" s="62"/>
      <c r="X722" s="62"/>
      <c r="Y722" s="62"/>
      <c r="Z722" s="62"/>
      <c r="AA722" s="62"/>
      <c r="AB722" s="62"/>
      <c r="AC722" s="62"/>
    </row>
    <row r="723">
      <c r="A723" s="61"/>
      <c r="B723" s="61"/>
      <c r="C723" s="62"/>
      <c r="D723" s="62"/>
      <c r="E723" s="62"/>
      <c r="F723" s="62"/>
      <c r="G723" s="62"/>
      <c r="H723" s="190"/>
      <c r="I723" s="62"/>
      <c r="J723" s="62"/>
      <c r="K723" s="62"/>
      <c r="L723" s="62"/>
      <c r="M723" s="62"/>
      <c r="N723" s="62"/>
      <c r="O723" s="62"/>
      <c r="P723" s="62"/>
      <c r="Q723" s="62"/>
      <c r="R723" s="62"/>
      <c r="S723" s="62"/>
      <c r="T723" s="62"/>
      <c r="U723" s="62"/>
      <c r="V723" s="62"/>
      <c r="W723" s="62"/>
      <c r="X723" s="62"/>
      <c r="Y723" s="62"/>
      <c r="Z723" s="62"/>
      <c r="AA723" s="62"/>
      <c r="AB723" s="62"/>
      <c r="AC723" s="62"/>
    </row>
    <row r="724">
      <c r="A724" s="61"/>
      <c r="B724" s="61"/>
      <c r="C724" s="62"/>
      <c r="D724" s="62"/>
      <c r="E724" s="62"/>
      <c r="F724" s="62"/>
      <c r="G724" s="62"/>
      <c r="H724" s="190"/>
      <c r="I724" s="62"/>
      <c r="J724" s="62"/>
      <c r="K724" s="62"/>
      <c r="L724" s="62"/>
      <c r="M724" s="62"/>
      <c r="N724" s="62"/>
      <c r="O724" s="62"/>
      <c r="P724" s="62"/>
      <c r="Q724" s="62"/>
      <c r="R724" s="62"/>
      <c r="S724" s="62"/>
      <c r="T724" s="62"/>
      <c r="U724" s="62"/>
      <c r="V724" s="62"/>
      <c r="W724" s="62"/>
      <c r="X724" s="62"/>
      <c r="Y724" s="62"/>
      <c r="Z724" s="62"/>
      <c r="AA724" s="62"/>
      <c r="AB724" s="62"/>
      <c r="AC724" s="62"/>
    </row>
    <row r="725">
      <c r="A725" s="61"/>
      <c r="B725" s="61"/>
      <c r="C725" s="62"/>
      <c r="D725" s="62"/>
      <c r="E725" s="62"/>
      <c r="F725" s="62"/>
      <c r="G725" s="62"/>
      <c r="H725" s="190"/>
      <c r="I725" s="62"/>
      <c r="J725" s="62"/>
      <c r="K725" s="62"/>
      <c r="L725" s="62"/>
      <c r="M725" s="62"/>
      <c r="N725" s="62"/>
      <c r="O725" s="62"/>
      <c r="P725" s="62"/>
      <c r="Q725" s="62"/>
      <c r="R725" s="62"/>
      <c r="S725" s="62"/>
      <c r="T725" s="62"/>
      <c r="U725" s="62"/>
      <c r="V725" s="62"/>
      <c r="W725" s="62"/>
      <c r="X725" s="62"/>
      <c r="Y725" s="62"/>
      <c r="Z725" s="62"/>
      <c r="AA725" s="62"/>
      <c r="AB725" s="62"/>
      <c r="AC725" s="62"/>
    </row>
    <row r="726">
      <c r="A726" s="61"/>
      <c r="B726" s="61"/>
      <c r="C726" s="62"/>
      <c r="D726" s="62"/>
      <c r="E726" s="62"/>
      <c r="F726" s="62"/>
      <c r="G726" s="62"/>
      <c r="H726" s="190"/>
      <c r="I726" s="62"/>
      <c r="J726" s="62"/>
      <c r="K726" s="62"/>
      <c r="L726" s="62"/>
      <c r="M726" s="62"/>
      <c r="N726" s="62"/>
      <c r="O726" s="62"/>
      <c r="P726" s="62"/>
      <c r="Q726" s="62"/>
      <c r="R726" s="62"/>
      <c r="S726" s="62"/>
      <c r="T726" s="62"/>
      <c r="U726" s="62"/>
      <c r="V726" s="62"/>
      <c r="W726" s="62"/>
      <c r="X726" s="62"/>
      <c r="Y726" s="62"/>
      <c r="Z726" s="62"/>
      <c r="AA726" s="62"/>
      <c r="AB726" s="62"/>
      <c r="AC726" s="62"/>
    </row>
    <row r="727">
      <c r="A727" s="61"/>
      <c r="B727" s="61"/>
      <c r="C727" s="62"/>
      <c r="D727" s="62"/>
      <c r="E727" s="62"/>
      <c r="F727" s="62"/>
      <c r="G727" s="62"/>
      <c r="H727" s="190"/>
      <c r="I727" s="62"/>
      <c r="J727" s="62"/>
      <c r="K727" s="62"/>
      <c r="L727" s="62"/>
      <c r="M727" s="62"/>
      <c r="N727" s="62"/>
      <c r="O727" s="62"/>
      <c r="P727" s="62"/>
      <c r="Q727" s="62"/>
      <c r="R727" s="62"/>
      <c r="S727" s="62"/>
      <c r="T727" s="62"/>
      <c r="U727" s="62"/>
      <c r="V727" s="62"/>
      <c r="W727" s="62"/>
      <c r="X727" s="62"/>
      <c r="Y727" s="62"/>
      <c r="Z727" s="62"/>
      <c r="AA727" s="62"/>
      <c r="AB727" s="62"/>
      <c r="AC727" s="62"/>
    </row>
    <row r="728">
      <c r="A728" s="61"/>
      <c r="B728" s="61"/>
      <c r="C728" s="62"/>
      <c r="D728" s="62"/>
      <c r="E728" s="62"/>
      <c r="F728" s="62"/>
      <c r="G728" s="62"/>
      <c r="H728" s="190"/>
      <c r="I728" s="62"/>
      <c r="J728" s="62"/>
      <c r="K728" s="62"/>
      <c r="L728" s="62"/>
      <c r="M728" s="62"/>
      <c r="N728" s="62"/>
      <c r="O728" s="62"/>
      <c r="P728" s="62"/>
      <c r="Q728" s="62"/>
      <c r="R728" s="62"/>
      <c r="S728" s="62"/>
      <c r="T728" s="62"/>
      <c r="U728" s="62"/>
      <c r="V728" s="62"/>
      <c r="W728" s="62"/>
      <c r="X728" s="62"/>
      <c r="Y728" s="62"/>
      <c r="Z728" s="62"/>
      <c r="AA728" s="62"/>
      <c r="AB728" s="62"/>
      <c r="AC728" s="62"/>
    </row>
    <row r="729">
      <c r="A729" s="61"/>
      <c r="B729" s="61"/>
      <c r="C729" s="62"/>
      <c r="D729" s="62"/>
      <c r="E729" s="62"/>
      <c r="F729" s="62"/>
      <c r="G729" s="62"/>
      <c r="H729" s="190"/>
      <c r="I729" s="62"/>
      <c r="J729" s="62"/>
      <c r="K729" s="62"/>
      <c r="L729" s="62"/>
      <c r="M729" s="62"/>
      <c r="N729" s="62"/>
      <c r="O729" s="62"/>
      <c r="P729" s="62"/>
      <c r="Q729" s="62"/>
      <c r="R729" s="62"/>
      <c r="S729" s="62"/>
      <c r="T729" s="62"/>
      <c r="U729" s="62"/>
      <c r="V729" s="62"/>
      <c r="W729" s="62"/>
      <c r="X729" s="62"/>
      <c r="Y729" s="62"/>
      <c r="Z729" s="62"/>
      <c r="AA729" s="62"/>
      <c r="AB729" s="62"/>
      <c r="AC729" s="62"/>
    </row>
    <row r="730">
      <c r="A730" s="61"/>
      <c r="B730" s="61"/>
      <c r="C730" s="62"/>
      <c r="D730" s="62"/>
      <c r="E730" s="62"/>
      <c r="F730" s="62"/>
      <c r="G730" s="62"/>
      <c r="H730" s="190"/>
      <c r="I730" s="62"/>
      <c r="J730" s="62"/>
      <c r="K730" s="62"/>
      <c r="L730" s="62"/>
      <c r="M730" s="62"/>
      <c r="N730" s="62"/>
      <c r="O730" s="62"/>
      <c r="P730" s="62"/>
      <c r="Q730" s="62"/>
      <c r="R730" s="62"/>
      <c r="S730" s="62"/>
      <c r="T730" s="62"/>
      <c r="U730" s="62"/>
      <c r="V730" s="62"/>
      <c r="W730" s="62"/>
      <c r="X730" s="62"/>
      <c r="Y730" s="62"/>
      <c r="Z730" s="62"/>
      <c r="AA730" s="62"/>
      <c r="AB730" s="62"/>
      <c r="AC730" s="62"/>
    </row>
    <row r="731">
      <c r="A731" s="61"/>
      <c r="B731" s="61"/>
      <c r="C731" s="62"/>
      <c r="D731" s="62"/>
      <c r="E731" s="62"/>
      <c r="F731" s="62"/>
      <c r="G731" s="62"/>
      <c r="H731" s="190"/>
      <c r="I731" s="62"/>
      <c r="J731" s="62"/>
      <c r="K731" s="62"/>
      <c r="L731" s="62"/>
      <c r="M731" s="62"/>
      <c r="N731" s="62"/>
      <c r="O731" s="62"/>
      <c r="P731" s="62"/>
      <c r="Q731" s="62"/>
      <c r="R731" s="62"/>
      <c r="S731" s="62"/>
      <c r="T731" s="62"/>
      <c r="U731" s="62"/>
      <c r="V731" s="62"/>
      <c r="W731" s="62"/>
      <c r="X731" s="62"/>
      <c r="Y731" s="62"/>
      <c r="Z731" s="62"/>
      <c r="AA731" s="62"/>
      <c r="AB731" s="62"/>
      <c r="AC731" s="62"/>
    </row>
    <row r="732">
      <c r="A732" s="61"/>
      <c r="B732" s="61"/>
      <c r="C732" s="62"/>
      <c r="D732" s="62"/>
      <c r="E732" s="62"/>
      <c r="F732" s="62"/>
      <c r="G732" s="62"/>
      <c r="H732" s="190"/>
      <c r="I732" s="62"/>
      <c r="J732" s="62"/>
      <c r="K732" s="62"/>
      <c r="L732" s="62"/>
      <c r="M732" s="62"/>
      <c r="N732" s="62"/>
      <c r="O732" s="62"/>
      <c r="P732" s="62"/>
      <c r="Q732" s="62"/>
      <c r="R732" s="62"/>
      <c r="S732" s="62"/>
      <c r="T732" s="62"/>
      <c r="U732" s="62"/>
      <c r="V732" s="62"/>
      <c r="W732" s="62"/>
      <c r="X732" s="62"/>
      <c r="Y732" s="62"/>
      <c r="Z732" s="62"/>
      <c r="AA732" s="62"/>
      <c r="AB732" s="62"/>
      <c r="AC732" s="62"/>
    </row>
    <row r="733">
      <c r="A733" s="61"/>
      <c r="B733" s="61"/>
      <c r="C733" s="62"/>
      <c r="D733" s="62"/>
      <c r="E733" s="62"/>
      <c r="F733" s="62"/>
      <c r="G733" s="62"/>
      <c r="H733" s="190"/>
      <c r="I733" s="62"/>
      <c r="J733" s="62"/>
      <c r="K733" s="62"/>
      <c r="L733" s="62"/>
      <c r="M733" s="62"/>
      <c r="N733" s="62"/>
      <c r="O733" s="62"/>
      <c r="P733" s="62"/>
      <c r="Q733" s="62"/>
      <c r="R733" s="62"/>
      <c r="S733" s="62"/>
      <c r="T733" s="62"/>
      <c r="U733" s="62"/>
      <c r="V733" s="62"/>
      <c r="W733" s="62"/>
      <c r="X733" s="62"/>
      <c r="Y733" s="62"/>
      <c r="Z733" s="62"/>
      <c r="AA733" s="62"/>
      <c r="AB733" s="62"/>
      <c r="AC733" s="62"/>
    </row>
    <row r="734">
      <c r="A734" s="61"/>
      <c r="B734" s="61"/>
      <c r="C734" s="62"/>
      <c r="D734" s="62"/>
      <c r="E734" s="62"/>
      <c r="F734" s="62"/>
      <c r="G734" s="62"/>
      <c r="H734" s="190"/>
      <c r="I734" s="62"/>
      <c r="J734" s="62"/>
      <c r="K734" s="62"/>
      <c r="L734" s="62"/>
      <c r="M734" s="62"/>
      <c r="N734" s="62"/>
      <c r="O734" s="62"/>
      <c r="P734" s="62"/>
      <c r="Q734" s="62"/>
      <c r="R734" s="62"/>
      <c r="S734" s="62"/>
      <c r="T734" s="62"/>
      <c r="U734" s="62"/>
      <c r="V734" s="62"/>
      <c r="W734" s="62"/>
      <c r="X734" s="62"/>
      <c r="Y734" s="62"/>
      <c r="Z734" s="62"/>
      <c r="AA734" s="62"/>
      <c r="AB734" s="62"/>
      <c r="AC734" s="62"/>
    </row>
    <row r="735">
      <c r="A735" s="61"/>
      <c r="B735" s="61"/>
      <c r="C735" s="62"/>
      <c r="D735" s="62"/>
      <c r="E735" s="62"/>
      <c r="F735" s="62"/>
      <c r="G735" s="62"/>
      <c r="H735" s="190"/>
      <c r="I735" s="62"/>
      <c r="J735" s="62"/>
      <c r="K735" s="62"/>
      <c r="L735" s="62"/>
      <c r="M735" s="62"/>
      <c r="N735" s="62"/>
      <c r="O735" s="62"/>
      <c r="P735" s="62"/>
      <c r="Q735" s="62"/>
      <c r="R735" s="62"/>
      <c r="S735" s="62"/>
      <c r="T735" s="62"/>
      <c r="U735" s="62"/>
      <c r="V735" s="62"/>
      <c r="W735" s="62"/>
      <c r="X735" s="62"/>
      <c r="Y735" s="62"/>
      <c r="Z735" s="62"/>
      <c r="AA735" s="62"/>
      <c r="AB735" s="62"/>
      <c r="AC735" s="62"/>
    </row>
    <row r="736">
      <c r="A736" s="61"/>
      <c r="B736" s="61"/>
      <c r="C736" s="62"/>
      <c r="D736" s="62"/>
      <c r="E736" s="62"/>
      <c r="F736" s="62"/>
      <c r="G736" s="62"/>
      <c r="H736" s="190"/>
      <c r="I736" s="62"/>
      <c r="J736" s="62"/>
      <c r="K736" s="62"/>
      <c r="L736" s="62"/>
      <c r="M736" s="62"/>
      <c r="N736" s="62"/>
      <c r="O736" s="62"/>
      <c r="P736" s="62"/>
      <c r="Q736" s="62"/>
      <c r="R736" s="62"/>
      <c r="S736" s="62"/>
      <c r="T736" s="62"/>
      <c r="U736" s="62"/>
      <c r="V736" s="62"/>
      <c r="W736" s="62"/>
      <c r="X736" s="62"/>
      <c r="Y736" s="62"/>
      <c r="Z736" s="62"/>
      <c r="AA736" s="62"/>
      <c r="AB736" s="62"/>
      <c r="AC736" s="62"/>
    </row>
    <row r="737">
      <c r="A737" s="61"/>
      <c r="B737" s="61"/>
      <c r="C737" s="62"/>
      <c r="D737" s="62"/>
      <c r="E737" s="62"/>
      <c r="F737" s="62"/>
      <c r="G737" s="62"/>
      <c r="H737" s="190"/>
      <c r="I737" s="62"/>
      <c r="J737" s="62"/>
      <c r="K737" s="62"/>
      <c r="L737" s="62"/>
      <c r="M737" s="62"/>
      <c r="N737" s="62"/>
      <c r="O737" s="62"/>
      <c r="P737" s="62"/>
      <c r="Q737" s="62"/>
      <c r="R737" s="62"/>
      <c r="S737" s="62"/>
      <c r="T737" s="62"/>
      <c r="U737" s="62"/>
      <c r="V737" s="62"/>
      <c r="W737" s="62"/>
      <c r="X737" s="62"/>
      <c r="Y737" s="62"/>
      <c r="Z737" s="62"/>
      <c r="AA737" s="62"/>
      <c r="AB737" s="62"/>
      <c r="AC737" s="62"/>
    </row>
    <row r="738">
      <c r="A738" s="61"/>
      <c r="B738" s="61"/>
      <c r="C738" s="62"/>
      <c r="D738" s="62"/>
      <c r="E738" s="62"/>
      <c r="F738" s="62"/>
      <c r="G738" s="62"/>
      <c r="H738" s="190"/>
      <c r="I738" s="62"/>
      <c r="J738" s="62"/>
      <c r="K738" s="62"/>
      <c r="L738" s="62"/>
      <c r="M738" s="62"/>
      <c r="N738" s="62"/>
      <c r="O738" s="62"/>
      <c r="P738" s="62"/>
      <c r="Q738" s="62"/>
      <c r="R738" s="62"/>
      <c r="S738" s="62"/>
      <c r="T738" s="62"/>
      <c r="U738" s="62"/>
      <c r="V738" s="62"/>
      <c r="W738" s="62"/>
      <c r="X738" s="62"/>
      <c r="Y738" s="62"/>
      <c r="Z738" s="62"/>
      <c r="AA738" s="62"/>
      <c r="AB738" s="62"/>
      <c r="AC738" s="62"/>
    </row>
    <row r="739">
      <c r="A739" s="61"/>
      <c r="B739" s="61"/>
      <c r="C739" s="62"/>
      <c r="D739" s="62"/>
      <c r="E739" s="62"/>
      <c r="F739" s="62"/>
      <c r="G739" s="62"/>
      <c r="H739" s="190"/>
      <c r="I739" s="62"/>
      <c r="J739" s="62"/>
      <c r="K739" s="62"/>
      <c r="L739" s="62"/>
      <c r="M739" s="62"/>
      <c r="N739" s="62"/>
      <c r="O739" s="62"/>
      <c r="P739" s="62"/>
      <c r="Q739" s="62"/>
      <c r="R739" s="62"/>
      <c r="S739" s="62"/>
      <c r="T739" s="62"/>
      <c r="U739" s="62"/>
      <c r="V739" s="62"/>
      <c r="W739" s="62"/>
      <c r="X739" s="62"/>
      <c r="Y739" s="62"/>
      <c r="Z739" s="62"/>
      <c r="AA739" s="62"/>
      <c r="AB739" s="62"/>
      <c r="AC739" s="62"/>
    </row>
    <row r="740">
      <c r="A740" s="61"/>
      <c r="B740" s="61"/>
      <c r="C740" s="62"/>
      <c r="D740" s="62"/>
      <c r="E740" s="62"/>
      <c r="F740" s="62"/>
      <c r="G740" s="62"/>
      <c r="H740" s="190"/>
      <c r="I740" s="62"/>
      <c r="J740" s="62"/>
      <c r="K740" s="62"/>
      <c r="L740" s="62"/>
      <c r="M740" s="62"/>
      <c r="N740" s="62"/>
      <c r="O740" s="62"/>
      <c r="P740" s="62"/>
      <c r="Q740" s="62"/>
      <c r="R740" s="62"/>
      <c r="S740" s="62"/>
      <c r="T740" s="62"/>
      <c r="U740" s="62"/>
      <c r="V740" s="62"/>
      <c r="W740" s="62"/>
      <c r="X740" s="62"/>
      <c r="Y740" s="62"/>
      <c r="Z740" s="62"/>
      <c r="AA740" s="62"/>
      <c r="AB740" s="62"/>
      <c r="AC740" s="62"/>
    </row>
    <row r="741">
      <c r="A741" s="61"/>
      <c r="B741" s="61"/>
      <c r="C741" s="62"/>
      <c r="D741" s="62"/>
      <c r="E741" s="62"/>
      <c r="F741" s="62"/>
      <c r="G741" s="62"/>
      <c r="H741" s="190"/>
      <c r="I741" s="62"/>
      <c r="J741" s="62"/>
      <c r="K741" s="62"/>
      <c r="L741" s="62"/>
      <c r="M741" s="62"/>
      <c r="N741" s="62"/>
      <c r="O741" s="62"/>
      <c r="P741" s="62"/>
      <c r="Q741" s="62"/>
      <c r="R741" s="62"/>
      <c r="S741" s="62"/>
      <c r="T741" s="62"/>
      <c r="U741" s="62"/>
      <c r="V741" s="62"/>
      <c r="W741" s="62"/>
      <c r="X741" s="62"/>
      <c r="Y741" s="62"/>
      <c r="Z741" s="62"/>
      <c r="AA741" s="62"/>
      <c r="AB741" s="62"/>
      <c r="AC741" s="62"/>
    </row>
    <row r="742">
      <c r="A742" s="61"/>
      <c r="B742" s="61"/>
      <c r="C742" s="62"/>
      <c r="D742" s="62"/>
      <c r="E742" s="62"/>
      <c r="F742" s="62"/>
      <c r="G742" s="62"/>
      <c r="H742" s="190"/>
      <c r="I742" s="62"/>
      <c r="J742" s="62"/>
      <c r="K742" s="62"/>
      <c r="L742" s="62"/>
      <c r="M742" s="62"/>
      <c r="N742" s="62"/>
      <c r="O742" s="62"/>
      <c r="P742" s="62"/>
      <c r="Q742" s="62"/>
      <c r="R742" s="62"/>
      <c r="S742" s="62"/>
      <c r="T742" s="62"/>
      <c r="U742" s="62"/>
      <c r="V742" s="62"/>
      <c r="W742" s="62"/>
      <c r="X742" s="62"/>
      <c r="Y742" s="62"/>
      <c r="Z742" s="62"/>
      <c r="AA742" s="62"/>
      <c r="AB742" s="62"/>
      <c r="AC742" s="62"/>
    </row>
    <row r="743">
      <c r="A743" s="61"/>
      <c r="B743" s="61"/>
      <c r="C743" s="62"/>
      <c r="D743" s="62"/>
      <c r="E743" s="62"/>
      <c r="F743" s="62"/>
      <c r="G743" s="62"/>
      <c r="H743" s="190"/>
      <c r="I743" s="62"/>
      <c r="J743" s="62"/>
      <c r="K743" s="62"/>
      <c r="L743" s="62"/>
      <c r="M743" s="62"/>
      <c r="N743" s="62"/>
      <c r="O743" s="62"/>
      <c r="P743" s="62"/>
      <c r="Q743" s="62"/>
      <c r="R743" s="62"/>
      <c r="S743" s="62"/>
      <c r="T743" s="62"/>
      <c r="U743" s="62"/>
      <c r="V743" s="62"/>
      <c r="W743" s="62"/>
      <c r="X743" s="62"/>
      <c r="Y743" s="62"/>
      <c r="Z743" s="62"/>
      <c r="AA743" s="62"/>
      <c r="AB743" s="62"/>
      <c r="AC743" s="62"/>
    </row>
    <row r="744">
      <c r="A744" s="61"/>
      <c r="B744" s="61"/>
      <c r="C744" s="62"/>
      <c r="D744" s="62"/>
      <c r="E744" s="62"/>
      <c r="F744" s="62"/>
      <c r="G744" s="62"/>
      <c r="H744" s="190"/>
      <c r="I744" s="62"/>
      <c r="J744" s="62"/>
      <c r="K744" s="62"/>
      <c r="L744" s="62"/>
      <c r="M744" s="62"/>
      <c r="N744" s="62"/>
      <c r="O744" s="62"/>
      <c r="P744" s="62"/>
      <c r="Q744" s="62"/>
      <c r="R744" s="62"/>
      <c r="S744" s="62"/>
      <c r="T744" s="62"/>
      <c r="U744" s="62"/>
      <c r="V744" s="62"/>
      <c r="W744" s="62"/>
      <c r="X744" s="62"/>
      <c r="Y744" s="62"/>
      <c r="Z744" s="62"/>
      <c r="AA744" s="62"/>
      <c r="AB744" s="62"/>
      <c r="AC744" s="62"/>
    </row>
    <row r="745">
      <c r="A745" s="61"/>
      <c r="B745" s="61"/>
      <c r="C745" s="62"/>
      <c r="D745" s="62"/>
      <c r="E745" s="62"/>
      <c r="F745" s="62"/>
      <c r="G745" s="62"/>
      <c r="H745" s="190"/>
      <c r="I745" s="62"/>
      <c r="J745" s="62"/>
      <c r="K745" s="62"/>
      <c r="L745" s="62"/>
      <c r="M745" s="62"/>
      <c r="N745" s="62"/>
      <c r="O745" s="62"/>
      <c r="P745" s="62"/>
      <c r="Q745" s="62"/>
      <c r="R745" s="62"/>
      <c r="S745" s="62"/>
      <c r="T745" s="62"/>
      <c r="U745" s="62"/>
      <c r="V745" s="62"/>
      <c r="W745" s="62"/>
      <c r="X745" s="62"/>
      <c r="Y745" s="62"/>
      <c r="Z745" s="62"/>
      <c r="AA745" s="62"/>
      <c r="AB745" s="62"/>
      <c r="AC745" s="62"/>
    </row>
    <row r="746">
      <c r="A746" s="61"/>
      <c r="B746" s="61"/>
      <c r="C746" s="62"/>
      <c r="D746" s="62"/>
      <c r="E746" s="62"/>
      <c r="F746" s="62"/>
      <c r="G746" s="62"/>
      <c r="H746" s="190"/>
      <c r="I746" s="62"/>
      <c r="J746" s="62"/>
      <c r="K746" s="62"/>
      <c r="L746" s="62"/>
      <c r="M746" s="62"/>
      <c r="N746" s="62"/>
      <c r="O746" s="62"/>
      <c r="P746" s="62"/>
      <c r="Q746" s="62"/>
      <c r="R746" s="62"/>
      <c r="S746" s="62"/>
      <c r="T746" s="62"/>
      <c r="U746" s="62"/>
      <c r="V746" s="62"/>
      <c r="W746" s="62"/>
      <c r="X746" s="62"/>
      <c r="Y746" s="62"/>
      <c r="Z746" s="62"/>
      <c r="AA746" s="62"/>
      <c r="AB746" s="62"/>
      <c r="AC746" s="62"/>
    </row>
    <row r="747">
      <c r="A747" s="61"/>
      <c r="B747" s="61"/>
      <c r="C747" s="62"/>
      <c r="D747" s="62"/>
      <c r="E747" s="62"/>
      <c r="F747" s="62"/>
      <c r="G747" s="62"/>
      <c r="H747" s="190"/>
      <c r="I747" s="62"/>
      <c r="J747" s="62"/>
      <c r="K747" s="62"/>
      <c r="L747" s="62"/>
      <c r="M747" s="62"/>
      <c r="N747" s="62"/>
      <c r="O747" s="62"/>
      <c r="P747" s="62"/>
      <c r="Q747" s="62"/>
      <c r="R747" s="62"/>
      <c r="S747" s="62"/>
      <c r="T747" s="62"/>
      <c r="U747" s="62"/>
      <c r="V747" s="62"/>
      <c r="W747" s="62"/>
      <c r="X747" s="62"/>
      <c r="Y747" s="62"/>
      <c r="Z747" s="62"/>
      <c r="AA747" s="62"/>
      <c r="AB747" s="62"/>
      <c r="AC747" s="62"/>
    </row>
    <row r="748">
      <c r="A748" s="61"/>
      <c r="B748" s="61"/>
      <c r="C748" s="62"/>
      <c r="D748" s="62"/>
      <c r="E748" s="62"/>
      <c r="F748" s="62"/>
      <c r="G748" s="62"/>
      <c r="H748" s="190"/>
      <c r="I748" s="62"/>
      <c r="J748" s="62"/>
      <c r="K748" s="62"/>
      <c r="L748" s="62"/>
      <c r="M748" s="62"/>
      <c r="N748" s="62"/>
      <c r="O748" s="62"/>
      <c r="P748" s="62"/>
      <c r="Q748" s="62"/>
      <c r="R748" s="62"/>
      <c r="S748" s="62"/>
      <c r="T748" s="62"/>
      <c r="U748" s="62"/>
      <c r="V748" s="62"/>
      <c r="W748" s="62"/>
      <c r="X748" s="62"/>
      <c r="Y748" s="62"/>
      <c r="Z748" s="62"/>
      <c r="AA748" s="62"/>
      <c r="AB748" s="62"/>
      <c r="AC748" s="62"/>
    </row>
    <row r="749">
      <c r="A749" s="61"/>
      <c r="B749" s="61"/>
      <c r="C749" s="62"/>
      <c r="D749" s="62"/>
      <c r="E749" s="62"/>
      <c r="F749" s="62"/>
      <c r="G749" s="62"/>
      <c r="H749" s="190"/>
      <c r="I749" s="62"/>
      <c r="J749" s="62"/>
      <c r="K749" s="62"/>
      <c r="L749" s="62"/>
      <c r="M749" s="62"/>
      <c r="N749" s="62"/>
      <c r="O749" s="62"/>
      <c r="P749" s="62"/>
      <c r="Q749" s="62"/>
      <c r="R749" s="62"/>
      <c r="S749" s="62"/>
      <c r="T749" s="62"/>
      <c r="U749" s="62"/>
      <c r="V749" s="62"/>
      <c r="W749" s="62"/>
      <c r="X749" s="62"/>
      <c r="Y749" s="62"/>
      <c r="Z749" s="62"/>
      <c r="AA749" s="62"/>
      <c r="AB749" s="62"/>
      <c r="AC749" s="62"/>
    </row>
    <row r="750">
      <c r="A750" s="61"/>
      <c r="B750" s="61"/>
      <c r="C750" s="62"/>
      <c r="D750" s="62"/>
      <c r="E750" s="62"/>
      <c r="F750" s="62"/>
      <c r="G750" s="62"/>
      <c r="H750" s="190"/>
      <c r="I750" s="62"/>
      <c r="J750" s="62"/>
      <c r="K750" s="62"/>
      <c r="L750" s="62"/>
      <c r="M750" s="62"/>
      <c r="N750" s="62"/>
      <c r="O750" s="62"/>
      <c r="P750" s="62"/>
      <c r="Q750" s="62"/>
      <c r="R750" s="62"/>
      <c r="S750" s="62"/>
      <c r="T750" s="62"/>
      <c r="U750" s="62"/>
      <c r="V750" s="62"/>
      <c r="W750" s="62"/>
      <c r="X750" s="62"/>
      <c r="Y750" s="62"/>
      <c r="Z750" s="62"/>
      <c r="AA750" s="62"/>
      <c r="AB750" s="62"/>
      <c r="AC750" s="62"/>
    </row>
    <row r="751">
      <c r="A751" s="61"/>
      <c r="B751" s="61"/>
      <c r="C751" s="62"/>
      <c r="D751" s="62"/>
      <c r="E751" s="62"/>
      <c r="F751" s="62"/>
      <c r="G751" s="62"/>
      <c r="H751" s="190"/>
      <c r="I751" s="62"/>
      <c r="J751" s="62"/>
      <c r="K751" s="62"/>
      <c r="L751" s="62"/>
      <c r="M751" s="62"/>
      <c r="N751" s="62"/>
      <c r="O751" s="62"/>
      <c r="P751" s="62"/>
      <c r="Q751" s="62"/>
      <c r="R751" s="62"/>
      <c r="S751" s="62"/>
      <c r="T751" s="62"/>
      <c r="U751" s="62"/>
      <c r="V751" s="62"/>
      <c r="W751" s="62"/>
      <c r="X751" s="62"/>
      <c r="Y751" s="62"/>
      <c r="Z751" s="62"/>
      <c r="AA751" s="62"/>
      <c r="AB751" s="62"/>
      <c r="AC751" s="62"/>
    </row>
    <row r="752">
      <c r="A752" s="61"/>
      <c r="B752" s="61"/>
      <c r="C752" s="62"/>
      <c r="D752" s="62"/>
      <c r="E752" s="62"/>
      <c r="F752" s="62"/>
      <c r="G752" s="62"/>
      <c r="H752" s="190"/>
      <c r="I752" s="62"/>
      <c r="J752" s="62"/>
      <c r="K752" s="62"/>
      <c r="L752" s="62"/>
      <c r="M752" s="62"/>
      <c r="N752" s="62"/>
      <c r="O752" s="62"/>
      <c r="P752" s="62"/>
      <c r="Q752" s="62"/>
      <c r="R752" s="62"/>
      <c r="S752" s="62"/>
      <c r="T752" s="62"/>
      <c r="U752" s="62"/>
      <c r="V752" s="62"/>
      <c r="W752" s="62"/>
      <c r="X752" s="62"/>
      <c r="Y752" s="62"/>
      <c r="Z752" s="62"/>
      <c r="AA752" s="62"/>
      <c r="AB752" s="62"/>
      <c r="AC752" s="62"/>
    </row>
    <row r="753">
      <c r="A753" s="61"/>
      <c r="B753" s="61"/>
      <c r="C753" s="62"/>
      <c r="D753" s="62"/>
      <c r="E753" s="62"/>
      <c r="F753" s="62"/>
      <c r="G753" s="62"/>
      <c r="H753" s="190"/>
      <c r="I753" s="62"/>
      <c r="J753" s="62"/>
      <c r="K753" s="62"/>
      <c r="L753" s="62"/>
      <c r="M753" s="62"/>
      <c r="N753" s="62"/>
      <c r="O753" s="62"/>
      <c r="P753" s="62"/>
      <c r="Q753" s="62"/>
      <c r="R753" s="62"/>
      <c r="S753" s="62"/>
      <c r="T753" s="62"/>
      <c r="U753" s="62"/>
      <c r="V753" s="62"/>
      <c r="W753" s="62"/>
      <c r="X753" s="62"/>
      <c r="Y753" s="62"/>
      <c r="Z753" s="62"/>
      <c r="AA753" s="62"/>
      <c r="AB753" s="62"/>
      <c r="AC753" s="62"/>
    </row>
    <row r="754">
      <c r="A754" s="61"/>
      <c r="B754" s="61"/>
      <c r="C754" s="62"/>
      <c r="D754" s="62"/>
      <c r="E754" s="62"/>
      <c r="F754" s="62"/>
      <c r="G754" s="62"/>
      <c r="H754" s="190"/>
      <c r="I754" s="62"/>
      <c r="J754" s="62"/>
      <c r="K754" s="62"/>
      <c r="L754" s="62"/>
      <c r="M754" s="62"/>
      <c r="N754" s="62"/>
      <c r="O754" s="62"/>
      <c r="P754" s="62"/>
      <c r="Q754" s="62"/>
      <c r="R754" s="62"/>
      <c r="S754" s="62"/>
      <c r="T754" s="62"/>
      <c r="U754" s="62"/>
      <c r="V754" s="62"/>
      <c r="W754" s="62"/>
      <c r="X754" s="62"/>
      <c r="Y754" s="62"/>
      <c r="Z754" s="62"/>
      <c r="AA754" s="62"/>
      <c r="AB754" s="62"/>
      <c r="AC754" s="62"/>
    </row>
    <row r="755">
      <c r="A755" s="61"/>
      <c r="B755" s="61"/>
      <c r="C755" s="62"/>
      <c r="D755" s="62"/>
      <c r="E755" s="62"/>
      <c r="F755" s="62"/>
      <c r="G755" s="62"/>
      <c r="H755" s="190"/>
      <c r="I755" s="62"/>
      <c r="J755" s="62"/>
      <c r="K755" s="62"/>
      <c r="L755" s="62"/>
      <c r="M755" s="62"/>
      <c r="N755" s="62"/>
      <c r="O755" s="62"/>
      <c r="P755" s="62"/>
      <c r="Q755" s="62"/>
      <c r="R755" s="62"/>
      <c r="S755" s="62"/>
      <c r="T755" s="62"/>
      <c r="U755" s="62"/>
      <c r="V755" s="62"/>
      <c r="W755" s="62"/>
      <c r="X755" s="62"/>
      <c r="Y755" s="62"/>
      <c r="Z755" s="62"/>
      <c r="AA755" s="62"/>
      <c r="AB755" s="62"/>
      <c r="AC755" s="62"/>
    </row>
    <row r="756">
      <c r="A756" s="61"/>
      <c r="B756" s="61"/>
      <c r="C756" s="62"/>
      <c r="D756" s="62"/>
      <c r="E756" s="62"/>
      <c r="F756" s="62"/>
      <c r="G756" s="62"/>
      <c r="H756" s="190"/>
      <c r="I756" s="62"/>
      <c r="J756" s="62"/>
      <c r="K756" s="62"/>
      <c r="L756" s="62"/>
      <c r="M756" s="62"/>
      <c r="N756" s="62"/>
      <c r="O756" s="62"/>
      <c r="P756" s="62"/>
      <c r="Q756" s="62"/>
      <c r="R756" s="62"/>
      <c r="S756" s="62"/>
      <c r="T756" s="62"/>
      <c r="U756" s="62"/>
      <c r="V756" s="62"/>
      <c r="W756" s="62"/>
      <c r="X756" s="62"/>
      <c r="Y756" s="62"/>
      <c r="Z756" s="62"/>
      <c r="AA756" s="62"/>
      <c r="AB756" s="62"/>
      <c r="AC756" s="62"/>
    </row>
    <row r="757">
      <c r="A757" s="61"/>
      <c r="B757" s="61"/>
      <c r="C757" s="62"/>
      <c r="D757" s="62"/>
      <c r="E757" s="62"/>
      <c r="F757" s="62"/>
      <c r="G757" s="62"/>
      <c r="H757" s="190"/>
      <c r="I757" s="62"/>
      <c r="J757" s="62"/>
      <c r="K757" s="62"/>
      <c r="L757" s="62"/>
      <c r="M757" s="62"/>
      <c r="N757" s="62"/>
      <c r="O757" s="62"/>
      <c r="P757" s="62"/>
      <c r="Q757" s="62"/>
      <c r="R757" s="62"/>
      <c r="S757" s="62"/>
      <c r="T757" s="62"/>
      <c r="U757" s="62"/>
      <c r="V757" s="62"/>
      <c r="W757" s="62"/>
      <c r="X757" s="62"/>
      <c r="Y757" s="62"/>
      <c r="Z757" s="62"/>
      <c r="AA757" s="62"/>
      <c r="AB757" s="62"/>
      <c r="AC757" s="62"/>
    </row>
    <row r="758">
      <c r="A758" s="61"/>
      <c r="B758" s="61"/>
      <c r="C758" s="62"/>
      <c r="D758" s="62"/>
      <c r="E758" s="62"/>
      <c r="F758" s="62"/>
      <c r="G758" s="62"/>
      <c r="H758" s="190"/>
      <c r="I758" s="62"/>
      <c r="J758" s="62"/>
      <c r="K758" s="62"/>
      <c r="L758" s="62"/>
      <c r="M758" s="62"/>
      <c r="N758" s="62"/>
      <c r="O758" s="62"/>
      <c r="P758" s="62"/>
      <c r="Q758" s="62"/>
      <c r="R758" s="62"/>
      <c r="S758" s="62"/>
      <c r="T758" s="62"/>
      <c r="U758" s="62"/>
      <c r="V758" s="62"/>
      <c r="W758" s="62"/>
      <c r="X758" s="62"/>
      <c r="Y758" s="62"/>
      <c r="Z758" s="62"/>
      <c r="AA758" s="62"/>
      <c r="AB758" s="62"/>
      <c r="AC758" s="62"/>
    </row>
    <row r="759">
      <c r="A759" s="61"/>
      <c r="B759" s="61"/>
      <c r="C759" s="62"/>
      <c r="D759" s="62"/>
      <c r="E759" s="62"/>
      <c r="F759" s="62"/>
      <c r="G759" s="62"/>
      <c r="H759" s="190"/>
      <c r="I759" s="62"/>
      <c r="J759" s="62"/>
      <c r="K759" s="62"/>
      <c r="L759" s="62"/>
      <c r="M759" s="62"/>
      <c r="N759" s="62"/>
      <c r="O759" s="62"/>
      <c r="P759" s="62"/>
      <c r="Q759" s="62"/>
      <c r="R759" s="62"/>
      <c r="S759" s="62"/>
      <c r="T759" s="62"/>
      <c r="U759" s="62"/>
      <c r="V759" s="62"/>
      <c r="W759" s="62"/>
      <c r="X759" s="62"/>
      <c r="Y759" s="62"/>
      <c r="Z759" s="62"/>
      <c r="AA759" s="62"/>
      <c r="AB759" s="62"/>
      <c r="AC759" s="62"/>
    </row>
    <row r="760">
      <c r="A760" s="61"/>
      <c r="B760" s="61"/>
      <c r="C760" s="62"/>
      <c r="D760" s="62"/>
      <c r="E760" s="62"/>
      <c r="F760" s="62"/>
      <c r="G760" s="62"/>
      <c r="H760" s="190"/>
      <c r="I760" s="62"/>
      <c r="J760" s="62"/>
      <c r="K760" s="62"/>
      <c r="L760" s="62"/>
      <c r="M760" s="62"/>
      <c r="N760" s="62"/>
      <c r="O760" s="62"/>
      <c r="P760" s="62"/>
      <c r="Q760" s="62"/>
      <c r="R760" s="62"/>
      <c r="S760" s="62"/>
      <c r="T760" s="62"/>
      <c r="U760" s="62"/>
      <c r="V760" s="62"/>
      <c r="W760" s="62"/>
      <c r="X760" s="62"/>
      <c r="Y760" s="62"/>
      <c r="Z760" s="62"/>
      <c r="AA760" s="62"/>
      <c r="AB760" s="62"/>
      <c r="AC760" s="62"/>
    </row>
    <row r="761">
      <c r="A761" s="61"/>
      <c r="B761" s="61"/>
      <c r="C761" s="62"/>
      <c r="D761" s="62"/>
      <c r="E761" s="62"/>
      <c r="F761" s="62"/>
      <c r="G761" s="62"/>
      <c r="H761" s="190"/>
      <c r="I761" s="62"/>
      <c r="J761" s="62"/>
      <c r="K761" s="62"/>
      <c r="L761" s="62"/>
      <c r="M761" s="62"/>
      <c r="N761" s="62"/>
      <c r="O761" s="62"/>
      <c r="P761" s="62"/>
      <c r="Q761" s="62"/>
      <c r="R761" s="62"/>
      <c r="S761" s="62"/>
      <c r="T761" s="62"/>
      <c r="U761" s="62"/>
      <c r="V761" s="62"/>
      <c r="W761" s="62"/>
      <c r="X761" s="62"/>
      <c r="Y761" s="62"/>
      <c r="Z761" s="62"/>
      <c r="AA761" s="62"/>
      <c r="AB761" s="62"/>
      <c r="AC761" s="62"/>
    </row>
    <row r="762">
      <c r="A762" s="61"/>
      <c r="B762" s="61"/>
      <c r="C762" s="62"/>
      <c r="D762" s="62"/>
      <c r="E762" s="62"/>
      <c r="F762" s="62"/>
      <c r="G762" s="62"/>
      <c r="H762" s="190"/>
      <c r="I762" s="62"/>
      <c r="J762" s="62"/>
      <c r="K762" s="62"/>
      <c r="L762" s="62"/>
      <c r="M762" s="62"/>
      <c r="N762" s="62"/>
      <c r="O762" s="62"/>
      <c r="P762" s="62"/>
      <c r="Q762" s="62"/>
      <c r="R762" s="62"/>
      <c r="S762" s="62"/>
      <c r="T762" s="62"/>
      <c r="U762" s="62"/>
      <c r="V762" s="62"/>
      <c r="W762" s="62"/>
      <c r="X762" s="62"/>
      <c r="Y762" s="62"/>
      <c r="Z762" s="62"/>
      <c r="AA762" s="62"/>
      <c r="AB762" s="62"/>
      <c r="AC762" s="62"/>
    </row>
    <row r="763">
      <c r="A763" s="61"/>
      <c r="B763" s="61"/>
      <c r="C763" s="62"/>
      <c r="D763" s="62"/>
      <c r="E763" s="62"/>
      <c r="F763" s="62"/>
      <c r="G763" s="62"/>
      <c r="H763" s="190"/>
      <c r="I763" s="62"/>
      <c r="J763" s="62"/>
      <c r="K763" s="62"/>
      <c r="L763" s="62"/>
      <c r="M763" s="62"/>
      <c r="N763" s="62"/>
      <c r="O763" s="62"/>
      <c r="P763" s="62"/>
      <c r="Q763" s="62"/>
      <c r="R763" s="62"/>
      <c r="S763" s="62"/>
      <c r="T763" s="62"/>
      <c r="U763" s="62"/>
      <c r="V763" s="62"/>
      <c r="W763" s="62"/>
      <c r="X763" s="62"/>
      <c r="Y763" s="62"/>
      <c r="Z763" s="62"/>
      <c r="AA763" s="62"/>
      <c r="AB763" s="62"/>
      <c r="AC763" s="62"/>
    </row>
    <row r="764">
      <c r="A764" s="61"/>
      <c r="B764" s="61"/>
      <c r="C764" s="62"/>
      <c r="D764" s="62"/>
      <c r="E764" s="62"/>
      <c r="F764" s="62"/>
      <c r="G764" s="62"/>
      <c r="H764" s="190"/>
      <c r="I764" s="62"/>
      <c r="J764" s="62"/>
      <c r="K764" s="62"/>
      <c r="L764" s="62"/>
      <c r="M764" s="62"/>
      <c r="N764" s="62"/>
      <c r="O764" s="62"/>
      <c r="P764" s="62"/>
      <c r="Q764" s="62"/>
      <c r="R764" s="62"/>
      <c r="S764" s="62"/>
      <c r="T764" s="62"/>
      <c r="U764" s="62"/>
      <c r="V764" s="62"/>
      <c r="W764" s="62"/>
      <c r="X764" s="62"/>
      <c r="Y764" s="62"/>
      <c r="Z764" s="62"/>
      <c r="AA764" s="62"/>
      <c r="AB764" s="62"/>
      <c r="AC764" s="62"/>
    </row>
    <row r="765">
      <c r="A765" s="61"/>
      <c r="B765" s="61"/>
      <c r="C765" s="62"/>
      <c r="D765" s="62"/>
      <c r="E765" s="62"/>
      <c r="F765" s="62"/>
      <c r="G765" s="62"/>
      <c r="H765" s="190"/>
      <c r="I765" s="62"/>
      <c r="J765" s="62"/>
      <c r="K765" s="62"/>
      <c r="L765" s="62"/>
      <c r="M765" s="62"/>
      <c r="N765" s="62"/>
      <c r="O765" s="62"/>
      <c r="P765" s="62"/>
      <c r="Q765" s="62"/>
      <c r="R765" s="62"/>
      <c r="S765" s="62"/>
      <c r="T765" s="62"/>
      <c r="U765" s="62"/>
      <c r="V765" s="62"/>
      <c r="W765" s="62"/>
      <c r="X765" s="62"/>
      <c r="Y765" s="62"/>
      <c r="Z765" s="62"/>
      <c r="AA765" s="62"/>
      <c r="AB765" s="62"/>
      <c r="AC765" s="62"/>
    </row>
    <row r="766">
      <c r="A766" s="61"/>
      <c r="B766" s="61"/>
      <c r="C766" s="62"/>
      <c r="D766" s="62"/>
      <c r="E766" s="62"/>
      <c r="F766" s="62"/>
      <c r="G766" s="62"/>
      <c r="H766" s="190"/>
      <c r="I766" s="62"/>
      <c r="J766" s="62"/>
      <c r="K766" s="62"/>
      <c r="L766" s="62"/>
      <c r="M766" s="62"/>
      <c r="N766" s="62"/>
      <c r="O766" s="62"/>
      <c r="P766" s="62"/>
      <c r="Q766" s="62"/>
      <c r="R766" s="62"/>
      <c r="S766" s="62"/>
      <c r="T766" s="62"/>
      <c r="U766" s="62"/>
      <c r="V766" s="62"/>
      <c r="W766" s="62"/>
      <c r="X766" s="62"/>
      <c r="Y766" s="62"/>
      <c r="Z766" s="62"/>
      <c r="AA766" s="62"/>
      <c r="AB766" s="62"/>
      <c r="AC766" s="62"/>
    </row>
    <row r="767">
      <c r="A767" s="61"/>
      <c r="B767" s="61"/>
      <c r="C767" s="62"/>
      <c r="D767" s="62"/>
      <c r="E767" s="62"/>
      <c r="F767" s="62"/>
      <c r="G767" s="62"/>
      <c r="H767" s="190"/>
      <c r="I767" s="62"/>
      <c r="J767" s="62"/>
      <c r="K767" s="62"/>
      <c r="L767" s="62"/>
      <c r="M767" s="62"/>
      <c r="N767" s="62"/>
      <c r="O767" s="62"/>
      <c r="P767" s="62"/>
      <c r="Q767" s="62"/>
      <c r="R767" s="62"/>
      <c r="S767" s="62"/>
      <c r="T767" s="62"/>
      <c r="U767" s="62"/>
      <c r="V767" s="62"/>
      <c r="W767" s="62"/>
      <c r="X767" s="62"/>
      <c r="Y767" s="62"/>
      <c r="Z767" s="62"/>
      <c r="AA767" s="62"/>
      <c r="AB767" s="62"/>
      <c r="AC767" s="62"/>
    </row>
    <row r="768">
      <c r="A768" s="61"/>
      <c r="B768" s="61"/>
      <c r="C768" s="62"/>
      <c r="D768" s="62"/>
      <c r="E768" s="62"/>
      <c r="F768" s="62"/>
      <c r="G768" s="62"/>
      <c r="H768" s="190"/>
      <c r="I768" s="62"/>
      <c r="J768" s="62"/>
      <c r="K768" s="62"/>
      <c r="L768" s="62"/>
      <c r="M768" s="62"/>
      <c r="N768" s="62"/>
      <c r="O768" s="62"/>
      <c r="P768" s="62"/>
      <c r="Q768" s="62"/>
      <c r="R768" s="62"/>
      <c r="S768" s="62"/>
      <c r="T768" s="62"/>
      <c r="U768" s="62"/>
      <c r="V768" s="62"/>
      <c r="W768" s="62"/>
      <c r="X768" s="62"/>
      <c r="Y768" s="62"/>
      <c r="Z768" s="62"/>
      <c r="AA768" s="62"/>
      <c r="AB768" s="62"/>
      <c r="AC768" s="62"/>
    </row>
    <row r="769">
      <c r="A769" s="61"/>
      <c r="B769" s="61"/>
      <c r="C769" s="62"/>
      <c r="D769" s="62"/>
      <c r="E769" s="62"/>
      <c r="F769" s="62"/>
      <c r="G769" s="62"/>
      <c r="H769" s="190"/>
      <c r="I769" s="62"/>
      <c r="J769" s="62"/>
      <c r="K769" s="62"/>
      <c r="L769" s="62"/>
      <c r="M769" s="62"/>
      <c r="N769" s="62"/>
      <c r="O769" s="62"/>
      <c r="P769" s="62"/>
      <c r="Q769" s="62"/>
      <c r="R769" s="62"/>
      <c r="S769" s="62"/>
      <c r="T769" s="62"/>
      <c r="U769" s="62"/>
      <c r="V769" s="62"/>
      <c r="W769" s="62"/>
      <c r="X769" s="62"/>
      <c r="Y769" s="62"/>
      <c r="Z769" s="62"/>
      <c r="AA769" s="62"/>
      <c r="AB769" s="62"/>
      <c r="AC769" s="62"/>
    </row>
    <row r="770">
      <c r="A770" s="61"/>
      <c r="B770" s="61"/>
      <c r="C770" s="62"/>
      <c r="D770" s="62"/>
      <c r="E770" s="62"/>
      <c r="F770" s="62"/>
      <c r="G770" s="62"/>
      <c r="H770" s="190"/>
      <c r="I770" s="62"/>
      <c r="J770" s="62"/>
      <c r="K770" s="62"/>
      <c r="L770" s="62"/>
      <c r="M770" s="62"/>
      <c r="N770" s="62"/>
      <c r="O770" s="62"/>
      <c r="P770" s="62"/>
      <c r="Q770" s="62"/>
      <c r="R770" s="62"/>
      <c r="S770" s="62"/>
      <c r="T770" s="62"/>
      <c r="U770" s="62"/>
      <c r="V770" s="62"/>
      <c r="W770" s="62"/>
      <c r="X770" s="62"/>
      <c r="Y770" s="62"/>
      <c r="Z770" s="62"/>
      <c r="AA770" s="62"/>
      <c r="AB770" s="62"/>
      <c r="AC770" s="62"/>
    </row>
    <row r="771">
      <c r="A771" s="61"/>
      <c r="B771" s="61"/>
      <c r="C771" s="62"/>
      <c r="D771" s="62"/>
      <c r="E771" s="62"/>
      <c r="F771" s="62"/>
      <c r="G771" s="62"/>
      <c r="H771" s="190"/>
      <c r="I771" s="62"/>
      <c r="J771" s="62"/>
      <c r="K771" s="62"/>
      <c r="L771" s="62"/>
      <c r="M771" s="62"/>
      <c r="N771" s="62"/>
      <c r="O771" s="62"/>
      <c r="P771" s="62"/>
      <c r="Q771" s="62"/>
      <c r="R771" s="62"/>
      <c r="S771" s="62"/>
      <c r="T771" s="62"/>
      <c r="U771" s="62"/>
      <c r="V771" s="62"/>
      <c r="W771" s="62"/>
      <c r="X771" s="62"/>
      <c r="Y771" s="62"/>
      <c r="Z771" s="62"/>
      <c r="AA771" s="62"/>
      <c r="AB771" s="62"/>
      <c r="AC771" s="62"/>
    </row>
    <row r="772">
      <c r="A772" s="61"/>
      <c r="B772" s="61"/>
      <c r="C772" s="62"/>
      <c r="D772" s="62"/>
      <c r="E772" s="62"/>
      <c r="F772" s="62"/>
      <c r="G772" s="62"/>
      <c r="H772" s="190"/>
      <c r="I772" s="62"/>
      <c r="J772" s="62"/>
      <c r="K772" s="62"/>
      <c r="L772" s="62"/>
      <c r="M772" s="62"/>
      <c r="N772" s="62"/>
      <c r="O772" s="62"/>
      <c r="P772" s="62"/>
      <c r="Q772" s="62"/>
      <c r="R772" s="62"/>
      <c r="S772" s="62"/>
      <c r="T772" s="62"/>
      <c r="U772" s="62"/>
      <c r="V772" s="62"/>
      <c r="W772" s="62"/>
      <c r="X772" s="62"/>
      <c r="Y772" s="62"/>
      <c r="Z772" s="62"/>
      <c r="AA772" s="62"/>
      <c r="AB772" s="62"/>
      <c r="AC772" s="62"/>
    </row>
    <row r="773">
      <c r="A773" s="61"/>
      <c r="B773" s="61"/>
      <c r="C773" s="62"/>
      <c r="D773" s="62"/>
      <c r="E773" s="62"/>
      <c r="F773" s="62"/>
      <c r="G773" s="62"/>
      <c r="H773" s="190"/>
      <c r="I773" s="62"/>
      <c r="J773" s="62"/>
      <c r="K773" s="62"/>
      <c r="L773" s="62"/>
      <c r="M773" s="62"/>
      <c r="N773" s="62"/>
      <c r="O773" s="62"/>
      <c r="P773" s="62"/>
      <c r="Q773" s="62"/>
      <c r="R773" s="62"/>
      <c r="S773" s="62"/>
      <c r="T773" s="62"/>
      <c r="U773" s="62"/>
      <c r="V773" s="62"/>
      <c r="W773" s="62"/>
      <c r="X773" s="62"/>
      <c r="Y773" s="62"/>
      <c r="Z773" s="62"/>
      <c r="AA773" s="62"/>
      <c r="AB773" s="62"/>
      <c r="AC773" s="62"/>
    </row>
    <row r="774">
      <c r="A774" s="61"/>
      <c r="B774" s="61"/>
      <c r="C774" s="62"/>
      <c r="D774" s="62"/>
      <c r="E774" s="62"/>
      <c r="F774" s="62"/>
      <c r="G774" s="62"/>
      <c r="H774" s="190"/>
      <c r="I774" s="62"/>
      <c r="J774" s="62"/>
      <c r="K774" s="62"/>
      <c r="L774" s="62"/>
      <c r="M774" s="62"/>
      <c r="N774" s="62"/>
      <c r="O774" s="62"/>
      <c r="P774" s="62"/>
      <c r="Q774" s="62"/>
      <c r="R774" s="62"/>
      <c r="S774" s="62"/>
      <c r="T774" s="62"/>
      <c r="U774" s="62"/>
      <c r="V774" s="62"/>
      <c r="W774" s="62"/>
      <c r="X774" s="62"/>
      <c r="Y774" s="62"/>
      <c r="Z774" s="62"/>
      <c r="AA774" s="62"/>
      <c r="AB774" s="62"/>
      <c r="AC774" s="62"/>
    </row>
    <row r="775">
      <c r="A775" s="61"/>
      <c r="B775" s="61"/>
      <c r="C775" s="62"/>
      <c r="D775" s="62"/>
      <c r="E775" s="62"/>
      <c r="F775" s="62"/>
      <c r="G775" s="62"/>
      <c r="H775" s="190"/>
      <c r="I775" s="62"/>
      <c r="J775" s="62"/>
      <c r="K775" s="62"/>
      <c r="L775" s="62"/>
      <c r="M775" s="62"/>
      <c r="N775" s="62"/>
      <c r="O775" s="62"/>
      <c r="P775" s="62"/>
      <c r="Q775" s="62"/>
      <c r="R775" s="62"/>
      <c r="S775" s="62"/>
      <c r="T775" s="62"/>
      <c r="U775" s="62"/>
      <c r="V775" s="62"/>
      <c r="W775" s="62"/>
      <c r="X775" s="62"/>
      <c r="Y775" s="62"/>
      <c r="Z775" s="62"/>
      <c r="AA775" s="62"/>
      <c r="AB775" s="62"/>
      <c r="AC775" s="62"/>
    </row>
    <row r="776">
      <c r="A776" s="61"/>
      <c r="B776" s="61"/>
      <c r="C776" s="62"/>
      <c r="D776" s="62"/>
      <c r="E776" s="62"/>
      <c r="F776" s="62"/>
      <c r="G776" s="62"/>
      <c r="H776" s="190"/>
      <c r="I776" s="62"/>
      <c r="J776" s="62"/>
      <c r="K776" s="62"/>
      <c r="L776" s="62"/>
      <c r="M776" s="62"/>
      <c r="N776" s="62"/>
      <c r="O776" s="62"/>
      <c r="P776" s="62"/>
      <c r="Q776" s="62"/>
      <c r="R776" s="62"/>
      <c r="S776" s="62"/>
      <c r="T776" s="62"/>
      <c r="U776" s="62"/>
      <c r="V776" s="62"/>
      <c r="W776" s="62"/>
      <c r="X776" s="62"/>
      <c r="Y776" s="62"/>
      <c r="Z776" s="62"/>
      <c r="AA776" s="62"/>
      <c r="AB776" s="62"/>
      <c r="AC776" s="62"/>
    </row>
    <row r="777">
      <c r="A777" s="61"/>
      <c r="B777" s="61"/>
      <c r="C777" s="62"/>
      <c r="D777" s="62"/>
      <c r="E777" s="62"/>
      <c r="F777" s="62"/>
      <c r="G777" s="62"/>
      <c r="H777" s="190"/>
      <c r="I777" s="62"/>
      <c r="J777" s="62"/>
      <c r="K777" s="62"/>
      <c r="L777" s="62"/>
      <c r="M777" s="62"/>
      <c r="N777" s="62"/>
      <c r="O777" s="62"/>
      <c r="P777" s="62"/>
      <c r="Q777" s="62"/>
      <c r="R777" s="62"/>
      <c r="S777" s="62"/>
      <c r="T777" s="62"/>
      <c r="U777" s="62"/>
      <c r="V777" s="62"/>
      <c r="W777" s="62"/>
      <c r="X777" s="62"/>
      <c r="Y777" s="62"/>
      <c r="Z777" s="62"/>
      <c r="AA777" s="62"/>
      <c r="AB777" s="62"/>
      <c r="AC777" s="62"/>
    </row>
    <row r="778">
      <c r="A778" s="61"/>
      <c r="B778" s="61"/>
      <c r="C778" s="62"/>
      <c r="D778" s="62"/>
      <c r="E778" s="62"/>
      <c r="F778" s="62"/>
      <c r="G778" s="62"/>
      <c r="H778" s="190"/>
      <c r="I778" s="62"/>
      <c r="J778" s="62"/>
      <c r="K778" s="62"/>
      <c r="L778" s="62"/>
      <c r="M778" s="62"/>
      <c r="N778" s="62"/>
      <c r="O778" s="62"/>
      <c r="P778" s="62"/>
      <c r="Q778" s="62"/>
      <c r="R778" s="62"/>
      <c r="S778" s="62"/>
      <c r="T778" s="62"/>
      <c r="U778" s="62"/>
      <c r="V778" s="62"/>
      <c r="W778" s="62"/>
      <c r="X778" s="62"/>
      <c r="Y778" s="62"/>
      <c r="Z778" s="62"/>
      <c r="AA778" s="62"/>
      <c r="AB778" s="62"/>
      <c r="AC778" s="62"/>
    </row>
    <row r="779">
      <c r="A779" s="61"/>
      <c r="B779" s="61"/>
      <c r="C779" s="62"/>
      <c r="D779" s="62"/>
      <c r="E779" s="62"/>
      <c r="F779" s="62"/>
      <c r="G779" s="62"/>
      <c r="H779" s="190"/>
      <c r="I779" s="62"/>
      <c r="J779" s="62"/>
      <c r="K779" s="62"/>
      <c r="L779" s="62"/>
      <c r="M779" s="62"/>
      <c r="N779" s="62"/>
      <c r="O779" s="62"/>
      <c r="P779" s="62"/>
      <c r="Q779" s="62"/>
      <c r="R779" s="62"/>
      <c r="S779" s="62"/>
      <c r="T779" s="62"/>
      <c r="U779" s="62"/>
      <c r="V779" s="62"/>
      <c r="W779" s="62"/>
      <c r="X779" s="62"/>
      <c r="Y779" s="62"/>
      <c r="Z779" s="62"/>
      <c r="AA779" s="62"/>
      <c r="AB779" s="62"/>
      <c r="AC779" s="62"/>
    </row>
    <row r="780">
      <c r="A780" s="61"/>
      <c r="B780" s="61"/>
      <c r="C780" s="62"/>
      <c r="D780" s="62"/>
      <c r="E780" s="62"/>
      <c r="F780" s="62"/>
      <c r="G780" s="62"/>
      <c r="H780" s="190"/>
      <c r="I780" s="62"/>
      <c r="J780" s="62"/>
      <c r="K780" s="62"/>
      <c r="L780" s="62"/>
      <c r="M780" s="62"/>
      <c r="N780" s="62"/>
      <c r="O780" s="62"/>
      <c r="P780" s="62"/>
      <c r="Q780" s="62"/>
      <c r="R780" s="62"/>
      <c r="S780" s="62"/>
      <c r="T780" s="62"/>
      <c r="U780" s="62"/>
      <c r="V780" s="62"/>
      <c r="W780" s="62"/>
      <c r="X780" s="62"/>
      <c r="Y780" s="62"/>
      <c r="Z780" s="62"/>
      <c r="AA780" s="62"/>
      <c r="AB780" s="62"/>
      <c r="AC780" s="62"/>
    </row>
    <row r="781">
      <c r="A781" s="61"/>
      <c r="B781" s="61"/>
      <c r="C781" s="62"/>
      <c r="D781" s="62"/>
      <c r="E781" s="62"/>
      <c r="F781" s="62"/>
      <c r="G781" s="62"/>
      <c r="H781" s="190"/>
      <c r="I781" s="62"/>
      <c r="J781" s="62"/>
      <c r="K781" s="62"/>
      <c r="L781" s="62"/>
      <c r="M781" s="62"/>
      <c r="N781" s="62"/>
      <c r="O781" s="62"/>
      <c r="P781" s="62"/>
      <c r="Q781" s="62"/>
      <c r="R781" s="62"/>
      <c r="S781" s="62"/>
      <c r="T781" s="62"/>
      <c r="U781" s="62"/>
      <c r="V781" s="62"/>
      <c r="W781" s="62"/>
      <c r="X781" s="62"/>
      <c r="Y781" s="62"/>
      <c r="Z781" s="62"/>
      <c r="AA781" s="62"/>
      <c r="AB781" s="62"/>
      <c r="AC781" s="62"/>
    </row>
    <row r="782">
      <c r="A782" s="61"/>
      <c r="B782" s="61"/>
      <c r="C782" s="62"/>
      <c r="D782" s="62"/>
      <c r="E782" s="62"/>
      <c r="F782" s="62"/>
      <c r="G782" s="62"/>
      <c r="H782" s="190"/>
      <c r="I782" s="62"/>
      <c r="J782" s="62"/>
      <c r="K782" s="62"/>
      <c r="L782" s="62"/>
      <c r="M782" s="62"/>
      <c r="N782" s="62"/>
      <c r="O782" s="62"/>
      <c r="P782" s="62"/>
      <c r="Q782" s="62"/>
      <c r="R782" s="62"/>
      <c r="S782" s="62"/>
      <c r="T782" s="62"/>
      <c r="U782" s="62"/>
      <c r="V782" s="62"/>
      <c r="W782" s="62"/>
      <c r="X782" s="62"/>
      <c r="Y782" s="62"/>
      <c r="Z782" s="62"/>
      <c r="AA782" s="62"/>
      <c r="AB782" s="62"/>
      <c r="AC782" s="62"/>
    </row>
    <row r="783">
      <c r="A783" s="61"/>
      <c r="B783" s="61"/>
      <c r="C783" s="62"/>
      <c r="D783" s="62"/>
      <c r="E783" s="62"/>
      <c r="F783" s="62"/>
      <c r="G783" s="62"/>
      <c r="H783" s="190"/>
      <c r="I783" s="62"/>
      <c r="J783" s="62"/>
      <c r="K783" s="62"/>
      <c r="L783" s="62"/>
      <c r="M783" s="62"/>
      <c r="N783" s="62"/>
      <c r="O783" s="62"/>
      <c r="P783" s="62"/>
      <c r="Q783" s="62"/>
      <c r="R783" s="62"/>
      <c r="S783" s="62"/>
      <c r="T783" s="62"/>
      <c r="U783" s="62"/>
      <c r="V783" s="62"/>
      <c r="W783" s="62"/>
      <c r="X783" s="62"/>
      <c r="Y783" s="62"/>
      <c r="Z783" s="62"/>
      <c r="AA783" s="62"/>
      <c r="AB783" s="62"/>
      <c r="AC783" s="62"/>
    </row>
    <row r="784">
      <c r="A784" s="61"/>
      <c r="B784" s="61"/>
      <c r="C784" s="62"/>
      <c r="D784" s="62"/>
      <c r="E784" s="62"/>
      <c r="F784" s="62"/>
      <c r="G784" s="62"/>
      <c r="H784" s="190"/>
      <c r="I784" s="62"/>
      <c r="J784" s="62"/>
      <c r="K784" s="62"/>
      <c r="L784" s="62"/>
      <c r="M784" s="62"/>
      <c r="N784" s="62"/>
      <c r="O784" s="62"/>
      <c r="P784" s="62"/>
      <c r="Q784" s="62"/>
      <c r="R784" s="62"/>
      <c r="S784" s="62"/>
      <c r="T784" s="62"/>
      <c r="U784" s="62"/>
      <c r="V784" s="62"/>
      <c r="W784" s="62"/>
      <c r="X784" s="62"/>
      <c r="Y784" s="62"/>
      <c r="Z784" s="62"/>
      <c r="AA784" s="62"/>
      <c r="AB784" s="62"/>
      <c r="AC784" s="62"/>
    </row>
    <row r="785">
      <c r="A785" s="61"/>
      <c r="B785" s="61"/>
      <c r="C785" s="62"/>
      <c r="D785" s="62"/>
      <c r="E785" s="62"/>
      <c r="F785" s="62"/>
      <c r="G785" s="62"/>
      <c r="H785" s="190"/>
      <c r="I785" s="62"/>
      <c r="J785" s="62"/>
      <c r="K785" s="62"/>
      <c r="L785" s="62"/>
      <c r="M785" s="62"/>
      <c r="N785" s="62"/>
      <c r="O785" s="62"/>
      <c r="P785" s="62"/>
      <c r="Q785" s="62"/>
      <c r="R785" s="62"/>
      <c r="S785" s="62"/>
      <c r="T785" s="62"/>
      <c r="U785" s="62"/>
      <c r="V785" s="62"/>
      <c r="W785" s="62"/>
      <c r="X785" s="62"/>
      <c r="Y785" s="62"/>
      <c r="Z785" s="62"/>
      <c r="AA785" s="62"/>
      <c r="AB785" s="62"/>
      <c r="AC785" s="62"/>
    </row>
    <row r="786">
      <c r="A786" s="61"/>
      <c r="B786" s="61"/>
      <c r="C786" s="62"/>
      <c r="D786" s="62"/>
      <c r="E786" s="62"/>
      <c r="F786" s="62"/>
      <c r="G786" s="62"/>
      <c r="H786" s="190"/>
      <c r="I786" s="62"/>
      <c r="J786" s="62"/>
      <c r="K786" s="62"/>
      <c r="L786" s="62"/>
      <c r="M786" s="62"/>
      <c r="N786" s="62"/>
      <c r="O786" s="62"/>
      <c r="P786" s="62"/>
      <c r="Q786" s="62"/>
      <c r="R786" s="62"/>
      <c r="S786" s="62"/>
      <c r="T786" s="62"/>
      <c r="U786" s="62"/>
      <c r="V786" s="62"/>
      <c r="W786" s="62"/>
      <c r="X786" s="62"/>
      <c r="Y786" s="62"/>
      <c r="Z786" s="62"/>
      <c r="AA786" s="62"/>
      <c r="AB786" s="62"/>
      <c r="AC786" s="62"/>
    </row>
    <row r="787">
      <c r="A787" s="61"/>
      <c r="B787" s="61"/>
      <c r="C787" s="62"/>
      <c r="D787" s="62"/>
      <c r="E787" s="62"/>
      <c r="F787" s="62"/>
      <c r="G787" s="62"/>
      <c r="H787" s="190"/>
      <c r="I787" s="62"/>
      <c r="J787" s="62"/>
      <c r="K787" s="62"/>
      <c r="L787" s="62"/>
      <c r="M787" s="62"/>
      <c r="N787" s="62"/>
      <c r="O787" s="62"/>
      <c r="P787" s="62"/>
      <c r="Q787" s="62"/>
      <c r="R787" s="62"/>
      <c r="S787" s="62"/>
      <c r="T787" s="62"/>
      <c r="U787" s="62"/>
      <c r="V787" s="62"/>
      <c r="W787" s="62"/>
      <c r="X787" s="62"/>
      <c r="Y787" s="62"/>
      <c r="Z787" s="62"/>
      <c r="AA787" s="62"/>
      <c r="AB787" s="62"/>
      <c r="AC787" s="62"/>
    </row>
    <row r="788">
      <c r="A788" s="61"/>
      <c r="B788" s="61"/>
      <c r="C788" s="62"/>
      <c r="D788" s="62"/>
      <c r="E788" s="62"/>
      <c r="F788" s="62"/>
      <c r="G788" s="62"/>
      <c r="H788" s="190"/>
      <c r="I788" s="62"/>
      <c r="J788" s="62"/>
      <c r="K788" s="62"/>
      <c r="L788" s="62"/>
      <c r="M788" s="62"/>
      <c r="N788" s="62"/>
      <c r="O788" s="62"/>
      <c r="P788" s="62"/>
      <c r="Q788" s="62"/>
      <c r="R788" s="62"/>
      <c r="S788" s="62"/>
      <c r="T788" s="62"/>
      <c r="U788" s="62"/>
      <c r="V788" s="62"/>
      <c r="W788" s="62"/>
      <c r="X788" s="62"/>
      <c r="Y788" s="62"/>
      <c r="Z788" s="62"/>
      <c r="AA788" s="62"/>
      <c r="AB788" s="62"/>
      <c r="AC788" s="62"/>
    </row>
    <row r="789">
      <c r="A789" s="61"/>
      <c r="B789" s="61"/>
      <c r="C789" s="62"/>
      <c r="D789" s="62"/>
      <c r="E789" s="62"/>
      <c r="F789" s="62"/>
      <c r="G789" s="62"/>
      <c r="H789" s="190"/>
      <c r="I789" s="62"/>
      <c r="J789" s="62"/>
      <c r="K789" s="62"/>
      <c r="L789" s="62"/>
      <c r="M789" s="62"/>
      <c r="N789" s="62"/>
      <c r="O789" s="62"/>
      <c r="P789" s="62"/>
      <c r="Q789" s="62"/>
      <c r="R789" s="62"/>
      <c r="S789" s="62"/>
      <c r="T789" s="62"/>
      <c r="U789" s="62"/>
      <c r="V789" s="62"/>
      <c r="W789" s="62"/>
      <c r="X789" s="62"/>
      <c r="Y789" s="62"/>
      <c r="Z789" s="62"/>
      <c r="AA789" s="62"/>
      <c r="AB789" s="62"/>
      <c r="AC789" s="62"/>
    </row>
    <row r="790">
      <c r="A790" s="61"/>
      <c r="B790" s="61"/>
      <c r="C790" s="62"/>
      <c r="D790" s="62"/>
      <c r="E790" s="62"/>
      <c r="F790" s="62"/>
      <c r="G790" s="62"/>
      <c r="H790" s="190"/>
      <c r="I790" s="62"/>
      <c r="J790" s="62"/>
      <c r="K790" s="62"/>
      <c r="L790" s="62"/>
      <c r="M790" s="62"/>
      <c r="N790" s="62"/>
      <c r="O790" s="62"/>
      <c r="P790" s="62"/>
      <c r="Q790" s="62"/>
      <c r="R790" s="62"/>
      <c r="S790" s="62"/>
      <c r="T790" s="62"/>
      <c r="U790" s="62"/>
      <c r="V790" s="62"/>
      <c r="W790" s="62"/>
      <c r="X790" s="62"/>
      <c r="Y790" s="62"/>
      <c r="Z790" s="62"/>
      <c r="AA790" s="62"/>
      <c r="AB790" s="62"/>
      <c r="AC790" s="62"/>
    </row>
    <row r="791">
      <c r="A791" s="61"/>
      <c r="B791" s="61"/>
      <c r="C791" s="62"/>
      <c r="D791" s="62"/>
      <c r="E791" s="62"/>
      <c r="F791" s="62"/>
      <c r="G791" s="62"/>
      <c r="H791" s="190"/>
      <c r="I791" s="62"/>
      <c r="J791" s="62"/>
      <c r="K791" s="62"/>
      <c r="L791" s="62"/>
      <c r="M791" s="62"/>
      <c r="N791" s="62"/>
      <c r="O791" s="62"/>
      <c r="P791" s="62"/>
      <c r="Q791" s="62"/>
      <c r="R791" s="62"/>
      <c r="S791" s="62"/>
      <c r="T791" s="62"/>
      <c r="U791" s="62"/>
      <c r="V791" s="62"/>
      <c r="W791" s="62"/>
      <c r="X791" s="62"/>
      <c r="Y791" s="62"/>
      <c r="Z791" s="62"/>
      <c r="AA791" s="62"/>
      <c r="AB791" s="62"/>
      <c r="AC791" s="62"/>
    </row>
    <row r="792">
      <c r="A792" s="61"/>
      <c r="B792" s="61"/>
      <c r="C792" s="62"/>
      <c r="D792" s="62"/>
      <c r="E792" s="62"/>
      <c r="F792" s="62"/>
      <c r="G792" s="62"/>
      <c r="H792" s="190"/>
      <c r="I792" s="62"/>
      <c r="J792" s="62"/>
      <c r="K792" s="62"/>
      <c r="L792" s="62"/>
      <c r="M792" s="62"/>
      <c r="N792" s="62"/>
      <c r="O792" s="62"/>
      <c r="P792" s="62"/>
      <c r="Q792" s="62"/>
      <c r="R792" s="62"/>
      <c r="S792" s="62"/>
      <c r="T792" s="62"/>
      <c r="U792" s="62"/>
      <c r="V792" s="62"/>
      <c r="W792" s="62"/>
      <c r="X792" s="62"/>
      <c r="Y792" s="62"/>
      <c r="Z792" s="62"/>
      <c r="AA792" s="62"/>
      <c r="AB792" s="62"/>
      <c r="AC792" s="62"/>
    </row>
    <row r="793">
      <c r="A793" s="61"/>
      <c r="B793" s="61"/>
      <c r="C793" s="62"/>
      <c r="D793" s="62"/>
      <c r="E793" s="62"/>
      <c r="F793" s="62"/>
      <c r="G793" s="62"/>
      <c r="H793" s="190"/>
      <c r="I793" s="62"/>
      <c r="J793" s="62"/>
      <c r="K793" s="62"/>
      <c r="L793" s="62"/>
      <c r="M793" s="62"/>
      <c r="N793" s="62"/>
      <c r="O793" s="62"/>
      <c r="P793" s="62"/>
      <c r="Q793" s="62"/>
      <c r="R793" s="62"/>
      <c r="S793" s="62"/>
      <c r="T793" s="62"/>
      <c r="U793" s="62"/>
      <c r="V793" s="62"/>
      <c r="W793" s="62"/>
      <c r="X793" s="62"/>
      <c r="Y793" s="62"/>
      <c r="Z793" s="62"/>
      <c r="AA793" s="62"/>
      <c r="AB793" s="62"/>
      <c r="AC793" s="62"/>
    </row>
    <row r="794">
      <c r="A794" s="61"/>
      <c r="B794" s="61"/>
      <c r="C794" s="62"/>
      <c r="D794" s="62"/>
      <c r="E794" s="62"/>
      <c r="F794" s="62"/>
      <c r="G794" s="62"/>
      <c r="H794" s="190"/>
      <c r="I794" s="62"/>
      <c r="J794" s="62"/>
      <c r="K794" s="62"/>
      <c r="L794" s="62"/>
      <c r="M794" s="62"/>
      <c r="N794" s="62"/>
      <c r="O794" s="62"/>
      <c r="P794" s="62"/>
      <c r="Q794" s="62"/>
      <c r="R794" s="62"/>
      <c r="S794" s="62"/>
      <c r="T794" s="62"/>
      <c r="U794" s="62"/>
      <c r="V794" s="62"/>
      <c r="W794" s="62"/>
      <c r="X794" s="62"/>
      <c r="Y794" s="62"/>
      <c r="Z794" s="62"/>
      <c r="AA794" s="62"/>
      <c r="AB794" s="62"/>
      <c r="AC794" s="62"/>
    </row>
    <row r="795">
      <c r="A795" s="61"/>
      <c r="B795" s="61"/>
      <c r="C795" s="62"/>
      <c r="D795" s="62"/>
      <c r="E795" s="62"/>
      <c r="F795" s="62"/>
      <c r="G795" s="62"/>
      <c r="H795" s="190"/>
      <c r="I795" s="62"/>
      <c r="J795" s="62"/>
      <c r="K795" s="62"/>
      <c r="L795" s="62"/>
      <c r="M795" s="62"/>
      <c r="N795" s="62"/>
      <c r="O795" s="62"/>
      <c r="P795" s="62"/>
      <c r="Q795" s="62"/>
      <c r="R795" s="62"/>
      <c r="S795" s="62"/>
      <c r="T795" s="62"/>
      <c r="U795" s="62"/>
      <c r="V795" s="62"/>
      <c r="W795" s="62"/>
      <c r="X795" s="62"/>
      <c r="Y795" s="62"/>
      <c r="Z795" s="62"/>
      <c r="AA795" s="62"/>
      <c r="AB795" s="62"/>
      <c r="AC795" s="62"/>
    </row>
    <row r="796">
      <c r="A796" s="61"/>
      <c r="B796" s="61"/>
      <c r="C796" s="62"/>
      <c r="D796" s="62"/>
      <c r="E796" s="62"/>
      <c r="F796" s="62"/>
      <c r="G796" s="62"/>
      <c r="H796" s="190"/>
      <c r="I796" s="62"/>
      <c r="J796" s="62"/>
      <c r="K796" s="62"/>
      <c r="L796" s="62"/>
      <c r="M796" s="62"/>
      <c r="N796" s="62"/>
      <c r="O796" s="62"/>
      <c r="P796" s="62"/>
      <c r="Q796" s="62"/>
      <c r="R796" s="62"/>
      <c r="S796" s="62"/>
      <c r="T796" s="62"/>
      <c r="U796" s="62"/>
      <c r="V796" s="62"/>
      <c r="W796" s="62"/>
      <c r="X796" s="62"/>
      <c r="Y796" s="62"/>
      <c r="Z796" s="62"/>
      <c r="AA796" s="62"/>
      <c r="AB796" s="62"/>
      <c r="AC796" s="62"/>
    </row>
    <row r="797">
      <c r="A797" s="61"/>
      <c r="B797" s="61"/>
      <c r="C797" s="62"/>
      <c r="D797" s="62"/>
      <c r="E797" s="62"/>
      <c r="F797" s="62"/>
      <c r="G797" s="62"/>
      <c r="H797" s="190"/>
      <c r="I797" s="62"/>
      <c r="J797" s="62"/>
      <c r="K797" s="62"/>
      <c r="L797" s="62"/>
      <c r="M797" s="62"/>
      <c r="N797" s="62"/>
      <c r="O797" s="62"/>
      <c r="P797" s="62"/>
      <c r="Q797" s="62"/>
      <c r="R797" s="62"/>
      <c r="S797" s="62"/>
      <c r="T797" s="62"/>
      <c r="U797" s="62"/>
      <c r="V797" s="62"/>
      <c r="W797" s="62"/>
      <c r="X797" s="62"/>
      <c r="Y797" s="62"/>
      <c r="Z797" s="62"/>
      <c r="AA797" s="62"/>
      <c r="AB797" s="62"/>
      <c r="AC797" s="62"/>
    </row>
    <row r="798">
      <c r="A798" s="61"/>
      <c r="B798" s="61"/>
      <c r="C798" s="62"/>
      <c r="D798" s="62"/>
      <c r="E798" s="62"/>
      <c r="F798" s="62"/>
      <c r="G798" s="62"/>
      <c r="H798" s="190"/>
      <c r="I798" s="62"/>
      <c r="J798" s="62"/>
      <c r="K798" s="62"/>
      <c r="L798" s="62"/>
      <c r="M798" s="62"/>
      <c r="N798" s="62"/>
      <c r="O798" s="62"/>
      <c r="P798" s="62"/>
      <c r="Q798" s="62"/>
      <c r="R798" s="62"/>
      <c r="S798" s="62"/>
      <c r="T798" s="62"/>
      <c r="U798" s="62"/>
      <c r="V798" s="62"/>
      <c r="W798" s="62"/>
      <c r="X798" s="62"/>
      <c r="Y798" s="62"/>
      <c r="Z798" s="62"/>
      <c r="AA798" s="62"/>
      <c r="AB798" s="62"/>
      <c r="AC798" s="62"/>
    </row>
    <row r="799">
      <c r="A799" s="61"/>
      <c r="B799" s="61"/>
      <c r="C799" s="62"/>
      <c r="D799" s="62"/>
      <c r="E799" s="62"/>
      <c r="F799" s="62"/>
      <c r="G799" s="62"/>
      <c r="H799" s="190"/>
      <c r="I799" s="62"/>
      <c r="J799" s="62"/>
      <c r="K799" s="62"/>
      <c r="L799" s="62"/>
      <c r="M799" s="62"/>
      <c r="N799" s="62"/>
      <c r="O799" s="62"/>
      <c r="P799" s="62"/>
      <c r="Q799" s="62"/>
      <c r="R799" s="62"/>
      <c r="S799" s="62"/>
      <c r="T799" s="62"/>
      <c r="U799" s="62"/>
      <c r="V799" s="62"/>
      <c r="W799" s="62"/>
      <c r="X799" s="62"/>
      <c r="Y799" s="62"/>
      <c r="Z799" s="62"/>
      <c r="AA799" s="62"/>
      <c r="AB799" s="62"/>
      <c r="AC799" s="62"/>
    </row>
    <row r="800">
      <c r="A800" s="61"/>
      <c r="B800" s="61"/>
      <c r="C800" s="62"/>
      <c r="D800" s="62"/>
      <c r="E800" s="62"/>
      <c r="F800" s="62"/>
      <c r="G800" s="62"/>
      <c r="H800" s="190"/>
      <c r="I800" s="62"/>
      <c r="J800" s="62"/>
      <c r="K800" s="62"/>
      <c r="L800" s="62"/>
      <c r="M800" s="62"/>
      <c r="N800" s="62"/>
      <c r="O800" s="62"/>
      <c r="P800" s="62"/>
      <c r="Q800" s="62"/>
      <c r="R800" s="62"/>
      <c r="S800" s="62"/>
      <c r="T800" s="62"/>
      <c r="U800" s="62"/>
      <c r="V800" s="62"/>
      <c r="W800" s="62"/>
      <c r="X800" s="62"/>
      <c r="Y800" s="62"/>
      <c r="Z800" s="62"/>
      <c r="AA800" s="62"/>
      <c r="AB800" s="62"/>
      <c r="AC800" s="62"/>
    </row>
    <row r="801">
      <c r="A801" s="61"/>
      <c r="B801" s="61"/>
      <c r="C801" s="62"/>
      <c r="D801" s="62"/>
      <c r="E801" s="62"/>
      <c r="F801" s="62"/>
      <c r="G801" s="62"/>
      <c r="H801" s="190"/>
      <c r="I801" s="62"/>
      <c r="J801" s="62"/>
      <c r="K801" s="62"/>
      <c r="L801" s="62"/>
      <c r="M801" s="62"/>
      <c r="N801" s="62"/>
      <c r="O801" s="62"/>
      <c r="P801" s="62"/>
      <c r="Q801" s="62"/>
      <c r="R801" s="62"/>
      <c r="S801" s="62"/>
      <c r="T801" s="62"/>
      <c r="U801" s="62"/>
      <c r="V801" s="62"/>
      <c r="W801" s="62"/>
      <c r="X801" s="62"/>
      <c r="Y801" s="62"/>
      <c r="Z801" s="62"/>
      <c r="AA801" s="62"/>
      <c r="AB801" s="62"/>
      <c r="AC801" s="62"/>
    </row>
    <row r="802">
      <c r="A802" s="61"/>
      <c r="B802" s="61"/>
      <c r="C802" s="62"/>
      <c r="D802" s="62"/>
      <c r="E802" s="62"/>
      <c r="F802" s="62"/>
      <c r="G802" s="62"/>
      <c r="H802" s="190"/>
      <c r="I802" s="62"/>
      <c r="J802" s="62"/>
      <c r="K802" s="62"/>
      <c r="L802" s="62"/>
      <c r="M802" s="62"/>
      <c r="N802" s="62"/>
      <c r="O802" s="62"/>
      <c r="P802" s="62"/>
      <c r="Q802" s="62"/>
      <c r="R802" s="62"/>
      <c r="S802" s="62"/>
      <c r="T802" s="62"/>
      <c r="U802" s="62"/>
      <c r="V802" s="62"/>
      <c r="W802" s="62"/>
      <c r="X802" s="62"/>
      <c r="Y802" s="62"/>
      <c r="Z802" s="62"/>
      <c r="AA802" s="62"/>
      <c r="AB802" s="62"/>
      <c r="AC802" s="62"/>
    </row>
    <row r="803">
      <c r="A803" s="61"/>
      <c r="B803" s="61"/>
      <c r="C803" s="62"/>
      <c r="D803" s="62"/>
      <c r="E803" s="62"/>
      <c r="F803" s="62"/>
      <c r="G803" s="62"/>
      <c r="H803" s="190"/>
      <c r="I803" s="62"/>
      <c r="J803" s="62"/>
      <c r="K803" s="62"/>
      <c r="L803" s="62"/>
      <c r="M803" s="62"/>
      <c r="N803" s="62"/>
      <c r="O803" s="62"/>
      <c r="P803" s="62"/>
      <c r="Q803" s="62"/>
      <c r="R803" s="62"/>
      <c r="S803" s="62"/>
      <c r="T803" s="62"/>
      <c r="U803" s="62"/>
      <c r="V803" s="62"/>
      <c r="W803" s="62"/>
      <c r="X803" s="62"/>
      <c r="Y803" s="62"/>
      <c r="Z803" s="62"/>
      <c r="AA803" s="62"/>
      <c r="AB803" s="62"/>
      <c r="AC803" s="62"/>
    </row>
    <row r="804">
      <c r="A804" s="61"/>
      <c r="B804" s="61"/>
      <c r="C804" s="62"/>
      <c r="D804" s="62"/>
      <c r="E804" s="62"/>
      <c r="F804" s="62"/>
      <c r="G804" s="62"/>
      <c r="H804" s="190"/>
      <c r="I804" s="62"/>
      <c r="J804" s="62"/>
      <c r="K804" s="62"/>
      <c r="L804" s="62"/>
      <c r="M804" s="62"/>
      <c r="N804" s="62"/>
      <c r="O804" s="62"/>
      <c r="P804" s="62"/>
      <c r="Q804" s="62"/>
      <c r="R804" s="62"/>
      <c r="S804" s="62"/>
      <c r="T804" s="62"/>
      <c r="U804" s="62"/>
      <c r="V804" s="62"/>
      <c r="W804" s="62"/>
      <c r="X804" s="62"/>
      <c r="Y804" s="62"/>
      <c r="Z804" s="62"/>
      <c r="AA804" s="62"/>
      <c r="AB804" s="62"/>
      <c r="AC804" s="62"/>
    </row>
    <row r="805">
      <c r="A805" s="61"/>
      <c r="B805" s="61"/>
      <c r="C805" s="62"/>
      <c r="D805" s="62"/>
      <c r="E805" s="62"/>
      <c r="F805" s="62"/>
      <c r="G805" s="62"/>
      <c r="H805" s="190"/>
      <c r="I805" s="62"/>
      <c r="J805" s="62"/>
      <c r="K805" s="62"/>
      <c r="L805" s="62"/>
      <c r="M805" s="62"/>
      <c r="N805" s="62"/>
      <c r="O805" s="62"/>
      <c r="P805" s="62"/>
      <c r="Q805" s="62"/>
      <c r="R805" s="62"/>
      <c r="S805" s="62"/>
      <c r="T805" s="62"/>
      <c r="U805" s="62"/>
      <c r="V805" s="62"/>
      <c r="W805" s="62"/>
      <c r="X805" s="62"/>
      <c r="Y805" s="62"/>
      <c r="Z805" s="62"/>
      <c r="AA805" s="62"/>
      <c r="AB805" s="62"/>
      <c r="AC805" s="62"/>
    </row>
    <row r="806">
      <c r="A806" s="61"/>
      <c r="B806" s="61"/>
      <c r="C806" s="62"/>
      <c r="D806" s="62"/>
      <c r="E806" s="62"/>
      <c r="F806" s="62"/>
      <c r="G806" s="62"/>
      <c r="H806" s="190"/>
      <c r="I806" s="62"/>
      <c r="J806" s="62"/>
      <c r="K806" s="62"/>
      <c r="L806" s="62"/>
      <c r="M806" s="62"/>
      <c r="N806" s="62"/>
      <c r="O806" s="62"/>
      <c r="P806" s="62"/>
      <c r="Q806" s="62"/>
      <c r="R806" s="62"/>
      <c r="S806" s="62"/>
      <c r="T806" s="62"/>
      <c r="U806" s="62"/>
      <c r="V806" s="62"/>
      <c r="W806" s="62"/>
      <c r="X806" s="62"/>
      <c r="Y806" s="62"/>
      <c r="Z806" s="62"/>
      <c r="AA806" s="62"/>
      <c r="AB806" s="62"/>
      <c r="AC806" s="62"/>
    </row>
    <row r="807">
      <c r="A807" s="61"/>
      <c r="B807" s="61"/>
      <c r="C807" s="62"/>
      <c r="D807" s="62"/>
      <c r="E807" s="62"/>
      <c r="F807" s="62"/>
      <c r="G807" s="62"/>
      <c r="H807" s="190"/>
      <c r="I807" s="62"/>
      <c r="J807" s="62"/>
      <c r="K807" s="62"/>
      <c r="L807" s="62"/>
      <c r="M807" s="62"/>
      <c r="N807" s="62"/>
      <c r="O807" s="62"/>
      <c r="P807" s="62"/>
      <c r="Q807" s="62"/>
      <c r="R807" s="62"/>
      <c r="S807" s="62"/>
      <c r="T807" s="62"/>
      <c r="U807" s="62"/>
      <c r="V807" s="62"/>
      <c r="W807" s="62"/>
      <c r="X807" s="62"/>
      <c r="Y807" s="62"/>
      <c r="Z807" s="62"/>
      <c r="AA807" s="62"/>
      <c r="AB807" s="62"/>
      <c r="AC807" s="62"/>
    </row>
    <row r="808">
      <c r="A808" s="61"/>
      <c r="B808" s="61"/>
      <c r="C808" s="62"/>
      <c r="D808" s="62"/>
      <c r="E808" s="62"/>
      <c r="F808" s="62"/>
      <c r="G808" s="62"/>
      <c r="H808" s="190"/>
      <c r="I808" s="62"/>
      <c r="J808" s="62"/>
      <c r="K808" s="62"/>
      <c r="L808" s="62"/>
      <c r="M808" s="62"/>
      <c r="N808" s="62"/>
      <c r="O808" s="62"/>
      <c r="P808" s="62"/>
      <c r="Q808" s="62"/>
      <c r="R808" s="62"/>
      <c r="S808" s="62"/>
      <c r="T808" s="62"/>
      <c r="U808" s="62"/>
      <c r="V808" s="62"/>
      <c r="W808" s="62"/>
      <c r="X808" s="62"/>
      <c r="Y808" s="62"/>
      <c r="Z808" s="62"/>
      <c r="AA808" s="62"/>
      <c r="AB808" s="62"/>
      <c r="AC808" s="62"/>
    </row>
    <row r="809">
      <c r="A809" s="61"/>
      <c r="B809" s="61"/>
      <c r="C809" s="62"/>
      <c r="D809" s="62"/>
      <c r="E809" s="62"/>
      <c r="F809" s="62"/>
      <c r="G809" s="62"/>
      <c r="H809" s="190"/>
      <c r="I809" s="62"/>
      <c r="J809" s="62"/>
      <c r="K809" s="62"/>
      <c r="L809" s="62"/>
      <c r="M809" s="62"/>
      <c r="N809" s="62"/>
      <c r="O809" s="62"/>
      <c r="P809" s="62"/>
      <c r="Q809" s="62"/>
      <c r="R809" s="62"/>
      <c r="S809" s="62"/>
      <c r="T809" s="62"/>
      <c r="U809" s="62"/>
      <c r="V809" s="62"/>
      <c r="W809" s="62"/>
      <c r="X809" s="62"/>
      <c r="Y809" s="62"/>
      <c r="Z809" s="62"/>
      <c r="AA809" s="62"/>
      <c r="AB809" s="62"/>
      <c r="AC809" s="62"/>
    </row>
    <row r="810">
      <c r="A810" s="61"/>
      <c r="B810" s="61"/>
      <c r="C810" s="62"/>
      <c r="D810" s="62"/>
      <c r="E810" s="62"/>
      <c r="F810" s="62"/>
      <c r="G810" s="62"/>
      <c r="H810" s="190"/>
      <c r="I810" s="62"/>
      <c r="J810" s="62"/>
      <c r="K810" s="62"/>
      <c r="L810" s="62"/>
      <c r="M810" s="62"/>
      <c r="N810" s="62"/>
      <c r="O810" s="62"/>
      <c r="P810" s="62"/>
      <c r="Q810" s="62"/>
      <c r="R810" s="62"/>
      <c r="S810" s="62"/>
      <c r="T810" s="62"/>
      <c r="U810" s="62"/>
      <c r="V810" s="62"/>
      <c r="W810" s="62"/>
      <c r="X810" s="62"/>
      <c r="Y810" s="62"/>
      <c r="Z810" s="62"/>
      <c r="AA810" s="62"/>
      <c r="AB810" s="62"/>
      <c r="AC810" s="62"/>
    </row>
    <row r="811">
      <c r="A811" s="61"/>
      <c r="B811" s="61"/>
      <c r="C811" s="62"/>
      <c r="D811" s="62"/>
      <c r="E811" s="62"/>
      <c r="F811" s="62"/>
      <c r="G811" s="62"/>
      <c r="H811" s="190"/>
      <c r="I811" s="62"/>
      <c r="J811" s="62"/>
      <c r="K811" s="62"/>
      <c r="L811" s="62"/>
      <c r="M811" s="62"/>
      <c r="N811" s="62"/>
      <c r="O811" s="62"/>
      <c r="P811" s="62"/>
      <c r="Q811" s="62"/>
      <c r="R811" s="62"/>
      <c r="S811" s="62"/>
      <c r="T811" s="62"/>
      <c r="U811" s="62"/>
      <c r="V811" s="62"/>
      <c r="W811" s="62"/>
      <c r="X811" s="62"/>
      <c r="Y811" s="62"/>
      <c r="Z811" s="62"/>
      <c r="AA811" s="62"/>
      <c r="AB811" s="62"/>
      <c r="AC811" s="62"/>
    </row>
    <row r="812">
      <c r="A812" s="61"/>
      <c r="B812" s="61"/>
      <c r="C812" s="62"/>
      <c r="D812" s="62"/>
      <c r="E812" s="62"/>
      <c r="F812" s="62"/>
      <c r="G812" s="62"/>
      <c r="H812" s="190"/>
      <c r="I812" s="62"/>
      <c r="J812" s="62"/>
      <c r="K812" s="62"/>
      <c r="L812" s="62"/>
      <c r="M812" s="62"/>
      <c r="N812" s="62"/>
      <c r="O812" s="62"/>
      <c r="P812" s="62"/>
      <c r="Q812" s="62"/>
      <c r="R812" s="62"/>
      <c r="S812" s="62"/>
      <c r="T812" s="62"/>
      <c r="U812" s="62"/>
      <c r="V812" s="62"/>
      <c r="W812" s="62"/>
      <c r="X812" s="62"/>
      <c r="Y812" s="62"/>
      <c r="Z812" s="62"/>
      <c r="AA812" s="62"/>
      <c r="AB812" s="62"/>
      <c r="AC812" s="62"/>
    </row>
    <row r="813">
      <c r="A813" s="61"/>
      <c r="B813" s="61"/>
      <c r="C813" s="62"/>
      <c r="D813" s="62"/>
      <c r="E813" s="62"/>
      <c r="F813" s="62"/>
      <c r="G813" s="62"/>
      <c r="H813" s="190"/>
      <c r="I813" s="62"/>
      <c r="J813" s="62"/>
      <c r="K813" s="62"/>
      <c r="L813" s="62"/>
      <c r="M813" s="62"/>
      <c r="N813" s="62"/>
      <c r="O813" s="62"/>
      <c r="P813" s="62"/>
      <c r="Q813" s="62"/>
      <c r="R813" s="62"/>
      <c r="S813" s="62"/>
      <c r="T813" s="62"/>
      <c r="U813" s="62"/>
      <c r="V813" s="62"/>
      <c r="W813" s="62"/>
      <c r="X813" s="62"/>
      <c r="Y813" s="62"/>
      <c r="Z813" s="62"/>
      <c r="AA813" s="62"/>
      <c r="AB813" s="62"/>
      <c r="AC813" s="62"/>
    </row>
    <row r="814">
      <c r="A814" s="61"/>
      <c r="B814" s="61"/>
      <c r="C814" s="62"/>
      <c r="D814" s="62"/>
      <c r="E814" s="62"/>
      <c r="F814" s="62"/>
      <c r="G814" s="62"/>
      <c r="H814" s="190"/>
      <c r="I814" s="62"/>
      <c r="J814" s="62"/>
      <c r="K814" s="62"/>
      <c r="L814" s="62"/>
      <c r="M814" s="62"/>
      <c r="N814" s="62"/>
      <c r="O814" s="62"/>
      <c r="P814" s="62"/>
      <c r="Q814" s="62"/>
      <c r="R814" s="62"/>
      <c r="S814" s="62"/>
      <c r="T814" s="62"/>
      <c r="U814" s="62"/>
      <c r="V814" s="62"/>
      <c r="W814" s="62"/>
      <c r="X814" s="62"/>
      <c r="Y814" s="62"/>
      <c r="Z814" s="62"/>
      <c r="AA814" s="62"/>
      <c r="AB814" s="62"/>
      <c r="AC814" s="62"/>
    </row>
    <row r="815">
      <c r="A815" s="61"/>
      <c r="B815" s="61"/>
      <c r="C815" s="62"/>
      <c r="D815" s="62"/>
      <c r="E815" s="62"/>
      <c r="F815" s="62"/>
      <c r="G815" s="62"/>
      <c r="H815" s="190"/>
      <c r="I815" s="62"/>
      <c r="J815" s="62"/>
      <c r="K815" s="62"/>
      <c r="L815" s="62"/>
      <c r="M815" s="62"/>
      <c r="N815" s="62"/>
      <c r="O815" s="62"/>
      <c r="P815" s="62"/>
      <c r="Q815" s="62"/>
      <c r="R815" s="62"/>
      <c r="S815" s="62"/>
      <c r="T815" s="62"/>
      <c r="U815" s="62"/>
      <c r="V815" s="62"/>
      <c r="W815" s="62"/>
      <c r="X815" s="62"/>
      <c r="Y815" s="62"/>
      <c r="Z815" s="62"/>
      <c r="AA815" s="62"/>
      <c r="AB815" s="62"/>
      <c r="AC815" s="62"/>
    </row>
    <row r="816">
      <c r="A816" s="61"/>
      <c r="B816" s="61"/>
      <c r="C816" s="62"/>
      <c r="D816" s="62"/>
      <c r="E816" s="62"/>
      <c r="F816" s="62"/>
      <c r="G816" s="62"/>
      <c r="H816" s="190"/>
      <c r="I816" s="62"/>
      <c r="J816" s="62"/>
      <c r="K816" s="62"/>
      <c r="L816" s="62"/>
      <c r="M816" s="62"/>
      <c r="N816" s="62"/>
      <c r="O816" s="62"/>
      <c r="P816" s="62"/>
      <c r="Q816" s="62"/>
      <c r="R816" s="62"/>
      <c r="S816" s="62"/>
      <c r="T816" s="62"/>
      <c r="U816" s="62"/>
      <c r="V816" s="62"/>
      <c r="W816" s="62"/>
      <c r="X816" s="62"/>
      <c r="Y816" s="62"/>
      <c r="Z816" s="62"/>
      <c r="AA816" s="62"/>
      <c r="AB816" s="62"/>
      <c r="AC816" s="62"/>
    </row>
    <row r="817">
      <c r="A817" s="61"/>
      <c r="B817" s="61"/>
      <c r="C817" s="62"/>
      <c r="D817" s="62"/>
      <c r="E817" s="62"/>
      <c r="F817" s="62"/>
      <c r="G817" s="62"/>
      <c r="H817" s="190"/>
      <c r="I817" s="62"/>
      <c r="J817" s="62"/>
      <c r="K817" s="62"/>
      <c r="L817" s="62"/>
      <c r="M817" s="62"/>
      <c r="N817" s="62"/>
      <c r="O817" s="62"/>
      <c r="P817" s="62"/>
      <c r="Q817" s="62"/>
      <c r="R817" s="62"/>
      <c r="S817" s="62"/>
      <c r="T817" s="62"/>
      <c r="U817" s="62"/>
      <c r="V817" s="62"/>
      <c r="W817" s="62"/>
      <c r="X817" s="62"/>
      <c r="Y817" s="62"/>
      <c r="Z817" s="62"/>
      <c r="AA817" s="62"/>
      <c r="AB817" s="62"/>
      <c r="AC817" s="62"/>
    </row>
    <row r="818">
      <c r="A818" s="61"/>
      <c r="B818" s="61"/>
      <c r="C818" s="62"/>
      <c r="D818" s="62"/>
      <c r="E818" s="62"/>
      <c r="F818" s="62"/>
      <c r="G818" s="62"/>
      <c r="H818" s="190"/>
      <c r="I818" s="62"/>
      <c r="J818" s="62"/>
      <c r="K818" s="62"/>
      <c r="L818" s="62"/>
      <c r="M818" s="62"/>
      <c r="N818" s="62"/>
      <c r="O818" s="62"/>
      <c r="P818" s="62"/>
      <c r="Q818" s="62"/>
      <c r="R818" s="62"/>
      <c r="S818" s="62"/>
      <c r="T818" s="62"/>
      <c r="U818" s="62"/>
      <c r="V818" s="62"/>
      <c r="W818" s="62"/>
      <c r="X818" s="62"/>
      <c r="Y818" s="62"/>
      <c r="Z818" s="62"/>
      <c r="AA818" s="62"/>
      <c r="AB818" s="62"/>
      <c r="AC818" s="62"/>
    </row>
    <row r="819">
      <c r="A819" s="61"/>
      <c r="B819" s="61"/>
      <c r="C819" s="62"/>
      <c r="D819" s="62"/>
      <c r="E819" s="62"/>
      <c r="F819" s="62"/>
      <c r="G819" s="62"/>
      <c r="H819" s="190"/>
      <c r="I819" s="62"/>
      <c r="J819" s="62"/>
      <c r="K819" s="62"/>
      <c r="L819" s="62"/>
      <c r="M819" s="62"/>
      <c r="N819" s="62"/>
      <c r="O819" s="62"/>
      <c r="P819" s="62"/>
      <c r="Q819" s="62"/>
      <c r="R819" s="62"/>
      <c r="S819" s="62"/>
      <c r="T819" s="62"/>
      <c r="U819" s="62"/>
      <c r="V819" s="62"/>
      <c r="W819" s="62"/>
      <c r="X819" s="62"/>
      <c r="Y819" s="62"/>
      <c r="Z819" s="62"/>
      <c r="AA819" s="62"/>
      <c r="AB819" s="62"/>
      <c r="AC819" s="62"/>
    </row>
    <row r="820">
      <c r="A820" s="61"/>
      <c r="B820" s="61"/>
      <c r="C820" s="62"/>
      <c r="D820" s="62"/>
      <c r="E820" s="62"/>
      <c r="F820" s="62"/>
      <c r="G820" s="62"/>
      <c r="H820" s="190"/>
      <c r="I820" s="62"/>
      <c r="J820" s="62"/>
      <c r="K820" s="62"/>
      <c r="L820" s="62"/>
      <c r="M820" s="62"/>
      <c r="N820" s="62"/>
      <c r="O820" s="62"/>
      <c r="P820" s="62"/>
      <c r="Q820" s="62"/>
      <c r="R820" s="62"/>
      <c r="S820" s="62"/>
      <c r="T820" s="62"/>
      <c r="U820" s="62"/>
      <c r="V820" s="62"/>
      <c r="W820" s="62"/>
      <c r="X820" s="62"/>
      <c r="Y820" s="62"/>
      <c r="Z820" s="62"/>
      <c r="AA820" s="62"/>
      <c r="AB820" s="62"/>
      <c r="AC820" s="62"/>
    </row>
    <row r="821">
      <c r="A821" s="61"/>
      <c r="B821" s="61"/>
      <c r="C821" s="62"/>
      <c r="D821" s="62"/>
      <c r="E821" s="62"/>
      <c r="F821" s="62"/>
      <c r="G821" s="62"/>
      <c r="H821" s="190"/>
      <c r="I821" s="62"/>
      <c r="J821" s="62"/>
      <c r="K821" s="62"/>
      <c r="L821" s="62"/>
      <c r="M821" s="62"/>
      <c r="N821" s="62"/>
      <c r="O821" s="62"/>
      <c r="P821" s="62"/>
      <c r="Q821" s="62"/>
      <c r="R821" s="62"/>
      <c r="S821" s="62"/>
      <c r="T821" s="62"/>
      <c r="U821" s="62"/>
      <c r="V821" s="62"/>
      <c r="W821" s="62"/>
      <c r="X821" s="62"/>
      <c r="Y821" s="62"/>
      <c r="Z821" s="62"/>
      <c r="AA821" s="62"/>
      <c r="AB821" s="62"/>
      <c r="AC821" s="62"/>
    </row>
    <row r="822">
      <c r="A822" s="61"/>
      <c r="B822" s="61"/>
      <c r="C822" s="62"/>
      <c r="D822" s="62"/>
      <c r="E822" s="62"/>
      <c r="F822" s="62"/>
      <c r="G822" s="62"/>
      <c r="H822" s="190"/>
      <c r="I822" s="62"/>
      <c r="J822" s="62"/>
      <c r="K822" s="62"/>
      <c r="L822" s="62"/>
      <c r="M822" s="62"/>
      <c r="N822" s="62"/>
      <c r="O822" s="62"/>
      <c r="P822" s="62"/>
      <c r="Q822" s="62"/>
      <c r="R822" s="62"/>
      <c r="S822" s="62"/>
      <c r="T822" s="62"/>
      <c r="U822" s="62"/>
      <c r="V822" s="62"/>
      <c r="W822" s="62"/>
      <c r="X822" s="62"/>
      <c r="Y822" s="62"/>
      <c r="Z822" s="62"/>
      <c r="AA822" s="62"/>
      <c r="AB822" s="62"/>
      <c r="AC822" s="62"/>
    </row>
    <row r="823">
      <c r="A823" s="61"/>
      <c r="B823" s="61"/>
      <c r="C823" s="62"/>
      <c r="D823" s="62"/>
      <c r="E823" s="62"/>
      <c r="F823" s="62"/>
      <c r="G823" s="62"/>
      <c r="H823" s="190"/>
      <c r="I823" s="62"/>
      <c r="J823" s="62"/>
      <c r="K823" s="62"/>
      <c r="L823" s="62"/>
      <c r="M823" s="62"/>
      <c r="N823" s="62"/>
      <c r="O823" s="62"/>
      <c r="P823" s="62"/>
      <c r="Q823" s="62"/>
      <c r="R823" s="62"/>
      <c r="S823" s="62"/>
      <c r="T823" s="62"/>
      <c r="U823" s="62"/>
      <c r="V823" s="62"/>
      <c r="W823" s="62"/>
      <c r="X823" s="62"/>
      <c r="Y823" s="62"/>
      <c r="Z823" s="62"/>
      <c r="AA823" s="62"/>
      <c r="AB823" s="62"/>
      <c r="AC823" s="62"/>
    </row>
    <row r="824">
      <c r="A824" s="61"/>
      <c r="B824" s="61"/>
      <c r="C824" s="62"/>
      <c r="D824" s="62"/>
      <c r="E824" s="62"/>
      <c r="F824" s="62"/>
      <c r="G824" s="62"/>
      <c r="H824" s="190"/>
      <c r="I824" s="62"/>
      <c r="J824" s="62"/>
      <c r="K824" s="62"/>
      <c r="L824" s="62"/>
      <c r="M824" s="62"/>
      <c r="N824" s="62"/>
      <c r="O824" s="62"/>
      <c r="P824" s="62"/>
      <c r="Q824" s="62"/>
      <c r="R824" s="62"/>
      <c r="S824" s="62"/>
      <c r="T824" s="62"/>
      <c r="U824" s="62"/>
      <c r="V824" s="62"/>
      <c r="W824" s="62"/>
      <c r="X824" s="62"/>
      <c r="Y824" s="62"/>
      <c r="Z824" s="62"/>
      <c r="AA824" s="62"/>
      <c r="AB824" s="62"/>
      <c r="AC824" s="62"/>
    </row>
    <row r="825">
      <c r="A825" s="61"/>
      <c r="B825" s="61"/>
      <c r="C825" s="62"/>
      <c r="D825" s="62"/>
      <c r="E825" s="62"/>
      <c r="F825" s="62"/>
      <c r="G825" s="62"/>
      <c r="H825" s="190"/>
      <c r="I825" s="62"/>
      <c r="J825" s="62"/>
      <c r="K825" s="62"/>
      <c r="L825" s="62"/>
      <c r="M825" s="62"/>
      <c r="N825" s="62"/>
      <c r="O825" s="62"/>
      <c r="P825" s="62"/>
      <c r="Q825" s="62"/>
      <c r="R825" s="62"/>
      <c r="S825" s="62"/>
      <c r="T825" s="62"/>
      <c r="U825" s="62"/>
      <c r="V825" s="62"/>
      <c r="W825" s="62"/>
      <c r="X825" s="62"/>
      <c r="Y825" s="62"/>
      <c r="Z825" s="62"/>
      <c r="AA825" s="62"/>
      <c r="AB825" s="62"/>
      <c r="AC825" s="62"/>
    </row>
    <row r="826">
      <c r="A826" s="61"/>
      <c r="B826" s="61"/>
      <c r="C826" s="62"/>
      <c r="D826" s="62"/>
      <c r="E826" s="62"/>
      <c r="F826" s="62"/>
      <c r="G826" s="62"/>
      <c r="H826" s="190"/>
      <c r="I826" s="62"/>
      <c r="J826" s="62"/>
      <c r="K826" s="62"/>
      <c r="L826" s="62"/>
      <c r="M826" s="62"/>
      <c r="N826" s="62"/>
      <c r="O826" s="62"/>
      <c r="P826" s="62"/>
      <c r="Q826" s="62"/>
      <c r="R826" s="62"/>
      <c r="S826" s="62"/>
      <c r="T826" s="62"/>
      <c r="U826" s="62"/>
      <c r="V826" s="62"/>
      <c r="W826" s="62"/>
      <c r="X826" s="62"/>
      <c r="Y826" s="62"/>
      <c r="Z826" s="62"/>
      <c r="AA826" s="62"/>
      <c r="AB826" s="62"/>
      <c r="AC826" s="62"/>
    </row>
    <row r="827">
      <c r="A827" s="61"/>
      <c r="B827" s="61"/>
      <c r="C827" s="62"/>
      <c r="D827" s="62"/>
      <c r="E827" s="62"/>
      <c r="F827" s="62"/>
      <c r="G827" s="62"/>
      <c r="H827" s="190"/>
      <c r="I827" s="62"/>
      <c r="J827" s="62"/>
      <c r="K827" s="62"/>
      <c r="L827" s="62"/>
      <c r="M827" s="62"/>
      <c r="N827" s="62"/>
      <c r="O827" s="62"/>
      <c r="P827" s="62"/>
      <c r="Q827" s="62"/>
      <c r="R827" s="62"/>
      <c r="S827" s="62"/>
      <c r="T827" s="62"/>
      <c r="U827" s="62"/>
      <c r="V827" s="62"/>
      <c r="W827" s="62"/>
      <c r="X827" s="62"/>
      <c r="Y827" s="62"/>
      <c r="Z827" s="62"/>
      <c r="AA827" s="62"/>
      <c r="AB827" s="62"/>
      <c r="AC827" s="62"/>
    </row>
    <row r="828">
      <c r="A828" s="61"/>
      <c r="B828" s="61"/>
      <c r="C828" s="62"/>
      <c r="D828" s="62"/>
      <c r="E828" s="62"/>
      <c r="F828" s="62"/>
      <c r="G828" s="62"/>
      <c r="H828" s="190"/>
      <c r="I828" s="62"/>
      <c r="J828" s="62"/>
      <c r="K828" s="62"/>
      <c r="L828" s="62"/>
      <c r="M828" s="62"/>
      <c r="N828" s="62"/>
      <c r="O828" s="62"/>
      <c r="P828" s="62"/>
      <c r="Q828" s="62"/>
      <c r="R828" s="62"/>
      <c r="S828" s="62"/>
      <c r="T828" s="62"/>
      <c r="U828" s="62"/>
      <c r="V828" s="62"/>
      <c r="W828" s="62"/>
      <c r="X828" s="62"/>
      <c r="Y828" s="62"/>
      <c r="Z828" s="62"/>
      <c r="AA828" s="62"/>
      <c r="AB828" s="62"/>
      <c r="AC828" s="62"/>
    </row>
    <row r="829">
      <c r="A829" s="61"/>
      <c r="B829" s="61"/>
      <c r="C829" s="62"/>
      <c r="D829" s="62"/>
      <c r="E829" s="62"/>
      <c r="F829" s="62"/>
      <c r="G829" s="62"/>
      <c r="H829" s="190"/>
      <c r="I829" s="62"/>
      <c r="J829" s="62"/>
      <c r="K829" s="62"/>
      <c r="L829" s="62"/>
      <c r="M829" s="62"/>
      <c r="N829" s="62"/>
      <c r="O829" s="62"/>
      <c r="P829" s="62"/>
      <c r="Q829" s="62"/>
      <c r="R829" s="62"/>
      <c r="S829" s="62"/>
      <c r="T829" s="62"/>
      <c r="U829" s="62"/>
      <c r="V829" s="62"/>
      <c r="W829" s="62"/>
      <c r="X829" s="62"/>
      <c r="Y829" s="62"/>
      <c r="Z829" s="62"/>
      <c r="AA829" s="62"/>
      <c r="AB829" s="62"/>
      <c r="AC829" s="62"/>
    </row>
    <row r="830">
      <c r="A830" s="61"/>
      <c r="B830" s="61"/>
      <c r="C830" s="62"/>
      <c r="D830" s="62"/>
      <c r="E830" s="62"/>
      <c r="F830" s="62"/>
      <c r="G830" s="62"/>
      <c r="H830" s="190"/>
      <c r="I830" s="62"/>
      <c r="J830" s="62"/>
      <c r="K830" s="62"/>
      <c r="L830" s="62"/>
      <c r="M830" s="62"/>
      <c r="N830" s="62"/>
      <c r="O830" s="62"/>
      <c r="P830" s="62"/>
      <c r="Q830" s="62"/>
      <c r="R830" s="62"/>
      <c r="S830" s="62"/>
      <c r="T830" s="62"/>
      <c r="U830" s="62"/>
      <c r="V830" s="62"/>
      <c r="W830" s="62"/>
      <c r="X830" s="62"/>
      <c r="Y830" s="62"/>
      <c r="Z830" s="62"/>
      <c r="AA830" s="62"/>
      <c r="AB830" s="62"/>
      <c r="AC830" s="62"/>
    </row>
    <row r="831">
      <c r="A831" s="61"/>
      <c r="B831" s="61"/>
      <c r="C831" s="62"/>
      <c r="D831" s="62"/>
      <c r="E831" s="62"/>
      <c r="F831" s="62"/>
      <c r="G831" s="62"/>
      <c r="H831" s="190"/>
      <c r="I831" s="62"/>
      <c r="J831" s="62"/>
      <c r="K831" s="62"/>
      <c r="L831" s="62"/>
      <c r="M831" s="62"/>
      <c r="N831" s="62"/>
      <c r="O831" s="62"/>
      <c r="P831" s="62"/>
      <c r="Q831" s="62"/>
      <c r="R831" s="62"/>
      <c r="S831" s="62"/>
      <c r="T831" s="62"/>
      <c r="U831" s="62"/>
      <c r="V831" s="62"/>
      <c r="W831" s="62"/>
      <c r="X831" s="62"/>
      <c r="Y831" s="62"/>
      <c r="Z831" s="62"/>
      <c r="AA831" s="62"/>
      <c r="AB831" s="62"/>
      <c r="AC831" s="62"/>
    </row>
    <row r="832">
      <c r="A832" s="61"/>
      <c r="B832" s="61"/>
      <c r="C832" s="62"/>
      <c r="D832" s="62"/>
      <c r="E832" s="62"/>
      <c r="F832" s="62"/>
      <c r="G832" s="62"/>
      <c r="H832" s="190"/>
      <c r="I832" s="62"/>
      <c r="J832" s="62"/>
      <c r="K832" s="62"/>
      <c r="L832" s="62"/>
      <c r="M832" s="62"/>
      <c r="N832" s="62"/>
      <c r="O832" s="62"/>
      <c r="P832" s="62"/>
      <c r="Q832" s="62"/>
      <c r="R832" s="62"/>
      <c r="S832" s="62"/>
      <c r="T832" s="62"/>
      <c r="U832" s="62"/>
      <c r="V832" s="62"/>
      <c r="W832" s="62"/>
      <c r="X832" s="62"/>
      <c r="Y832" s="62"/>
      <c r="Z832" s="62"/>
      <c r="AA832" s="62"/>
      <c r="AB832" s="62"/>
      <c r="AC832" s="62"/>
    </row>
    <row r="833">
      <c r="A833" s="61"/>
      <c r="B833" s="61"/>
      <c r="C833" s="62"/>
      <c r="D833" s="62"/>
      <c r="E833" s="62"/>
      <c r="F833" s="62"/>
      <c r="G833" s="62"/>
      <c r="H833" s="190"/>
      <c r="I833" s="62"/>
      <c r="J833" s="62"/>
      <c r="K833" s="62"/>
      <c r="L833" s="62"/>
      <c r="M833" s="62"/>
      <c r="N833" s="62"/>
      <c r="O833" s="62"/>
      <c r="P833" s="62"/>
      <c r="Q833" s="62"/>
      <c r="R833" s="62"/>
      <c r="S833" s="62"/>
      <c r="T833" s="62"/>
      <c r="U833" s="62"/>
      <c r="V833" s="62"/>
      <c r="W833" s="62"/>
      <c r="X833" s="62"/>
      <c r="Y833" s="62"/>
      <c r="Z833" s="62"/>
      <c r="AA833" s="62"/>
      <c r="AB833" s="62"/>
      <c r="AC833" s="62"/>
    </row>
    <row r="834">
      <c r="A834" s="61"/>
      <c r="B834" s="61"/>
      <c r="C834" s="62"/>
      <c r="D834" s="62"/>
      <c r="E834" s="62"/>
      <c r="F834" s="62"/>
      <c r="G834" s="62"/>
      <c r="H834" s="190"/>
      <c r="I834" s="62"/>
      <c r="J834" s="62"/>
      <c r="K834" s="62"/>
      <c r="L834" s="62"/>
      <c r="M834" s="62"/>
      <c r="N834" s="62"/>
      <c r="O834" s="62"/>
      <c r="P834" s="62"/>
      <c r="Q834" s="62"/>
      <c r="R834" s="62"/>
      <c r="S834" s="62"/>
      <c r="T834" s="62"/>
      <c r="U834" s="62"/>
      <c r="V834" s="62"/>
      <c r="W834" s="62"/>
      <c r="X834" s="62"/>
      <c r="Y834" s="62"/>
      <c r="Z834" s="62"/>
      <c r="AA834" s="62"/>
      <c r="AB834" s="62"/>
      <c r="AC834" s="62"/>
    </row>
    <row r="835">
      <c r="A835" s="61"/>
      <c r="B835" s="61"/>
      <c r="C835" s="62"/>
      <c r="D835" s="62"/>
      <c r="E835" s="62"/>
      <c r="F835" s="62"/>
      <c r="G835" s="62"/>
      <c r="H835" s="190"/>
      <c r="I835" s="62"/>
      <c r="J835" s="62"/>
      <c r="K835" s="62"/>
      <c r="L835" s="62"/>
      <c r="M835" s="62"/>
      <c r="N835" s="62"/>
      <c r="O835" s="62"/>
      <c r="P835" s="62"/>
      <c r="Q835" s="62"/>
      <c r="R835" s="62"/>
      <c r="S835" s="62"/>
      <c r="T835" s="62"/>
      <c r="U835" s="62"/>
      <c r="V835" s="62"/>
      <c r="W835" s="62"/>
      <c r="X835" s="62"/>
      <c r="Y835" s="62"/>
      <c r="Z835" s="62"/>
      <c r="AA835" s="62"/>
      <c r="AB835" s="62"/>
      <c r="AC835" s="62"/>
    </row>
    <row r="836">
      <c r="A836" s="61"/>
      <c r="B836" s="61"/>
      <c r="C836" s="62"/>
      <c r="D836" s="62"/>
      <c r="E836" s="62"/>
      <c r="F836" s="62"/>
      <c r="G836" s="62"/>
      <c r="H836" s="190"/>
      <c r="I836" s="62"/>
      <c r="J836" s="62"/>
      <c r="K836" s="62"/>
      <c r="L836" s="62"/>
      <c r="M836" s="62"/>
      <c r="N836" s="62"/>
      <c r="O836" s="62"/>
      <c r="P836" s="62"/>
      <c r="Q836" s="62"/>
      <c r="R836" s="62"/>
      <c r="S836" s="62"/>
      <c r="T836" s="62"/>
      <c r="U836" s="62"/>
      <c r="V836" s="62"/>
      <c r="W836" s="62"/>
      <c r="X836" s="62"/>
      <c r="Y836" s="62"/>
      <c r="Z836" s="62"/>
      <c r="AA836" s="62"/>
      <c r="AB836" s="62"/>
      <c r="AC836" s="62"/>
    </row>
    <row r="837">
      <c r="A837" s="61"/>
      <c r="B837" s="61"/>
      <c r="C837" s="62"/>
      <c r="D837" s="62"/>
      <c r="E837" s="62"/>
      <c r="F837" s="62"/>
      <c r="G837" s="62"/>
      <c r="H837" s="190"/>
      <c r="I837" s="62"/>
      <c r="J837" s="62"/>
      <c r="K837" s="62"/>
      <c r="L837" s="62"/>
      <c r="M837" s="62"/>
      <c r="N837" s="62"/>
      <c r="O837" s="62"/>
      <c r="P837" s="62"/>
      <c r="Q837" s="62"/>
      <c r="R837" s="62"/>
      <c r="S837" s="62"/>
      <c r="T837" s="62"/>
      <c r="U837" s="62"/>
      <c r="V837" s="62"/>
      <c r="W837" s="62"/>
      <c r="X837" s="62"/>
      <c r="Y837" s="62"/>
      <c r="Z837" s="62"/>
      <c r="AA837" s="62"/>
      <c r="AB837" s="62"/>
      <c r="AC837" s="62"/>
    </row>
    <row r="838">
      <c r="A838" s="61"/>
      <c r="B838" s="61"/>
      <c r="C838" s="62"/>
      <c r="D838" s="62"/>
      <c r="E838" s="62"/>
      <c r="F838" s="62"/>
      <c r="G838" s="62"/>
      <c r="H838" s="190"/>
      <c r="I838" s="62"/>
      <c r="J838" s="62"/>
      <c r="K838" s="62"/>
      <c r="L838" s="62"/>
      <c r="M838" s="62"/>
      <c r="N838" s="62"/>
      <c r="O838" s="62"/>
      <c r="P838" s="62"/>
      <c r="Q838" s="62"/>
      <c r="R838" s="62"/>
      <c r="S838" s="62"/>
      <c r="T838" s="62"/>
      <c r="U838" s="62"/>
      <c r="V838" s="62"/>
      <c r="W838" s="62"/>
      <c r="X838" s="62"/>
      <c r="Y838" s="62"/>
      <c r="Z838" s="62"/>
      <c r="AA838" s="62"/>
      <c r="AB838" s="62"/>
      <c r="AC838" s="62"/>
    </row>
    <row r="839">
      <c r="A839" s="61"/>
      <c r="B839" s="61"/>
      <c r="C839" s="62"/>
      <c r="D839" s="62"/>
      <c r="E839" s="62"/>
      <c r="F839" s="62"/>
      <c r="G839" s="62"/>
      <c r="H839" s="190"/>
      <c r="I839" s="62"/>
      <c r="J839" s="62"/>
      <c r="K839" s="62"/>
      <c r="L839" s="62"/>
      <c r="M839" s="62"/>
      <c r="N839" s="62"/>
      <c r="O839" s="62"/>
      <c r="P839" s="62"/>
      <c r="Q839" s="62"/>
      <c r="R839" s="62"/>
      <c r="S839" s="62"/>
      <c r="T839" s="62"/>
      <c r="U839" s="62"/>
      <c r="V839" s="62"/>
      <c r="W839" s="62"/>
      <c r="X839" s="62"/>
      <c r="Y839" s="62"/>
      <c r="Z839" s="62"/>
      <c r="AA839" s="62"/>
      <c r="AB839" s="62"/>
      <c r="AC839" s="62"/>
    </row>
    <row r="840">
      <c r="A840" s="61"/>
      <c r="B840" s="61"/>
      <c r="C840" s="62"/>
      <c r="D840" s="62"/>
      <c r="E840" s="62"/>
      <c r="F840" s="62"/>
      <c r="G840" s="62"/>
      <c r="H840" s="190"/>
      <c r="I840" s="62"/>
      <c r="J840" s="62"/>
      <c r="K840" s="62"/>
      <c r="L840" s="62"/>
      <c r="M840" s="62"/>
      <c r="N840" s="62"/>
      <c r="O840" s="62"/>
      <c r="P840" s="62"/>
      <c r="Q840" s="62"/>
      <c r="R840" s="62"/>
      <c r="S840" s="62"/>
      <c r="T840" s="62"/>
      <c r="U840" s="62"/>
      <c r="V840" s="62"/>
      <c r="W840" s="62"/>
      <c r="X840" s="62"/>
      <c r="Y840" s="62"/>
      <c r="Z840" s="62"/>
      <c r="AA840" s="62"/>
      <c r="AB840" s="62"/>
      <c r="AC840" s="62"/>
    </row>
    <row r="841">
      <c r="A841" s="61"/>
      <c r="B841" s="61"/>
      <c r="C841" s="62"/>
      <c r="D841" s="62"/>
      <c r="E841" s="62"/>
      <c r="F841" s="62"/>
      <c r="G841" s="62"/>
      <c r="H841" s="190"/>
      <c r="I841" s="62"/>
      <c r="J841" s="62"/>
      <c r="K841" s="62"/>
      <c r="L841" s="62"/>
      <c r="M841" s="62"/>
      <c r="N841" s="62"/>
      <c r="O841" s="62"/>
      <c r="P841" s="62"/>
      <c r="Q841" s="62"/>
      <c r="R841" s="62"/>
      <c r="S841" s="62"/>
      <c r="T841" s="62"/>
      <c r="U841" s="62"/>
      <c r="V841" s="62"/>
      <c r="W841" s="62"/>
      <c r="X841" s="62"/>
      <c r="Y841" s="62"/>
      <c r="Z841" s="62"/>
      <c r="AA841" s="62"/>
      <c r="AB841" s="62"/>
      <c r="AC841" s="62"/>
    </row>
    <row r="842">
      <c r="A842" s="61"/>
      <c r="B842" s="61"/>
      <c r="C842" s="62"/>
      <c r="D842" s="62"/>
      <c r="E842" s="62"/>
      <c r="F842" s="62"/>
      <c r="G842" s="62"/>
      <c r="H842" s="190"/>
      <c r="I842" s="62"/>
      <c r="J842" s="62"/>
      <c r="K842" s="62"/>
      <c r="L842" s="62"/>
      <c r="M842" s="62"/>
      <c r="N842" s="62"/>
      <c r="O842" s="62"/>
      <c r="P842" s="62"/>
      <c r="Q842" s="62"/>
      <c r="R842" s="62"/>
      <c r="S842" s="62"/>
      <c r="T842" s="62"/>
      <c r="U842" s="62"/>
      <c r="V842" s="62"/>
      <c r="W842" s="62"/>
      <c r="X842" s="62"/>
      <c r="Y842" s="62"/>
      <c r="Z842" s="62"/>
      <c r="AA842" s="62"/>
      <c r="AB842" s="62"/>
      <c r="AC842" s="62"/>
    </row>
    <row r="843">
      <c r="A843" s="61"/>
      <c r="B843" s="61"/>
      <c r="C843" s="62"/>
      <c r="D843" s="62"/>
      <c r="E843" s="62"/>
      <c r="F843" s="62"/>
      <c r="G843" s="62"/>
      <c r="H843" s="190"/>
      <c r="I843" s="62"/>
      <c r="J843" s="62"/>
      <c r="K843" s="62"/>
      <c r="L843" s="62"/>
      <c r="M843" s="62"/>
      <c r="N843" s="62"/>
      <c r="O843" s="62"/>
      <c r="P843" s="62"/>
      <c r="Q843" s="62"/>
      <c r="R843" s="62"/>
      <c r="S843" s="62"/>
      <c r="T843" s="62"/>
      <c r="U843" s="62"/>
      <c r="V843" s="62"/>
      <c r="W843" s="62"/>
      <c r="X843" s="62"/>
      <c r="Y843" s="62"/>
      <c r="Z843" s="62"/>
      <c r="AA843" s="62"/>
      <c r="AB843" s="62"/>
      <c r="AC843" s="62"/>
    </row>
    <row r="844">
      <c r="A844" s="61"/>
      <c r="B844" s="61"/>
      <c r="C844" s="62"/>
      <c r="D844" s="62"/>
      <c r="E844" s="62"/>
      <c r="F844" s="62"/>
      <c r="G844" s="62"/>
      <c r="H844" s="190"/>
      <c r="I844" s="62"/>
      <c r="J844" s="62"/>
      <c r="K844" s="62"/>
      <c r="L844" s="62"/>
      <c r="M844" s="62"/>
      <c r="N844" s="62"/>
      <c r="O844" s="62"/>
      <c r="P844" s="62"/>
      <c r="Q844" s="62"/>
      <c r="R844" s="62"/>
      <c r="S844" s="62"/>
      <c r="T844" s="62"/>
      <c r="U844" s="62"/>
      <c r="V844" s="62"/>
      <c r="W844" s="62"/>
      <c r="X844" s="62"/>
      <c r="Y844" s="62"/>
      <c r="Z844" s="62"/>
      <c r="AA844" s="62"/>
      <c r="AB844" s="62"/>
      <c r="AC844" s="62"/>
    </row>
    <row r="845">
      <c r="A845" s="61"/>
      <c r="B845" s="61"/>
      <c r="C845" s="62"/>
      <c r="D845" s="62"/>
      <c r="E845" s="62"/>
      <c r="F845" s="62"/>
      <c r="G845" s="62"/>
      <c r="H845" s="190"/>
      <c r="I845" s="62"/>
      <c r="J845" s="62"/>
      <c r="K845" s="62"/>
      <c r="L845" s="62"/>
      <c r="M845" s="62"/>
      <c r="N845" s="62"/>
      <c r="O845" s="62"/>
      <c r="P845" s="62"/>
      <c r="Q845" s="62"/>
      <c r="R845" s="62"/>
      <c r="S845" s="62"/>
      <c r="T845" s="62"/>
      <c r="U845" s="62"/>
      <c r="V845" s="62"/>
      <c r="W845" s="62"/>
      <c r="X845" s="62"/>
      <c r="Y845" s="62"/>
      <c r="Z845" s="62"/>
      <c r="AA845" s="62"/>
      <c r="AB845" s="62"/>
      <c r="AC845" s="62"/>
    </row>
    <row r="846">
      <c r="A846" s="61"/>
      <c r="B846" s="61"/>
      <c r="C846" s="62"/>
      <c r="D846" s="62"/>
      <c r="E846" s="62"/>
      <c r="F846" s="62"/>
      <c r="G846" s="62"/>
      <c r="H846" s="190"/>
      <c r="I846" s="62"/>
      <c r="J846" s="62"/>
      <c r="K846" s="62"/>
      <c r="L846" s="62"/>
      <c r="M846" s="62"/>
      <c r="N846" s="62"/>
      <c r="O846" s="62"/>
      <c r="P846" s="62"/>
      <c r="Q846" s="62"/>
      <c r="R846" s="62"/>
      <c r="S846" s="62"/>
      <c r="T846" s="62"/>
      <c r="U846" s="62"/>
      <c r="V846" s="62"/>
      <c r="W846" s="62"/>
      <c r="X846" s="62"/>
      <c r="Y846" s="62"/>
      <c r="Z846" s="62"/>
      <c r="AA846" s="62"/>
      <c r="AB846" s="62"/>
      <c r="AC846" s="62"/>
    </row>
    <row r="847">
      <c r="A847" s="61"/>
      <c r="B847" s="61"/>
      <c r="C847" s="62"/>
      <c r="D847" s="62"/>
      <c r="E847" s="62"/>
      <c r="F847" s="62"/>
      <c r="G847" s="62"/>
      <c r="H847" s="190"/>
      <c r="I847" s="62"/>
      <c r="J847" s="62"/>
      <c r="K847" s="62"/>
      <c r="L847" s="62"/>
      <c r="M847" s="62"/>
      <c r="N847" s="62"/>
      <c r="O847" s="62"/>
      <c r="P847" s="62"/>
      <c r="Q847" s="62"/>
      <c r="R847" s="62"/>
      <c r="S847" s="62"/>
      <c r="T847" s="62"/>
      <c r="U847" s="62"/>
      <c r="V847" s="62"/>
      <c r="W847" s="62"/>
      <c r="X847" s="62"/>
      <c r="Y847" s="62"/>
      <c r="Z847" s="62"/>
      <c r="AA847" s="62"/>
      <c r="AB847" s="62"/>
      <c r="AC847" s="62"/>
    </row>
    <row r="848">
      <c r="A848" s="61"/>
      <c r="B848" s="61"/>
      <c r="C848" s="62"/>
      <c r="D848" s="62"/>
      <c r="E848" s="62"/>
      <c r="F848" s="62"/>
      <c r="G848" s="62"/>
      <c r="H848" s="190"/>
      <c r="I848" s="62"/>
      <c r="J848" s="62"/>
      <c r="K848" s="62"/>
      <c r="L848" s="62"/>
      <c r="M848" s="62"/>
      <c r="N848" s="62"/>
      <c r="O848" s="62"/>
      <c r="P848" s="62"/>
      <c r="Q848" s="62"/>
      <c r="R848" s="62"/>
      <c r="S848" s="62"/>
      <c r="T848" s="62"/>
      <c r="U848" s="62"/>
      <c r="V848" s="62"/>
      <c r="W848" s="62"/>
      <c r="X848" s="62"/>
      <c r="Y848" s="62"/>
      <c r="Z848" s="62"/>
      <c r="AA848" s="62"/>
      <c r="AB848" s="62"/>
      <c r="AC848" s="62"/>
    </row>
    <row r="849">
      <c r="A849" s="61"/>
      <c r="B849" s="61"/>
      <c r="C849" s="62"/>
      <c r="D849" s="62"/>
      <c r="E849" s="62"/>
      <c r="F849" s="62"/>
      <c r="G849" s="62"/>
      <c r="H849" s="190"/>
      <c r="I849" s="62"/>
      <c r="J849" s="62"/>
      <c r="K849" s="62"/>
      <c r="L849" s="62"/>
      <c r="M849" s="62"/>
      <c r="N849" s="62"/>
      <c r="O849" s="62"/>
      <c r="P849" s="62"/>
      <c r="Q849" s="62"/>
      <c r="R849" s="62"/>
      <c r="S849" s="62"/>
      <c r="T849" s="62"/>
      <c r="U849" s="62"/>
      <c r="V849" s="62"/>
      <c r="W849" s="62"/>
      <c r="X849" s="62"/>
      <c r="Y849" s="62"/>
      <c r="Z849" s="62"/>
      <c r="AA849" s="62"/>
      <c r="AB849" s="62"/>
      <c r="AC849" s="62"/>
    </row>
    <row r="850">
      <c r="A850" s="61"/>
      <c r="B850" s="61"/>
      <c r="C850" s="62"/>
      <c r="D850" s="62"/>
      <c r="E850" s="62"/>
      <c r="F850" s="62"/>
      <c r="G850" s="62"/>
      <c r="H850" s="190"/>
      <c r="I850" s="62"/>
      <c r="J850" s="62"/>
      <c r="K850" s="62"/>
      <c r="L850" s="62"/>
      <c r="M850" s="62"/>
      <c r="N850" s="62"/>
      <c r="O850" s="62"/>
      <c r="P850" s="62"/>
      <c r="Q850" s="62"/>
      <c r="R850" s="62"/>
      <c r="S850" s="62"/>
      <c r="T850" s="62"/>
      <c r="U850" s="62"/>
      <c r="V850" s="62"/>
      <c r="W850" s="62"/>
      <c r="X850" s="62"/>
      <c r="Y850" s="62"/>
      <c r="Z850" s="62"/>
      <c r="AA850" s="62"/>
      <c r="AB850" s="62"/>
      <c r="AC850" s="62"/>
    </row>
    <row r="851">
      <c r="A851" s="61"/>
      <c r="B851" s="61"/>
      <c r="C851" s="62"/>
      <c r="D851" s="62"/>
      <c r="E851" s="62"/>
      <c r="F851" s="62"/>
      <c r="G851" s="62"/>
      <c r="H851" s="190"/>
      <c r="I851" s="62"/>
      <c r="J851" s="62"/>
      <c r="K851" s="62"/>
      <c r="L851" s="62"/>
      <c r="M851" s="62"/>
      <c r="N851" s="62"/>
      <c r="O851" s="62"/>
      <c r="P851" s="62"/>
      <c r="Q851" s="62"/>
      <c r="R851" s="62"/>
      <c r="S851" s="62"/>
      <c r="T851" s="62"/>
      <c r="U851" s="62"/>
      <c r="V851" s="62"/>
      <c r="W851" s="62"/>
      <c r="X851" s="62"/>
      <c r="Y851" s="62"/>
      <c r="Z851" s="62"/>
      <c r="AA851" s="62"/>
      <c r="AB851" s="62"/>
      <c r="AC851" s="62"/>
    </row>
    <row r="852">
      <c r="A852" s="61"/>
      <c r="B852" s="61"/>
      <c r="C852" s="62"/>
      <c r="D852" s="62"/>
      <c r="E852" s="62"/>
      <c r="F852" s="62"/>
      <c r="G852" s="62"/>
      <c r="H852" s="190"/>
      <c r="I852" s="62"/>
      <c r="J852" s="62"/>
      <c r="K852" s="62"/>
      <c r="L852" s="62"/>
      <c r="M852" s="62"/>
      <c r="N852" s="62"/>
      <c r="O852" s="62"/>
      <c r="P852" s="62"/>
      <c r="Q852" s="62"/>
      <c r="R852" s="62"/>
      <c r="S852" s="62"/>
      <c r="T852" s="62"/>
      <c r="U852" s="62"/>
      <c r="V852" s="62"/>
      <c r="W852" s="62"/>
      <c r="X852" s="62"/>
      <c r="Y852" s="62"/>
      <c r="Z852" s="62"/>
      <c r="AA852" s="62"/>
      <c r="AB852" s="62"/>
      <c r="AC852" s="62"/>
    </row>
    <row r="853">
      <c r="A853" s="61"/>
      <c r="B853" s="61"/>
      <c r="C853" s="62"/>
      <c r="D853" s="62"/>
      <c r="E853" s="62"/>
      <c r="F853" s="62"/>
      <c r="G853" s="62"/>
      <c r="H853" s="190"/>
      <c r="I853" s="62"/>
      <c r="J853" s="62"/>
      <c r="K853" s="62"/>
      <c r="L853" s="62"/>
      <c r="M853" s="62"/>
      <c r="N853" s="62"/>
      <c r="O853" s="62"/>
      <c r="P853" s="62"/>
      <c r="Q853" s="62"/>
      <c r="R853" s="62"/>
      <c r="S853" s="62"/>
      <c r="T853" s="62"/>
      <c r="U853" s="62"/>
      <c r="V853" s="62"/>
      <c r="W853" s="62"/>
      <c r="X853" s="62"/>
      <c r="Y853" s="62"/>
      <c r="Z853" s="62"/>
      <c r="AA853" s="62"/>
      <c r="AB853" s="62"/>
      <c r="AC853" s="62"/>
    </row>
    <row r="854">
      <c r="A854" s="61"/>
      <c r="B854" s="61"/>
      <c r="C854" s="62"/>
      <c r="D854" s="62"/>
      <c r="E854" s="62"/>
      <c r="F854" s="62"/>
      <c r="G854" s="62"/>
      <c r="H854" s="190"/>
      <c r="I854" s="62"/>
      <c r="J854" s="62"/>
      <c r="K854" s="62"/>
      <c r="L854" s="62"/>
      <c r="M854" s="62"/>
      <c r="N854" s="62"/>
      <c r="O854" s="62"/>
      <c r="P854" s="62"/>
      <c r="Q854" s="62"/>
      <c r="R854" s="62"/>
      <c r="S854" s="62"/>
      <c r="T854" s="62"/>
      <c r="U854" s="62"/>
      <c r="V854" s="62"/>
      <c r="W854" s="62"/>
      <c r="X854" s="62"/>
      <c r="Y854" s="62"/>
      <c r="Z854" s="62"/>
      <c r="AA854" s="62"/>
      <c r="AB854" s="62"/>
      <c r="AC854" s="62"/>
    </row>
    <row r="855">
      <c r="A855" s="61"/>
      <c r="B855" s="61"/>
      <c r="C855" s="62"/>
      <c r="D855" s="62"/>
      <c r="E855" s="62"/>
      <c r="F855" s="62"/>
      <c r="G855" s="62"/>
      <c r="H855" s="190"/>
      <c r="I855" s="62"/>
      <c r="J855" s="62"/>
      <c r="K855" s="62"/>
      <c r="L855" s="62"/>
      <c r="M855" s="62"/>
      <c r="N855" s="62"/>
      <c r="O855" s="62"/>
      <c r="P855" s="62"/>
      <c r="Q855" s="62"/>
      <c r="R855" s="62"/>
      <c r="S855" s="62"/>
      <c r="T855" s="62"/>
      <c r="U855" s="62"/>
      <c r="V855" s="62"/>
      <c r="W855" s="62"/>
      <c r="X855" s="62"/>
      <c r="Y855" s="62"/>
      <c r="Z855" s="62"/>
      <c r="AA855" s="62"/>
      <c r="AB855" s="62"/>
      <c r="AC855" s="62"/>
    </row>
    <row r="856">
      <c r="A856" s="61"/>
      <c r="B856" s="61"/>
      <c r="C856" s="62"/>
      <c r="D856" s="62"/>
      <c r="E856" s="62"/>
      <c r="F856" s="62"/>
      <c r="G856" s="62"/>
      <c r="H856" s="190"/>
      <c r="I856" s="62"/>
      <c r="J856" s="62"/>
      <c r="K856" s="62"/>
      <c r="L856" s="62"/>
      <c r="M856" s="62"/>
      <c r="N856" s="62"/>
      <c r="O856" s="62"/>
      <c r="P856" s="62"/>
      <c r="Q856" s="62"/>
      <c r="R856" s="62"/>
      <c r="S856" s="62"/>
      <c r="T856" s="62"/>
      <c r="U856" s="62"/>
      <c r="V856" s="62"/>
      <c r="W856" s="62"/>
      <c r="X856" s="62"/>
      <c r="Y856" s="62"/>
      <c r="Z856" s="62"/>
      <c r="AA856" s="62"/>
      <c r="AB856" s="62"/>
      <c r="AC856" s="62"/>
    </row>
    <row r="857">
      <c r="A857" s="61"/>
      <c r="B857" s="61"/>
      <c r="C857" s="62"/>
      <c r="D857" s="62"/>
      <c r="E857" s="62"/>
      <c r="F857" s="62"/>
      <c r="G857" s="62"/>
      <c r="H857" s="190"/>
      <c r="I857" s="62"/>
      <c r="J857" s="62"/>
      <c r="K857" s="62"/>
      <c r="L857" s="62"/>
      <c r="M857" s="62"/>
      <c r="N857" s="62"/>
      <c r="O857" s="62"/>
      <c r="P857" s="62"/>
      <c r="Q857" s="62"/>
      <c r="R857" s="62"/>
      <c r="S857" s="62"/>
      <c r="T857" s="62"/>
      <c r="U857" s="62"/>
      <c r="V857" s="62"/>
      <c r="W857" s="62"/>
      <c r="X857" s="62"/>
      <c r="Y857" s="62"/>
      <c r="Z857" s="62"/>
      <c r="AA857" s="62"/>
      <c r="AB857" s="62"/>
      <c r="AC857" s="62"/>
    </row>
    <row r="858">
      <c r="A858" s="61"/>
      <c r="B858" s="61"/>
      <c r="C858" s="62"/>
      <c r="D858" s="62"/>
      <c r="E858" s="62"/>
      <c r="F858" s="62"/>
      <c r="G858" s="62"/>
      <c r="H858" s="190"/>
      <c r="I858" s="62"/>
      <c r="J858" s="62"/>
      <c r="K858" s="62"/>
      <c r="L858" s="62"/>
      <c r="M858" s="62"/>
      <c r="N858" s="62"/>
      <c r="O858" s="62"/>
      <c r="P858" s="62"/>
      <c r="Q858" s="62"/>
      <c r="R858" s="62"/>
      <c r="S858" s="62"/>
      <c r="T858" s="62"/>
      <c r="U858" s="62"/>
      <c r="V858" s="62"/>
      <c r="W858" s="62"/>
      <c r="X858" s="62"/>
      <c r="Y858" s="62"/>
      <c r="Z858" s="62"/>
      <c r="AA858" s="62"/>
      <c r="AB858" s="62"/>
      <c r="AC858" s="62"/>
    </row>
    <row r="859">
      <c r="A859" s="61"/>
      <c r="B859" s="61"/>
      <c r="C859" s="62"/>
      <c r="D859" s="62"/>
      <c r="E859" s="62"/>
      <c r="F859" s="62"/>
      <c r="G859" s="62"/>
      <c r="H859" s="190"/>
      <c r="I859" s="62"/>
      <c r="J859" s="62"/>
      <c r="K859" s="62"/>
      <c r="L859" s="62"/>
      <c r="M859" s="62"/>
      <c r="N859" s="62"/>
      <c r="O859" s="62"/>
      <c r="P859" s="62"/>
      <c r="Q859" s="62"/>
      <c r="R859" s="62"/>
      <c r="S859" s="62"/>
      <c r="T859" s="62"/>
      <c r="U859" s="62"/>
      <c r="V859" s="62"/>
      <c r="W859" s="62"/>
      <c r="X859" s="62"/>
      <c r="Y859" s="62"/>
      <c r="Z859" s="62"/>
      <c r="AA859" s="62"/>
      <c r="AB859" s="62"/>
      <c r="AC859" s="62"/>
    </row>
    <row r="860">
      <c r="A860" s="61"/>
      <c r="B860" s="61"/>
      <c r="C860" s="62"/>
      <c r="D860" s="62"/>
      <c r="E860" s="62"/>
      <c r="F860" s="62"/>
      <c r="G860" s="62"/>
      <c r="H860" s="190"/>
      <c r="I860" s="62"/>
      <c r="J860" s="62"/>
      <c r="K860" s="62"/>
      <c r="L860" s="62"/>
      <c r="M860" s="62"/>
      <c r="N860" s="62"/>
      <c r="O860" s="62"/>
      <c r="P860" s="62"/>
      <c r="Q860" s="62"/>
      <c r="R860" s="62"/>
      <c r="S860" s="62"/>
      <c r="T860" s="62"/>
      <c r="U860" s="62"/>
      <c r="V860" s="62"/>
      <c r="W860" s="62"/>
      <c r="X860" s="62"/>
      <c r="Y860" s="62"/>
      <c r="Z860" s="62"/>
      <c r="AA860" s="62"/>
      <c r="AB860" s="62"/>
      <c r="AC860" s="62"/>
    </row>
    <row r="861">
      <c r="A861" s="61"/>
      <c r="B861" s="61"/>
      <c r="C861" s="62"/>
      <c r="D861" s="62"/>
      <c r="E861" s="62"/>
      <c r="F861" s="62"/>
      <c r="G861" s="62"/>
      <c r="H861" s="190"/>
      <c r="I861" s="62"/>
      <c r="J861" s="62"/>
      <c r="K861" s="62"/>
      <c r="L861" s="62"/>
      <c r="M861" s="62"/>
      <c r="N861" s="62"/>
      <c r="O861" s="62"/>
      <c r="P861" s="62"/>
      <c r="Q861" s="62"/>
      <c r="R861" s="62"/>
      <c r="S861" s="62"/>
      <c r="T861" s="62"/>
      <c r="U861" s="62"/>
      <c r="V861" s="62"/>
      <c r="W861" s="62"/>
      <c r="X861" s="62"/>
      <c r="Y861" s="62"/>
      <c r="Z861" s="62"/>
      <c r="AA861" s="62"/>
      <c r="AB861" s="62"/>
      <c r="AC861" s="62"/>
    </row>
    <row r="862">
      <c r="A862" s="61"/>
      <c r="B862" s="61"/>
      <c r="C862" s="62"/>
      <c r="D862" s="62"/>
      <c r="E862" s="62"/>
      <c r="F862" s="62"/>
      <c r="G862" s="62"/>
      <c r="H862" s="190"/>
      <c r="I862" s="62"/>
      <c r="J862" s="62"/>
      <c r="K862" s="62"/>
      <c r="L862" s="62"/>
      <c r="M862" s="62"/>
      <c r="N862" s="62"/>
      <c r="O862" s="62"/>
      <c r="P862" s="62"/>
      <c r="Q862" s="62"/>
      <c r="R862" s="62"/>
      <c r="S862" s="62"/>
      <c r="T862" s="62"/>
      <c r="U862" s="62"/>
      <c r="V862" s="62"/>
      <c r="W862" s="62"/>
      <c r="X862" s="62"/>
      <c r="Y862" s="62"/>
      <c r="Z862" s="62"/>
      <c r="AA862" s="62"/>
      <c r="AB862" s="62"/>
      <c r="AC862" s="62"/>
    </row>
    <row r="863">
      <c r="A863" s="61"/>
      <c r="B863" s="61"/>
      <c r="C863" s="62"/>
      <c r="D863" s="62"/>
      <c r="E863" s="62"/>
      <c r="F863" s="62"/>
      <c r="G863" s="62"/>
      <c r="H863" s="190"/>
      <c r="I863" s="62"/>
      <c r="J863" s="62"/>
      <c r="K863" s="62"/>
      <c r="L863" s="62"/>
      <c r="M863" s="62"/>
      <c r="N863" s="62"/>
      <c r="O863" s="62"/>
      <c r="P863" s="62"/>
      <c r="Q863" s="62"/>
      <c r="R863" s="62"/>
      <c r="S863" s="62"/>
      <c r="T863" s="62"/>
      <c r="U863" s="62"/>
      <c r="V863" s="62"/>
      <c r="W863" s="62"/>
      <c r="X863" s="62"/>
      <c r="Y863" s="62"/>
      <c r="Z863" s="62"/>
      <c r="AA863" s="62"/>
      <c r="AB863" s="62"/>
      <c r="AC863" s="62"/>
    </row>
    <row r="864">
      <c r="A864" s="61"/>
      <c r="B864" s="61"/>
      <c r="C864" s="62"/>
      <c r="D864" s="62"/>
      <c r="E864" s="62"/>
      <c r="F864" s="62"/>
      <c r="G864" s="62"/>
      <c r="H864" s="190"/>
      <c r="I864" s="62"/>
      <c r="J864" s="62"/>
      <c r="K864" s="62"/>
      <c r="L864" s="62"/>
      <c r="M864" s="62"/>
      <c r="N864" s="62"/>
      <c r="O864" s="62"/>
      <c r="P864" s="62"/>
      <c r="Q864" s="62"/>
      <c r="R864" s="62"/>
      <c r="S864" s="62"/>
      <c r="T864" s="62"/>
      <c r="U864" s="62"/>
      <c r="V864" s="62"/>
      <c r="W864" s="62"/>
      <c r="X864" s="62"/>
      <c r="Y864" s="62"/>
      <c r="Z864" s="62"/>
      <c r="AA864" s="62"/>
      <c r="AB864" s="62"/>
      <c r="AC864" s="62"/>
    </row>
    <row r="865">
      <c r="A865" s="61"/>
      <c r="B865" s="61"/>
      <c r="C865" s="62"/>
      <c r="D865" s="62"/>
      <c r="E865" s="62"/>
      <c r="F865" s="62"/>
      <c r="G865" s="62"/>
      <c r="H865" s="190"/>
      <c r="I865" s="62"/>
      <c r="J865" s="62"/>
      <c r="K865" s="62"/>
      <c r="L865" s="62"/>
      <c r="M865" s="62"/>
      <c r="N865" s="62"/>
      <c r="O865" s="62"/>
      <c r="P865" s="62"/>
      <c r="Q865" s="62"/>
      <c r="R865" s="62"/>
      <c r="S865" s="62"/>
      <c r="T865" s="62"/>
      <c r="U865" s="62"/>
      <c r="V865" s="62"/>
      <c r="W865" s="62"/>
      <c r="X865" s="62"/>
      <c r="Y865" s="62"/>
      <c r="Z865" s="62"/>
      <c r="AA865" s="62"/>
      <c r="AB865" s="62"/>
      <c r="AC865" s="62"/>
    </row>
    <row r="866">
      <c r="A866" s="61"/>
      <c r="B866" s="61"/>
      <c r="C866" s="62"/>
      <c r="D866" s="62"/>
      <c r="E866" s="62"/>
      <c r="F866" s="62"/>
      <c r="G866" s="62"/>
      <c r="H866" s="190"/>
      <c r="I866" s="62"/>
      <c r="J866" s="62"/>
      <c r="K866" s="62"/>
      <c r="L866" s="62"/>
      <c r="M866" s="62"/>
      <c r="N866" s="62"/>
      <c r="O866" s="62"/>
      <c r="P866" s="62"/>
      <c r="Q866" s="62"/>
      <c r="R866" s="62"/>
      <c r="S866" s="62"/>
      <c r="T866" s="62"/>
      <c r="U866" s="62"/>
      <c r="V866" s="62"/>
      <c r="W866" s="62"/>
      <c r="X866" s="62"/>
      <c r="Y866" s="62"/>
      <c r="Z866" s="62"/>
      <c r="AA866" s="62"/>
      <c r="AB866" s="62"/>
      <c r="AC866" s="62"/>
    </row>
    <row r="867">
      <c r="A867" s="61"/>
      <c r="B867" s="61"/>
      <c r="C867" s="62"/>
      <c r="D867" s="62"/>
      <c r="E867" s="62"/>
      <c r="F867" s="62"/>
      <c r="G867" s="62"/>
      <c r="H867" s="190"/>
      <c r="I867" s="62"/>
      <c r="J867" s="62"/>
      <c r="K867" s="62"/>
      <c r="L867" s="62"/>
      <c r="M867" s="62"/>
      <c r="N867" s="62"/>
      <c r="O867" s="62"/>
      <c r="P867" s="62"/>
      <c r="Q867" s="62"/>
      <c r="R867" s="62"/>
      <c r="S867" s="62"/>
      <c r="T867" s="62"/>
      <c r="U867" s="62"/>
      <c r="V867" s="62"/>
      <c r="W867" s="62"/>
      <c r="X867" s="62"/>
      <c r="Y867" s="62"/>
      <c r="Z867" s="62"/>
      <c r="AA867" s="62"/>
      <c r="AB867" s="62"/>
      <c r="AC867" s="62"/>
    </row>
    <row r="868">
      <c r="A868" s="61"/>
      <c r="B868" s="61"/>
      <c r="C868" s="62"/>
      <c r="D868" s="62"/>
      <c r="E868" s="62"/>
      <c r="F868" s="62"/>
      <c r="G868" s="62"/>
      <c r="H868" s="190"/>
      <c r="I868" s="62"/>
      <c r="J868" s="62"/>
      <c r="K868" s="62"/>
      <c r="L868" s="62"/>
      <c r="M868" s="62"/>
      <c r="N868" s="62"/>
      <c r="O868" s="62"/>
      <c r="P868" s="62"/>
      <c r="Q868" s="62"/>
      <c r="R868" s="62"/>
      <c r="S868" s="62"/>
      <c r="T868" s="62"/>
      <c r="U868" s="62"/>
      <c r="V868" s="62"/>
      <c r="W868" s="62"/>
      <c r="X868" s="62"/>
      <c r="Y868" s="62"/>
      <c r="Z868" s="62"/>
      <c r="AA868" s="62"/>
      <c r="AB868" s="62"/>
      <c r="AC868" s="62"/>
    </row>
    <row r="869">
      <c r="A869" s="61"/>
      <c r="B869" s="61"/>
      <c r="C869" s="62"/>
      <c r="D869" s="62"/>
      <c r="E869" s="62"/>
      <c r="F869" s="62"/>
      <c r="G869" s="62"/>
      <c r="H869" s="190"/>
      <c r="I869" s="62"/>
      <c r="J869" s="62"/>
      <c r="K869" s="62"/>
      <c r="L869" s="62"/>
      <c r="M869" s="62"/>
      <c r="N869" s="62"/>
      <c r="O869" s="62"/>
      <c r="P869" s="62"/>
      <c r="Q869" s="62"/>
      <c r="R869" s="62"/>
      <c r="S869" s="62"/>
      <c r="T869" s="62"/>
      <c r="U869" s="62"/>
      <c r="V869" s="62"/>
      <c r="W869" s="62"/>
      <c r="X869" s="62"/>
      <c r="Y869" s="62"/>
      <c r="Z869" s="62"/>
      <c r="AA869" s="62"/>
      <c r="AB869" s="62"/>
      <c r="AC869" s="62"/>
    </row>
    <row r="870">
      <c r="A870" s="61"/>
      <c r="B870" s="61"/>
      <c r="C870" s="62"/>
      <c r="D870" s="62"/>
      <c r="E870" s="62"/>
      <c r="F870" s="62"/>
      <c r="G870" s="62"/>
      <c r="H870" s="190"/>
      <c r="I870" s="62"/>
      <c r="J870" s="62"/>
      <c r="K870" s="62"/>
      <c r="L870" s="62"/>
      <c r="M870" s="62"/>
      <c r="N870" s="62"/>
      <c r="O870" s="62"/>
      <c r="P870" s="62"/>
      <c r="Q870" s="62"/>
      <c r="R870" s="62"/>
      <c r="S870" s="62"/>
      <c r="T870" s="62"/>
      <c r="U870" s="62"/>
      <c r="V870" s="62"/>
      <c r="W870" s="62"/>
      <c r="X870" s="62"/>
      <c r="Y870" s="62"/>
      <c r="Z870" s="62"/>
      <c r="AA870" s="62"/>
      <c r="AB870" s="62"/>
      <c r="AC870" s="62"/>
    </row>
    <row r="871">
      <c r="A871" s="61"/>
      <c r="B871" s="61"/>
      <c r="C871" s="62"/>
      <c r="D871" s="62"/>
      <c r="E871" s="62"/>
      <c r="F871" s="62"/>
      <c r="G871" s="62"/>
      <c r="H871" s="190"/>
      <c r="I871" s="62"/>
      <c r="J871" s="62"/>
      <c r="K871" s="62"/>
      <c r="L871" s="62"/>
      <c r="M871" s="62"/>
      <c r="N871" s="62"/>
      <c r="O871" s="62"/>
      <c r="P871" s="62"/>
      <c r="Q871" s="62"/>
      <c r="R871" s="62"/>
      <c r="S871" s="62"/>
      <c r="T871" s="62"/>
      <c r="U871" s="62"/>
      <c r="V871" s="62"/>
      <c r="W871" s="62"/>
      <c r="X871" s="62"/>
      <c r="Y871" s="62"/>
      <c r="Z871" s="62"/>
      <c r="AA871" s="62"/>
      <c r="AB871" s="62"/>
      <c r="AC871" s="62"/>
    </row>
    <row r="872">
      <c r="A872" s="61"/>
      <c r="B872" s="61"/>
      <c r="C872" s="62"/>
      <c r="D872" s="62"/>
      <c r="E872" s="62"/>
      <c r="F872" s="62"/>
      <c r="G872" s="62"/>
      <c r="H872" s="190"/>
      <c r="I872" s="62"/>
      <c r="J872" s="62"/>
      <c r="K872" s="62"/>
      <c r="L872" s="62"/>
      <c r="M872" s="62"/>
      <c r="N872" s="62"/>
      <c r="O872" s="62"/>
      <c r="P872" s="62"/>
      <c r="Q872" s="62"/>
      <c r="R872" s="62"/>
      <c r="S872" s="62"/>
      <c r="T872" s="62"/>
      <c r="U872" s="62"/>
      <c r="V872" s="62"/>
      <c r="W872" s="62"/>
      <c r="X872" s="62"/>
      <c r="Y872" s="62"/>
      <c r="Z872" s="62"/>
      <c r="AA872" s="62"/>
      <c r="AB872" s="62"/>
      <c r="AC872" s="62"/>
    </row>
    <row r="873">
      <c r="A873" s="61"/>
      <c r="B873" s="61"/>
      <c r="C873" s="62"/>
      <c r="D873" s="62"/>
      <c r="E873" s="62"/>
      <c r="F873" s="62"/>
      <c r="G873" s="62"/>
      <c r="H873" s="190"/>
      <c r="I873" s="62"/>
      <c r="J873" s="62"/>
      <c r="K873" s="62"/>
      <c r="L873" s="62"/>
      <c r="M873" s="62"/>
      <c r="N873" s="62"/>
      <c r="O873" s="62"/>
      <c r="P873" s="62"/>
      <c r="Q873" s="62"/>
      <c r="R873" s="62"/>
      <c r="S873" s="62"/>
      <c r="T873" s="62"/>
      <c r="U873" s="62"/>
      <c r="V873" s="62"/>
      <c r="W873" s="62"/>
      <c r="X873" s="62"/>
      <c r="Y873" s="62"/>
      <c r="Z873" s="62"/>
      <c r="AA873" s="62"/>
      <c r="AB873" s="62"/>
      <c r="AC873" s="62"/>
    </row>
    <row r="874">
      <c r="A874" s="61"/>
      <c r="B874" s="61"/>
      <c r="C874" s="62"/>
      <c r="D874" s="62"/>
      <c r="E874" s="62"/>
      <c r="F874" s="62"/>
      <c r="G874" s="62"/>
      <c r="H874" s="190"/>
      <c r="I874" s="62"/>
      <c r="J874" s="62"/>
      <c r="K874" s="62"/>
      <c r="L874" s="62"/>
      <c r="M874" s="62"/>
      <c r="N874" s="62"/>
      <c r="O874" s="62"/>
      <c r="P874" s="62"/>
      <c r="Q874" s="62"/>
      <c r="R874" s="62"/>
      <c r="S874" s="62"/>
      <c r="T874" s="62"/>
      <c r="U874" s="62"/>
      <c r="V874" s="62"/>
      <c r="W874" s="62"/>
      <c r="X874" s="62"/>
      <c r="Y874" s="62"/>
      <c r="Z874" s="62"/>
      <c r="AA874" s="62"/>
      <c r="AB874" s="62"/>
      <c r="AC874" s="62"/>
    </row>
    <row r="875">
      <c r="A875" s="61"/>
      <c r="B875" s="61"/>
      <c r="C875" s="62"/>
      <c r="D875" s="62"/>
      <c r="E875" s="62"/>
      <c r="F875" s="62"/>
      <c r="G875" s="62"/>
      <c r="H875" s="190"/>
      <c r="I875" s="62"/>
      <c r="J875" s="62"/>
      <c r="K875" s="62"/>
      <c r="L875" s="62"/>
      <c r="M875" s="62"/>
      <c r="N875" s="62"/>
      <c r="O875" s="62"/>
      <c r="P875" s="62"/>
      <c r="Q875" s="62"/>
      <c r="R875" s="62"/>
      <c r="S875" s="62"/>
      <c r="T875" s="62"/>
      <c r="U875" s="62"/>
      <c r="V875" s="62"/>
      <c r="W875" s="62"/>
      <c r="X875" s="62"/>
      <c r="Y875" s="62"/>
      <c r="Z875" s="62"/>
      <c r="AA875" s="62"/>
      <c r="AB875" s="62"/>
      <c r="AC875" s="62"/>
    </row>
    <row r="876">
      <c r="A876" s="61"/>
      <c r="B876" s="61"/>
      <c r="C876" s="62"/>
      <c r="D876" s="62"/>
      <c r="E876" s="62"/>
      <c r="F876" s="62"/>
      <c r="G876" s="62"/>
      <c r="H876" s="190"/>
      <c r="I876" s="62"/>
      <c r="J876" s="62"/>
      <c r="K876" s="62"/>
      <c r="L876" s="62"/>
      <c r="M876" s="62"/>
      <c r="N876" s="62"/>
      <c r="O876" s="62"/>
      <c r="P876" s="62"/>
      <c r="Q876" s="62"/>
      <c r="R876" s="62"/>
      <c r="S876" s="62"/>
      <c r="T876" s="62"/>
      <c r="U876" s="62"/>
      <c r="V876" s="62"/>
      <c r="W876" s="62"/>
      <c r="X876" s="62"/>
      <c r="Y876" s="62"/>
      <c r="Z876" s="62"/>
      <c r="AA876" s="62"/>
      <c r="AB876" s="62"/>
      <c r="AC876" s="62"/>
    </row>
    <row r="877">
      <c r="A877" s="61"/>
      <c r="B877" s="61"/>
      <c r="C877" s="62"/>
      <c r="D877" s="62"/>
      <c r="E877" s="62"/>
      <c r="F877" s="62"/>
      <c r="G877" s="62"/>
      <c r="H877" s="190"/>
      <c r="I877" s="62"/>
      <c r="J877" s="62"/>
      <c r="K877" s="62"/>
      <c r="L877" s="62"/>
      <c r="M877" s="62"/>
      <c r="N877" s="62"/>
      <c r="O877" s="62"/>
      <c r="P877" s="62"/>
      <c r="Q877" s="62"/>
      <c r="R877" s="62"/>
      <c r="S877" s="62"/>
      <c r="T877" s="62"/>
      <c r="U877" s="62"/>
      <c r="V877" s="62"/>
      <c r="W877" s="62"/>
      <c r="X877" s="62"/>
      <c r="Y877" s="62"/>
      <c r="Z877" s="62"/>
      <c r="AA877" s="62"/>
      <c r="AB877" s="62"/>
      <c r="AC877" s="62"/>
    </row>
    <row r="878">
      <c r="A878" s="61"/>
      <c r="B878" s="61"/>
      <c r="C878" s="62"/>
      <c r="D878" s="62"/>
      <c r="E878" s="62"/>
      <c r="F878" s="62"/>
      <c r="G878" s="62"/>
      <c r="H878" s="190"/>
      <c r="I878" s="62"/>
      <c r="J878" s="62"/>
      <c r="K878" s="62"/>
      <c r="L878" s="62"/>
      <c r="M878" s="62"/>
      <c r="N878" s="62"/>
      <c r="O878" s="62"/>
      <c r="P878" s="62"/>
      <c r="Q878" s="62"/>
      <c r="R878" s="62"/>
      <c r="S878" s="62"/>
      <c r="T878" s="62"/>
      <c r="U878" s="62"/>
      <c r="V878" s="62"/>
      <c r="W878" s="62"/>
      <c r="X878" s="62"/>
      <c r="Y878" s="62"/>
      <c r="Z878" s="62"/>
      <c r="AA878" s="62"/>
      <c r="AB878" s="62"/>
      <c r="AC878" s="62"/>
    </row>
    <row r="879">
      <c r="A879" s="61"/>
      <c r="B879" s="61"/>
      <c r="C879" s="62"/>
      <c r="D879" s="62"/>
      <c r="E879" s="62"/>
      <c r="F879" s="62"/>
      <c r="G879" s="62"/>
      <c r="H879" s="190"/>
      <c r="I879" s="62"/>
      <c r="J879" s="62"/>
      <c r="K879" s="62"/>
      <c r="L879" s="62"/>
      <c r="M879" s="62"/>
      <c r="N879" s="62"/>
      <c r="O879" s="62"/>
      <c r="P879" s="62"/>
      <c r="Q879" s="62"/>
      <c r="R879" s="62"/>
      <c r="S879" s="62"/>
      <c r="T879" s="62"/>
      <c r="U879" s="62"/>
      <c r="V879" s="62"/>
      <c r="W879" s="62"/>
      <c r="X879" s="62"/>
      <c r="Y879" s="62"/>
      <c r="Z879" s="62"/>
      <c r="AA879" s="62"/>
      <c r="AB879" s="62"/>
      <c r="AC879" s="62"/>
    </row>
    <row r="880">
      <c r="A880" s="61"/>
      <c r="B880" s="61"/>
      <c r="C880" s="62"/>
      <c r="D880" s="62"/>
      <c r="E880" s="62"/>
      <c r="F880" s="62"/>
      <c r="G880" s="62"/>
      <c r="H880" s="190"/>
      <c r="I880" s="62"/>
      <c r="J880" s="62"/>
      <c r="K880" s="62"/>
      <c r="L880" s="62"/>
      <c r="M880" s="62"/>
      <c r="N880" s="62"/>
      <c r="O880" s="62"/>
      <c r="P880" s="62"/>
      <c r="Q880" s="62"/>
      <c r="R880" s="62"/>
      <c r="S880" s="62"/>
      <c r="T880" s="62"/>
      <c r="U880" s="62"/>
      <c r="V880" s="62"/>
      <c r="W880" s="62"/>
      <c r="X880" s="62"/>
      <c r="Y880" s="62"/>
      <c r="Z880" s="62"/>
      <c r="AA880" s="62"/>
      <c r="AB880" s="62"/>
      <c r="AC880" s="62"/>
    </row>
    <row r="881">
      <c r="A881" s="61"/>
      <c r="B881" s="61"/>
      <c r="C881" s="62"/>
      <c r="D881" s="62"/>
      <c r="E881" s="62"/>
      <c r="F881" s="62"/>
      <c r="G881" s="62"/>
      <c r="H881" s="190"/>
      <c r="I881" s="62"/>
      <c r="J881" s="62"/>
      <c r="K881" s="62"/>
      <c r="L881" s="62"/>
      <c r="M881" s="62"/>
      <c r="N881" s="62"/>
      <c r="O881" s="62"/>
      <c r="P881" s="62"/>
      <c r="Q881" s="62"/>
      <c r="R881" s="62"/>
      <c r="S881" s="62"/>
      <c r="T881" s="62"/>
      <c r="U881" s="62"/>
      <c r="V881" s="62"/>
      <c r="W881" s="62"/>
      <c r="X881" s="62"/>
      <c r="Y881" s="62"/>
      <c r="Z881" s="62"/>
      <c r="AA881" s="62"/>
      <c r="AB881" s="62"/>
      <c r="AC881" s="62"/>
    </row>
    <row r="882">
      <c r="A882" s="61"/>
      <c r="B882" s="61"/>
      <c r="C882" s="62"/>
      <c r="D882" s="62"/>
      <c r="E882" s="62"/>
      <c r="F882" s="62"/>
      <c r="G882" s="62"/>
      <c r="H882" s="190"/>
      <c r="I882" s="62"/>
      <c r="J882" s="62"/>
      <c r="K882" s="62"/>
      <c r="L882" s="62"/>
      <c r="M882" s="62"/>
      <c r="N882" s="62"/>
      <c r="O882" s="62"/>
      <c r="P882" s="62"/>
      <c r="Q882" s="62"/>
      <c r="R882" s="62"/>
      <c r="S882" s="62"/>
      <c r="T882" s="62"/>
      <c r="U882" s="62"/>
      <c r="V882" s="62"/>
      <c r="W882" s="62"/>
      <c r="X882" s="62"/>
      <c r="Y882" s="62"/>
      <c r="Z882" s="62"/>
      <c r="AA882" s="62"/>
      <c r="AB882" s="62"/>
      <c r="AC882" s="62"/>
    </row>
    <row r="883">
      <c r="A883" s="61"/>
      <c r="B883" s="61"/>
      <c r="C883" s="62"/>
      <c r="D883" s="62"/>
      <c r="E883" s="62"/>
      <c r="F883" s="62"/>
      <c r="G883" s="62"/>
      <c r="H883" s="190"/>
      <c r="I883" s="62"/>
      <c r="J883" s="62"/>
      <c r="K883" s="62"/>
      <c r="L883" s="62"/>
      <c r="M883" s="62"/>
      <c r="N883" s="62"/>
      <c r="O883" s="62"/>
      <c r="P883" s="62"/>
      <c r="Q883" s="62"/>
      <c r="R883" s="62"/>
      <c r="S883" s="62"/>
      <c r="T883" s="62"/>
      <c r="U883" s="62"/>
      <c r="V883" s="62"/>
      <c r="W883" s="62"/>
      <c r="X883" s="62"/>
      <c r="Y883" s="62"/>
      <c r="Z883" s="62"/>
      <c r="AA883" s="62"/>
      <c r="AB883" s="62"/>
      <c r="AC883" s="62"/>
    </row>
    <row r="884">
      <c r="A884" s="61"/>
      <c r="B884" s="61"/>
      <c r="C884" s="62"/>
      <c r="D884" s="62"/>
      <c r="E884" s="62"/>
      <c r="F884" s="62"/>
      <c r="G884" s="62"/>
      <c r="H884" s="190"/>
      <c r="I884" s="62"/>
      <c r="J884" s="62"/>
      <c r="K884" s="62"/>
      <c r="L884" s="62"/>
      <c r="M884" s="62"/>
      <c r="N884" s="62"/>
      <c r="O884" s="62"/>
      <c r="P884" s="62"/>
      <c r="Q884" s="62"/>
      <c r="R884" s="62"/>
      <c r="S884" s="62"/>
      <c r="T884" s="62"/>
      <c r="U884" s="62"/>
      <c r="V884" s="62"/>
      <c r="W884" s="62"/>
      <c r="X884" s="62"/>
      <c r="Y884" s="62"/>
      <c r="Z884" s="62"/>
      <c r="AA884" s="62"/>
      <c r="AB884" s="62"/>
      <c r="AC884" s="62"/>
    </row>
    <row r="885">
      <c r="A885" s="61"/>
      <c r="B885" s="61"/>
      <c r="C885" s="62"/>
      <c r="D885" s="62"/>
      <c r="E885" s="62"/>
      <c r="F885" s="62"/>
      <c r="G885" s="62"/>
      <c r="H885" s="190"/>
      <c r="I885" s="62"/>
      <c r="J885" s="62"/>
      <c r="K885" s="62"/>
      <c r="L885" s="62"/>
      <c r="M885" s="62"/>
      <c r="N885" s="62"/>
      <c r="O885" s="62"/>
      <c r="P885" s="62"/>
      <c r="Q885" s="62"/>
      <c r="R885" s="62"/>
      <c r="S885" s="62"/>
      <c r="T885" s="62"/>
      <c r="U885" s="62"/>
      <c r="V885" s="62"/>
      <c r="W885" s="62"/>
      <c r="X885" s="62"/>
      <c r="Y885" s="62"/>
      <c r="Z885" s="62"/>
      <c r="AA885" s="62"/>
      <c r="AB885" s="62"/>
      <c r="AC885" s="62"/>
    </row>
    <row r="886">
      <c r="A886" s="61"/>
      <c r="B886" s="61"/>
      <c r="C886" s="62"/>
      <c r="D886" s="62"/>
      <c r="E886" s="62"/>
      <c r="F886" s="62"/>
      <c r="G886" s="62"/>
      <c r="H886" s="190"/>
      <c r="I886" s="62"/>
      <c r="J886" s="62"/>
      <c r="K886" s="62"/>
      <c r="L886" s="62"/>
      <c r="M886" s="62"/>
      <c r="N886" s="62"/>
      <c r="O886" s="62"/>
      <c r="P886" s="62"/>
      <c r="Q886" s="62"/>
      <c r="R886" s="62"/>
      <c r="S886" s="62"/>
      <c r="T886" s="62"/>
      <c r="U886" s="62"/>
      <c r="V886" s="62"/>
      <c r="W886" s="62"/>
      <c r="X886" s="62"/>
      <c r="Y886" s="62"/>
      <c r="Z886" s="62"/>
      <c r="AA886" s="62"/>
      <c r="AB886" s="62"/>
      <c r="AC886" s="62"/>
    </row>
    <row r="887">
      <c r="A887" s="61"/>
      <c r="B887" s="61"/>
      <c r="C887" s="62"/>
      <c r="D887" s="62"/>
      <c r="E887" s="62"/>
      <c r="F887" s="62"/>
      <c r="G887" s="62"/>
      <c r="H887" s="190"/>
      <c r="I887" s="62"/>
      <c r="J887" s="62"/>
      <c r="K887" s="62"/>
      <c r="L887" s="62"/>
      <c r="M887" s="62"/>
      <c r="N887" s="62"/>
      <c r="O887" s="62"/>
      <c r="P887" s="62"/>
      <c r="Q887" s="62"/>
      <c r="R887" s="62"/>
      <c r="S887" s="62"/>
      <c r="T887" s="62"/>
      <c r="U887" s="62"/>
      <c r="V887" s="62"/>
      <c r="W887" s="62"/>
      <c r="X887" s="62"/>
      <c r="Y887" s="62"/>
      <c r="Z887" s="62"/>
      <c r="AA887" s="62"/>
      <c r="AB887" s="62"/>
      <c r="AC887" s="62"/>
    </row>
    <row r="888">
      <c r="A888" s="61"/>
      <c r="B888" s="61"/>
      <c r="C888" s="62"/>
      <c r="D888" s="62"/>
      <c r="E888" s="62"/>
      <c r="F888" s="62"/>
      <c r="G888" s="62"/>
      <c r="H888" s="190"/>
      <c r="I888" s="62"/>
      <c r="J888" s="62"/>
      <c r="K888" s="62"/>
      <c r="L888" s="62"/>
      <c r="M888" s="62"/>
      <c r="N888" s="62"/>
      <c r="O888" s="62"/>
      <c r="P888" s="62"/>
      <c r="Q888" s="62"/>
      <c r="R888" s="62"/>
      <c r="S888" s="62"/>
      <c r="T888" s="62"/>
      <c r="U888" s="62"/>
      <c r="V888" s="62"/>
      <c r="W888" s="62"/>
      <c r="X888" s="62"/>
      <c r="Y888" s="62"/>
      <c r="Z888" s="62"/>
      <c r="AA888" s="62"/>
      <c r="AB888" s="62"/>
      <c r="AC888" s="62"/>
    </row>
    <row r="889">
      <c r="A889" s="61"/>
      <c r="B889" s="61"/>
      <c r="C889" s="62"/>
      <c r="D889" s="62"/>
      <c r="E889" s="62"/>
      <c r="F889" s="62"/>
      <c r="G889" s="62"/>
      <c r="H889" s="190"/>
      <c r="I889" s="62"/>
      <c r="J889" s="62"/>
      <c r="K889" s="62"/>
      <c r="L889" s="62"/>
      <c r="M889" s="62"/>
      <c r="N889" s="62"/>
      <c r="O889" s="62"/>
      <c r="P889" s="62"/>
      <c r="Q889" s="62"/>
      <c r="R889" s="62"/>
      <c r="S889" s="62"/>
      <c r="T889" s="62"/>
      <c r="U889" s="62"/>
      <c r="V889" s="62"/>
      <c r="W889" s="62"/>
      <c r="X889" s="62"/>
      <c r="Y889" s="62"/>
      <c r="Z889" s="62"/>
      <c r="AA889" s="62"/>
      <c r="AB889" s="62"/>
      <c r="AC889" s="62"/>
    </row>
    <row r="890">
      <c r="A890" s="61"/>
      <c r="B890" s="61"/>
      <c r="C890" s="62"/>
      <c r="D890" s="62"/>
      <c r="E890" s="62"/>
      <c r="F890" s="62"/>
      <c r="G890" s="62"/>
      <c r="H890" s="190"/>
      <c r="I890" s="62"/>
      <c r="J890" s="62"/>
      <c r="K890" s="62"/>
      <c r="L890" s="62"/>
      <c r="M890" s="62"/>
      <c r="N890" s="62"/>
      <c r="O890" s="62"/>
      <c r="P890" s="62"/>
      <c r="Q890" s="62"/>
      <c r="R890" s="62"/>
      <c r="S890" s="62"/>
      <c r="T890" s="62"/>
      <c r="U890" s="62"/>
      <c r="V890" s="62"/>
      <c r="W890" s="62"/>
      <c r="X890" s="62"/>
      <c r="Y890" s="62"/>
      <c r="Z890" s="62"/>
      <c r="AA890" s="62"/>
      <c r="AB890" s="62"/>
      <c r="AC890" s="62"/>
    </row>
    <row r="891">
      <c r="A891" s="61"/>
      <c r="B891" s="61"/>
      <c r="C891" s="62"/>
      <c r="D891" s="62"/>
      <c r="E891" s="62"/>
      <c r="F891" s="62"/>
      <c r="G891" s="62"/>
      <c r="H891" s="190"/>
      <c r="I891" s="62"/>
      <c r="J891" s="62"/>
      <c r="K891" s="62"/>
      <c r="L891" s="62"/>
      <c r="M891" s="62"/>
      <c r="N891" s="62"/>
      <c r="O891" s="62"/>
      <c r="P891" s="62"/>
      <c r="Q891" s="62"/>
      <c r="R891" s="62"/>
      <c r="S891" s="62"/>
      <c r="T891" s="62"/>
      <c r="U891" s="62"/>
      <c r="V891" s="62"/>
      <c r="W891" s="62"/>
      <c r="X891" s="62"/>
      <c r="Y891" s="62"/>
      <c r="Z891" s="62"/>
      <c r="AA891" s="62"/>
      <c r="AB891" s="62"/>
      <c r="AC891" s="62"/>
    </row>
    <row r="892">
      <c r="A892" s="61"/>
      <c r="B892" s="61"/>
      <c r="C892" s="62"/>
      <c r="D892" s="62"/>
      <c r="E892" s="62"/>
      <c r="F892" s="62"/>
      <c r="G892" s="62"/>
      <c r="H892" s="190"/>
      <c r="I892" s="62"/>
      <c r="J892" s="62"/>
      <c r="K892" s="62"/>
      <c r="L892" s="62"/>
      <c r="M892" s="62"/>
      <c r="N892" s="62"/>
      <c r="O892" s="62"/>
      <c r="P892" s="62"/>
      <c r="Q892" s="62"/>
      <c r="R892" s="62"/>
      <c r="S892" s="62"/>
      <c r="T892" s="62"/>
      <c r="U892" s="62"/>
      <c r="V892" s="62"/>
      <c r="W892" s="62"/>
      <c r="X892" s="62"/>
      <c r="Y892" s="62"/>
      <c r="Z892" s="62"/>
      <c r="AA892" s="62"/>
      <c r="AB892" s="62"/>
      <c r="AC892" s="62"/>
    </row>
    <row r="893">
      <c r="A893" s="61"/>
      <c r="B893" s="61"/>
      <c r="C893" s="62"/>
      <c r="D893" s="62"/>
      <c r="E893" s="62"/>
      <c r="F893" s="62"/>
      <c r="G893" s="62"/>
      <c r="H893" s="190"/>
      <c r="I893" s="62"/>
      <c r="J893" s="62"/>
      <c r="K893" s="62"/>
      <c r="L893" s="62"/>
      <c r="M893" s="62"/>
      <c r="N893" s="62"/>
      <c r="O893" s="62"/>
      <c r="P893" s="62"/>
      <c r="Q893" s="62"/>
      <c r="R893" s="62"/>
      <c r="S893" s="62"/>
      <c r="T893" s="62"/>
      <c r="U893" s="62"/>
      <c r="V893" s="62"/>
      <c r="W893" s="62"/>
      <c r="X893" s="62"/>
      <c r="Y893" s="62"/>
      <c r="Z893" s="62"/>
      <c r="AA893" s="62"/>
      <c r="AB893" s="62"/>
      <c r="AC893" s="62"/>
    </row>
    <row r="894">
      <c r="A894" s="61"/>
      <c r="B894" s="61"/>
      <c r="C894" s="62"/>
      <c r="D894" s="62"/>
      <c r="E894" s="62"/>
      <c r="F894" s="62"/>
      <c r="G894" s="62"/>
      <c r="H894" s="190"/>
      <c r="I894" s="62"/>
      <c r="J894" s="62"/>
      <c r="K894" s="62"/>
      <c r="L894" s="62"/>
      <c r="M894" s="62"/>
      <c r="N894" s="62"/>
      <c r="O894" s="62"/>
      <c r="P894" s="62"/>
      <c r="Q894" s="62"/>
      <c r="R894" s="62"/>
      <c r="S894" s="62"/>
      <c r="T894" s="62"/>
      <c r="U894" s="62"/>
      <c r="V894" s="62"/>
      <c r="W894" s="62"/>
      <c r="X894" s="62"/>
      <c r="Y894" s="62"/>
      <c r="Z894" s="62"/>
      <c r="AA894" s="62"/>
      <c r="AB894" s="62"/>
      <c r="AC894" s="62"/>
    </row>
    <row r="895">
      <c r="A895" s="61"/>
      <c r="B895" s="61"/>
      <c r="C895" s="62"/>
      <c r="D895" s="62"/>
      <c r="E895" s="62"/>
      <c r="F895" s="62"/>
      <c r="G895" s="62"/>
      <c r="H895" s="190"/>
      <c r="I895" s="62"/>
      <c r="J895" s="62"/>
      <c r="K895" s="62"/>
      <c r="L895" s="62"/>
      <c r="M895" s="62"/>
      <c r="N895" s="62"/>
      <c r="O895" s="62"/>
      <c r="P895" s="62"/>
      <c r="Q895" s="62"/>
      <c r="R895" s="62"/>
      <c r="S895" s="62"/>
      <c r="T895" s="62"/>
      <c r="U895" s="62"/>
      <c r="V895" s="62"/>
      <c r="W895" s="62"/>
      <c r="X895" s="62"/>
      <c r="Y895" s="62"/>
      <c r="Z895" s="62"/>
      <c r="AA895" s="62"/>
      <c r="AB895" s="62"/>
      <c r="AC895" s="62"/>
    </row>
    <row r="896">
      <c r="A896" s="61"/>
      <c r="B896" s="61"/>
      <c r="C896" s="62"/>
      <c r="D896" s="62"/>
      <c r="E896" s="62"/>
      <c r="F896" s="62"/>
      <c r="G896" s="62"/>
      <c r="H896" s="190"/>
      <c r="I896" s="62"/>
      <c r="J896" s="62"/>
      <c r="K896" s="62"/>
      <c r="L896" s="62"/>
      <c r="M896" s="62"/>
      <c r="N896" s="62"/>
      <c r="O896" s="62"/>
      <c r="P896" s="62"/>
      <c r="Q896" s="62"/>
      <c r="R896" s="62"/>
      <c r="S896" s="62"/>
      <c r="T896" s="62"/>
      <c r="U896" s="62"/>
      <c r="V896" s="62"/>
      <c r="W896" s="62"/>
      <c r="X896" s="62"/>
      <c r="Y896" s="62"/>
      <c r="Z896" s="62"/>
      <c r="AA896" s="62"/>
      <c r="AB896" s="62"/>
      <c r="AC896" s="62"/>
    </row>
    <row r="897">
      <c r="A897" s="61"/>
      <c r="B897" s="61"/>
      <c r="C897" s="62"/>
      <c r="D897" s="62"/>
      <c r="E897" s="62"/>
      <c r="F897" s="62"/>
      <c r="G897" s="62"/>
      <c r="H897" s="190"/>
      <c r="I897" s="62"/>
      <c r="J897" s="62"/>
      <c r="K897" s="62"/>
      <c r="L897" s="62"/>
      <c r="M897" s="62"/>
      <c r="N897" s="62"/>
      <c r="O897" s="62"/>
      <c r="P897" s="62"/>
      <c r="Q897" s="62"/>
      <c r="R897" s="62"/>
      <c r="S897" s="62"/>
      <c r="T897" s="62"/>
      <c r="U897" s="62"/>
      <c r="V897" s="62"/>
      <c r="W897" s="62"/>
      <c r="X897" s="62"/>
      <c r="Y897" s="62"/>
      <c r="Z897" s="62"/>
      <c r="AA897" s="62"/>
      <c r="AB897" s="62"/>
      <c r="AC897" s="62"/>
    </row>
    <row r="898">
      <c r="A898" s="61"/>
      <c r="B898" s="61"/>
      <c r="C898" s="62"/>
      <c r="D898" s="62"/>
      <c r="E898" s="62"/>
      <c r="F898" s="62"/>
      <c r="G898" s="62"/>
      <c r="H898" s="190"/>
      <c r="I898" s="62"/>
      <c r="J898" s="62"/>
      <c r="K898" s="62"/>
      <c r="L898" s="62"/>
      <c r="M898" s="62"/>
      <c r="N898" s="62"/>
      <c r="O898" s="62"/>
      <c r="P898" s="62"/>
      <c r="Q898" s="62"/>
      <c r="R898" s="62"/>
      <c r="S898" s="62"/>
      <c r="T898" s="62"/>
      <c r="U898" s="62"/>
      <c r="V898" s="62"/>
      <c r="W898" s="62"/>
      <c r="X898" s="62"/>
      <c r="Y898" s="62"/>
      <c r="Z898" s="62"/>
      <c r="AA898" s="62"/>
      <c r="AB898" s="62"/>
      <c r="AC898" s="62"/>
    </row>
    <row r="899">
      <c r="A899" s="61"/>
      <c r="B899" s="61"/>
      <c r="C899" s="62"/>
      <c r="D899" s="62"/>
      <c r="E899" s="62"/>
      <c r="F899" s="62"/>
      <c r="G899" s="62"/>
      <c r="H899" s="190"/>
      <c r="I899" s="62"/>
      <c r="J899" s="62"/>
      <c r="K899" s="62"/>
      <c r="L899" s="62"/>
      <c r="M899" s="62"/>
      <c r="N899" s="62"/>
      <c r="O899" s="62"/>
      <c r="P899" s="62"/>
      <c r="Q899" s="62"/>
      <c r="R899" s="62"/>
      <c r="S899" s="62"/>
      <c r="T899" s="62"/>
      <c r="U899" s="62"/>
      <c r="V899" s="62"/>
      <c r="W899" s="62"/>
      <c r="X899" s="62"/>
      <c r="Y899" s="62"/>
      <c r="Z899" s="62"/>
      <c r="AA899" s="62"/>
      <c r="AB899" s="62"/>
      <c r="AC899" s="62"/>
    </row>
    <row r="900">
      <c r="A900" s="61"/>
      <c r="B900" s="61"/>
      <c r="C900" s="62"/>
      <c r="D900" s="62"/>
      <c r="E900" s="62"/>
      <c r="F900" s="62"/>
      <c r="G900" s="62"/>
      <c r="H900" s="190"/>
      <c r="I900" s="62"/>
      <c r="J900" s="62"/>
      <c r="K900" s="62"/>
      <c r="L900" s="62"/>
      <c r="M900" s="62"/>
      <c r="N900" s="62"/>
      <c r="O900" s="62"/>
      <c r="P900" s="62"/>
      <c r="Q900" s="62"/>
      <c r="R900" s="62"/>
      <c r="S900" s="62"/>
      <c r="T900" s="62"/>
      <c r="U900" s="62"/>
      <c r="V900" s="62"/>
      <c r="W900" s="62"/>
      <c r="X900" s="62"/>
      <c r="Y900" s="62"/>
      <c r="Z900" s="62"/>
      <c r="AA900" s="62"/>
      <c r="AB900" s="62"/>
      <c r="AC900" s="62"/>
    </row>
    <row r="901">
      <c r="A901" s="61"/>
      <c r="B901" s="61"/>
      <c r="C901" s="62"/>
      <c r="D901" s="62"/>
      <c r="E901" s="62"/>
      <c r="F901" s="62"/>
      <c r="G901" s="62"/>
      <c r="H901" s="190"/>
      <c r="I901" s="62"/>
      <c r="J901" s="62"/>
      <c r="K901" s="62"/>
      <c r="L901" s="62"/>
      <c r="M901" s="62"/>
      <c r="N901" s="62"/>
      <c r="O901" s="62"/>
      <c r="P901" s="62"/>
      <c r="Q901" s="62"/>
      <c r="R901" s="62"/>
      <c r="S901" s="62"/>
      <c r="T901" s="62"/>
      <c r="U901" s="62"/>
      <c r="V901" s="62"/>
      <c r="W901" s="62"/>
      <c r="X901" s="62"/>
      <c r="Y901" s="62"/>
      <c r="Z901" s="62"/>
      <c r="AA901" s="62"/>
      <c r="AB901" s="62"/>
      <c r="AC901" s="62"/>
    </row>
    <row r="902">
      <c r="A902" s="61"/>
      <c r="B902" s="61"/>
      <c r="C902" s="62"/>
      <c r="D902" s="62"/>
      <c r="E902" s="62"/>
      <c r="F902" s="62"/>
      <c r="G902" s="62"/>
      <c r="H902" s="190"/>
      <c r="I902" s="62"/>
      <c r="J902" s="62"/>
      <c r="K902" s="62"/>
      <c r="L902" s="62"/>
      <c r="M902" s="62"/>
      <c r="N902" s="62"/>
      <c r="O902" s="62"/>
      <c r="P902" s="62"/>
      <c r="Q902" s="62"/>
      <c r="R902" s="62"/>
      <c r="S902" s="62"/>
      <c r="T902" s="62"/>
      <c r="U902" s="62"/>
      <c r="V902" s="62"/>
      <c r="W902" s="62"/>
      <c r="X902" s="62"/>
      <c r="Y902" s="62"/>
      <c r="Z902" s="62"/>
      <c r="AA902" s="62"/>
      <c r="AB902" s="62"/>
      <c r="AC902" s="62"/>
    </row>
    <row r="903">
      <c r="A903" s="61"/>
      <c r="B903" s="61"/>
      <c r="C903" s="62"/>
      <c r="D903" s="62"/>
      <c r="E903" s="62"/>
      <c r="F903" s="62"/>
      <c r="G903" s="62"/>
      <c r="H903" s="190"/>
      <c r="I903" s="62"/>
      <c r="J903" s="62"/>
      <c r="K903" s="62"/>
      <c r="L903" s="62"/>
      <c r="M903" s="62"/>
      <c r="N903" s="62"/>
      <c r="O903" s="62"/>
      <c r="P903" s="62"/>
      <c r="Q903" s="62"/>
      <c r="R903" s="62"/>
      <c r="S903" s="62"/>
      <c r="T903" s="62"/>
      <c r="U903" s="62"/>
      <c r="V903" s="62"/>
      <c r="W903" s="62"/>
      <c r="X903" s="62"/>
      <c r="Y903" s="62"/>
      <c r="Z903" s="62"/>
      <c r="AA903" s="62"/>
      <c r="AB903" s="62"/>
      <c r="AC903" s="62"/>
    </row>
    <row r="904">
      <c r="A904" s="61"/>
      <c r="B904" s="61"/>
      <c r="C904" s="62"/>
      <c r="D904" s="62"/>
      <c r="E904" s="62"/>
      <c r="F904" s="62"/>
      <c r="G904" s="62"/>
      <c r="H904" s="190"/>
      <c r="I904" s="62"/>
      <c r="J904" s="62"/>
      <c r="K904" s="62"/>
      <c r="L904" s="62"/>
      <c r="M904" s="62"/>
      <c r="N904" s="62"/>
      <c r="O904" s="62"/>
      <c r="P904" s="62"/>
      <c r="Q904" s="62"/>
      <c r="R904" s="62"/>
      <c r="S904" s="62"/>
      <c r="T904" s="62"/>
      <c r="U904" s="62"/>
      <c r="V904" s="62"/>
      <c r="W904" s="62"/>
      <c r="X904" s="62"/>
      <c r="Y904" s="62"/>
      <c r="Z904" s="62"/>
      <c r="AA904" s="62"/>
      <c r="AB904" s="62"/>
      <c r="AC904" s="62"/>
    </row>
    <row r="905">
      <c r="A905" s="61"/>
      <c r="B905" s="61"/>
      <c r="C905" s="62"/>
      <c r="D905" s="62"/>
      <c r="E905" s="62"/>
      <c r="F905" s="62"/>
      <c r="G905" s="62"/>
      <c r="H905" s="190"/>
      <c r="I905" s="62"/>
      <c r="J905" s="62"/>
      <c r="K905" s="62"/>
      <c r="L905" s="62"/>
      <c r="M905" s="62"/>
      <c r="N905" s="62"/>
      <c r="O905" s="62"/>
      <c r="P905" s="62"/>
      <c r="Q905" s="62"/>
      <c r="R905" s="62"/>
      <c r="S905" s="62"/>
      <c r="T905" s="62"/>
      <c r="U905" s="62"/>
      <c r="V905" s="62"/>
      <c r="W905" s="62"/>
      <c r="X905" s="62"/>
      <c r="Y905" s="62"/>
      <c r="Z905" s="62"/>
      <c r="AA905" s="62"/>
      <c r="AB905" s="62"/>
      <c r="AC905" s="62"/>
    </row>
    <row r="906">
      <c r="A906" s="61"/>
      <c r="B906" s="61"/>
      <c r="C906" s="62"/>
      <c r="D906" s="62"/>
      <c r="E906" s="62"/>
      <c r="F906" s="62"/>
      <c r="G906" s="62"/>
      <c r="H906" s="190"/>
      <c r="I906" s="62"/>
      <c r="J906" s="62"/>
      <c r="K906" s="62"/>
      <c r="L906" s="62"/>
      <c r="M906" s="62"/>
      <c r="N906" s="62"/>
      <c r="O906" s="62"/>
      <c r="P906" s="62"/>
      <c r="Q906" s="62"/>
      <c r="R906" s="62"/>
      <c r="S906" s="62"/>
      <c r="T906" s="62"/>
      <c r="U906" s="62"/>
      <c r="V906" s="62"/>
      <c r="W906" s="62"/>
      <c r="X906" s="62"/>
      <c r="Y906" s="62"/>
      <c r="Z906" s="62"/>
      <c r="AA906" s="62"/>
      <c r="AB906" s="62"/>
      <c r="AC906" s="62"/>
    </row>
    <row r="907">
      <c r="A907" s="61"/>
      <c r="B907" s="61"/>
      <c r="C907" s="62"/>
      <c r="D907" s="62"/>
      <c r="E907" s="62"/>
      <c r="F907" s="62"/>
      <c r="G907" s="62"/>
      <c r="H907" s="190"/>
      <c r="I907" s="62"/>
      <c r="J907" s="62"/>
      <c r="K907" s="62"/>
      <c r="L907" s="62"/>
      <c r="M907" s="62"/>
      <c r="N907" s="62"/>
      <c r="O907" s="62"/>
      <c r="P907" s="62"/>
      <c r="Q907" s="62"/>
      <c r="R907" s="62"/>
      <c r="S907" s="62"/>
      <c r="T907" s="62"/>
      <c r="U907" s="62"/>
      <c r="V907" s="62"/>
      <c r="W907" s="62"/>
      <c r="X907" s="62"/>
      <c r="Y907" s="62"/>
      <c r="Z907" s="62"/>
      <c r="AA907" s="62"/>
      <c r="AB907" s="62"/>
      <c r="AC907" s="62"/>
    </row>
    <row r="908">
      <c r="A908" s="61"/>
      <c r="B908" s="61"/>
      <c r="C908" s="62"/>
      <c r="D908" s="62"/>
      <c r="E908" s="62"/>
      <c r="F908" s="62"/>
      <c r="G908" s="62"/>
      <c r="H908" s="190"/>
      <c r="I908" s="62"/>
      <c r="J908" s="62"/>
      <c r="K908" s="62"/>
      <c r="L908" s="62"/>
      <c r="M908" s="62"/>
      <c r="N908" s="62"/>
      <c r="O908" s="62"/>
      <c r="P908" s="62"/>
      <c r="Q908" s="62"/>
      <c r="R908" s="62"/>
      <c r="S908" s="62"/>
      <c r="T908" s="62"/>
      <c r="U908" s="62"/>
      <c r="V908" s="62"/>
      <c r="W908" s="62"/>
      <c r="X908" s="62"/>
      <c r="Y908" s="62"/>
      <c r="Z908" s="62"/>
      <c r="AA908" s="62"/>
      <c r="AB908" s="62"/>
      <c r="AC908" s="62"/>
    </row>
    <row r="909">
      <c r="A909" s="61"/>
      <c r="B909" s="61"/>
      <c r="C909" s="62"/>
      <c r="D909" s="62"/>
      <c r="E909" s="62"/>
      <c r="F909" s="62"/>
      <c r="G909" s="62"/>
      <c r="H909" s="190"/>
      <c r="I909" s="62"/>
      <c r="J909" s="62"/>
      <c r="K909" s="62"/>
      <c r="L909" s="62"/>
      <c r="M909" s="62"/>
      <c r="N909" s="62"/>
      <c r="O909" s="62"/>
      <c r="P909" s="62"/>
      <c r="Q909" s="62"/>
      <c r="R909" s="62"/>
      <c r="S909" s="62"/>
      <c r="T909" s="62"/>
      <c r="U909" s="62"/>
      <c r="V909" s="62"/>
      <c r="W909" s="62"/>
      <c r="X909" s="62"/>
      <c r="Y909" s="62"/>
      <c r="Z909" s="62"/>
      <c r="AA909" s="62"/>
      <c r="AB909" s="62"/>
      <c r="AC909" s="62"/>
    </row>
    <row r="910">
      <c r="A910" s="61"/>
      <c r="B910" s="61"/>
      <c r="C910" s="62"/>
      <c r="D910" s="62"/>
      <c r="E910" s="62"/>
      <c r="F910" s="62"/>
      <c r="G910" s="62"/>
      <c r="H910" s="190"/>
      <c r="I910" s="62"/>
      <c r="J910" s="62"/>
      <c r="K910" s="62"/>
      <c r="L910" s="62"/>
      <c r="M910" s="62"/>
      <c r="N910" s="62"/>
      <c r="O910" s="62"/>
      <c r="P910" s="62"/>
      <c r="Q910" s="62"/>
      <c r="R910" s="62"/>
      <c r="S910" s="62"/>
      <c r="T910" s="62"/>
      <c r="U910" s="62"/>
      <c r="V910" s="62"/>
      <c r="W910" s="62"/>
      <c r="X910" s="62"/>
      <c r="Y910" s="62"/>
      <c r="Z910" s="62"/>
      <c r="AA910" s="62"/>
      <c r="AB910" s="62"/>
      <c r="AC910" s="62"/>
    </row>
    <row r="911">
      <c r="A911" s="61"/>
      <c r="B911" s="61"/>
      <c r="C911" s="62"/>
      <c r="D911" s="62"/>
      <c r="E911" s="62"/>
      <c r="F911" s="62"/>
      <c r="G911" s="62"/>
      <c r="H911" s="190"/>
      <c r="I911" s="62"/>
      <c r="J911" s="62"/>
      <c r="K911" s="62"/>
      <c r="L911" s="62"/>
      <c r="M911" s="62"/>
      <c r="N911" s="62"/>
      <c r="O911" s="62"/>
      <c r="P911" s="62"/>
      <c r="Q911" s="62"/>
      <c r="R911" s="62"/>
      <c r="S911" s="62"/>
      <c r="T911" s="62"/>
      <c r="U911" s="62"/>
      <c r="V911" s="62"/>
      <c r="W911" s="62"/>
      <c r="X911" s="62"/>
      <c r="Y911" s="62"/>
      <c r="Z911" s="62"/>
      <c r="AA911" s="62"/>
      <c r="AB911" s="62"/>
      <c r="AC911" s="62"/>
    </row>
    <row r="912">
      <c r="A912" s="61"/>
      <c r="B912" s="61"/>
      <c r="C912" s="62"/>
      <c r="D912" s="62"/>
      <c r="E912" s="62"/>
      <c r="F912" s="62"/>
      <c r="G912" s="62"/>
      <c r="H912" s="190"/>
      <c r="I912" s="62"/>
      <c r="J912" s="62"/>
      <c r="K912" s="62"/>
      <c r="L912" s="62"/>
      <c r="M912" s="62"/>
      <c r="N912" s="62"/>
      <c r="O912" s="62"/>
      <c r="P912" s="62"/>
      <c r="Q912" s="62"/>
      <c r="R912" s="62"/>
      <c r="S912" s="62"/>
      <c r="T912" s="62"/>
      <c r="U912" s="62"/>
      <c r="V912" s="62"/>
      <c r="W912" s="62"/>
      <c r="X912" s="62"/>
      <c r="Y912" s="62"/>
      <c r="Z912" s="62"/>
      <c r="AA912" s="62"/>
      <c r="AB912" s="62"/>
      <c r="AC912" s="62"/>
    </row>
    <row r="913">
      <c r="A913" s="61"/>
      <c r="B913" s="61"/>
      <c r="C913" s="62"/>
      <c r="D913" s="62"/>
      <c r="E913" s="62"/>
      <c r="F913" s="62"/>
      <c r="G913" s="62"/>
      <c r="H913" s="190"/>
      <c r="I913" s="62"/>
      <c r="J913" s="62"/>
      <c r="K913" s="62"/>
      <c r="L913" s="62"/>
      <c r="M913" s="62"/>
      <c r="N913" s="62"/>
      <c r="O913" s="62"/>
      <c r="P913" s="62"/>
      <c r="Q913" s="62"/>
      <c r="R913" s="62"/>
      <c r="S913" s="62"/>
      <c r="T913" s="62"/>
      <c r="U913" s="62"/>
      <c r="V913" s="62"/>
      <c r="W913" s="62"/>
      <c r="X913" s="62"/>
      <c r="Y913" s="62"/>
      <c r="Z913" s="62"/>
      <c r="AA913" s="62"/>
      <c r="AB913" s="62"/>
      <c r="AC913" s="62"/>
    </row>
    <row r="914">
      <c r="A914" s="61"/>
      <c r="B914" s="61"/>
      <c r="C914" s="62"/>
      <c r="D914" s="62"/>
      <c r="E914" s="62"/>
      <c r="F914" s="62"/>
      <c r="G914" s="62"/>
      <c r="H914" s="190"/>
      <c r="I914" s="62"/>
      <c r="J914" s="62"/>
      <c r="K914" s="62"/>
      <c r="L914" s="62"/>
      <c r="M914" s="62"/>
      <c r="N914" s="62"/>
      <c r="O914" s="62"/>
      <c r="P914" s="62"/>
      <c r="Q914" s="62"/>
      <c r="R914" s="62"/>
      <c r="S914" s="62"/>
      <c r="T914" s="62"/>
      <c r="U914" s="62"/>
      <c r="V914" s="62"/>
      <c r="W914" s="62"/>
      <c r="X914" s="62"/>
      <c r="Y914" s="62"/>
      <c r="Z914" s="62"/>
      <c r="AA914" s="62"/>
      <c r="AB914" s="62"/>
      <c r="AC914" s="62"/>
    </row>
    <row r="915">
      <c r="A915" s="61"/>
      <c r="B915" s="61"/>
      <c r="C915" s="62"/>
      <c r="D915" s="62"/>
      <c r="E915" s="62"/>
      <c r="F915" s="62"/>
      <c r="G915" s="62"/>
      <c r="H915" s="190"/>
      <c r="I915" s="62"/>
      <c r="J915" s="62"/>
      <c r="K915" s="62"/>
      <c r="L915" s="62"/>
      <c r="M915" s="62"/>
      <c r="N915" s="62"/>
      <c r="O915" s="62"/>
      <c r="P915" s="62"/>
      <c r="Q915" s="62"/>
      <c r="R915" s="62"/>
      <c r="S915" s="62"/>
      <c r="T915" s="62"/>
      <c r="U915" s="62"/>
      <c r="V915" s="62"/>
      <c r="W915" s="62"/>
      <c r="X915" s="62"/>
      <c r="Y915" s="62"/>
      <c r="Z915" s="62"/>
      <c r="AA915" s="62"/>
      <c r="AB915" s="62"/>
      <c r="AC915" s="62"/>
    </row>
    <row r="916">
      <c r="A916" s="61"/>
      <c r="B916" s="61"/>
      <c r="C916" s="62"/>
      <c r="D916" s="62"/>
      <c r="E916" s="62"/>
      <c r="F916" s="62"/>
      <c r="G916" s="62"/>
      <c r="H916" s="190"/>
      <c r="I916" s="62"/>
      <c r="J916" s="62"/>
      <c r="K916" s="62"/>
      <c r="L916" s="62"/>
      <c r="M916" s="62"/>
      <c r="N916" s="62"/>
      <c r="O916" s="62"/>
      <c r="P916" s="62"/>
      <c r="Q916" s="62"/>
      <c r="R916" s="62"/>
      <c r="S916" s="62"/>
      <c r="T916" s="62"/>
      <c r="U916" s="62"/>
      <c r="V916" s="62"/>
      <c r="W916" s="62"/>
      <c r="X916" s="62"/>
      <c r="Y916" s="62"/>
      <c r="Z916" s="62"/>
      <c r="AA916" s="62"/>
      <c r="AB916" s="62"/>
      <c r="AC916" s="62"/>
    </row>
    <row r="917">
      <c r="A917" s="61"/>
      <c r="B917" s="61"/>
      <c r="C917" s="62"/>
      <c r="D917" s="62"/>
      <c r="E917" s="62"/>
      <c r="F917" s="62"/>
      <c r="G917" s="62"/>
      <c r="H917" s="190"/>
      <c r="I917" s="62"/>
      <c r="J917" s="62"/>
      <c r="K917" s="62"/>
      <c r="L917" s="62"/>
      <c r="M917" s="62"/>
      <c r="N917" s="62"/>
      <c r="O917" s="62"/>
      <c r="P917" s="62"/>
      <c r="Q917" s="62"/>
      <c r="R917" s="62"/>
      <c r="S917" s="62"/>
      <c r="T917" s="62"/>
      <c r="U917" s="62"/>
      <c r="V917" s="62"/>
      <c r="W917" s="62"/>
      <c r="X917" s="62"/>
      <c r="Y917" s="62"/>
      <c r="Z917" s="62"/>
      <c r="AA917" s="62"/>
      <c r="AB917" s="62"/>
      <c r="AC917" s="62"/>
    </row>
    <row r="918">
      <c r="A918" s="61"/>
      <c r="B918" s="61"/>
      <c r="C918" s="62"/>
      <c r="D918" s="62"/>
      <c r="E918" s="62"/>
      <c r="F918" s="62"/>
      <c r="G918" s="62"/>
      <c r="H918" s="190"/>
      <c r="I918" s="62"/>
      <c r="J918" s="62"/>
      <c r="K918" s="62"/>
      <c r="L918" s="62"/>
      <c r="M918" s="62"/>
      <c r="N918" s="62"/>
      <c r="O918" s="62"/>
      <c r="P918" s="62"/>
      <c r="Q918" s="62"/>
      <c r="R918" s="62"/>
      <c r="S918" s="62"/>
      <c r="T918" s="62"/>
      <c r="U918" s="62"/>
      <c r="V918" s="62"/>
      <c r="W918" s="62"/>
      <c r="X918" s="62"/>
      <c r="Y918" s="62"/>
      <c r="Z918" s="62"/>
      <c r="AA918" s="62"/>
      <c r="AB918" s="62"/>
      <c r="AC918" s="62"/>
    </row>
    <row r="919">
      <c r="A919" s="61"/>
      <c r="B919" s="61"/>
      <c r="C919" s="62"/>
      <c r="D919" s="62"/>
      <c r="E919" s="62"/>
      <c r="F919" s="62"/>
      <c r="G919" s="62"/>
      <c r="H919" s="190"/>
      <c r="I919" s="62"/>
      <c r="J919" s="62"/>
      <c r="K919" s="62"/>
      <c r="L919" s="62"/>
      <c r="M919" s="62"/>
      <c r="N919" s="62"/>
      <c r="O919" s="62"/>
      <c r="P919" s="62"/>
      <c r="Q919" s="62"/>
      <c r="R919" s="62"/>
      <c r="S919" s="62"/>
      <c r="T919" s="62"/>
      <c r="U919" s="62"/>
      <c r="V919" s="62"/>
      <c r="W919" s="62"/>
      <c r="X919" s="62"/>
      <c r="Y919" s="62"/>
      <c r="Z919" s="62"/>
      <c r="AA919" s="62"/>
      <c r="AB919" s="62"/>
      <c r="AC919" s="62"/>
    </row>
    <row r="920">
      <c r="A920" s="61"/>
      <c r="B920" s="61"/>
      <c r="C920" s="62"/>
      <c r="D920" s="62"/>
      <c r="E920" s="62"/>
      <c r="F920" s="62"/>
      <c r="G920" s="62"/>
      <c r="H920" s="190"/>
      <c r="I920" s="62"/>
      <c r="J920" s="62"/>
      <c r="K920" s="62"/>
      <c r="L920" s="62"/>
      <c r="M920" s="62"/>
      <c r="N920" s="62"/>
      <c r="O920" s="62"/>
      <c r="P920" s="62"/>
      <c r="Q920" s="62"/>
      <c r="R920" s="62"/>
      <c r="S920" s="62"/>
      <c r="T920" s="62"/>
      <c r="U920" s="62"/>
      <c r="V920" s="62"/>
      <c r="W920" s="62"/>
      <c r="X920" s="62"/>
      <c r="Y920" s="62"/>
      <c r="Z920" s="62"/>
      <c r="AA920" s="62"/>
      <c r="AB920" s="62"/>
      <c r="AC920" s="62"/>
    </row>
    <row r="921">
      <c r="A921" s="61"/>
      <c r="B921" s="61"/>
      <c r="C921" s="62"/>
      <c r="D921" s="62"/>
      <c r="E921" s="62"/>
      <c r="F921" s="62"/>
      <c r="G921" s="62"/>
      <c r="H921" s="190"/>
      <c r="I921" s="62"/>
      <c r="J921" s="62"/>
      <c r="K921" s="62"/>
      <c r="L921" s="62"/>
      <c r="M921" s="62"/>
      <c r="N921" s="62"/>
      <c r="O921" s="62"/>
      <c r="P921" s="62"/>
      <c r="Q921" s="62"/>
      <c r="R921" s="62"/>
      <c r="S921" s="62"/>
      <c r="T921" s="62"/>
      <c r="U921" s="62"/>
      <c r="V921" s="62"/>
      <c r="W921" s="62"/>
      <c r="X921" s="62"/>
      <c r="Y921" s="62"/>
      <c r="Z921" s="62"/>
      <c r="AA921" s="62"/>
      <c r="AB921" s="62"/>
      <c r="AC921" s="62"/>
    </row>
    <row r="922">
      <c r="A922" s="61"/>
      <c r="B922" s="61"/>
      <c r="C922" s="62"/>
      <c r="D922" s="62"/>
      <c r="E922" s="62"/>
      <c r="F922" s="62"/>
      <c r="G922" s="62"/>
      <c r="H922" s="190"/>
      <c r="I922" s="62"/>
      <c r="J922" s="62"/>
      <c r="K922" s="62"/>
      <c r="L922" s="62"/>
      <c r="M922" s="62"/>
      <c r="N922" s="62"/>
      <c r="O922" s="62"/>
      <c r="P922" s="62"/>
      <c r="Q922" s="62"/>
      <c r="R922" s="62"/>
      <c r="S922" s="62"/>
      <c r="T922" s="62"/>
      <c r="U922" s="62"/>
      <c r="V922" s="62"/>
      <c r="W922" s="62"/>
      <c r="X922" s="62"/>
      <c r="Y922" s="62"/>
      <c r="Z922" s="62"/>
      <c r="AA922" s="62"/>
      <c r="AB922" s="62"/>
      <c r="AC922" s="62"/>
    </row>
    <row r="923">
      <c r="A923" s="61"/>
      <c r="B923" s="61"/>
      <c r="C923" s="62"/>
      <c r="D923" s="62"/>
      <c r="E923" s="62"/>
      <c r="F923" s="62"/>
      <c r="G923" s="62"/>
      <c r="H923" s="190"/>
      <c r="I923" s="62"/>
      <c r="J923" s="62"/>
      <c r="K923" s="62"/>
      <c r="L923" s="62"/>
      <c r="M923" s="62"/>
      <c r="N923" s="62"/>
      <c r="O923" s="62"/>
      <c r="P923" s="62"/>
      <c r="Q923" s="62"/>
      <c r="R923" s="62"/>
      <c r="S923" s="62"/>
      <c r="T923" s="62"/>
      <c r="U923" s="62"/>
      <c r="V923" s="62"/>
      <c r="W923" s="62"/>
      <c r="X923" s="62"/>
      <c r="Y923" s="62"/>
      <c r="Z923" s="62"/>
      <c r="AA923" s="62"/>
      <c r="AB923" s="62"/>
      <c r="AC923" s="62"/>
    </row>
    <row r="924">
      <c r="A924" s="61"/>
      <c r="B924" s="61"/>
      <c r="C924" s="62"/>
      <c r="D924" s="62"/>
      <c r="E924" s="62"/>
      <c r="F924" s="62"/>
      <c r="G924" s="62"/>
      <c r="H924" s="190"/>
      <c r="I924" s="62"/>
      <c r="J924" s="62"/>
      <c r="K924" s="62"/>
      <c r="L924" s="62"/>
      <c r="M924" s="62"/>
      <c r="N924" s="62"/>
      <c r="O924" s="62"/>
      <c r="P924" s="62"/>
      <c r="Q924" s="62"/>
      <c r="R924" s="62"/>
      <c r="S924" s="62"/>
      <c r="T924" s="62"/>
      <c r="U924" s="62"/>
      <c r="V924" s="62"/>
      <c r="W924" s="62"/>
      <c r="X924" s="62"/>
      <c r="Y924" s="62"/>
      <c r="Z924" s="62"/>
      <c r="AA924" s="62"/>
      <c r="AB924" s="62"/>
      <c r="AC924" s="62"/>
    </row>
    <row r="925">
      <c r="A925" s="61"/>
      <c r="B925" s="61"/>
      <c r="C925" s="62"/>
      <c r="D925" s="62"/>
      <c r="E925" s="62"/>
      <c r="F925" s="62"/>
      <c r="G925" s="62"/>
      <c r="H925" s="190"/>
      <c r="I925" s="62"/>
      <c r="J925" s="62"/>
      <c r="K925" s="62"/>
      <c r="L925" s="62"/>
      <c r="M925" s="62"/>
      <c r="N925" s="62"/>
      <c r="O925" s="62"/>
      <c r="P925" s="62"/>
      <c r="Q925" s="62"/>
      <c r="R925" s="62"/>
      <c r="S925" s="62"/>
      <c r="T925" s="62"/>
      <c r="U925" s="62"/>
      <c r="V925" s="62"/>
      <c r="W925" s="62"/>
      <c r="X925" s="62"/>
      <c r="Y925" s="62"/>
      <c r="Z925" s="62"/>
      <c r="AA925" s="62"/>
      <c r="AB925" s="62"/>
      <c r="AC925" s="62"/>
    </row>
    <row r="926">
      <c r="A926" s="61"/>
      <c r="B926" s="61"/>
      <c r="C926" s="62"/>
      <c r="D926" s="62"/>
      <c r="E926" s="62"/>
      <c r="F926" s="62"/>
      <c r="G926" s="62"/>
      <c r="H926" s="190"/>
      <c r="I926" s="62"/>
      <c r="J926" s="62"/>
      <c r="K926" s="62"/>
      <c r="L926" s="62"/>
      <c r="M926" s="62"/>
      <c r="N926" s="62"/>
      <c r="O926" s="62"/>
      <c r="P926" s="62"/>
      <c r="Q926" s="62"/>
      <c r="R926" s="62"/>
      <c r="S926" s="62"/>
      <c r="T926" s="62"/>
      <c r="U926" s="62"/>
      <c r="V926" s="62"/>
      <c r="W926" s="62"/>
      <c r="X926" s="62"/>
      <c r="Y926" s="62"/>
      <c r="Z926" s="62"/>
      <c r="AA926" s="62"/>
      <c r="AB926" s="62"/>
      <c r="AC926" s="62"/>
    </row>
    <row r="927">
      <c r="A927" s="61"/>
      <c r="B927" s="61"/>
      <c r="C927" s="62"/>
      <c r="D927" s="62"/>
      <c r="E927" s="62"/>
      <c r="F927" s="62"/>
      <c r="G927" s="62"/>
      <c r="H927" s="190"/>
      <c r="I927" s="62"/>
      <c r="J927" s="62"/>
      <c r="K927" s="62"/>
      <c r="L927" s="62"/>
      <c r="M927" s="62"/>
      <c r="N927" s="62"/>
      <c r="O927" s="62"/>
      <c r="P927" s="62"/>
      <c r="Q927" s="62"/>
      <c r="R927" s="62"/>
      <c r="S927" s="62"/>
      <c r="T927" s="62"/>
      <c r="U927" s="62"/>
      <c r="V927" s="62"/>
      <c r="W927" s="62"/>
      <c r="X927" s="62"/>
      <c r="Y927" s="62"/>
      <c r="Z927" s="62"/>
      <c r="AA927" s="62"/>
      <c r="AB927" s="62"/>
      <c r="AC927" s="62"/>
    </row>
    <row r="928">
      <c r="A928" s="61"/>
      <c r="B928" s="61"/>
      <c r="C928" s="62"/>
      <c r="D928" s="62"/>
      <c r="E928" s="62"/>
      <c r="F928" s="62"/>
      <c r="G928" s="62"/>
      <c r="H928" s="190"/>
      <c r="I928" s="62"/>
      <c r="J928" s="62"/>
      <c r="K928" s="62"/>
      <c r="L928" s="62"/>
      <c r="M928" s="62"/>
      <c r="N928" s="62"/>
      <c r="O928" s="62"/>
      <c r="P928" s="62"/>
      <c r="Q928" s="62"/>
      <c r="R928" s="62"/>
      <c r="S928" s="62"/>
      <c r="T928" s="62"/>
      <c r="U928" s="62"/>
      <c r="V928" s="62"/>
      <c r="W928" s="62"/>
      <c r="X928" s="62"/>
      <c r="Y928" s="62"/>
      <c r="Z928" s="62"/>
      <c r="AA928" s="62"/>
      <c r="AB928" s="62"/>
      <c r="AC928" s="62"/>
    </row>
    <row r="929">
      <c r="A929" s="61"/>
      <c r="B929" s="61"/>
      <c r="C929" s="62"/>
      <c r="D929" s="62"/>
      <c r="E929" s="62"/>
      <c r="F929" s="62"/>
      <c r="G929" s="62"/>
      <c r="H929" s="190"/>
      <c r="I929" s="62"/>
      <c r="J929" s="62"/>
      <c r="K929" s="62"/>
      <c r="L929" s="62"/>
      <c r="M929" s="62"/>
      <c r="N929" s="62"/>
      <c r="O929" s="62"/>
      <c r="P929" s="62"/>
      <c r="Q929" s="62"/>
      <c r="R929" s="62"/>
      <c r="S929" s="62"/>
      <c r="T929" s="62"/>
      <c r="U929" s="62"/>
      <c r="V929" s="62"/>
      <c r="W929" s="62"/>
      <c r="X929" s="62"/>
      <c r="Y929" s="62"/>
      <c r="Z929" s="62"/>
      <c r="AA929" s="62"/>
      <c r="AB929" s="62"/>
      <c r="AC929" s="62"/>
    </row>
    <row r="930">
      <c r="A930" s="61"/>
      <c r="B930" s="61"/>
      <c r="C930" s="62"/>
      <c r="D930" s="62"/>
      <c r="E930" s="62"/>
      <c r="F930" s="62"/>
      <c r="G930" s="62"/>
      <c r="H930" s="190"/>
      <c r="I930" s="62"/>
      <c r="J930" s="62"/>
      <c r="K930" s="62"/>
      <c r="L930" s="62"/>
      <c r="M930" s="62"/>
      <c r="N930" s="62"/>
      <c r="O930" s="62"/>
      <c r="P930" s="62"/>
      <c r="Q930" s="62"/>
      <c r="R930" s="62"/>
      <c r="S930" s="62"/>
      <c r="T930" s="62"/>
      <c r="U930" s="62"/>
      <c r="V930" s="62"/>
      <c r="W930" s="62"/>
      <c r="X930" s="62"/>
      <c r="Y930" s="62"/>
      <c r="Z930" s="62"/>
      <c r="AA930" s="62"/>
      <c r="AB930" s="62"/>
      <c r="AC930" s="62"/>
    </row>
    <row r="931">
      <c r="A931" s="61"/>
      <c r="B931" s="61"/>
      <c r="C931" s="62"/>
      <c r="D931" s="62"/>
      <c r="E931" s="62"/>
      <c r="F931" s="62"/>
      <c r="G931" s="62"/>
      <c r="H931" s="190"/>
      <c r="I931" s="62"/>
      <c r="J931" s="62"/>
      <c r="K931" s="62"/>
      <c r="L931" s="62"/>
      <c r="M931" s="62"/>
      <c r="N931" s="62"/>
      <c r="O931" s="62"/>
      <c r="P931" s="62"/>
      <c r="Q931" s="62"/>
      <c r="R931" s="62"/>
      <c r="S931" s="62"/>
      <c r="T931" s="62"/>
      <c r="U931" s="62"/>
      <c r="V931" s="62"/>
      <c r="W931" s="62"/>
      <c r="X931" s="62"/>
      <c r="Y931" s="62"/>
      <c r="Z931" s="62"/>
      <c r="AA931" s="62"/>
      <c r="AB931" s="62"/>
      <c r="AC931" s="62"/>
    </row>
    <row r="932">
      <c r="A932" s="61"/>
      <c r="B932" s="61"/>
      <c r="C932" s="62"/>
      <c r="D932" s="62"/>
      <c r="E932" s="62"/>
      <c r="F932" s="62"/>
      <c r="G932" s="62"/>
      <c r="H932" s="190"/>
      <c r="I932" s="62"/>
      <c r="J932" s="62"/>
      <c r="K932" s="62"/>
      <c r="L932" s="62"/>
      <c r="M932" s="62"/>
      <c r="N932" s="62"/>
      <c r="O932" s="62"/>
      <c r="P932" s="62"/>
      <c r="Q932" s="62"/>
      <c r="R932" s="62"/>
      <c r="S932" s="62"/>
      <c r="T932" s="62"/>
      <c r="U932" s="62"/>
      <c r="V932" s="62"/>
      <c r="W932" s="62"/>
      <c r="X932" s="62"/>
      <c r="Y932" s="62"/>
      <c r="Z932" s="62"/>
      <c r="AA932" s="62"/>
      <c r="AB932" s="62"/>
      <c r="AC932" s="62"/>
    </row>
    <row r="933">
      <c r="A933" s="61"/>
      <c r="B933" s="61"/>
      <c r="C933" s="62"/>
      <c r="D933" s="62"/>
      <c r="E933" s="62"/>
      <c r="F933" s="62"/>
      <c r="G933" s="62"/>
      <c r="H933" s="190"/>
      <c r="I933" s="62"/>
      <c r="J933" s="62"/>
      <c r="K933" s="62"/>
      <c r="L933" s="62"/>
      <c r="M933" s="62"/>
      <c r="N933" s="62"/>
      <c r="O933" s="62"/>
      <c r="P933" s="62"/>
      <c r="Q933" s="62"/>
      <c r="R933" s="62"/>
      <c r="S933" s="62"/>
      <c r="T933" s="62"/>
      <c r="U933" s="62"/>
      <c r="V933" s="62"/>
      <c r="W933" s="62"/>
      <c r="X933" s="62"/>
      <c r="Y933" s="62"/>
      <c r="Z933" s="62"/>
      <c r="AA933" s="62"/>
      <c r="AB933" s="62"/>
      <c r="AC933" s="62"/>
    </row>
    <row r="934">
      <c r="A934" s="61"/>
      <c r="B934" s="61"/>
      <c r="C934" s="62"/>
      <c r="D934" s="62"/>
      <c r="E934" s="62"/>
      <c r="F934" s="62"/>
      <c r="G934" s="62"/>
      <c r="H934" s="190"/>
      <c r="I934" s="62"/>
      <c r="J934" s="62"/>
      <c r="K934" s="62"/>
      <c r="L934" s="62"/>
      <c r="M934" s="62"/>
      <c r="N934" s="62"/>
      <c r="O934" s="62"/>
      <c r="P934" s="62"/>
      <c r="Q934" s="62"/>
      <c r="R934" s="62"/>
      <c r="S934" s="62"/>
      <c r="T934" s="62"/>
      <c r="U934" s="62"/>
      <c r="V934" s="62"/>
      <c r="W934" s="62"/>
      <c r="X934" s="62"/>
      <c r="Y934" s="62"/>
      <c r="Z934" s="62"/>
      <c r="AA934" s="62"/>
      <c r="AB934" s="62"/>
      <c r="AC934" s="62"/>
    </row>
    <row r="935">
      <c r="A935" s="61"/>
      <c r="B935" s="61"/>
      <c r="C935" s="62"/>
      <c r="D935" s="62"/>
      <c r="E935" s="62"/>
      <c r="F935" s="62"/>
      <c r="G935" s="62"/>
      <c r="H935" s="190"/>
      <c r="I935" s="62"/>
      <c r="J935" s="62"/>
      <c r="K935" s="62"/>
      <c r="L935" s="62"/>
      <c r="M935" s="62"/>
      <c r="N935" s="62"/>
      <c r="O935" s="62"/>
      <c r="P935" s="62"/>
      <c r="Q935" s="62"/>
      <c r="R935" s="62"/>
      <c r="S935" s="62"/>
      <c r="T935" s="62"/>
      <c r="U935" s="62"/>
      <c r="V935" s="62"/>
      <c r="W935" s="62"/>
      <c r="X935" s="62"/>
      <c r="Y935" s="62"/>
      <c r="Z935" s="62"/>
      <c r="AA935" s="62"/>
      <c r="AB935" s="62"/>
      <c r="AC935" s="62"/>
    </row>
    <row r="936">
      <c r="A936" s="61"/>
      <c r="B936" s="61"/>
      <c r="C936" s="62"/>
      <c r="D936" s="62"/>
      <c r="E936" s="62"/>
      <c r="F936" s="62"/>
      <c r="G936" s="62"/>
      <c r="H936" s="190"/>
      <c r="I936" s="62"/>
      <c r="J936" s="62"/>
      <c r="K936" s="62"/>
      <c r="L936" s="62"/>
      <c r="M936" s="62"/>
      <c r="N936" s="62"/>
      <c r="O936" s="62"/>
      <c r="P936" s="62"/>
      <c r="Q936" s="62"/>
      <c r="R936" s="62"/>
      <c r="S936" s="62"/>
      <c r="T936" s="62"/>
      <c r="U936" s="62"/>
      <c r="V936" s="62"/>
      <c r="W936" s="62"/>
      <c r="X936" s="62"/>
      <c r="Y936" s="62"/>
      <c r="Z936" s="62"/>
      <c r="AA936" s="62"/>
      <c r="AB936" s="62"/>
      <c r="AC936" s="62"/>
    </row>
    <row r="937">
      <c r="A937" s="61"/>
      <c r="B937" s="61"/>
      <c r="C937" s="62"/>
      <c r="D937" s="62"/>
      <c r="E937" s="62"/>
      <c r="F937" s="62"/>
      <c r="G937" s="62"/>
      <c r="H937" s="190"/>
      <c r="I937" s="62"/>
      <c r="J937" s="62"/>
      <c r="K937" s="62"/>
      <c r="L937" s="62"/>
      <c r="M937" s="62"/>
      <c r="N937" s="62"/>
      <c r="O937" s="62"/>
      <c r="P937" s="62"/>
      <c r="Q937" s="62"/>
      <c r="R937" s="62"/>
      <c r="S937" s="62"/>
      <c r="T937" s="62"/>
      <c r="U937" s="62"/>
      <c r="V937" s="62"/>
      <c r="W937" s="62"/>
      <c r="X937" s="62"/>
      <c r="Y937" s="62"/>
      <c r="Z937" s="62"/>
      <c r="AA937" s="62"/>
      <c r="AB937" s="62"/>
      <c r="AC937" s="62"/>
    </row>
    <row r="938">
      <c r="A938" s="61"/>
      <c r="B938" s="61"/>
      <c r="C938" s="62"/>
      <c r="D938" s="62"/>
      <c r="E938" s="62"/>
      <c r="F938" s="62"/>
      <c r="G938" s="62"/>
      <c r="H938" s="190"/>
      <c r="I938" s="62"/>
      <c r="J938" s="62"/>
      <c r="K938" s="62"/>
      <c r="L938" s="62"/>
      <c r="M938" s="62"/>
      <c r="N938" s="62"/>
      <c r="O938" s="62"/>
      <c r="P938" s="62"/>
      <c r="Q938" s="62"/>
      <c r="R938" s="62"/>
      <c r="S938" s="62"/>
      <c r="T938" s="62"/>
      <c r="U938" s="62"/>
      <c r="V938" s="62"/>
      <c r="W938" s="62"/>
      <c r="X938" s="62"/>
      <c r="Y938" s="62"/>
      <c r="Z938" s="62"/>
      <c r="AA938" s="62"/>
      <c r="AB938" s="62"/>
      <c r="AC938" s="62"/>
    </row>
    <row r="939">
      <c r="A939" s="61"/>
      <c r="B939" s="61"/>
      <c r="C939" s="62"/>
      <c r="D939" s="62"/>
      <c r="E939" s="62"/>
      <c r="F939" s="62"/>
      <c r="G939" s="62"/>
      <c r="H939" s="190"/>
      <c r="I939" s="62"/>
      <c r="J939" s="62"/>
      <c r="K939" s="62"/>
      <c r="L939" s="62"/>
      <c r="M939" s="62"/>
      <c r="N939" s="62"/>
      <c r="O939" s="62"/>
      <c r="P939" s="62"/>
      <c r="Q939" s="62"/>
      <c r="R939" s="62"/>
      <c r="S939" s="62"/>
      <c r="T939" s="62"/>
      <c r="U939" s="62"/>
      <c r="V939" s="62"/>
      <c r="W939" s="62"/>
      <c r="X939" s="62"/>
      <c r="Y939" s="62"/>
      <c r="Z939" s="62"/>
      <c r="AA939" s="62"/>
      <c r="AB939" s="62"/>
      <c r="AC939" s="62"/>
    </row>
    <row r="940">
      <c r="A940" s="61"/>
      <c r="B940" s="61"/>
      <c r="C940" s="62"/>
      <c r="D940" s="62"/>
      <c r="E940" s="62"/>
      <c r="F940" s="62"/>
      <c r="G940" s="62"/>
      <c r="H940" s="190"/>
      <c r="I940" s="62"/>
      <c r="J940" s="62"/>
      <c r="K940" s="62"/>
      <c r="L940" s="62"/>
      <c r="M940" s="62"/>
      <c r="N940" s="62"/>
      <c r="O940" s="62"/>
      <c r="P940" s="62"/>
      <c r="Q940" s="62"/>
      <c r="R940" s="62"/>
      <c r="S940" s="62"/>
      <c r="T940" s="62"/>
      <c r="U940" s="62"/>
      <c r="V940" s="62"/>
      <c r="W940" s="62"/>
      <c r="X940" s="62"/>
      <c r="Y940" s="62"/>
      <c r="Z940" s="62"/>
      <c r="AA940" s="62"/>
      <c r="AB940" s="62"/>
      <c r="AC940" s="62"/>
    </row>
    <row r="941">
      <c r="A941" s="61"/>
      <c r="B941" s="61"/>
      <c r="C941" s="62"/>
      <c r="D941" s="62"/>
      <c r="E941" s="62"/>
      <c r="F941" s="62"/>
      <c r="G941" s="62"/>
      <c r="H941" s="190"/>
      <c r="I941" s="62"/>
      <c r="J941" s="62"/>
      <c r="K941" s="62"/>
      <c r="L941" s="62"/>
      <c r="M941" s="62"/>
      <c r="N941" s="62"/>
      <c r="O941" s="62"/>
      <c r="P941" s="62"/>
      <c r="Q941" s="62"/>
      <c r="R941" s="62"/>
      <c r="S941" s="62"/>
      <c r="T941" s="62"/>
      <c r="U941" s="62"/>
      <c r="V941" s="62"/>
      <c r="W941" s="62"/>
      <c r="X941" s="62"/>
      <c r="Y941" s="62"/>
      <c r="Z941" s="62"/>
      <c r="AA941" s="62"/>
      <c r="AB941" s="62"/>
      <c r="AC941" s="62"/>
    </row>
    <row r="942">
      <c r="A942" s="61"/>
      <c r="B942" s="61"/>
      <c r="C942" s="62"/>
      <c r="D942" s="62"/>
      <c r="E942" s="62"/>
      <c r="F942" s="62"/>
      <c r="G942" s="62"/>
      <c r="H942" s="190"/>
      <c r="I942" s="62"/>
      <c r="J942" s="62"/>
      <c r="K942" s="62"/>
      <c r="L942" s="62"/>
      <c r="M942" s="62"/>
      <c r="N942" s="62"/>
      <c r="O942" s="62"/>
      <c r="P942" s="62"/>
      <c r="Q942" s="62"/>
      <c r="R942" s="62"/>
      <c r="S942" s="62"/>
      <c r="T942" s="62"/>
      <c r="U942" s="62"/>
      <c r="V942" s="62"/>
      <c r="W942" s="62"/>
      <c r="X942" s="62"/>
      <c r="Y942" s="62"/>
      <c r="Z942" s="62"/>
      <c r="AA942" s="62"/>
      <c r="AB942" s="62"/>
      <c r="AC942" s="62"/>
    </row>
    <row r="943">
      <c r="A943" s="61"/>
      <c r="B943" s="61"/>
      <c r="C943" s="62"/>
      <c r="D943" s="62"/>
      <c r="E943" s="62"/>
      <c r="F943" s="62"/>
      <c r="G943" s="62"/>
      <c r="H943" s="190"/>
      <c r="I943" s="62"/>
      <c r="J943" s="62"/>
      <c r="K943" s="62"/>
      <c r="L943" s="62"/>
      <c r="M943" s="62"/>
      <c r="N943" s="62"/>
      <c r="O943" s="62"/>
      <c r="P943" s="62"/>
      <c r="Q943" s="62"/>
      <c r="R943" s="62"/>
      <c r="S943" s="62"/>
      <c r="T943" s="62"/>
      <c r="U943" s="62"/>
      <c r="V943" s="62"/>
      <c r="W943" s="62"/>
      <c r="X943" s="62"/>
      <c r="Y943" s="62"/>
      <c r="Z943" s="62"/>
      <c r="AA943" s="62"/>
      <c r="AB943" s="62"/>
      <c r="AC943" s="62"/>
    </row>
    <row r="944">
      <c r="A944" s="61"/>
      <c r="B944" s="61"/>
      <c r="C944" s="62"/>
      <c r="D944" s="62"/>
      <c r="E944" s="62"/>
      <c r="F944" s="62"/>
      <c r="G944" s="62"/>
      <c r="H944" s="190"/>
      <c r="I944" s="62"/>
      <c r="J944" s="62"/>
      <c r="K944" s="62"/>
      <c r="L944" s="62"/>
      <c r="M944" s="62"/>
      <c r="N944" s="62"/>
      <c r="O944" s="62"/>
      <c r="P944" s="62"/>
      <c r="Q944" s="62"/>
      <c r="R944" s="62"/>
      <c r="S944" s="62"/>
      <c r="T944" s="62"/>
      <c r="U944" s="62"/>
      <c r="V944" s="62"/>
      <c r="W944" s="62"/>
      <c r="X944" s="62"/>
      <c r="Y944" s="62"/>
      <c r="Z944" s="62"/>
      <c r="AA944" s="62"/>
      <c r="AB944" s="62"/>
      <c r="AC944" s="62"/>
    </row>
    <row r="945">
      <c r="A945" s="61"/>
      <c r="B945" s="61"/>
      <c r="C945" s="62"/>
      <c r="D945" s="62"/>
      <c r="E945" s="62"/>
      <c r="F945" s="62"/>
      <c r="G945" s="62"/>
      <c r="H945" s="190"/>
      <c r="I945" s="62"/>
      <c r="J945" s="62"/>
      <c r="K945" s="62"/>
      <c r="L945" s="62"/>
      <c r="M945" s="62"/>
      <c r="N945" s="62"/>
      <c r="O945" s="62"/>
      <c r="P945" s="62"/>
      <c r="Q945" s="62"/>
      <c r="R945" s="62"/>
      <c r="S945" s="62"/>
      <c r="T945" s="62"/>
      <c r="U945" s="62"/>
      <c r="V945" s="62"/>
      <c r="W945" s="62"/>
      <c r="X945" s="62"/>
      <c r="Y945" s="62"/>
      <c r="Z945" s="62"/>
      <c r="AA945" s="62"/>
      <c r="AB945" s="62"/>
      <c r="AC945" s="62"/>
    </row>
    <row r="946">
      <c r="A946" s="61"/>
      <c r="B946" s="61"/>
      <c r="C946" s="62"/>
      <c r="D946" s="62"/>
      <c r="E946" s="62"/>
      <c r="F946" s="62"/>
      <c r="G946" s="62"/>
      <c r="H946" s="190"/>
      <c r="I946" s="62"/>
      <c r="J946" s="62"/>
      <c r="K946" s="62"/>
      <c r="L946" s="62"/>
      <c r="M946" s="62"/>
      <c r="N946" s="62"/>
      <c r="O946" s="62"/>
      <c r="P946" s="62"/>
      <c r="Q946" s="62"/>
      <c r="R946" s="62"/>
      <c r="S946" s="62"/>
      <c r="T946" s="62"/>
      <c r="U946" s="62"/>
      <c r="V946" s="62"/>
      <c r="W946" s="62"/>
      <c r="X946" s="62"/>
      <c r="Y946" s="62"/>
      <c r="Z946" s="62"/>
      <c r="AA946" s="62"/>
      <c r="AB946" s="62"/>
      <c r="AC946" s="62"/>
    </row>
    <row r="947">
      <c r="A947" s="61"/>
      <c r="B947" s="61"/>
      <c r="C947" s="62"/>
      <c r="D947" s="62"/>
      <c r="E947" s="62"/>
      <c r="F947" s="62"/>
      <c r="G947" s="62"/>
      <c r="H947" s="190"/>
      <c r="I947" s="62"/>
      <c r="J947" s="62"/>
      <c r="K947" s="62"/>
      <c r="L947" s="62"/>
      <c r="M947" s="62"/>
      <c r="N947" s="62"/>
      <c r="O947" s="62"/>
      <c r="P947" s="62"/>
      <c r="Q947" s="62"/>
      <c r="R947" s="62"/>
      <c r="S947" s="62"/>
      <c r="T947" s="62"/>
      <c r="U947" s="62"/>
      <c r="V947" s="62"/>
      <c r="W947" s="62"/>
      <c r="X947" s="62"/>
      <c r="Y947" s="62"/>
      <c r="Z947" s="62"/>
      <c r="AA947" s="62"/>
      <c r="AB947" s="62"/>
      <c r="AC947" s="62"/>
    </row>
    <row r="948">
      <c r="A948" s="61"/>
      <c r="B948" s="61"/>
      <c r="C948" s="62"/>
      <c r="D948" s="62"/>
      <c r="E948" s="62"/>
      <c r="F948" s="62"/>
      <c r="G948" s="62"/>
      <c r="H948" s="190"/>
      <c r="I948" s="62"/>
      <c r="J948" s="62"/>
      <c r="K948" s="62"/>
      <c r="L948" s="62"/>
      <c r="M948" s="62"/>
      <c r="N948" s="62"/>
      <c r="O948" s="62"/>
      <c r="P948" s="62"/>
      <c r="Q948" s="62"/>
      <c r="R948" s="62"/>
      <c r="S948" s="62"/>
      <c r="T948" s="62"/>
      <c r="U948" s="62"/>
      <c r="V948" s="62"/>
      <c r="W948" s="62"/>
      <c r="X948" s="62"/>
      <c r="Y948" s="62"/>
      <c r="Z948" s="62"/>
      <c r="AA948" s="62"/>
      <c r="AB948" s="62"/>
      <c r="AC948" s="62"/>
    </row>
    <row r="949">
      <c r="A949" s="61"/>
      <c r="B949" s="61"/>
      <c r="C949" s="62"/>
      <c r="D949" s="62"/>
      <c r="E949" s="62"/>
      <c r="F949" s="62"/>
      <c r="G949" s="62"/>
      <c r="H949" s="190"/>
      <c r="I949" s="62"/>
      <c r="J949" s="62"/>
      <c r="K949" s="62"/>
      <c r="L949" s="62"/>
      <c r="M949" s="62"/>
      <c r="N949" s="62"/>
      <c r="O949" s="62"/>
      <c r="P949" s="62"/>
      <c r="Q949" s="62"/>
      <c r="R949" s="62"/>
      <c r="S949" s="62"/>
      <c r="T949" s="62"/>
      <c r="U949" s="62"/>
      <c r="V949" s="62"/>
      <c r="W949" s="62"/>
      <c r="X949" s="62"/>
      <c r="Y949" s="62"/>
      <c r="Z949" s="62"/>
      <c r="AA949" s="62"/>
      <c r="AB949" s="62"/>
      <c r="AC949" s="62"/>
    </row>
    <row r="950">
      <c r="A950" s="61"/>
      <c r="B950" s="61"/>
      <c r="C950" s="62"/>
      <c r="D950" s="62"/>
      <c r="E950" s="62"/>
      <c r="F950" s="62"/>
      <c r="G950" s="62"/>
      <c r="H950" s="190"/>
      <c r="I950" s="62"/>
      <c r="J950" s="62"/>
      <c r="K950" s="62"/>
      <c r="L950" s="62"/>
      <c r="M950" s="62"/>
      <c r="N950" s="62"/>
      <c r="O950" s="62"/>
      <c r="P950" s="62"/>
      <c r="Q950" s="62"/>
      <c r="R950" s="62"/>
      <c r="S950" s="62"/>
      <c r="T950" s="62"/>
      <c r="U950" s="62"/>
      <c r="V950" s="62"/>
      <c r="W950" s="62"/>
      <c r="X950" s="62"/>
      <c r="Y950" s="62"/>
      <c r="Z950" s="62"/>
      <c r="AA950" s="62"/>
      <c r="AB950" s="62"/>
      <c r="AC950" s="62"/>
    </row>
    <row r="951">
      <c r="A951" s="61"/>
      <c r="B951" s="61"/>
      <c r="C951" s="62"/>
      <c r="D951" s="62"/>
      <c r="E951" s="62"/>
      <c r="F951" s="62"/>
      <c r="G951" s="62"/>
      <c r="H951" s="190"/>
      <c r="I951" s="62"/>
      <c r="J951" s="62"/>
      <c r="K951" s="62"/>
      <c r="L951" s="62"/>
      <c r="M951" s="62"/>
      <c r="N951" s="62"/>
      <c r="O951" s="62"/>
      <c r="P951" s="62"/>
      <c r="Q951" s="62"/>
      <c r="R951" s="62"/>
      <c r="S951" s="62"/>
      <c r="T951" s="62"/>
      <c r="U951" s="62"/>
      <c r="V951" s="62"/>
      <c r="W951" s="62"/>
      <c r="X951" s="62"/>
      <c r="Y951" s="62"/>
      <c r="Z951" s="62"/>
      <c r="AA951" s="62"/>
      <c r="AB951" s="62"/>
      <c r="AC951" s="62"/>
    </row>
    <row r="952">
      <c r="A952" s="61"/>
      <c r="B952" s="61"/>
      <c r="C952" s="62"/>
      <c r="D952" s="62"/>
      <c r="E952" s="62"/>
      <c r="F952" s="62"/>
      <c r="G952" s="62"/>
      <c r="H952" s="190"/>
      <c r="I952" s="62"/>
      <c r="J952" s="62"/>
      <c r="K952" s="62"/>
      <c r="L952" s="62"/>
      <c r="M952" s="62"/>
      <c r="N952" s="62"/>
      <c r="O952" s="62"/>
      <c r="P952" s="62"/>
      <c r="Q952" s="62"/>
      <c r="R952" s="62"/>
      <c r="S952" s="62"/>
      <c r="T952" s="62"/>
      <c r="U952" s="62"/>
      <c r="V952" s="62"/>
      <c r="W952" s="62"/>
      <c r="X952" s="62"/>
      <c r="Y952" s="62"/>
      <c r="Z952" s="62"/>
      <c r="AA952" s="62"/>
      <c r="AB952" s="62"/>
      <c r="AC952" s="62"/>
    </row>
    <row r="953">
      <c r="A953" s="61"/>
      <c r="B953" s="61"/>
      <c r="C953" s="62"/>
      <c r="D953" s="62"/>
      <c r="E953" s="62"/>
      <c r="F953" s="62"/>
      <c r="G953" s="62"/>
      <c r="H953" s="190"/>
      <c r="I953" s="62"/>
      <c r="J953" s="62"/>
      <c r="K953" s="62"/>
      <c r="L953" s="62"/>
      <c r="M953" s="62"/>
      <c r="N953" s="62"/>
      <c r="O953" s="62"/>
      <c r="P953" s="62"/>
      <c r="Q953" s="62"/>
      <c r="R953" s="62"/>
      <c r="S953" s="62"/>
      <c r="T953" s="62"/>
      <c r="U953" s="62"/>
      <c r="V953" s="62"/>
      <c r="W953" s="62"/>
      <c r="X953" s="62"/>
      <c r="Y953" s="62"/>
      <c r="Z953" s="62"/>
      <c r="AA953" s="62"/>
      <c r="AB953" s="62"/>
      <c r="AC953" s="62"/>
    </row>
    <row r="954">
      <c r="A954" s="61"/>
      <c r="B954" s="61"/>
      <c r="C954" s="62"/>
      <c r="D954" s="62"/>
      <c r="E954" s="62"/>
      <c r="F954" s="62"/>
      <c r="G954" s="62"/>
      <c r="H954" s="190"/>
      <c r="I954" s="62"/>
      <c r="J954" s="62"/>
      <c r="K954" s="62"/>
      <c r="L954" s="62"/>
      <c r="M954" s="62"/>
      <c r="N954" s="62"/>
      <c r="O954" s="62"/>
      <c r="P954" s="62"/>
      <c r="Q954" s="62"/>
      <c r="R954" s="62"/>
      <c r="S954" s="62"/>
      <c r="T954" s="62"/>
      <c r="U954" s="62"/>
      <c r="V954" s="62"/>
      <c r="W954" s="62"/>
      <c r="X954" s="62"/>
      <c r="Y954" s="62"/>
      <c r="Z954" s="62"/>
      <c r="AA954" s="62"/>
      <c r="AB954" s="62"/>
      <c r="AC954" s="62"/>
    </row>
    <row r="955">
      <c r="A955" s="61"/>
      <c r="B955" s="61"/>
      <c r="C955" s="62"/>
      <c r="D955" s="62"/>
      <c r="E955" s="62"/>
      <c r="F955" s="62"/>
      <c r="G955" s="62"/>
      <c r="H955" s="190"/>
      <c r="I955" s="62"/>
      <c r="J955" s="62"/>
      <c r="K955" s="62"/>
      <c r="L955" s="62"/>
      <c r="M955" s="62"/>
      <c r="N955" s="62"/>
      <c r="O955" s="62"/>
      <c r="P955" s="62"/>
      <c r="Q955" s="62"/>
      <c r="R955" s="62"/>
      <c r="S955" s="62"/>
      <c r="T955" s="62"/>
      <c r="U955" s="62"/>
      <c r="V955" s="62"/>
      <c r="W955" s="62"/>
      <c r="X955" s="62"/>
      <c r="Y955" s="62"/>
      <c r="Z955" s="62"/>
      <c r="AA955" s="62"/>
      <c r="AB955" s="62"/>
      <c r="AC955" s="62"/>
    </row>
    <row r="956">
      <c r="A956" s="61"/>
      <c r="B956" s="61"/>
      <c r="C956" s="62"/>
      <c r="D956" s="62"/>
      <c r="E956" s="62"/>
      <c r="F956" s="62"/>
      <c r="G956" s="62"/>
      <c r="H956" s="190"/>
      <c r="I956" s="62"/>
      <c r="J956" s="62"/>
      <c r="K956" s="62"/>
      <c r="L956" s="62"/>
      <c r="M956" s="62"/>
      <c r="N956" s="62"/>
      <c r="O956" s="62"/>
      <c r="P956" s="62"/>
      <c r="Q956" s="62"/>
      <c r="R956" s="62"/>
      <c r="S956" s="62"/>
      <c r="T956" s="62"/>
      <c r="U956" s="62"/>
      <c r="V956" s="62"/>
      <c r="W956" s="62"/>
      <c r="X956" s="62"/>
      <c r="Y956" s="62"/>
      <c r="Z956" s="62"/>
      <c r="AA956" s="62"/>
      <c r="AB956" s="62"/>
      <c r="AC956" s="62"/>
    </row>
    <row r="957">
      <c r="A957" s="61"/>
      <c r="B957" s="61"/>
      <c r="C957" s="62"/>
      <c r="D957" s="62"/>
      <c r="E957" s="62"/>
      <c r="F957" s="62"/>
      <c r="G957" s="62"/>
      <c r="H957" s="190"/>
      <c r="I957" s="62"/>
      <c r="J957" s="62"/>
      <c r="K957" s="62"/>
      <c r="L957" s="62"/>
      <c r="M957" s="62"/>
      <c r="N957" s="62"/>
      <c r="O957" s="62"/>
      <c r="P957" s="62"/>
      <c r="Q957" s="62"/>
      <c r="R957" s="62"/>
      <c r="S957" s="62"/>
      <c r="T957" s="62"/>
      <c r="U957" s="62"/>
      <c r="V957" s="62"/>
      <c r="W957" s="62"/>
      <c r="X957" s="62"/>
      <c r="Y957" s="62"/>
      <c r="Z957" s="62"/>
      <c r="AA957" s="62"/>
      <c r="AB957" s="62"/>
      <c r="AC957" s="62"/>
    </row>
    <row r="958">
      <c r="A958" s="61"/>
      <c r="B958" s="61"/>
      <c r="C958" s="62"/>
      <c r="D958" s="62"/>
      <c r="E958" s="62"/>
      <c r="F958" s="62"/>
      <c r="G958" s="62"/>
      <c r="H958" s="190"/>
      <c r="I958" s="62"/>
      <c r="J958" s="62"/>
      <c r="K958" s="62"/>
      <c r="L958" s="62"/>
      <c r="M958" s="62"/>
      <c r="N958" s="62"/>
      <c r="O958" s="62"/>
      <c r="P958" s="62"/>
      <c r="Q958" s="62"/>
      <c r="R958" s="62"/>
      <c r="S958" s="62"/>
      <c r="T958" s="62"/>
      <c r="U958" s="62"/>
      <c r="V958" s="62"/>
      <c r="W958" s="62"/>
      <c r="X958" s="62"/>
      <c r="Y958" s="62"/>
      <c r="Z958" s="62"/>
      <c r="AA958" s="62"/>
      <c r="AB958" s="62"/>
      <c r="AC958" s="62"/>
    </row>
    <row r="959">
      <c r="A959" s="61"/>
      <c r="B959" s="61"/>
      <c r="C959" s="62"/>
      <c r="D959" s="62"/>
      <c r="E959" s="62"/>
      <c r="F959" s="62"/>
      <c r="G959" s="62"/>
      <c r="H959" s="190"/>
      <c r="I959" s="62"/>
      <c r="J959" s="62"/>
      <c r="K959" s="62"/>
      <c r="L959" s="62"/>
      <c r="M959" s="62"/>
      <c r="N959" s="62"/>
      <c r="O959" s="62"/>
      <c r="P959" s="62"/>
      <c r="Q959" s="62"/>
      <c r="R959" s="62"/>
      <c r="S959" s="62"/>
      <c r="T959" s="62"/>
      <c r="U959" s="62"/>
      <c r="V959" s="62"/>
      <c r="W959" s="62"/>
      <c r="X959" s="62"/>
      <c r="Y959" s="62"/>
      <c r="Z959" s="62"/>
      <c r="AA959" s="62"/>
      <c r="AB959" s="62"/>
      <c r="AC959" s="62"/>
    </row>
    <row r="960">
      <c r="A960" s="61"/>
      <c r="B960" s="61"/>
      <c r="C960" s="62"/>
      <c r="D960" s="62"/>
      <c r="E960" s="62"/>
      <c r="F960" s="62"/>
      <c r="G960" s="62"/>
      <c r="H960" s="190"/>
      <c r="I960" s="62"/>
      <c r="J960" s="62"/>
      <c r="K960" s="62"/>
      <c r="L960" s="62"/>
      <c r="M960" s="62"/>
      <c r="N960" s="62"/>
      <c r="O960" s="62"/>
      <c r="P960" s="62"/>
      <c r="Q960" s="62"/>
      <c r="R960" s="62"/>
      <c r="S960" s="62"/>
      <c r="T960" s="62"/>
      <c r="U960" s="62"/>
      <c r="V960" s="62"/>
      <c r="W960" s="62"/>
      <c r="X960" s="62"/>
      <c r="Y960" s="62"/>
      <c r="Z960" s="62"/>
      <c r="AA960" s="62"/>
      <c r="AB960" s="62"/>
      <c r="AC960" s="62"/>
    </row>
    <row r="961">
      <c r="A961" s="61"/>
      <c r="B961" s="61"/>
      <c r="C961" s="62"/>
      <c r="D961" s="62"/>
      <c r="E961" s="62"/>
      <c r="F961" s="62"/>
      <c r="G961" s="62"/>
      <c r="H961" s="190"/>
      <c r="I961" s="62"/>
      <c r="J961" s="62"/>
      <c r="K961" s="62"/>
      <c r="L961" s="62"/>
      <c r="M961" s="62"/>
      <c r="N961" s="62"/>
      <c r="O961" s="62"/>
      <c r="P961" s="62"/>
      <c r="Q961" s="62"/>
      <c r="R961" s="62"/>
      <c r="S961" s="62"/>
      <c r="T961" s="62"/>
      <c r="U961" s="62"/>
      <c r="V961" s="62"/>
      <c r="W961" s="62"/>
      <c r="X961" s="62"/>
      <c r="Y961" s="62"/>
      <c r="Z961" s="62"/>
      <c r="AA961" s="62"/>
      <c r="AB961" s="62"/>
      <c r="AC961" s="62"/>
    </row>
    <row r="962">
      <c r="A962" s="61"/>
      <c r="B962" s="61"/>
      <c r="C962" s="62"/>
      <c r="D962" s="62"/>
      <c r="E962" s="62"/>
      <c r="F962" s="62"/>
      <c r="G962" s="62"/>
      <c r="H962" s="190"/>
      <c r="I962" s="62"/>
      <c r="J962" s="62"/>
      <c r="K962" s="62"/>
      <c r="L962" s="62"/>
      <c r="M962" s="62"/>
      <c r="N962" s="62"/>
      <c r="O962" s="62"/>
      <c r="P962" s="62"/>
      <c r="Q962" s="62"/>
      <c r="R962" s="62"/>
      <c r="S962" s="62"/>
      <c r="T962" s="62"/>
      <c r="U962" s="62"/>
      <c r="V962" s="62"/>
      <c r="W962" s="62"/>
      <c r="X962" s="62"/>
      <c r="Y962" s="62"/>
      <c r="Z962" s="62"/>
      <c r="AA962" s="62"/>
      <c r="AB962" s="62"/>
      <c r="AC962" s="62"/>
    </row>
    <row r="963">
      <c r="A963" s="61"/>
      <c r="B963" s="61"/>
      <c r="C963" s="62"/>
      <c r="D963" s="62"/>
      <c r="E963" s="62"/>
      <c r="F963" s="62"/>
      <c r="G963" s="62"/>
      <c r="H963" s="190"/>
      <c r="I963" s="62"/>
      <c r="J963" s="62"/>
      <c r="K963" s="62"/>
      <c r="L963" s="62"/>
      <c r="M963" s="62"/>
      <c r="N963" s="62"/>
      <c r="O963" s="62"/>
      <c r="P963" s="62"/>
      <c r="Q963" s="62"/>
      <c r="R963" s="62"/>
      <c r="S963" s="62"/>
      <c r="T963" s="62"/>
      <c r="U963" s="62"/>
      <c r="V963" s="62"/>
      <c r="W963" s="62"/>
      <c r="X963" s="62"/>
      <c r="Y963" s="62"/>
      <c r="Z963" s="62"/>
      <c r="AA963" s="62"/>
      <c r="AB963" s="62"/>
      <c r="AC963" s="62"/>
    </row>
    <row r="964">
      <c r="A964" s="61"/>
      <c r="B964" s="61"/>
      <c r="C964" s="62"/>
      <c r="D964" s="62"/>
      <c r="E964" s="62"/>
      <c r="F964" s="62"/>
      <c r="G964" s="62"/>
      <c r="H964" s="190"/>
      <c r="I964" s="62"/>
      <c r="J964" s="62"/>
      <c r="K964" s="62"/>
      <c r="L964" s="62"/>
      <c r="M964" s="62"/>
      <c r="N964" s="62"/>
      <c r="O964" s="62"/>
      <c r="P964" s="62"/>
      <c r="Q964" s="62"/>
      <c r="R964" s="62"/>
      <c r="S964" s="62"/>
      <c r="T964" s="62"/>
      <c r="U964" s="62"/>
      <c r="V964" s="62"/>
      <c r="W964" s="62"/>
      <c r="X964" s="62"/>
      <c r="Y964" s="62"/>
      <c r="Z964" s="62"/>
      <c r="AA964" s="62"/>
      <c r="AB964" s="62"/>
      <c r="AC964" s="62"/>
    </row>
    <row r="965">
      <c r="A965" s="61"/>
      <c r="B965" s="61"/>
      <c r="C965" s="62"/>
      <c r="D965" s="62"/>
      <c r="E965" s="62"/>
      <c r="F965" s="62"/>
      <c r="G965" s="62"/>
      <c r="H965" s="190"/>
      <c r="I965" s="62"/>
      <c r="J965" s="62"/>
      <c r="K965" s="62"/>
      <c r="L965" s="62"/>
      <c r="M965" s="62"/>
      <c r="N965" s="62"/>
      <c r="O965" s="62"/>
      <c r="P965" s="62"/>
      <c r="Q965" s="62"/>
      <c r="R965" s="62"/>
      <c r="S965" s="62"/>
      <c r="T965" s="62"/>
      <c r="U965" s="62"/>
      <c r="V965" s="62"/>
      <c r="W965" s="62"/>
      <c r="X965" s="62"/>
      <c r="Y965" s="62"/>
      <c r="Z965" s="62"/>
      <c r="AA965" s="62"/>
      <c r="AB965" s="62"/>
      <c r="AC965" s="62"/>
    </row>
    <row r="966">
      <c r="A966" s="61"/>
      <c r="B966" s="61"/>
      <c r="C966" s="62"/>
      <c r="D966" s="62"/>
      <c r="E966" s="62"/>
      <c r="F966" s="62"/>
      <c r="G966" s="62"/>
      <c r="H966" s="190"/>
      <c r="I966" s="62"/>
      <c r="J966" s="62"/>
      <c r="K966" s="62"/>
      <c r="L966" s="62"/>
      <c r="M966" s="62"/>
      <c r="N966" s="62"/>
      <c r="O966" s="62"/>
      <c r="P966" s="62"/>
      <c r="Q966" s="62"/>
      <c r="R966" s="62"/>
      <c r="S966" s="62"/>
      <c r="T966" s="62"/>
      <c r="U966" s="62"/>
      <c r="V966" s="62"/>
      <c r="W966" s="62"/>
      <c r="X966" s="62"/>
      <c r="Y966" s="62"/>
      <c r="Z966" s="62"/>
      <c r="AA966" s="62"/>
      <c r="AB966" s="62"/>
      <c r="AC966" s="62"/>
    </row>
    <row r="967">
      <c r="A967" s="61"/>
      <c r="B967" s="61"/>
      <c r="C967" s="62"/>
      <c r="D967" s="62"/>
      <c r="E967" s="62"/>
      <c r="F967" s="62"/>
      <c r="G967" s="62"/>
      <c r="H967" s="190"/>
      <c r="I967" s="62"/>
      <c r="J967" s="62"/>
      <c r="K967" s="62"/>
      <c r="L967" s="62"/>
      <c r="M967" s="62"/>
      <c r="N967" s="62"/>
      <c r="O967" s="62"/>
      <c r="P967" s="62"/>
      <c r="Q967" s="62"/>
      <c r="R967" s="62"/>
      <c r="S967" s="62"/>
      <c r="T967" s="62"/>
      <c r="U967" s="62"/>
      <c r="V967" s="62"/>
      <c r="W967" s="62"/>
      <c r="X967" s="62"/>
      <c r="Y967" s="62"/>
      <c r="Z967" s="62"/>
      <c r="AA967" s="62"/>
      <c r="AB967" s="62"/>
      <c r="AC967" s="62"/>
    </row>
    <row r="968">
      <c r="A968" s="61"/>
      <c r="B968" s="61"/>
      <c r="C968" s="62"/>
      <c r="D968" s="62"/>
      <c r="E968" s="62"/>
      <c r="F968" s="62"/>
      <c r="G968" s="62"/>
      <c r="H968" s="190"/>
      <c r="I968" s="62"/>
      <c r="J968" s="62"/>
      <c r="K968" s="62"/>
      <c r="L968" s="62"/>
      <c r="M968" s="62"/>
      <c r="N968" s="62"/>
      <c r="O968" s="62"/>
      <c r="P968" s="62"/>
      <c r="Q968" s="62"/>
      <c r="R968" s="62"/>
      <c r="S968" s="62"/>
      <c r="T968" s="62"/>
      <c r="U968" s="62"/>
      <c r="V968" s="62"/>
      <c r="W968" s="62"/>
      <c r="X968" s="62"/>
      <c r="Y968" s="62"/>
      <c r="Z968" s="62"/>
      <c r="AA968" s="62"/>
      <c r="AB968" s="62"/>
      <c r="AC968" s="62"/>
    </row>
    <row r="969">
      <c r="A969" s="61"/>
      <c r="B969" s="61"/>
      <c r="C969" s="62"/>
      <c r="D969" s="62"/>
      <c r="E969" s="62"/>
      <c r="F969" s="62"/>
      <c r="G969" s="62"/>
      <c r="H969" s="190"/>
      <c r="I969" s="62"/>
      <c r="J969" s="62"/>
      <c r="K969" s="62"/>
      <c r="L969" s="62"/>
      <c r="M969" s="62"/>
      <c r="N969" s="62"/>
      <c r="O969" s="62"/>
      <c r="P969" s="62"/>
      <c r="Q969" s="62"/>
      <c r="R969" s="62"/>
      <c r="S969" s="62"/>
      <c r="T969" s="62"/>
      <c r="U969" s="62"/>
      <c r="V969" s="62"/>
      <c r="W969" s="62"/>
      <c r="X969" s="62"/>
      <c r="Y969" s="62"/>
      <c r="Z969" s="62"/>
      <c r="AA969" s="62"/>
      <c r="AB969" s="62"/>
      <c r="AC969" s="62"/>
    </row>
    <row r="970">
      <c r="A970" s="61"/>
      <c r="B970" s="61"/>
      <c r="C970" s="62"/>
      <c r="D970" s="62"/>
      <c r="E970" s="62"/>
      <c r="F970" s="62"/>
      <c r="G970" s="62"/>
      <c r="H970" s="190"/>
      <c r="I970" s="62"/>
      <c r="J970" s="62"/>
      <c r="K970" s="62"/>
      <c r="L970" s="62"/>
      <c r="M970" s="62"/>
      <c r="N970" s="62"/>
      <c r="O970" s="62"/>
      <c r="P970" s="62"/>
      <c r="Q970" s="62"/>
      <c r="R970" s="62"/>
      <c r="S970" s="62"/>
      <c r="T970" s="62"/>
      <c r="U970" s="62"/>
      <c r="V970" s="62"/>
      <c r="W970" s="62"/>
      <c r="X970" s="62"/>
      <c r="Y970" s="62"/>
      <c r="Z970" s="62"/>
      <c r="AA970" s="62"/>
      <c r="AB970" s="62"/>
      <c r="AC970" s="62"/>
    </row>
    <row r="971">
      <c r="A971" s="61"/>
      <c r="B971" s="61"/>
      <c r="C971" s="62"/>
      <c r="D971" s="62"/>
      <c r="E971" s="62"/>
      <c r="F971" s="62"/>
      <c r="G971" s="62"/>
      <c r="H971" s="190"/>
      <c r="I971" s="62"/>
      <c r="J971" s="62"/>
      <c r="K971" s="62"/>
      <c r="L971" s="62"/>
      <c r="M971" s="62"/>
      <c r="N971" s="62"/>
      <c r="O971" s="62"/>
      <c r="P971" s="62"/>
      <c r="Q971" s="62"/>
      <c r="R971" s="62"/>
      <c r="S971" s="62"/>
      <c r="T971" s="62"/>
      <c r="U971" s="62"/>
      <c r="V971" s="62"/>
      <c r="W971" s="62"/>
      <c r="X971" s="62"/>
      <c r="Y971" s="62"/>
      <c r="Z971" s="62"/>
      <c r="AA971" s="62"/>
      <c r="AB971" s="62"/>
      <c r="AC971" s="62"/>
    </row>
    <row r="972">
      <c r="A972" s="61"/>
      <c r="B972" s="61"/>
      <c r="C972" s="62"/>
      <c r="D972" s="62"/>
      <c r="E972" s="62"/>
      <c r="F972" s="62"/>
      <c r="G972" s="62"/>
      <c r="H972" s="190"/>
      <c r="I972" s="62"/>
      <c r="J972" s="62"/>
      <c r="K972" s="62"/>
      <c r="L972" s="62"/>
      <c r="M972" s="62"/>
      <c r="N972" s="62"/>
      <c r="O972" s="62"/>
      <c r="P972" s="62"/>
      <c r="Q972" s="62"/>
      <c r="R972" s="62"/>
      <c r="S972" s="62"/>
      <c r="T972" s="62"/>
      <c r="U972" s="62"/>
      <c r="V972" s="62"/>
      <c r="W972" s="62"/>
      <c r="X972" s="62"/>
      <c r="Y972" s="62"/>
      <c r="Z972" s="62"/>
      <c r="AA972" s="62"/>
      <c r="AB972" s="62"/>
      <c r="AC972" s="62"/>
    </row>
    <row r="973">
      <c r="A973" s="61"/>
      <c r="B973" s="61"/>
      <c r="C973" s="62"/>
      <c r="D973" s="62"/>
      <c r="E973" s="62"/>
      <c r="F973" s="62"/>
      <c r="G973" s="62"/>
      <c r="H973" s="190"/>
      <c r="I973" s="62"/>
      <c r="J973" s="62"/>
      <c r="K973" s="62"/>
      <c r="L973" s="62"/>
      <c r="M973" s="62"/>
      <c r="N973" s="62"/>
      <c r="O973" s="62"/>
      <c r="P973" s="62"/>
      <c r="Q973" s="62"/>
      <c r="R973" s="62"/>
      <c r="S973" s="62"/>
      <c r="T973" s="62"/>
      <c r="U973" s="62"/>
      <c r="V973" s="62"/>
      <c r="W973" s="62"/>
      <c r="X973" s="62"/>
      <c r="Y973" s="62"/>
      <c r="Z973" s="62"/>
      <c r="AA973" s="62"/>
      <c r="AB973" s="62"/>
      <c r="AC973" s="62"/>
    </row>
    <row r="974">
      <c r="A974" s="61"/>
      <c r="B974" s="61"/>
      <c r="C974" s="62"/>
      <c r="D974" s="62"/>
      <c r="E974" s="62"/>
      <c r="F974" s="62"/>
      <c r="G974" s="62"/>
      <c r="H974" s="190"/>
      <c r="I974" s="62"/>
      <c r="J974" s="62"/>
      <c r="K974" s="62"/>
      <c r="L974" s="62"/>
      <c r="M974" s="62"/>
      <c r="N974" s="62"/>
      <c r="O974" s="62"/>
      <c r="P974" s="62"/>
      <c r="Q974" s="62"/>
      <c r="R974" s="62"/>
      <c r="S974" s="62"/>
      <c r="T974" s="62"/>
      <c r="U974" s="62"/>
      <c r="V974" s="62"/>
      <c r="W974" s="62"/>
      <c r="X974" s="62"/>
      <c r="Y974" s="62"/>
      <c r="Z974" s="62"/>
      <c r="AA974" s="62"/>
      <c r="AB974" s="62"/>
      <c r="AC974" s="62"/>
    </row>
    <row r="975">
      <c r="A975" s="61"/>
      <c r="B975" s="61"/>
      <c r="C975" s="62"/>
      <c r="D975" s="62"/>
      <c r="E975" s="62"/>
      <c r="F975" s="62"/>
      <c r="G975" s="62"/>
      <c r="H975" s="190"/>
      <c r="I975" s="62"/>
      <c r="J975" s="62"/>
      <c r="K975" s="62"/>
      <c r="L975" s="62"/>
      <c r="M975" s="62"/>
      <c r="N975" s="62"/>
      <c r="O975" s="62"/>
      <c r="P975" s="62"/>
      <c r="Q975" s="62"/>
      <c r="R975" s="62"/>
      <c r="S975" s="62"/>
      <c r="T975" s="62"/>
      <c r="U975" s="62"/>
      <c r="V975" s="62"/>
      <c r="W975" s="62"/>
      <c r="X975" s="62"/>
      <c r="Y975" s="62"/>
      <c r="Z975" s="62"/>
      <c r="AA975" s="62"/>
      <c r="AB975" s="62"/>
      <c r="AC975" s="62"/>
    </row>
    <row r="976">
      <c r="A976" s="61"/>
      <c r="B976" s="61"/>
      <c r="C976" s="62"/>
      <c r="D976" s="62"/>
      <c r="E976" s="62"/>
      <c r="F976" s="62"/>
      <c r="G976" s="62"/>
      <c r="H976" s="190"/>
      <c r="I976" s="62"/>
      <c r="J976" s="62"/>
      <c r="K976" s="62"/>
      <c r="L976" s="62"/>
      <c r="M976" s="62"/>
      <c r="N976" s="62"/>
      <c r="O976" s="62"/>
      <c r="P976" s="62"/>
      <c r="Q976" s="62"/>
      <c r="R976" s="62"/>
      <c r="S976" s="62"/>
      <c r="T976" s="62"/>
      <c r="U976" s="62"/>
      <c r="V976" s="62"/>
      <c r="W976" s="62"/>
      <c r="X976" s="62"/>
      <c r="Y976" s="62"/>
      <c r="Z976" s="62"/>
      <c r="AA976" s="62"/>
      <c r="AB976" s="62"/>
      <c r="AC976" s="62"/>
    </row>
    <row r="977">
      <c r="A977" s="61"/>
      <c r="B977" s="61"/>
      <c r="C977" s="62"/>
      <c r="D977" s="62"/>
      <c r="E977" s="62"/>
      <c r="F977" s="62"/>
      <c r="G977" s="62"/>
      <c r="H977" s="190"/>
      <c r="I977" s="62"/>
      <c r="J977" s="62"/>
      <c r="K977" s="62"/>
      <c r="L977" s="62"/>
      <c r="M977" s="62"/>
      <c r="N977" s="62"/>
      <c r="O977" s="62"/>
      <c r="P977" s="62"/>
      <c r="Q977" s="62"/>
      <c r="R977" s="62"/>
      <c r="S977" s="62"/>
      <c r="T977" s="62"/>
      <c r="U977" s="62"/>
      <c r="V977" s="62"/>
      <c r="W977" s="62"/>
      <c r="X977" s="62"/>
      <c r="Y977" s="62"/>
      <c r="Z977" s="62"/>
      <c r="AA977" s="62"/>
      <c r="AB977" s="62"/>
      <c r="AC977" s="62"/>
    </row>
    <row r="978">
      <c r="A978" s="61"/>
      <c r="B978" s="61"/>
      <c r="C978" s="62"/>
      <c r="D978" s="62"/>
      <c r="E978" s="62"/>
      <c r="F978" s="62"/>
      <c r="G978" s="62"/>
      <c r="H978" s="190"/>
      <c r="I978" s="62"/>
      <c r="J978" s="62"/>
      <c r="K978" s="62"/>
      <c r="L978" s="62"/>
      <c r="M978" s="62"/>
      <c r="N978" s="62"/>
      <c r="O978" s="62"/>
      <c r="P978" s="62"/>
      <c r="Q978" s="62"/>
      <c r="R978" s="62"/>
      <c r="S978" s="62"/>
      <c r="T978" s="62"/>
      <c r="U978" s="62"/>
      <c r="V978" s="62"/>
      <c r="W978" s="62"/>
      <c r="X978" s="62"/>
      <c r="Y978" s="62"/>
      <c r="Z978" s="62"/>
      <c r="AA978" s="62"/>
      <c r="AB978" s="62"/>
      <c r="AC978" s="62"/>
    </row>
    <row r="979">
      <c r="A979" s="61"/>
      <c r="B979" s="61"/>
      <c r="C979" s="62"/>
      <c r="D979" s="62"/>
      <c r="E979" s="62"/>
      <c r="F979" s="62"/>
      <c r="G979" s="62"/>
      <c r="H979" s="190"/>
      <c r="I979" s="62"/>
      <c r="J979" s="62"/>
      <c r="K979" s="62"/>
      <c r="L979" s="62"/>
      <c r="M979" s="62"/>
      <c r="N979" s="62"/>
      <c r="O979" s="62"/>
      <c r="P979" s="62"/>
      <c r="Q979" s="62"/>
      <c r="R979" s="62"/>
      <c r="S979" s="62"/>
      <c r="T979" s="62"/>
      <c r="U979" s="62"/>
      <c r="V979" s="62"/>
      <c r="W979" s="62"/>
      <c r="X979" s="62"/>
      <c r="Y979" s="62"/>
      <c r="Z979" s="62"/>
      <c r="AA979" s="62"/>
      <c r="AB979" s="62"/>
      <c r="AC979" s="62"/>
    </row>
    <row r="980">
      <c r="A980" s="61"/>
      <c r="B980" s="61"/>
      <c r="C980" s="62"/>
      <c r="D980" s="62"/>
      <c r="E980" s="62"/>
      <c r="F980" s="62"/>
      <c r="G980" s="62"/>
      <c r="H980" s="190"/>
      <c r="I980" s="62"/>
      <c r="J980" s="62"/>
      <c r="K980" s="62"/>
      <c r="L980" s="62"/>
      <c r="M980" s="62"/>
      <c r="N980" s="62"/>
      <c r="O980" s="62"/>
      <c r="P980" s="62"/>
      <c r="Q980" s="62"/>
      <c r="R980" s="62"/>
      <c r="S980" s="62"/>
      <c r="T980" s="62"/>
      <c r="U980" s="62"/>
      <c r="V980" s="62"/>
      <c r="W980" s="62"/>
      <c r="X980" s="62"/>
      <c r="Y980" s="62"/>
      <c r="Z980" s="62"/>
      <c r="AA980" s="62"/>
      <c r="AB980" s="62"/>
      <c r="AC980" s="62"/>
    </row>
    <row r="981">
      <c r="A981" s="61"/>
      <c r="B981" s="61"/>
      <c r="C981" s="62"/>
      <c r="D981" s="62"/>
      <c r="E981" s="62"/>
      <c r="F981" s="62"/>
      <c r="G981" s="62"/>
      <c r="H981" s="190"/>
      <c r="I981" s="62"/>
      <c r="J981" s="62"/>
      <c r="K981" s="62"/>
      <c r="L981" s="62"/>
      <c r="M981" s="62"/>
      <c r="N981" s="62"/>
      <c r="O981" s="62"/>
      <c r="P981" s="62"/>
      <c r="Q981" s="62"/>
      <c r="R981" s="62"/>
      <c r="S981" s="62"/>
      <c r="T981" s="62"/>
      <c r="U981" s="62"/>
      <c r="V981" s="62"/>
      <c r="W981" s="62"/>
      <c r="X981" s="62"/>
      <c r="Y981" s="62"/>
      <c r="Z981" s="62"/>
      <c r="AA981" s="62"/>
      <c r="AB981" s="62"/>
      <c r="AC981" s="62"/>
    </row>
    <row r="982">
      <c r="A982" s="61"/>
      <c r="B982" s="61"/>
      <c r="C982" s="62"/>
      <c r="D982" s="62"/>
      <c r="E982" s="62"/>
      <c r="F982" s="62"/>
      <c r="G982" s="62"/>
      <c r="H982" s="190"/>
      <c r="I982" s="62"/>
      <c r="J982" s="62"/>
      <c r="K982" s="62"/>
      <c r="L982" s="62"/>
      <c r="M982" s="62"/>
      <c r="N982" s="62"/>
      <c r="O982" s="62"/>
      <c r="P982" s="62"/>
      <c r="Q982" s="62"/>
      <c r="R982" s="62"/>
      <c r="S982" s="62"/>
      <c r="T982" s="62"/>
      <c r="U982" s="62"/>
      <c r="V982" s="62"/>
      <c r="W982" s="62"/>
      <c r="X982" s="62"/>
      <c r="Y982" s="62"/>
      <c r="Z982" s="62"/>
      <c r="AA982" s="62"/>
      <c r="AB982" s="62"/>
      <c r="AC982" s="62"/>
    </row>
    <row r="983">
      <c r="A983" s="61"/>
      <c r="B983" s="61"/>
      <c r="C983" s="62"/>
      <c r="D983" s="62"/>
      <c r="E983" s="62"/>
      <c r="F983" s="62"/>
      <c r="G983" s="62"/>
      <c r="H983" s="190"/>
      <c r="I983" s="62"/>
      <c r="J983" s="62"/>
      <c r="K983" s="62"/>
      <c r="L983" s="62"/>
      <c r="M983" s="62"/>
      <c r="N983" s="62"/>
      <c r="O983" s="62"/>
      <c r="P983" s="62"/>
      <c r="Q983" s="62"/>
      <c r="R983" s="62"/>
      <c r="S983" s="62"/>
      <c r="T983" s="62"/>
      <c r="U983" s="62"/>
      <c r="V983" s="62"/>
      <c r="W983" s="62"/>
      <c r="X983" s="62"/>
      <c r="Y983" s="62"/>
      <c r="Z983" s="62"/>
      <c r="AA983" s="62"/>
      <c r="AB983" s="62"/>
      <c r="AC983" s="62"/>
    </row>
    <row r="984">
      <c r="A984" s="61"/>
      <c r="B984" s="61"/>
      <c r="C984" s="62"/>
      <c r="D984" s="62"/>
      <c r="E984" s="62"/>
      <c r="F984" s="62"/>
      <c r="G984" s="62"/>
      <c r="H984" s="190"/>
      <c r="I984" s="62"/>
      <c r="J984" s="62"/>
      <c r="K984" s="62"/>
      <c r="L984" s="62"/>
      <c r="M984" s="62"/>
      <c r="N984" s="62"/>
      <c r="O984" s="62"/>
      <c r="P984" s="62"/>
      <c r="Q984" s="62"/>
      <c r="R984" s="62"/>
      <c r="S984" s="62"/>
      <c r="T984" s="62"/>
      <c r="U984" s="62"/>
      <c r="V984" s="62"/>
      <c r="W984" s="62"/>
      <c r="X984" s="62"/>
      <c r="Y984" s="62"/>
      <c r="Z984" s="62"/>
      <c r="AA984" s="62"/>
      <c r="AB984" s="62"/>
      <c r="AC984" s="62"/>
    </row>
    <row r="985">
      <c r="A985" s="61"/>
      <c r="B985" s="61"/>
      <c r="C985" s="62"/>
      <c r="D985" s="62"/>
      <c r="E985" s="62"/>
      <c r="F985" s="62"/>
      <c r="G985" s="62"/>
      <c r="H985" s="190"/>
      <c r="I985" s="62"/>
      <c r="J985" s="62"/>
      <c r="K985" s="62"/>
      <c r="L985" s="62"/>
      <c r="M985" s="62"/>
      <c r="N985" s="62"/>
      <c r="O985" s="62"/>
      <c r="P985" s="62"/>
      <c r="Q985" s="62"/>
      <c r="R985" s="62"/>
      <c r="S985" s="62"/>
      <c r="T985" s="62"/>
      <c r="U985" s="62"/>
      <c r="V985" s="62"/>
      <c r="W985" s="62"/>
      <c r="X985" s="62"/>
      <c r="Y985" s="62"/>
      <c r="Z985" s="62"/>
      <c r="AA985" s="62"/>
      <c r="AB985" s="62"/>
      <c r="AC985" s="62"/>
    </row>
    <row r="986">
      <c r="A986" s="61"/>
      <c r="B986" s="61"/>
      <c r="C986" s="62"/>
      <c r="D986" s="62"/>
      <c r="E986" s="62"/>
      <c r="F986" s="62"/>
      <c r="G986" s="62"/>
      <c r="H986" s="190"/>
      <c r="I986" s="62"/>
      <c r="J986" s="62"/>
      <c r="K986" s="62"/>
      <c r="L986" s="62"/>
      <c r="M986" s="62"/>
      <c r="N986" s="62"/>
      <c r="O986" s="62"/>
      <c r="P986" s="62"/>
      <c r="Q986" s="62"/>
      <c r="R986" s="62"/>
      <c r="S986" s="62"/>
      <c r="T986" s="62"/>
      <c r="U986" s="62"/>
      <c r="V986" s="62"/>
      <c r="W986" s="62"/>
      <c r="X986" s="62"/>
      <c r="Y986" s="62"/>
      <c r="Z986" s="62"/>
      <c r="AA986" s="62"/>
      <c r="AB986" s="62"/>
      <c r="AC986" s="62"/>
    </row>
    <row r="987">
      <c r="A987" s="61"/>
      <c r="B987" s="61"/>
      <c r="C987" s="62"/>
      <c r="D987" s="62"/>
      <c r="E987" s="62"/>
      <c r="F987" s="62"/>
      <c r="G987" s="62"/>
      <c r="H987" s="190"/>
      <c r="I987" s="62"/>
      <c r="J987" s="62"/>
      <c r="K987" s="62"/>
      <c r="L987" s="62"/>
      <c r="M987" s="62"/>
      <c r="N987" s="62"/>
      <c r="O987" s="62"/>
      <c r="P987" s="62"/>
      <c r="Q987" s="62"/>
      <c r="R987" s="62"/>
      <c r="S987" s="62"/>
      <c r="T987" s="62"/>
      <c r="U987" s="62"/>
      <c r="V987" s="62"/>
      <c r="W987" s="62"/>
      <c r="X987" s="62"/>
      <c r="Y987" s="62"/>
      <c r="Z987" s="62"/>
      <c r="AA987" s="62"/>
      <c r="AB987" s="62"/>
      <c r="AC987" s="62"/>
    </row>
    <row r="988">
      <c r="A988" s="61"/>
      <c r="B988" s="61"/>
      <c r="C988" s="62"/>
      <c r="D988" s="62"/>
      <c r="E988" s="62"/>
      <c r="F988" s="62"/>
      <c r="G988" s="62"/>
      <c r="H988" s="190"/>
      <c r="I988" s="62"/>
      <c r="J988" s="62"/>
      <c r="K988" s="62"/>
      <c r="L988" s="62"/>
      <c r="M988" s="62"/>
      <c r="N988" s="62"/>
      <c r="O988" s="62"/>
      <c r="P988" s="62"/>
      <c r="Q988" s="62"/>
      <c r="R988" s="62"/>
      <c r="S988" s="62"/>
      <c r="T988" s="62"/>
      <c r="U988" s="62"/>
      <c r="V988" s="62"/>
      <c r="W988" s="62"/>
      <c r="X988" s="62"/>
      <c r="Y988" s="62"/>
      <c r="Z988" s="62"/>
      <c r="AA988" s="62"/>
      <c r="AB988" s="62"/>
      <c r="AC988" s="62"/>
    </row>
    <row r="989">
      <c r="A989" s="61"/>
      <c r="B989" s="61"/>
      <c r="C989" s="62"/>
      <c r="D989" s="62"/>
      <c r="E989" s="62"/>
      <c r="F989" s="62"/>
      <c r="G989" s="62"/>
      <c r="H989" s="190"/>
      <c r="I989" s="62"/>
      <c r="J989" s="62"/>
      <c r="K989" s="62"/>
      <c r="L989" s="62"/>
      <c r="M989" s="62"/>
      <c r="N989" s="62"/>
      <c r="O989" s="62"/>
      <c r="P989" s="62"/>
      <c r="Q989" s="62"/>
      <c r="R989" s="62"/>
      <c r="S989" s="62"/>
      <c r="T989" s="62"/>
      <c r="U989" s="62"/>
      <c r="V989" s="62"/>
      <c r="W989" s="62"/>
      <c r="X989" s="62"/>
      <c r="Y989" s="62"/>
      <c r="Z989" s="62"/>
      <c r="AA989" s="62"/>
      <c r="AB989" s="62"/>
      <c r="AC989" s="62"/>
    </row>
    <row r="990">
      <c r="A990" s="61"/>
      <c r="B990" s="61"/>
      <c r="C990" s="62"/>
      <c r="D990" s="62"/>
      <c r="E990" s="62"/>
      <c r="F990" s="62"/>
      <c r="G990" s="62"/>
      <c r="H990" s="190"/>
      <c r="I990" s="62"/>
      <c r="J990" s="62"/>
      <c r="K990" s="62"/>
      <c r="L990" s="62"/>
      <c r="M990" s="62"/>
      <c r="N990" s="62"/>
      <c r="O990" s="62"/>
      <c r="P990" s="62"/>
      <c r="Q990" s="62"/>
      <c r="R990" s="62"/>
      <c r="S990" s="62"/>
      <c r="T990" s="62"/>
      <c r="U990" s="62"/>
      <c r="V990" s="62"/>
      <c r="W990" s="62"/>
      <c r="X990" s="62"/>
      <c r="Y990" s="62"/>
      <c r="Z990" s="62"/>
      <c r="AA990" s="62"/>
      <c r="AB990" s="62"/>
      <c r="AC990" s="62"/>
    </row>
    <row r="991">
      <c r="A991" s="61"/>
      <c r="B991" s="61"/>
      <c r="C991" s="62"/>
      <c r="D991" s="62"/>
      <c r="E991" s="62"/>
      <c r="F991" s="62"/>
      <c r="G991" s="62"/>
      <c r="H991" s="190"/>
      <c r="I991" s="62"/>
      <c r="J991" s="62"/>
      <c r="K991" s="62"/>
      <c r="L991" s="62"/>
      <c r="M991" s="62"/>
      <c r="N991" s="62"/>
      <c r="O991" s="62"/>
      <c r="P991" s="62"/>
      <c r="Q991" s="62"/>
      <c r="R991" s="62"/>
      <c r="S991" s="62"/>
      <c r="T991" s="62"/>
      <c r="U991" s="62"/>
      <c r="V991" s="62"/>
      <c r="W991" s="62"/>
      <c r="X991" s="62"/>
      <c r="Y991" s="62"/>
      <c r="Z991" s="62"/>
      <c r="AA991" s="62"/>
      <c r="AB991" s="62"/>
      <c r="AC991" s="62"/>
    </row>
    <row r="992">
      <c r="A992" s="61"/>
      <c r="B992" s="61"/>
      <c r="C992" s="62"/>
      <c r="D992" s="62"/>
      <c r="E992" s="62"/>
      <c r="F992" s="62"/>
      <c r="G992" s="62"/>
      <c r="H992" s="190"/>
      <c r="I992" s="62"/>
      <c r="J992" s="62"/>
      <c r="K992" s="62"/>
      <c r="L992" s="62"/>
      <c r="M992" s="62"/>
      <c r="N992" s="62"/>
      <c r="O992" s="62"/>
      <c r="P992" s="62"/>
      <c r="Q992" s="62"/>
      <c r="R992" s="62"/>
      <c r="S992" s="62"/>
      <c r="T992" s="62"/>
      <c r="U992" s="62"/>
      <c r="V992" s="62"/>
      <c r="W992" s="62"/>
      <c r="X992" s="62"/>
      <c r="Y992" s="62"/>
      <c r="Z992" s="62"/>
      <c r="AA992" s="62"/>
      <c r="AB992" s="62"/>
      <c r="AC992" s="62"/>
    </row>
    <row r="993">
      <c r="A993" s="61"/>
      <c r="B993" s="61"/>
      <c r="C993" s="62"/>
      <c r="D993" s="62"/>
      <c r="E993" s="62"/>
      <c r="F993" s="62"/>
      <c r="G993" s="62"/>
      <c r="H993" s="190"/>
      <c r="I993" s="62"/>
      <c r="J993" s="62"/>
      <c r="K993" s="62"/>
      <c r="L993" s="62"/>
      <c r="M993" s="62"/>
      <c r="N993" s="62"/>
      <c r="O993" s="62"/>
      <c r="P993" s="62"/>
      <c r="Q993" s="62"/>
      <c r="R993" s="62"/>
      <c r="S993" s="62"/>
      <c r="T993" s="62"/>
      <c r="U993" s="62"/>
      <c r="V993" s="62"/>
      <c r="W993" s="62"/>
      <c r="X993" s="62"/>
      <c r="Y993" s="62"/>
      <c r="Z993" s="62"/>
      <c r="AA993" s="62"/>
      <c r="AB993" s="62"/>
      <c r="AC993" s="62"/>
    </row>
    <row r="994">
      <c r="A994" s="61"/>
      <c r="B994" s="61"/>
      <c r="C994" s="62"/>
      <c r="D994" s="62"/>
      <c r="E994" s="62"/>
      <c r="F994" s="62"/>
      <c r="G994" s="62"/>
      <c r="H994" s="190"/>
      <c r="I994" s="62"/>
      <c r="J994" s="62"/>
      <c r="K994" s="62"/>
      <c r="L994" s="62"/>
      <c r="M994" s="62"/>
      <c r="N994" s="62"/>
      <c r="O994" s="62"/>
      <c r="P994" s="62"/>
      <c r="Q994" s="62"/>
      <c r="R994" s="62"/>
      <c r="S994" s="62"/>
      <c r="T994" s="62"/>
      <c r="U994" s="62"/>
      <c r="V994" s="62"/>
      <c r="W994" s="62"/>
      <c r="X994" s="62"/>
      <c r="Y994" s="62"/>
      <c r="Z994" s="62"/>
      <c r="AA994" s="62"/>
      <c r="AB994" s="62"/>
      <c r="AC994" s="62"/>
    </row>
    <row r="995">
      <c r="A995" s="61"/>
      <c r="B995" s="61"/>
      <c r="C995" s="62"/>
      <c r="D995" s="62"/>
      <c r="E995" s="62"/>
      <c r="F995" s="62"/>
      <c r="G995" s="62"/>
      <c r="H995" s="190"/>
      <c r="I995" s="62"/>
      <c r="J995" s="62"/>
      <c r="K995" s="62"/>
      <c r="L995" s="62"/>
      <c r="M995" s="62"/>
      <c r="N995" s="62"/>
      <c r="O995" s="62"/>
      <c r="P995" s="62"/>
      <c r="Q995" s="62"/>
      <c r="R995" s="62"/>
      <c r="S995" s="62"/>
      <c r="T995" s="62"/>
      <c r="U995" s="62"/>
      <c r="V995" s="62"/>
      <c r="W995" s="62"/>
      <c r="X995" s="62"/>
      <c r="Y995" s="62"/>
      <c r="Z995" s="62"/>
      <c r="AA995" s="62"/>
      <c r="AB995" s="62"/>
      <c r="AC995" s="62"/>
    </row>
    <row r="996">
      <c r="A996" s="61"/>
      <c r="B996" s="61"/>
      <c r="C996" s="62"/>
      <c r="D996" s="62"/>
      <c r="E996" s="62"/>
      <c r="F996" s="62"/>
      <c r="G996" s="62"/>
      <c r="H996" s="190"/>
      <c r="I996" s="62"/>
      <c r="J996" s="62"/>
      <c r="K996" s="62"/>
      <c r="L996" s="62"/>
      <c r="M996" s="62"/>
      <c r="N996" s="62"/>
      <c r="O996" s="62"/>
      <c r="P996" s="62"/>
      <c r="Q996" s="62"/>
      <c r="R996" s="62"/>
      <c r="S996" s="62"/>
      <c r="T996" s="62"/>
      <c r="U996" s="62"/>
      <c r="V996" s="62"/>
      <c r="W996" s="62"/>
      <c r="X996" s="62"/>
      <c r="Y996" s="62"/>
      <c r="Z996" s="62"/>
      <c r="AA996" s="62"/>
      <c r="AB996" s="62"/>
      <c r="AC996" s="62"/>
    </row>
    <row r="997">
      <c r="A997" s="61"/>
      <c r="B997" s="61"/>
      <c r="C997" s="62"/>
      <c r="D997" s="62"/>
      <c r="E997" s="62"/>
      <c r="F997" s="62"/>
      <c r="G997" s="62"/>
      <c r="H997" s="190"/>
      <c r="I997" s="62"/>
      <c r="J997" s="62"/>
      <c r="K997" s="62"/>
      <c r="L997" s="62"/>
      <c r="M997" s="62"/>
      <c r="N997" s="62"/>
      <c r="O997" s="62"/>
      <c r="P997" s="62"/>
      <c r="Q997" s="62"/>
      <c r="R997" s="62"/>
      <c r="S997" s="62"/>
      <c r="T997" s="62"/>
      <c r="U997" s="62"/>
      <c r="V997" s="62"/>
      <c r="W997" s="62"/>
      <c r="X997" s="62"/>
      <c r="Y997" s="62"/>
      <c r="Z997" s="62"/>
      <c r="AA997" s="62"/>
      <c r="AB997" s="62"/>
      <c r="AC997" s="62"/>
    </row>
    <row r="998">
      <c r="A998" s="61"/>
      <c r="B998" s="61"/>
      <c r="C998" s="62"/>
      <c r="D998" s="62"/>
      <c r="E998" s="62"/>
      <c r="F998" s="62"/>
      <c r="G998" s="62"/>
      <c r="H998" s="190"/>
      <c r="I998" s="62"/>
      <c r="J998" s="62"/>
      <c r="K998" s="62"/>
      <c r="L998" s="62"/>
      <c r="M998" s="62"/>
      <c r="N998" s="62"/>
      <c r="O998" s="62"/>
      <c r="P998" s="62"/>
      <c r="Q998" s="62"/>
      <c r="R998" s="62"/>
      <c r="S998" s="62"/>
      <c r="T998" s="62"/>
      <c r="U998" s="62"/>
      <c r="V998" s="62"/>
      <c r="W998" s="62"/>
      <c r="X998" s="62"/>
      <c r="Y998" s="62"/>
      <c r="Z998" s="62"/>
      <c r="AA998" s="62"/>
      <c r="AB998" s="62"/>
      <c r="AC998" s="62"/>
    </row>
    <row r="999">
      <c r="A999" s="61"/>
      <c r="B999" s="61"/>
      <c r="C999" s="62"/>
      <c r="D999" s="62"/>
      <c r="E999" s="62"/>
      <c r="F999" s="62"/>
      <c r="G999" s="62"/>
      <c r="H999" s="190"/>
      <c r="I999" s="62"/>
      <c r="J999" s="62"/>
      <c r="K999" s="62"/>
      <c r="L999" s="62"/>
      <c r="M999" s="62"/>
      <c r="N999" s="62"/>
      <c r="O999" s="62"/>
      <c r="P999" s="62"/>
      <c r="Q999" s="62"/>
      <c r="R999" s="62"/>
      <c r="S999" s="62"/>
      <c r="T999" s="62"/>
      <c r="U999" s="62"/>
      <c r="V999" s="62"/>
      <c r="W999" s="62"/>
      <c r="X999" s="62"/>
      <c r="Y999" s="62"/>
      <c r="Z999" s="62"/>
      <c r="AA999" s="62"/>
      <c r="AB999" s="62"/>
      <c r="AC999" s="62"/>
    </row>
    <row r="1000">
      <c r="A1000" s="61"/>
      <c r="B1000" s="61"/>
      <c r="C1000" s="62"/>
      <c r="D1000" s="62"/>
      <c r="E1000" s="62"/>
      <c r="F1000" s="62"/>
      <c r="G1000" s="62"/>
      <c r="H1000" s="190"/>
      <c r="I1000" s="62"/>
      <c r="J1000" s="62"/>
      <c r="K1000" s="62"/>
      <c r="L1000" s="62"/>
      <c r="M1000" s="62"/>
      <c r="N1000" s="62"/>
      <c r="O1000" s="62"/>
      <c r="P1000" s="62"/>
      <c r="Q1000" s="62"/>
      <c r="R1000" s="62"/>
      <c r="S1000" s="62"/>
      <c r="T1000" s="62"/>
      <c r="U1000" s="62"/>
      <c r="V1000" s="62"/>
      <c r="W1000" s="62"/>
      <c r="X1000" s="62"/>
      <c r="Y1000" s="62"/>
      <c r="Z1000" s="62"/>
      <c r="AA1000" s="62"/>
      <c r="AB1000" s="62"/>
      <c r="AC1000" s="62"/>
    </row>
    <row r="1001">
      <c r="A1001" s="61"/>
      <c r="B1001" s="61"/>
      <c r="C1001" s="62"/>
      <c r="D1001" s="62"/>
      <c r="E1001" s="62"/>
      <c r="F1001" s="62"/>
      <c r="G1001" s="62"/>
      <c r="H1001" s="190"/>
      <c r="I1001" s="62"/>
      <c r="J1001" s="62"/>
      <c r="K1001" s="62"/>
      <c r="L1001" s="62"/>
      <c r="M1001" s="62"/>
      <c r="N1001" s="62"/>
      <c r="O1001" s="62"/>
      <c r="P1001" s="62"/>
      <c r="Q1001" s="62"/>
      <c r="R1001" s="62"/>
      <c r="S1001" s="62"/>
      <c r="T1001" s="62"/>
      <c r="U1001" s="62"/>
      <c r="V1001" s="62"/>
      <c r="W1001" s="62"/>
      <c r="X1001" s="62"/>
      <c r="Y1001" s="62"/>
      <c r="Z1001" s="62"/>
      <c r="AA1001" s="62"/>
      <c r="AB1001" s="62"/>
      <c r="AC1001" s="6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5" width="21.57"/>
    <col customWidth="1" min="6" max="6" width="31.71"/>
    <col customWidth="1" min="7" max="19" width="21.57"/>
  </cols>
  <sheetData>
    <row r="1">
      <c r="A1" t="s">
        <v>65</v>
      </c>
      <c r="B1" s="118" t="s">
        <v>3150</v>
      </c>
      <c r="C1" s="118" t="s">
        <v>3151</v>
      </c>
      <c r="D1" s="118" t="s">
        <v>3152</v>
      </c>
      <c r="E1" s="118" t="s">
        <v>3153</v>
      </c>
      <c r="F1" s="118" t="s">
        <v>3154</v>
      </c>
      <c r="G1" s="118" t="s">
        <v>3155</v>
      </c>
      <c r="H1" s="118" t="s">
        <v>3156</v>
      </c>
      <c r="I1" s="118" t="s">
        <v>3157</v>
      </c>
      <c r="J1" s="118" t="s">
        <v>3158</v>
      </c>
      <c r="K1" s="118" t="s">
        <v>3158</v>
      </c>
      <c r="L1" s="118" t="s">
        <v>3159</v>
      </c>
      <c r="M1" s="118" t="s">
        <v>3160</v>
      </c>
    </row>
    <row r="2">
      <c r="A2" s="158">
        <v>43819.63180988426</v>
      </c>
      <c r="B2" s="118" t="s">
        <v>117</v>
      </c>
      <c r="C2" s="118" t="s">
        <v>288</v>
      </c>
      <c r="D2" s="118" t="s">
        <v>3161</v>
      </c>
      <c r="E2" s="118" t="s">
        <v>3162</v>
      </c>
      <c r="G2" s="118" t="s">
        <v>3163</v>
      </c>
      <c r="H2" s="118" t="s">
        <v>3163</v>
      </c>
      <c r="K2" s="118">
        <v>4.0</v>
      </c>
    </row>
    <row r="3">
      <c r="A3" s="158">
        <v>43819.64928211806</v>
      </c>
      <c r="B3" s="118" t="s">
        <v>132</v>
      </c>
      <c r="C3" s="118" t="s">
        <v>399</v>
      </c>
      <c r="D3" s="118" t="s">
        <v>3164</v>
      </c>
      <c r="E3" s="118" t="s">
        <v>3165</v>
      </c>
    </row>
    <row r="4">
      <c r="A4" s="158">
        <v>43822.48487060185</v>
      </c>
      <c r="B4" s="118" t="s">
        <v>117</v>
      </c>
      <c r="C4" s="118" t="s">
        <v>399</v>
      </c>
      <c r="D4" s="118" t="s">
        <v>3166</v>
      </c>
      <c r="E4" s="118" t="s">
        <v>3162</v>
      </c>
      <c r="G4" s="118" t="s">
        <v>3168</v>
      </c>
      <c r="H4" s="118" t="s">
        <v>3168</v>
      </c>
      <c r="I4" s="118" t="s">
        <v>3169</v>
      </c>
      <c r="K4" s="174" t="s">
        <v>3170</v>
      </c>
    </row>
    <row r="5">
      <c r="A5" s="158">
        <v>43822.486368564816</v>
      </c>
      <c r="B5" s="118" t="s">
        <v>117</v>
      </c>
      <c r="C5" s="118" t="s">
        <v>399</v>
      </c>
      <c r="D5" s="118" t="s">
        <v>3172</v>
      </c>
      <c r="E5" s="118" t="s">
        <v>3162</v>
      </c>
      <c r="G5" s="118" t="s">
        <v>3168</v>
      </c>
      <c r="H5" s="118" t="s">
        <v>3173</v>
      </c>
      <c r="I5" s="118" t="s">
        <v>3174</v>
      </c>
      <c r="K5" s="174" t="s">
        <v>3170</v>
      </c>
    </row>
    <row r="6">
      <c r="A6" s="158">
        <v>43837.647478935185</v>
      </c>
      <c r="B6" s="118" t="s">
        <v>18</v>
      </c>
      <c r="C6" s="118" t="s">
        <v>288</v>
      </c>
      <c r="D6" s="118" t="s">
        <v>3177</v>
      </c>
      <c r="E6" s="118" t="s">
        <v>3162</v>
      </c>
      <c r="G6" s="118" t="s">
        <v>3178</v>
      </c>
      <c r="H6" s="118" t="s">
        <v>3178</v>
      </c>
      <c r="K6" s="174" t="s">
        <v>3179</v>
      </c>
    </row>
    <row r="7">
      <c r="A7" s="158">
        <v>43852.422557604164</v>
      </c>
      <c r="B7" s="118" t="s">
        <v>3181</v>
      </c>
      <c r="C7" s="118" t="s">
        <v>288</v>
      </c>
      <c r="D7" s="118" t="s">
        <v>3182</v>
      </c>
      <c r="E7" s="118" t="s">
        <v>3183</v>
      </c>
      <c r="F7" s="118" t="s">
        <v>3184</v>
      </c>
      <c r="G7" s="118" t="s">
        <v>3185</v>
      </c>
      <c r="H7" s="118" t="s">
        <v>3185</v>
      </c>
      <c r="I7" s="118" t="s">
        <v>3186</v>
      </c>
      <c r="J7" s="118">
        <v>2.0</v>
      </c>
      <c r="K7" s="118" t="s">
        <v>3187</v>
      </c>
    </row>
    <row r="8">
      <c r="A8" s="158">
        <v>43853.47879188658</v>
      </c>
      <c r="B8" s="118" t="s">
        <v>145</v>
      </c>
      <c r="C8" s="118" t="s">
        <v>288</v>
      </c>
      <c r="D8" s="118" t="s">
        <v>3189</v>
      </c>
      <c r="E8" s="118" t="s">
        <v>3165</v>
      </c>
    </row>
    <row r="9">
      <c r="A9" s="158">
        <v>43853.47901505787</v>
      </c>
      <c r="B9" s="118" t="s">
        <v>145</v>
      </c>
      <c r="C9" s="118" t="s">
        <v>399</v>
      </c>
      <c r="D9" s="118" t="s">
        <v>143</v>
      </c>
      <c r="E9" s="118" t="s">
        <v>3165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1"/>
    <col customWidth="1" min="2" max="2" width="16.71"/>
    <col customWidth="1" min="6" max="6" width="22.29"/>
    <col customWidth="1" min="8" max="8" width="20.14"/>
    <col customWidth="1" min="9" max="9" width="19.0"/>
    <col customWidth="1" min="12" max="12" width="49.57"/>
  </cols>
  <sheetData>
    <row r="2">
      <c r="A2" s="11" t="s">
        <v>13</v>
      </c>
      <c r="B2" s="11" t="s">
        <v>14</v>
      </c>
      <c r="C2" s="11"/>
      <c r="D2" s="12" t="s">
        <v>15</v>
      </c>
      <c r="E2" s="13" t="s">
        <v>16</v>
      </c>
      <c r="F2" s="14" t="s">
        <v>17</v>
      </c>
      <c r="G2" s="14" t="s">
        <v>18</v>
      </c>
      <c r="H2" s="14" t="s">
        <v>19</v>
      </c>
      <c r="I2" s="15" t="s">
        <v>20</v>
      </c>
      <c r="J2" s="14" t="s">
        <v>21</v>
      </c>
      <c r="K2" s="14"/>
      <c r="L2" s="16" t="s">
        <v>22</v>
      </c>
      <c r="M2" s="17"/>
      <c r="N2" s="17"/>
      <c r="O2" s="17"/>
      <c r="P2" s="17"/>
      <c r="Q2" s="17"/>
      <c r="R2" s="17"/>
      <c r="S2" s="17"/>
      <c r="T2" s="17"/>
      <c r="U2" s="17"/>
      <c r="V2" s="17"/>
      <c r="W2" s="17"/>
      <c r="X2" s="17"/>
      <c r="Y2" s="17"/>
      <c r="Z2" s="17"/>
      <c r="AA2" s="17"/>
      <c r="AB2" s="17"/>
      <c r="AC2" s="17"/>
    </row>
  </sheetData>
  <dataValidations>
    <dataValidation type="list" allowBlank="1" sqref="A2">
      <formula1>"Currently Accepting Volunteers,Currently Accepting with Conditions,Currently Not Accepting Volunteers"</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4.43"/>
    <col customWidth="1" min="2" max="2" width="16.43"/>
    <col customWidth="1" min="3" max="3" width="11.0"/>
    <col customWidth="1" min="4" max="4" width="11.14"/>
    <col customWidth="1" min="5" max="5" width="11.0"/>
    <col customWidth="1" min="6" max="6" width="12.71"/>
    <col customWidth="1" min="7" max="7" width="21.29"/>
    <col customWidth="1" min="8" max="8" width="18.57"/>
    <col customWidth="1" min="9" max="9" width="16.71"/>
    <col customWidth="1" min="10" max="11" width="18.57"/>
    <col customWidth="1" min="12" max="12" width="27.86"/>
    <col customWidth="1" min="13" max="13" width="28.14"/>
    <col customWidth="1" min="14" max="14" width="27.71"/>
    <col customWidth="1" min="15" max="15" width="24.43"/>
    <col customWidth="1" min="16" max="16" width="32.14"/>
    <col customWidth="1" min="17" max="17" width="16.43"/>
    <col customWidth="1" min="18" max="18" width="13.86"/>
    <col customWidth="1" min="19" max="19" width="16.86"/>
    <col customWidth="1" min="20" max="20" width="12.71"/>
    <col customWidth="1" min="21" max="21" width="101.43"/>
    <col customWidth="1" min="22" max="22" width="11.71"/>
    <col customWidth="1" min="23" max="23" width="110.29"/>
    <col customWidth="1" min="24" max="24" width="74.71"/>
    <col customWidth="1" min="25" max="25" width="119.71"/>
    <col customWidth="1" min="26" max="26" width="19.86"/>
    <col customWidth="1" min="28" max="28" width="57.71"/>
    <col customWidth="1" min="29" max="29" width="65.57"/>
    <col customWidth="1" min="30" max="30" width="32.43"/>
    <col customWidth="1" min="31" max="31" width="42.29"/>
    <col customWidth="1" min="32" max="32" width="94.86"/>
  </cols>
  <sheetData>
    <row r="1">
      <c r="A1" s="191"/>
      <c r="B1" s="192"/>
      <c r="C1" s="9"/>
      <c r="D1" s="9"/>
      <c r="E1" s="9"/>
      <c r="F1" s="9"/>
      <c r="G1" s="9"/>
      <c r="H1" s="10"/>
      <c r="I1" s="193"/>
      <c r="J1" s="20"/>
      <c r="K1" s="10"/>
      <c r="L1" s="8"/>
      <c r="M1" s="9"/>
      <c r="N1" s="10"/>
      <c r="O1" s="36"/>
      <c r="P1" s="8"/>
      <c r="Q1" s="9"/>
      <c r="R1" s="9"/>
      <c r="S1" s="9"/>
      <c r="T1" s="10"/>
      <c r="U1" s="39"/>
      <c r="V1" s="40"/>
      <c r="W1" s="42"/>
      <c r="X1" s="44"/>
      <c r="Y1" s="45"/>
      <c r="Z1" s="44"/>
      <c r="AA1" s="44"/>
      <c r="AB1" s="44"/>
      <c r="AC1" s="44"/>
      <c r="AD1" s="44"/>
      <c r="AE1" s="44"/>
      <c r="AF1" s="44"/>
      <c r="AG1" s="44"/>
      <c r="AH1" s="44"/>
      <c r="AI1" s="44"/>
      <c r="AJ1" s="44"/>
      <c r="AK1" s="44"/>
      <c r="AL1" s="44"/>
      <c r="AM1" s="44"/>
      <c r="AN1" s="44"/>
      <c r="AO1" s="44"/>
    </row>
    <row r="2">
      <c r="A2" s="194"/>
      <c r="B2" s="195"/>
      <c r="C2" s="195"/>
      <c r="D2" s="195"/>
      <c r="E2" s="196"/>
      <c r="F2" s="196"/>
      <c r="G2" s="195"/>
      <c r="H2" s="196"/>
      <c r="I2" s="196"/>
      <c r="J2" s="51"/>
      <c r="K2" s="51"/>
      <c r="L2" s="51"/>
      <c r="M2" s="47"/>
      <c r="N2" s="47"/>
      <c r="O2" s="51"/>
      <c r="P2" s="46"/>
      <c r="Q2" s="51"/>
      <c r="R2" s="51"/>
      <c r="S2" s="51"/>
      <c r="T2" s="51"/>
      <c r="U2" s="39"/>
      <c r="V2" s="46"/>
      <c r="W2" s="52"/>
      <c r="X2" s="53"/>
      <c r="Y2" s="54"/>
      <c r="Z2" s="45"/>
      <c r="AA2" s="45"/>
      <c r="AB2" s="45"/>
      <c r="AC2" s="45"/>
      <c r="AD2" s="45"/>
      <c r="AE2" s="45"/>
      <c r="AF2" s="45"/>
      <c r="AG2" s="45"/>
      <c r="AH2" s="45"/>
      <c r="AI2" s="45"/>
      <c r="AJ2" s="45"/>
      <c r="AK2" s="45"/>
      <c r="AL2" s="45"/>
      <c r="AM2" s="45"/>
      <c r="AN2" s="45"/>
      <c r="AO2" s="45"/>
    </row>
    <row r="3">
      <c r="A3" s="197"/>
      <c r="B3" s="198"/>
      <c r="C3" s="199"/>
      <c r="D3" s="197"/>
      <c r="E3" s="198"/>
      <c r="F3" s="198"/>
      <c r="G3" s="198"/>
      <c r="H3" s="200"/>
      <c r="I3" s="200"/>
      <c r="J3" s="62"/>
      <c r="K3" s="62"/>
      <c r="L3" s="62"/>
      <c r="M3" s="62"/>
      <c r="N3" s="62"/>
      <c r="O3" s="60"/>
      <c r="P3" s="62"/>
      <c r="Q3" s="66"/>
      <c r="R3" s="62"/>
      <c r="S3" s="62"/>
      <c r="T3" s="62"/>
      <c r="U3" s="74"/>
      <c r="V3" s="62"/>
      <c r="W3" s="75"/>
      <c r="X3" s="74"/>
      <c r="Y3" s="61"/>
      <c r="Z3" s="201"/>
      <c r="AA3" s="201"/>
      <c r="AB3" s="201"/>
      <c r="AC3" s="201"/>
      <c r="AD3" s="201"/>
      <c r="AE3" s="201"/>
      <c r="AF3" s="201"/>
      <c r="AG3" s="201"/>
      <c r="AH3" s="62"/>
      <c r="AI3" s="62"/>
      <c r="AJ3" s="62"/>
      <c r="AK3" s="62"/>
      <c r="AL3" s="62"/>
      <c r="AM3" s="62"/>
      <c r="AN3" s="62"/>
      <c r="AO3" s="62"/>
    </row>
    <row r="4">
      <c r="A4" s="197" t="str">
        <f>IFERROR(__xludf.DUMMYFUNCTION("UNIQUE(Assignments!H3:H464)"),"Pediatric cancer")</f>
        <v>Pediatric cancer</v>
      </c>
      <c r="B4" s="198"/>
      <c r="C4" s="199"/>
      <c r="D4" s="197"/>
      <c r="E4" s="198"/>
      <c r="F4" s="198"/>
      <c r="G4" s="198"/>
      <c r="H4" s="202"/>
      <c r="I4" s="202"/>
      <c r="J4" s="62"/>
      <c r="K4" s="62"/>
      <c r="L4" s="62"/>
      <c r="M4" s="62"/>
      <c r="N4" s="62"/>
      <c r="O4" s="60"/>
      <c r="P4" s="62"/>
      <c r="Q4" s="66"/>
      <c r="R4" s="62"/>
      <c r="S4" s="62"/>
      <c r="T4" s="62"/>
      <c r="U4" s="74"/>
      <c r="V4" s="62"/>
      <c r="W4" s="75"/>
      <c r="X4" s="74"/>
      <c r="Y4" s="61"/>
      <c r="Z4" s="201"/>
      <c r="AA4" s="201"/>
      <c r="AB4" s="201"/>
      <c r="AC4" s="201"/>
      <c r="AD4" s="201"/>
      <c r="AE4" s="201"/>
      <c r="AF4" s="201"/>
      <c r="AG4" s="201"/>
      <c r="AH4" s="201"/>
      <c r="AI4" s="201"/>
      <c r="AJ4" s="201"/>
      <c r="AK4" s="201"/>
      <c r="AL4" s="201"/>
      <c r="AM4" s="201"/>
      <c r="AN4" s="201"/>
      <c r="AO4" s="201"/>
    </row>
    <row r="5">
      <c r="A5" s="197" t="str">
        <f>IFERROR(__xludf.DUMMYFUNCTION("""COMPUTED_VALUE"""),"")</f>
        <v/>
      </c>
      <c r="B5" s="198"/>
      <c r="C5" s="199"/>
      <c r="D5" s="197"/>
      <c r="E5" s="198"/>
      <c r="F5" s="198"/>
      <c r="G5" s="198"/>
      <c r="H5" s="199"/>
      <c r="I5" s="200"/>
      <c r="J5" s="62"/>
      <c r="K5" s="62"/>
      <c r="L5" s="62"/>
      <c r="M5" s="62"/>
      <c r="N5" s="62"/>
      <c r="O5" s="60"/>
      <c r="P5" s="62"/>
      <c r="Q5" s="66"/>
      <c r="R5" s="62"/>
      <c r="S5" s="62"/>
      <c r="T5" s="62"/>
      <c r="U5" s="74"/>
      <c r="V5" s="62"/>
      <c r="W5" s="75"/>
      <c r="X5" s="74"/>
      <c r="Y5" s="61"/>
      <c r="Z5" s="201"/>
      <c r="AA5" s="201"/>
      <c r="AB5" s="201"/>
      <c r="AC5" s="201"/>
      <c r="AD5" s="201"/>
      <c r="AE5" s="201"/>
      <c r="AF5" s="201"/>
      <c r="AG5" s="201"/>
      <c r="AH5" s="201"/>
      <c r="AI5" s="201"/>
      <c r="AJ5" s="201"/>
      <c r="AK5" s="201"/>
      <c r="AL5" s="201"/>
      <c r="AM5" s="201"/>
      <c r="AN5" s="201"/>
      <c r="AO5" s="201"/>
    </row>
    <row r="6">
      <c r="A6" s="197" t="str">
        <f>IFERROR(__xludf.DUMMYFUNCTION("""COMPUTED_VALUE"""),"Epilepsy")</f>
        <v>Epilepsy</v>
      </c>
      <c r="B6" s="198"/>
      <c r="C6" s="199"/>
      <c r="D6" s="203"/>
      <c r="E6" s="198"/>
      <c r="F6" s="198"/>
      <c r="G6" s="198"/>
      <c r="H6" s="200"/>
      <c r="I6" s="200"/>
      <c r="J6" s="79"/>
      <c r="K6" s="79"/>
      <c r="L6" s="62"/>
      <c r="M6" s="62"/>
      <c r="N6" s="62"/>
      <c r="O6" s="60"/>
      <c r="P6" s="62"/>
      <c r="Q6" s="66"/>
      <c r="R6" s="62"/>
      <c r="S6" s="62"/>
      <c r="T6" s="62"/>
      <c r="U6" s="74"/>
      <c r="V6" s="62"/>
      <c r="W6" s="75"/>
      <c r="X6" s="74"/>
      <c r="Y6" s="61"/>
      <c r="Z6" s="201"/>
      <c r="AA6" s="201"/>
      <c r="AB6" s="201"/>
      <c r="AC6" s="201"/>
      <c r="AD6" s="201"/>
      <c r="AE6" s="201"/>
      <c r="AF6" s="201"/>
      <c r="AG6" s="201"/>
      <c r="AH6" s="201"/>
      <c r="AI6" s="201"/>
      <c r="AJ6" s="201"/>
      <c r="AK6" s="201"/>
      <c r="AL6" s="201"/>
      <c r="AM6" s="201"/>
      <c r="AN6" s="201"/>
      <c r="AO6" s="201"/>
    </row>
    <row r="7">
      <c r="A7" s="197" t="str">
        <f>IFERROR(__xludf.DUMMYFUNCTION("""COMPUTED_VALUE"""),"ID Autism")</f>
        <v>ID Autism</v>
      </c>
      <c r="B7" s="198"/>
      <c r="C7" s="199"/>
      <c r="D7" s="197"/>
      <c r="E7" s="198"/>
      <c r="F7" s="198"/>
      <c r="G7" s="198"/>
      <c r="H7" s="199"/>
      <c r="I7" s="200"/>
      <c r="J7" s="62"/>
      <c r="K7" s="62"/>
      <c r="L7" s="62"/>
      <c r="M7" s="62"/>
      <c r="N7" s="62"/>
      <c r="O7" s="60"/>
      <c r="P7" s="62"/>
      <c r="Q7" s="66"/>
      <c r="R7" s="62"/>
      <c r="S7" s="62"/>
      <c r="T7" s="62"/>
      <c r="U7" s="74"/>
      <c r="V7" s="62"/>
      <c r="W7" s="75"/>
      <c r="X7" s="74"/>
      <c r="Y7" s="61"/>
      <c r="Z7" s="201"/>
      <c r="AA7" s="201"/>
      <c r="AB7" s="201"/>
      <c r="AC7" s="201"/>
      <c r="AD7" s="201"/>
      <c r="AE7" s="201"/>
      <c r="AF7" s="201"/>
      <c r="AG7" s="201"/>
      <c r="AH7" s="201"/>
      <c r="AI7" s="201"/>
      <c r="AJ7" s="201"/>
      <c r="AK7" s="201"/>
      <c r="AL7" s="201"/>
      <c r="AM7" s="201"/>
      <c r="AN7" s="201"/>
      <c r="AO7" s="201"/>
    </row>
    <row r="8" ht="37.5" customHeight="1">
      <c r="A8" s="197" t="str">
        <f>IFERROR(__xludf.DUMMYFUNCTION("""COMPUTED_VALUE"""),"Hereditary Cancer")</f>
        <v>Hereditary Cancer</v>
      </c>
      <c r="B8" s="198"/>
      <c r="C8" s="204"/>
      <c r="D8" s="205"/>
      <c r="E8" s="198"/>
      <c r="F8" s="198"/>
      <c r="G8" s="198"/>
      <c r="H8" s="200"/>
      <c r="I8" s="200"/>
      <c r="J8" s="79"/>
      <c r="K8" s="79"/>
      <c r="L8" s="62"/>
      <c r="M8" s="62"/>
      <c r="N8" s="62"/>
      <c r="O8" s="60"/>
      <c r="P8" s="62"/>
      <c r="Q8" s="66"/>
      <c r="R8" s="62"/>
      <c r="S8" s="62"/>
      <c r="T8" s="62"/>
      <c r="U8" s="74"/>
      <c r="V8" s="62"/>
      <c r="W8" s="75"/>
      <c r="X8" s="74"/>
      <c r="Y8" s="63"/>
      <c r="Z8" s="201"/>
      <c r="AA8" s="201"/>
      <c r="AB8" s="201"/>
      <c r="AC8" s="201"/>
      <c r="AD8" s="201"/>
      <c r="AE8" s="201"/>
      <c r="AF8" s="201"/>
      <c r="AG8" s="201"/>
      <c r="AH8" s="201"/>
      <c r="AI8" s="201"/>
      <c r="AJ8" s="201"/>
      <c r="AK8" s="201"/>
      <c r="AL8" s="201"/>
      <c r="AM8" s="201"/>
      <c r="AN8" s="201"/>
      <c r="AO8" s="201"/>
    </row>
    <row r="9">
      <c r="A9" s="197" t="str">
        <f>IFERROR(__xludf.DUMMYFUNCTION("""COMPUTED_VALUE"""),"Recurrent CNVs")</f>
        <v>Recurrent CNVs</v>
      </c>
      <c r="B9" s="198"/>
      <c r="C9" s="204"/>
      <c r="D9" s="205"/>
      <c r="E9" s="198"/>
      <c r="F9" s="198"/>
      <c r="G9" s="198"/>
      <c r="H9" s="200"/>
      <c r="I9" s="200"/>
      <c r="J9" s="79"/>
      <c r="K9" s="79"/>
      <c r="L9" s="62"/>
      <c r="M9" s="62"/>
      <c r="N9" s="62"/>
      <c r="O9" s="60"/>
      <c r="P9" s="62"/>
      <c r="Q9" s="66"/>
      <c r="R9" s="62"/>
      <c r="S9" s="62"/>
      <c r="T9" s="62"/>
      <c r="U9" s="74"/>
      <c r="V9" s="62"/>
      <c r="W9" s="75"/>
      <c r="X9" s="74"/>
      <c r="Y9" s="63"/>
      <c r="Z9" s="201"/>
      <c r="AA9" s="201"/>
      <c r="AB9" s="201"/>
      <c r="AC9" s="201"/>
      <c r="AD9" s="201"/>
      <c r="AE9" s="201"/>
      <c r="AF9" s="201"/>
      <c r="AG9" s="201"/>
      <c r="AH9" s="201"/>
      <c r="AI9" s="201"/>
      <c r="AJ9" s="201"/>
      <c r="AK9" s="201"/>
      <c r="AL9" s="201"/>
      <c r="AM9" s="201"/>
      <c r="AN9" s="201"/>
      <c r="AO9" s="201"/>
    </row>
    <row r="10">
      <c r="A10" s="197" t="str">
        <f>IFERROR(__xludf.DUMMYFUNCTION("""COMPUTED_VALUE"""),"Dilated Cardiomyopathy")</f>
        <v>Dilated Cardiomyopathy</v>
      </c>
      <c r="B10" s="198"/>
      <c r="C10" s="199"/>
      <c r="D10" s="206"/>
      <c r="E10" s="198"/>
      <c r="F10" s="198"/>
      <c r="G10" s="198"/>
      <c r="H10" s="200"/>
      <c r="I10" s="200"/>
      <c r="J10" s="79"/>
      <c r="K10" s="79"/>
      <c r="L10" s="62"/>
      <c r="M10" s="62"/>
      <c r="N10" s="62"/>
      <c r="O10" s="60"/>
      <c r="P10" s="62"/>
      <c r="Q10" s="66"/>
      <c r="R10" s="62"/>
      <c r="S10" s="62"/>
      <c r="T10" s="62"/>
      <c r="U10" s="74"/>
      <c r="V10" s="62"/>
      <c r="W10" s="75"/>
      <c r="X10" s="74"/>
      <c r="Y10" s="61"/>
      <c r="Z10" s="201"/>
      <c r="AA10" s="201"/>
      <c r="AB10" s="201"/>
      <c r="AC10" s="201"/>
      <c r="AD10" s="201"/>
      <c r="AE10" s="201"/>
      <c r="AF10" s="201"/>
      <c r="AG10" s="201"/>
      <c r="AH10" s="201"/>
      <c r="AI10" s="201"/>
      <c r="AJ10" s="201"/>
      <c r="AK10" s="201"/>
      <c r="AL10" s="201"/>
      <c r="AM10" s="201"/>
      <c r="AN10" s="201"/>
      <c r="AO10" s="201"/>
    </row>
    <row r="11">
      <c r="A11" s="197" t="str">
        <f>IFERROR(__xludf.DUMMYFUNCTION("""COMPUTED_VALUE"""),"Somatic WG")</f>
        <v>Somatic WG</v>
      </c>
      <c r="B11" s="198"/>
      <c r="C11" s="199"/>
      <c r="D11" s="206"/>
      <c r="E11" s="198"/>
      <c r="F11" s="198"/>
      <c r="G11" s="198"/>
      <c r="H11" s="202"/>
      <c r="I11" s="202"/>
      <c r="J11" s="62"/>
      <c r="K11" s="62"/>
      <c r="L11" s="62"/>
      <c r="M11" s="62"/>
      <c r="N11" s="62"/>
      <c r="O11" s="60"/>
      <c r="P11" s="62"/>
      <c r="Q11" s="66"/>
      <c r="R11" s="62"/>
      <c r="S11" s="62"/>
      <c r="T11" s="62"/>
      <c r="U11" s="74"/>
      <c r="V11" s="62"/>
      <c r="W11" s="75"/>
      <c r="X11" s="74"/>
      <c r="Y11" s="61"/>
      <c r="Z11" s="201"/>
      <c r="AA11" s="201"/>
      <c r="AB11" s="201"/>
      <c r="AC11" s="201"/>
      <c r="AD11" s="201"/>
      <c r="AE11" s="201"/>
      <c r="AF11" s="201"/>
      <c r="AG11" s="201"/>
      <c r="AH11" s="201"/>
      <c r="AI11" s="201"/>
      <c r="AJ11" s="201"/>
      <c r="AK11" s="201"/>
      <c r="AL11" s="201"/>
      <c r="AM11" s="201"/>
      <c r="AN11" s="201"/>
      <c r="AO11" s="201"/>
    </row>
    <row r="12">
      <c r="A12" s="197" t="str">
        <f>IFERROR(__xludf.DUMMYFUNCTION("""COMPUTED_VALUE"""),"ID/Autism")</f>
        <v>ID/Autism</v>
      </c>
      <c r="B12" s="198"/>
      <c r="C12" s="199"/>
      <c r="D12" s="197"/>
      <c r="E12" s="198"/>
      <c r="F12" s="198"/>
      <c r="G12" s="198"/>
      <c r="H12" s="199"/>
      <c r="I12" s="200"/>
      <c r="J12" s="62"/>
      <c r="K12" s="62"/>
      <c r="L12" s="62"/>
      <c r="M12" s="62"/>
      <c r="N12" s="62"/>
      <c r="O12" s="60"/>
      <c r="P12" s="62"/>
      <c r="Q12" s="66"/>
      <c r="R12" s="62"/>
      <c r="S12" s="62"/>
      <c r="T12" s="62"/>
      <c r="U12" s="74"/>
      <c r="V12" s="62"/>
      <c r="W12" s="75"/>
      <c r="X12" s="74"/>
      <c r="Y12" s="61"/>
      <c r="Z12" s="201"/>
      <c r="AA12" s="201"/>
      <c r="AB12" s="201"/>
      <c r="AC12" s="201"/>
      <c r="AD12" s="201"/>
      <c r="AE12" s="201"/>
      <c r="AF12" s="201"/>
      <c r="AG12" s="201"/>
      <c r="AH12" s="201"/>
      <c r="AI12" s="201"/>
      <c r="AJ12" s="201"/>
      <c r="AK12" s="201"/>
      <c r="AL12" s="201"/>
      <c r="AM12" s="201"/>
      <c r="AN12" s="201"/>
      <c r="AO12" s="201"/>
    </row>
    <row r="13">
      <c r="A13" s="197" t="str">
        <f>IFERROR(__xludf.DUMMYFUNCTION("""COMPUTED_VALUE"""),"Actionability")</f>
        <v>Actionability</v>
      </c>
      <c r="B13" s="198"/>
      <c r="C13" s="199"/>
      <c r="D13" s="206"/>
      <c r="E13" s="198"/>
      <c r="F13" s="198"/>
      <c r="G13" s="198"/>
      <c r="H13" s="200"/>
      <c r="I13" s="200"/>
      <c r="J13" s="79"/>
      <c r="K13" s="79"/>
      <c r="L13" s="62"/>
      <c r="M13" s="62"/>
      <c r="N13" s="62"/>
      <c r="O13" s="60"/>
      <c r="P13" s="62"/>
      <c r="Q13" s="66"/>
      <c r="R13" s="62"/>
      <c r="S13" s="62"/>
      <c r="T13" s="62"/>
      <c r="U13" s="74"/>
      <c r="V13" s="62"/>
      <c r="W13" s="75"/>
      <c r="X13" s="74"/>
      <c r="Y13" s="61"/>
      <c r="Z13" s="201"/>
      <c r="AA13" s="201"/>
      <c r="AB13" s="201"/>
      <c r="AC13" s="201"/>
      <c r="AD13" s="201"/>
      <c r="AE13" s="201"/>
      <c r="AF13" s="201"/>
      <c r="AG13" s="201"/>
      <c r="AH13" s="201"/>
      <c r="AI13" s="201"/>
      <c r="AJ13" s="201"/>
      <c r="AK13" s="201"/>
      <c r="AL13" s="201"/>
      <c r="AM13" s="201"/>
      <c r="AN13" s="201"/>
      <c r="AO13" s="201"/>
    </row>
    <row r="14">
      <c r="A14" s="197" t="str">
        <f>IFERROR(__xludf.DUMMYFUNCTION("""COMPUTED_VALUE"""),"Hemo/Thrombo")</f>
        <v>Hemo/Thrombo</v>
      </c>
      <c r="B14" s="198"/>
      <c r="C14" s="204"/>
      <c r="D14" s="203"/>
      <c r="E14" s="198"/>
      <c r="F14" s="198"/>
      <c r="G14" s="198"/>
      <c r="H14" s="200"/>
      <c r="I14" s="200"/>
      <c r="J14" s="79"/>
      <c r="K14" s="60"/>
      <c r="L14" s="62"/>
      <c r="M14" s="62"/>
      <c r="N14" s="62"/>
      <c r="O14" s="60"/>
      <c r="P14" s="60"/>
      <c r="Q14" s="83"/>
      <c r="R14" s="62"/>
      <c r="S14" s="62"/>
      <c r="T14" s="62"/>
      <c r="U14" s="74"/>
      <c r="V14" s="62"/>
      <c r="W14" s="75"/>
      <c r="X14" s="74"/>
      <c r="Y14" s="84"/>
      <c r="Z14" s="201"/>
      <c r="AA14" s="201"/>
      <c r="AB14" s="201"/>
      <c r="AC14" s="201"/>
      <c r="AD14" s="201"/>
      <c r="AE14" s="201"/>
      <c r="AF14" s="201"/>
      <c r="AG14" s="201"/>
      <c r="AH14" s="201"/>
      <c r="AI14" s="201"/>
      <c r="AJ14" s="201"/>
      <c r="AK14" s="201"/>
      <c r="AL14" s="201"/>
      <c r="AM14" s="201"/>
      <c r="AN14" s="201"/>
      <c r="AO14" s="201"/>
    </row>
    <row r="15">
      <c r="A15" s="197" t="str">
        <f>IFERROR(__xludf.DUMMYFUNCTION("""COMPUTED_VALUE"""),"Hearing Loss")</f>
        <v>Hearing Loss</v>
      </c>
      <c r="B15" s="198"/>
      <c r="C15" s="199"/>
      <c r="D15" s="206"/>
      <c r="E15" s="198"/>
      <c r="F15" s="198"/>
      <c r="G15" s="198"/>
      <c r="H15" s="202"/>
      <c r="I15" s="202"/>
      <c r="J15" s="62"/>
      <c r="K15" s="62"/>
      <c r="L15" s="62"/>
      <c r="M15" s="62"/>
      <c r="N15" s="62"/>
      <c r="O15" s="60"/>
      <c r="P15" s="62"/>
      <c r="Q15" s="66"/>
      <c r="R15" s="62"/>
      <c r="S15" s="62"/>
      <c r="T15" s="62"/>
      <c r="U15" s="74"/>
      <c r="V15" s="62"/>
      <c r="W15" s="75"/>
      <c r="X15" s="74"/>
      <c r="Y15" s="61"/>
      <c r="Z15" s="201"/>
      <c r="AA15" s="201"/>
      <c r="AB15" s="201"/>
      <c r="AC15" s="201"/>
      <c r="AD15" s="201"/>
      <c r="AE15" s="201"/>
      <c r="AF15" s="201"/>
      <c r="AG15" s="201"/>
      <c r="AH15" s="201"/>
      <c r="AI15" s="201"/>
      <c r="AJ15" s="201"/>
      <c r="AK15" s="201"/>
      <c r="AL15" s="201"/>
      <c r="AM15" s="201"/>
      <c r="AN15" s="201"/>
      <c r="AO15" s="201"/>
    </row>
    <row r="16">
      <c r="A16" s="197" t="str">
        <f>IFERROR(__xludf.DUMMYFUNCTION("""COMPUTED_VALUE"""),"Mitochondrial GCEP")</f>
        <v>Mitochondrial GCEP</v>
      </c>
      <c r="B16" s="198"/>
      <c r="C16" s="199"/>
      <c r="D16" s="205"/>
      <c r="E16" s="198"/>
      <c r="F16" s="198"/>
      <c r="G16" s="198"/>
      <c r="H16" s="200"/>
      <c r="I16" s="200"/>
      <c r="J16" s="79"/>
      <c r="K16" s="79"/>
      <c r="L16" s="62"/>
      <c r="M16" s="62"/>
      <c r="N16" s="62"/>
      <c r="O16" s="60"/>
      <c r="P16" s="62"/>
      <c r="Q16" s="66"/>
      <c r="R16" s="62"/>
      <c r="S16" s="62"/>
      <c r="T16" s="62"/>
      <c r="U16" s="74"/>
      <c r="V16" s="62"/>
      <c r="W16" s="75"/>
      <c r="X16" s="74"/>
      <c r="Y16" s="61"/>
      <c r="Z16" s="201"/>
      <c r="AA16" s="201"/>
      <c r="AB16" s="201"/>
      <c r="AC16" s="201"/>
      <c r="AD16" s="201"/>
      <c r="AE16" s="201"/>
      <c r="AF16" s="201"/>
      <c r="AG16" s="201"/>
      <c r="AH16" s="201"/>
      <c r="AI16" s="201"/>
      <c r="AJ16" s="201"/>
      <c r="AK16" s="201"/>
      <c r="AL16" s="201"/>
      <c r="AM16" s="201"/>
      <c r="AN16" s="201"/>
      <c r="AO16" s="201"/>
    </row>
    <row r="17">
      <c r="A17" s="197" t="str">
        <f>IFERROR(__xludf.DUMMYFUNCTION("""COMPUTED_VALUE"""),"Epilepsy GCEP")</f>
        <v>Epilepsy GCEP</v>
      </c>
      <c r="B17" s="198"/>
      <c r="C17" s="199"/>
      <c r="D17" s="207"/>
      <c r="E17" s="198"/>
      <c r="F17" s="198"/>
      <c r="G17" s="198"/>
      <c r="H17" s="202"/>
      <c r="I17" s="202"/>
      <c r="J17" s="79"/>
      <c r="K17" s="79"/>
      <c r="L17" s="62"/>
      <c r="M17" s="62"/>
      <c r="N17" s="62"/>
      <c r="O17" s="60"/>
      <c r="P17" s="62"/>
      <c r="Q17" s="66"/>
      <c r="R17" s="62"/>
      <c r="S17" s="62"/>
      <c r="T17" s="62"/>
      <c r="U17" s="74"/>
      <c r="V17" s="62"/>
      <c r="W17" s="75"/>
      <c r="X17" s="74"/>
      <c r="Y17" s="61"/>
      <c r="Z17" s="201"/>
      <c r="AA17" s="201"/>
      <c r="AB17" s="201"/>
      <c r="AC17" s="201"/>
      <c r="AD17" s="201"/>
      <c r="AE17" s="201"/>
      <c r="AF17" s="201"/>
      <c r="AG17" s="201"/>
      <c r="AH17" s="201"/>
      <c r="AI17" s="201"/>
      <c r="AJ17" s="201"/>
      <c r="AK17" s="201"/>
      <c r="AL17" s="201"/>
      <c r="AM17" s="201"/>
      <c r="AN17" s="201"/>
      <c r="AO17" s="201"/>
    </row>
    <row r="18">
      <c r="A18" s="197" t="str">
        <f>IFERROR(__xludf.DUMMYFUNCTION("""COMPUTED_VALUE"""),"Epilepsy ")</f>
        <v>Epilepsy </v>
      </c>
      <c r="B18" s="198"/>
      <c r="C18" s="199"/>
      <c r="D18" s="206"/>
      <c r="E18" s="198"/>
      <c r="F18" s="198"/>
      <c r="G18" s="198"/>
      <c r="H18" s="200"/>
      <c r="I18" s="200"/>
      <c r="J18" s="79"/>
      <c r="K18" s="79"/>
      <c r="L18" s="62"/>
      <c r="M18" s="62"/>
      <c r="N18" s="62"/>
      <c r="O18" s="60"/>
      <c r="P18" s="62"/>
      <c r="Q18" s="66"/>
      <c r="R18" s="62"/>
      <c r="S18" s="62"/>
      <c r="T18" s="62"/>
      <c r="U18" s="74"/>
      <c r="V18" s="62"/>
      <c r="W18" s="75"/>
      <c r="X18" s="74"/>
      <c r="Y18" s="61"/>
      <c r="Z18" s="201"/>
      <c r="AA18" s="201"/>
      <c r="AB18" s="201"/>
      <c r="AC18" s="201"/>
      <c r="AD18" s="201"/>
      <c r="AE18" s="201"/>
      <c r="AF18" s="201"/>
      <c r="AG18" s="201"/>
      <c r="AH18" s="201"/>
      <c r="AI18" s="201"/>
      <c r="AJ18" s="201"/>
      <c r="AK18" s="201"/>
      <c r="AL18" s="201"/>
      <c r="AM18" s="201"/>
      <c r="AN18" s="201"/>
      <c r="AO18" s="201"/>
    </row>
    <row r="19">
      <c r="A19" s="197" t="str">
        <f>IFERROR(__xludf.DUMMYFUNCTION("""COMPUTED_VALUE"""),"Aminoacidopathy")</f>
        <v>Aminoacidopathy</v>
      </c>
      <c r="B19" s="198"/>
      <c r="C19" s="204"/>
      <c r="D19" s="205"/>
      <c r="E19" s="198"/>
      <c r="F19" s="198"/>
      <c r="G19" s="198"/>
      <c r="H19" s="200"/>
      <c r="I19" s="200"/>
      <c r="J19" s="60"/>
      <c r="K19" s="60"/>
      <c r="L19" s="62"/>
      <c r="M19" s="62"/>
      <c r="N19" s="62"/>
      <c r="O19" s="60"/>
      <c r="P19" s="62"/>
      <c r="Q19" s="66"/>
      <c r="R19" s="62"/>
      <c r="S19" s="62"/>
      <c r="T19" s="62"/>
      <c r="U19" s="74"/>
      <c r="V19" s="62"/>
      <c r="W19" s="75"/>
      <c r="X19" s="74"/>
      <c r="Y19" s="63"/>
      <c r="Z19" s="201"/>
      <c r="AA19" s="201"/>
      <c r="AB19" s="201"/>
      <c r="AC19" s="201"/>
      <c r="AD19" s="201"/>
      <c r="AE19" s="201"/>
      <c r="AF19" s="201"/>
      <c r="AG19" s="201"/>
      <c r="AH19" s="201"/>
      <c r="AI19" s="201"/>
      <c r="AJ19" s="201"/>
      <c r="AK19" s="201"/>
      <c r="AL19" s="201"/>
      <c r="AM19" s="201"/>
      <c r="AN19" s="201"/>
      <c r="AO19" s="201"/>
    </row>
    <row r="20">
      <c r="A20" s="197" t="str">
        <f>IFERROR(__xludf.DUMMYFUNCTION("""COMPUTED_VALUE"""),"pancreatic cancer taskforce")</f>
        <v>pancreatic cancer taskforce</v>
      </c>
      <c r="B20" s="198"/>
      <c r="C20" s="199"/>
      <c r="D20" s="197"/>
      <c r="E20" s="198"/>
      <c r="F20" s="198"/>
      <c r="G20" s="198"/>
      <c r="H20" s="199"/>
      <c r="I20" s="200"/>
      <c r="J20" s="62"/>
      <c r="K20" s="62"/>
      <c r="L20" s="62"/>
      <c r="M20" s="62"/>
      <c r="N20" s="62"/>
      <c r="O20" s="60"/>
      <c r="P20" s="62"/>
      <c r="Q20" s="66"/>
      <c r="R20" s="62"/>
      <c r="S20" s="62"/>
      <c r="T20" s="62"/>
      <c r="U20" s="74"/>
      <c r="V20" s="62"/>
      <c r="W20" s="75"/>
      <c r="X20" s="74"/>
      <c r="Y20" s="61"/>
      <c r="Z20" s="201"/>
      <c r="AA20" s="201"/>
      <c r="AB20" s="201"/>
      <c r="AC20" s="201"/>
      <c r="AD20" s="201"/>
      <c r="AE20" s="201"/>
      <c r="AF20" s="201"/>
      <c r="AG20" s="201"/>
      <c r="AH20" s="201"/>
      <c r="AI20" s="201"/>
      <c r="AJ20" s="201"/>
      <c r="AK20" s="201"/>
      <c r="AL20" s="201"/>
      <c r="AM20" s="201"/>
      <c r="AN20" s="201"/>
      <c r="AO20" s="201"/>
    </row>
    <row r="21">
      <c r="A21" s="197" t="str">
        <f>IFERROR(__xludf.DUMMYFUNCTION("""COMPUTED_VALUE"""),"pediatric cancer taskforce")</f>
        <v>pediatric cancer taskforce</v>
      </c>
      <c r="B21" s="198"/>
      <c r="C21" s="199"/>
      <c r="D21" s="206"/>
      <c r="E21" s="198"/>
      <c r="F21" s="198"/>
      <c r="G21" s="198"/>
      <c r="H21" s="199"/>
      <c r="I21" s="200"/>
      <c r="J21" s="79"/>
      <c r="K21" s="79"/>
      <c r="L21" s="62"/>
      <c r="M21" s="62"/>
      <c r="N21" s="62"/>
      <c r="O21" s="60"/>
      <c r="P21" s="62"/>
      <c r="Q21" s="66"/>
      <c r="R21" s="62"/>
      <c r="S21" s="62"/>
      <c r="T21" s="62"/>
      <c r="U21" s="74"/>
      <c r="V21" s="62"/>
      <c r="W21" s="75"/>
      <c r="X21" s="74"/>
      <c r="Y21" s="61"/>
      <c r="Z21" s="201"/>
      <c r="AA21" s="201"/>
      <c r="AB21" s="201"/>
      <c r="AC21" s="201"/>
      <c r="AD21" s="201"/>
      <c r="AE21" s="201"/>
      <c r="AF21" s="201"/>
      <c r="AG21" s="201"/>
      <c r="AH21" s="201"/>
      <c r="AI21" s="201"/>
      <c r="AJ21" s="201"/>
      <c r="AK21" s="201"/>
      <c r="AL21" s="201"/>
      <c r="AM21" s="201"/>
      <c r="AN21" s="201"/>
      <c r="AO21" s="201"/>
    </row>
    <row r="22">
      <c r="A22" s="197" t="str">
        <f>IFERROR(__xludf.DUMMYFUNCTION("""COMPUTED_VALUE"""),"pediatric and pancreatic cancer taskforces")</f>
        <v>pediatric and pancreatic cancer taskforces</v>
      </c>
      <c r="B22" s="198"/>
      <c r="C22" s="199"/>
      <c r="D22" s="207"/>
      <c r="E22" s="198"/>
      <c r="F22" s="198"/>
      <c r="G22" s="198"/>
      <c r="H22" s="202"/>
      <c r="I22" s="202"/>
      <c r="J22" s="62"/>
      <c r="K22" s="62"/>
      <c r="L22" s="62"/>
      <c r="M22" s="62"/>
      <c r="N22" s="62"/>
      <c r="O22" s="60"/>
      <c r="P22" s="62"/>
      <c r="Q22" s="66"/>
      <c r="R22" s="62"/>
      <c r="S22" s="62"/>
      <c r="T22" s="62"/>
      <c r="U22" s="74"/>
      <c r="V22" s="62"/>
      <c r="W22" s="75"/>
      <c r="X22" s="74"/>
      <c r="Y22" s="61"/>
      <c r="Z22" s="201"/>
      <c r="AA22" s="201"/>
      <c r="AB22" s="201"/>
      <c r="AC22" s="201"/>
      <c r="AD22" s="201"/>
      <c r="AE22" s="201"/>
      <c r="AF22" s="201"/>
      <c r="AG22" s="201"/>
      <c r="AH22" s="201"/>
      <c r="AI22" s="201"/>
      <c r="AJ22" s="201"/>
      <c r="AK22" s="201"/>
      <c r="AL22" s="201"/>
      <c r="AM22" s="201"/>
      <c r="AN22" s="201"/>
      <c r="AO22" s="201"/>
    </row>
    <row r="23">
      <c r="A23" s="197" t="str">
        <f>IFERROR(__xludf.DUMMYFUNCTION("""COMPUTED_VALUE"""),"Storage Disease")</f>
        <v>Storage Disease</v>
      </c>
      <c r="B23" s="198"/>
      <c r="C23" s="199"/>
      <c r="D23" s="206"/>
      <c r="E23" s="198"/>
      <c r="F23" s="198"/>
      <c r="G23" s="198"/>
      <c r="H23" s="200"/>
      <c r="I23" s="200"/>
      <c r="J23" s="79"/>
      <c r="K23" s="79"/>
      <c r="L23" s="62"/>
      <c r="M23" s="62"/>
      <c r="N23" s="62"/>
      <c r="O23" s="60"/>
      <c r="P23" s="62"/>
      <c r="Q23" s="66"/>
      <c r="R23" s="62"/>
      <c r="S23" s="62"/>
      <c r="T23" s="62"/>
      <c r="U23" s="74"/>
      <c r="V23" s="62"/>
      <c r="W23" s="75"/>
      <c r="X23" s="74"/>
      <c r="Y23" s="61"/>
      <c r="Z23" s="201"/>
      <c r="AA23" s="201"/>
      <c r="AB23" s="201"/>
      <c r="AC23" s="201"/>
      <c r="AD23" s="201"/>
      <c r="AE23" s="201"/>
      <c r="AF23" s="201"/>
      <c r="AG23" s="201"/>
      <c r="AH23" s="201"/>
      <c r="AI23" s="201"/>
      <c r="AJ23" s="201"/>
      <c r="AK23" s="201"/>
      <c r="AL23" s="201"/>
      <c r="AM23" s="201"/>
      <c r="AN23" s="201"/>
      <c r="AO23" s="201"/>
    </row>
    <row r="24">
      <c r="A24" s="197" t="str">
        <f>IFERROR(__xludf.DUMMYFUNCTION("""COMPUTED_VALUE"""),"ACADVL")</f>
        <v>ACADVL</v>
      </c>
      <c r="B24" s="198"/>
      <c r="C24" s="204"/>
      <c r="D24" s="205"/>
      <c r="E24" s="198"/>
      <c r="F24" s="198"/>
      <c r="G24" s="198"/>
      <c r="H24" s="200"/>
      <c r="I24" s="200"/>
      <c r="J24" s="79"/>
      <c r="K24" s="79"/>
      <c r="L24" s="62"/>
      <c r="M24" s="62"/>
      <c r="N24" s="62"/>
      <c r="O24" s="60"/>
      <c r="P24" s="62"/>
      <c r="Q24" s="66"/>
      <c r="R24" s="62"/>
      <c r="S24" s="62"/>
      <c r="T24" s="62"/>
      <c r="U24" s="74"/>
      <c r="V24" s="62"/>
      <c r="W24" s="75"/>
      <c r="X24" s="74"/>
      <c r="Y24" s="61"/>
      <c r="Z24" s="201"/>
      <c r="AA24" s="201"/>
      <c r="AB24" s="201"/>
      <c r="AC24" s="201"/>
      <c r="AD24" s="201"/>
      <c r="AE24" s="201"/>
      <c r="AF24" s="201"/>
      <c r="AG24" s="201"/>
      <c r="AH24" s="201"/>
      <c r="AI24" s="201"/>
      <c r="AJ24" s="201"/>
      <c r="AK24" s="201"/>
      <c r="AL24" s="201"/>
      <c r="AM24" s="201"/>
      <c r="AN24" s="201"/>
      <c r="AO24" s="201"/>
    </row>
    <row r="25">
      <c r="A25" s="197" t="str">
        <f>IFERROR(__xludf.DUMMYFUNCTION("""COMPUTED_VALUE"""),"Brain Malformations")</f>
        <v>Brain Malformations</v>
      </c>
      <c r="B25" s="198"/>
      <c r="C25" s="204"/>
      <c r="D25" s="205"/>
      <c r="E25" s="198"/>
      <c r="F25" s="198"/>
      <c r="G25" s="198"/>
      <c r="H25" s="200"/>
      <c r="I25" s="200"/>
      <c r="J25" s="79"/>
      <c r="K25" s="79"/>
      <c r="L25" s="62"/>
      <c r="M25" s="62"/>
      <c r="N25" s="62"/>
      <c r="O25" s="60"/>
      <c r="P25" s="62"/>
      <c r="Q25" s="66"/>
      <c r="R25" s="62"/>
      <c r="S25" s="62"/>
      <c r="T25" s="62"/>
      <c r="U25" s="74"/>
      <c r="V25" s="62"/>
      <c r="W25" s="75"/>
      <c r="X25" s="74"/>
      <c r="Y25" s="61"/>
      <c r="Z25" s="201"/>
      <c r="AA25" s="201"/>
      <c r="AB25" s="201"/>
      <c r="AC25" s="201"/>
      <c r="AD25" s="201"/>
      <c r="AE25" s="201"/>
      <c r="AF25" s="201"/>
      <c r="AG25" s="201"/>
      <c r="AH25" s="201"/>
      <c r="AI25" s="201"/>
      <c r="AJ25" s="201"/>
      <c r="AK25" s="201"/>
      <c r="AL25" s="201"/>
      <c r="AM25" s="201"/>
      <c r="AN25" s="201"/>
      <c r="AO25" s="201"/>
    </row>
    <row r="26">
      <c r="A26" s="197" t="str">
        <f>IFERROR(__xludf.DUMMYFUNCTION("""COMPUTED_VALUE"""),"Mito")</f>
        <v>Mito</v>
      </c>
      <c r="B26" s="198"/>
      <c r="C26" s="208"/>
      <c r="D26" s="206"/>
      <c r="E26" s="198"/>
      <c r="F26" s="198"/>
      <c r="G26" s="198"/>
      <c r="H26" s="199"/>
      <c r="I26" s="200"/>
      <c r="J26" s="62"/>
      <c r="K26" s="62"/>
      <c r="L26" s="62"/>
      <c r="M26" s="62"/>
      <c r="N26" s="62"/>
      <c r="O26" s="60"/>
      <c r="P26" s="62"/>
      <c r="Q26" s="66"/>
      <c r="R26" s="62"/>
      <c r="S26" s="62"/>
      <c r="T26" s="62"/>
      <c r="U26" s="74"/>
      <c r="V26" s="62"/>
      <c r="W26" s="75"/>
      <c r="X26" s="74"/>
      <c r="Y26" s="61"/>
      <c r="Z26" s="201"/>
      <c r="AA26" s="201"/>
      <c r="AB26" s="201"/>
      <c r="AC26" s="201"/>
      <c r="AD26" s="201"/>
      <c r="AE26" s="201"/>
      <c r="AF26" s="201"/>
      <c r="AG26" s="201"/>
      <c r="AH26" s="201"/>
      <c r="AI26" s="201"/>
      <c r="AJ26" s="201"/>
      <c r="AK26" s="201"/>
      <c r="AL26" s="201"/>
      <c r="AM26" s="201"/>
      <c r="AN26" s="201"/>
      <c r="AO26" s="201"/>
    </row>
    <row r="27">
      <c r="A27" s="197" t="str">
        <f>IFERROR(__xludf.DUMMYFUNCTION("""COMPUTED_VALUE"""),"Coagulation Factor Deficiency")</f>
        <v>Coagulation Factor Deficiency</v>
      </c>
      <c r="B27" s="198"/>
      <c r="C27" s="208"/>
      <c r="D27" s="205"/>
      <c r="E27" s="198"/>
      <c r="F27" s="198"/>
      <c r="G27" s="198"/>
      <c r="H27" s="200"/>
      <c r="I27" s="200"/>
      <c r="J27" s="79"/>
      <c r="K27" s="79"/>
      <c r="L27" s="62"/>
      <c r="M27" s="62"/>
      <c r="N27" s="62"/>
      <c r="O27" s="60"/>
      <c r="P27" s="62"/>
      <c r="Q27" s="66"/>
      <c r="R27" s="62"/>
      <c r="S27" s="62"/>
      <c r="T27" s="62"/>
      <c r="U27" s="74"/>
      <c r="V27" s="62"/>
      <c r="W27" s="75"/>
      <c r="X27" s="74"/>
      <c r="Y27" s="61"/>
      <c r="Z27" s="201"/>
      <c r="AA27" s="201"/>
      <c r="AB27" s="201"/>
      <c r="AC27" s="201"/>
      <c r="AD27" s="201"/>
      <c r="AE27" s="201"/>
      <c r="AF27" s="201"/>
      <c r="AG27" s="201"/>
      <c r="AH27" s="201"/>
      <c r="AI27" s="201"/>
      <c r="AJ27" s="201"/>
      <c r="AK27" s="201"/>
      <c r="AL27" s="201"/>
      <c r="AM27" s="201"/>
      <c r="AN27" s="201"/>
      <c r="AO27" s="201"/>
    </row>
    <row r="28">
      <c r="A28" s="197" t="str">
        <f>IFERROR(__xludf.DUMMYFUNCTION("""COMPUTED_VALUE"""),"TP53")</f>
        <v>TP53</v>
      </c>
      <c r="B28" s="198"/>
      <c r="C28" s="208"/>
      <c r="D28" s="205"/>
      <c r="E28" s="198"/>
      <c r="F28" s="198"/>
      <c r="G28" s="198"/>
      <c r="H28" s="200"/>
      <c r="I28" s="200"/>
      <c r="J28" s="79"/>
      <c r="K28" s="79"/>
      <c r="L28" s="62"/>
      <c r="M28" s="62"/>
      <c r="N28" s="62"/>
      <c r="O28" s="60"/>
      <c r="P28" s="62"/>
      <c r="Q28" s="66"/>
      <c r="R28" s="62"/>
      <c r="S28" s="62"/>
      <c r="T28" s="62"/>
      <c r="U28" s="74"/>
      <c r="V28" s="62"/>
      <c r="W28" s="75"/>
      <c r="X28" s="74"/>
      <c r="Y28" s="61"/>
      <c r="Z28" s="201"/>
      <c r="AA28" s="201"/>
      <c r="AB28" s="201"/>
      <c r="AC28" s="201"/>
      <c r="AD28" s="201"/>
      <c r="AE28" s="201"/>
      <c r="AF28" s="201"/>
      <c r="AG28" s="201"/>
      <c r="AH28" s="201"/>
      <c r="AI28" s="201"/>
      <c r="AJ28" s="201"/>
      <c r="AK28" s="201"/>
      <c r="AL28" s="201"/>
      <c r="AM28" s="201"/>
      <c r="AN28" s="201"/>
      <c r="AO28" s="201"/>
    </row>
    <row r="29">
      <c r="A29" s="197" t="str">
        <f>IFERROR(__xludf.DUMMYFUNCTION("""COMPUTED_VALUE"""),"Pediatric cancer taskforce")</f>
        <v>Pediatric cancer taskforce</v>
      </c>
      <c r="B29" s="198"/>
      <c r="C29" s="200"/>
      <c r="D29" s="198"/>
      <c r="E29" s="198"/>
      <c r="F29" s="198"/>
      <c r="G29" s="198"/>
      <c r="H29" s="200"/>
      <c r="I29" s="200"/>
      <c r="J29" s="79"/>
      <c r="K29" s="79"/>
      <c r="L29" s="62"/>
      <c r="M29" s="62"/>
      <c r="N29" s="62"/>
      <c r="O29" s="60"/>
      <c r="P29" s="62"/>
      <c r="Q29" s="66"/>
      <c r="R29" s="62"/>
      <c r="S29" s="62"/>
      <c r="T29" s="62"/>
      <c r="U29" s="74"/>
      <c r="V29" s="62"/>
      <c r="W29" s="75"/>
      <c r="X29" s="74"/>
      <c r="Y29" s="61"/>
      <c r="Z29" s="201"/>
      <c r="AA29" s="201"/>
      <c r="AB29" s="201"/>
      <c r="AC29" s="201"/>
      <c r="AD29" s="201"/>
      <c r="AE29" s="201"/>
      <c r="AF29" s="201"/>
      <c r="AG29" s="201"/>
      <c r="AH29" s="201"/>
      <c r="AI29" s="201"/>
      <c r="AJ29" s="201"/>
      <c r="AK29" s="201"/>
      <c r="AL29" s="201"/>
      <c r="AM29" s="201"/>
      <c r="AN29" s="201"/>
      <c r="AO29" s="201"/>
    </row>
    <row r="30">
      <c r="A30" s="197" t="str">
        <f>IFERROR(__xludf.DUMMYFUNCTION("""COMPUTED_VALUE"""),"Pancreatic cancer taskforce")</f>
        <v>Pancreatic cancer taskforce</v>
      </c>
      <c r="B30" s="198"/>
      <c r="C30" s="208"/>
      <c r="D30" s="205"/>
      <c r="E30" s="198"/>
      <c r="F30" s="198"/>
      <c r="G30" s="198"/>
      <c r="H30" s="199"/>
      <c r="I30" s="200"/>
      <c r="J30" s="62"/>
      <c r="K30" s="62"/>
      <c r="L30" s="62"/>
      <c r="M30" s="62"/>
      <c r="N30" s="62"/>
      <c r="O30" s="60"/>
      <c r="P30" s="62"/>
      <c r="Q30" s="66"/>
      <c r="R30" s="62"/>
      <c r="S30" s="62"/>
      <c r="T30" s="62"/>
      <c r="U30" s="74"/>
      <c r="V30" s="62"/>
      <c r="W30" s="75"/>
      <c r="X30" s="74"/>
      <c r="Y30" s="63"/>
      <c r="Z30" s="201"/>
      <c r="AA30" s="201"/>
      <c r="AB30" s="201"/>
      <c r="AC30" s="201"/>
      <c r="AD30" s="201"/>
      <c r="AE30" s="201"/>
      <c r="AF30" s="201"/>
      <c r="AG30" s="201"/>
      <c r="AH30" s="201"/>
      <c r="AI30" s="201"/>
      <c r="AJ30" s="201"/>
      <c r="AK30" s="201"/>
      <c r="AL30" s="201"/>
      <c r="AM30" s="201"/>
      <c r="AN30" s="201"/>
      <c r="AO30" s="201"/>
    </row>
    <row r="31">
      <c r="A31" s="197" t="str">
        <f>IFERROR(__xludf.DUMMYFUNCTION("""COMPUTED_VALUE"""),"RASopathy")</f>
        <v>RASopathy</v>
      </c>
      <c r="B31" s="198"/>
      <c r="C31" s="208"/>
      <c r="D31" s="205"/>
      <c r="E31" s="198"/>
      <c r="F31" s="198"/>
      <c r="G31" s="198"/>
      <c r="H31" s="200"/>
      <c r="I31" s="200"/>
      <c r="J31" s="79"/>
      <c r="K31" s="79"/>
      <c r="L31" s="62"/>
      <c r="M31" s="62"/>
      <c r="N31" s="62"/>
      <c r="O31" s="60"/>
      <c r="P31" s="62"/>
      <c r="Q31" s="66"/>
      <c r="R31" s="62"/>
      <c r="S31" s="62"/>
      <c r="T31" s="62"/>
      <c r="U31" s="74"/>
      <c r="V31" s="62"/>
      <c r="W31" s="75"/>
      <c r="X31" s="74"/>
      <c r="Y31" s="61"/>
      <c r="Z31" s="201"/>
      <c r="AA31" s="201"/>
      <c r="AB31" s="201"/>
      <c r="AC31" s="201"/>
      <c r="AD31" s="201"/>
      <c r="AE31" s="201"/>
      <c r="AF31" s="201"/>
      <c r="AG31" s="201"/>
      <c r="AH31" s="201"/>
      <c r="AI31" s="201"/>
      <c r="AJ31" s="201"/>
      <c r="AK31" s="201"/>
      <c r="AL31" s="201"/>
      <c r="AM31" s="201"/>
      <c r="AN31" s="201"/>
      <c r="AO31" s="201"/>
    </row>
    <row r="32">
      <c r="A32" s="197" t="str">
        <f>IFERROR(__xludf.DUMMYFUNCTION("""COMPUTED_VALUE"""),"PAH")</f>
        <v>PAH</v>
      </c>
      <c r="B32" s="198"/>
      <c r="C32" s="208"/>
      <c r="D32" s="205"/>
      <c r="E32" s="198"/>
      <c r="F32" s="198"/>
      <c r="G32" s="198"/>
      <c r="H32" s="200"/>
      <c r="I32" s="200"/>
      <c r="J32" s="79"/>
      <c r="K32" s="79"/>
      <c r="L32" s="62"/>
      <c r="M32" s="62"/>
      <c r="N32" s="62"/>
      <c r="O32" s="60"/>
      <c r="P32" s="62"/>
      <c r="Q32" s="66"/>
      <c r="R32" s="62"/>
      <c r="S32" s="62"/>
      <c r="T32" s="62"/>
      <c r="U32" s="74"/>
      <c r="V32" s="62"/>
      <c r="W32" s="75"/>
      <c r="X32" s="74"/>
      <c r="Y32" s="88"/>
      <c r="Z32" s="201"/>
      <c r="AA32" s="201"/>
      <c r="AB32" s="201"/>
      <c r="AC32" s="201"/>
      <c r="AD32" s="201"/>
      <c r="AE32" s="201"/>
      <c r="AF32" s="201"/>
      <c r="AG32" s="201"/>
      <c r="AH32" s="201"/>
      <c r="AI32" s="201"/>
      <c r="AJ32" s="201"/>
      <c r="AK32" s="201"/>
      <c r="AL32" s="201"/>
      <c r="AM32" s="201"/>
      <c r="AN32" s="201"/>
      <c r="AO32" s="201"/>
    </row>
    <row r="33">
      <c r="A33" s="197" t="str">
        <f>IFERROR(__xludf.DUMMYFUNCTION("""COMPUTED_VALUE"""),"Cardiomyopathy")</f>
        <v>Cardiomyopathy</v>
      </c>
      <c r="B33" s="198"/>
      <c r="C33" s="208"/>
      <c r="D33" s="205"/>
      <c r="E33" s="198"/>
      <c r="F33" s="198"/>
      <c r="G33" s="198"/>
      <c r="H33" s="200"/>
      <c r="I33" s="200"/>
      <c r="J33" s="79"/>
      <c r="K33" s="79"/>
      <c r="L33" s="62"/>
      <c r="M33" s="62"/>
      <c r="N33" s="62"/>
      <c r="O33" s="60"/>
      <c r="P33" s="62"/>
      <c r="Q33" s="66"/>
      <c r="R33" s="62"/>
      <c r="S33" s="62"/>
      <c r="T33" s="62"/>
      <c r="U33" s="74"/>
      <c r="V33" s="62"/>
      <c r="W33" s="75"/>
      <c r="X33" s="74"/>
      <c r="Y33" s="61"/>
      <c r="Z33" s="201"/>
      <c r="AA33" s="201"/>
      <c r="AB33" s="201"/>
      <c r="AC33" s="201"/>
      <c r="AD33" s="201"/>
      <c r="AE33" s="201"/>
      <c r="AF33" s="201"/>
      <c r="AG33" s="201"/>
      <c r="AH33" s="201"/>
      <c r="AI33" s="201"/>
      <c r="AJ33" s="201"/>
      <c r="AK33" s="201"/>
      <c r="AL33" s="201"/>
      <c r="AM33" s="201"/>
      <c r="AN33" s="201"/>
      <c r="AO33" s="201"/>
    </row>
    <row r="34">
      <c r="A34" s="197" t="str">
        <f>IFERROR(__xludf.DUMMYFUNCTION("""COMPUTED_VALUE"""),"Monogenic Diabetes")</f>
        <v>Monogenic Diabetes</v>
      </c>
      <c r="B34" s="198"/>
      <c r="C34" s="199"/>
      <c r="D34" s="205"/>
      <c r="E34" s="198"/>
      <c r="F34" s="198"/>
      <c r="G34" s="198"/>
      <c r="H34" s="200"/>
      <c r="I34" s="200"/>
      <c r="J34" s="62"/>
      <c r="K34" s="62"/>
      <c r="L34" s="62"/>
      <c r="M34" s="62"/>
      <c r="N34" s="62"/>
      <c r="O34" s="60"/>
      <c r="P34" s="62"/>
      <c r="Q34" s="66"/>
      <c r="R34" s="62"/>
      <c r="S34" s="62"/>
      <c r="T34" s="62"/>
      <c r="U34" s="74"/>
      <c r="V34" s="62"/>
      <c r="W34" s="75"/>
      <c r="X34" s="74"/>
      <c r="Y34" s="61"/>
      <c r="Z34" s="201"/>
      <c r="AA34" s="201"/>
      <c r="AB34" s="201"/>
      <c r="AC34" s="201"/>
      <c r="AD34" s="201"/>
      <c r="AE34" s="201"/>
      <c r="AF34" s="201"/>
      <c r="AG34" s="201"/>
      <c r="AH34" s="201"/>
      <c r="AI34" s="201"/>
      <c r="AJ34" s="201"/>
      <c r="AK34" s="201"/>
      <c r="AL34" s="201"/>
      <c r="AM34" s="201"/>
      <c r="AN34" s="201"/>
      <c r="AO34" s="201"/>
    </row>
    <row r="35">
      <c r="A35" s="197" t="str">
        <f>IFERROR(__xludf.DUMMYFUNCTION("""COMPUTED_VALUE"""),"Platelet Disorders")</f>
        <v>Platelet Disorders</v>
      </c>
      <c r="B35" s="198"/>
      <c r="C35" s="208"/>
      <c r="D35" s="205"/>
      <c r="E35" s="198"/>
      <c r="F35" s="198"/>
      <c r="G35" s="198"/>
      <c r="H35" s="200"/>
      <c r="I35" s="200"/>
      <c r="J35" s="60"/>
      <c r="K35" s="60"/>
      <c r="L35" s="62"/>
      <c r="M35" s="62"/>
      <c r="N35" s="62"/>
      <c r="O35" s="60"/>
      <c r="P35" s="62"/>
      <c r="Q35" s="66"/>
      <c r="R35" s="62"/>
      <c r="S35" s="62"/>
      <c r="T35" s="62"/>
      <c r="U35" s="74"/>
      <c r="V35" s="62"/>
      <c r="W35" s="75"/>
      <c r="X35" s="74"/>
      <c r="Y35" s="63"/>
      <c r="Z35" s="201"/>
      <c r="AA35" s="201"/>
      <c r="AB35" s="201"/>
      <c r="AC35" s="201"/>
      <c r="AD35" s="201"/>
      <c r="AE35" s="201"/>
      <c r="AF35" s="201"/>
      <c r="AG35" s="201"/>
      <c r="AH35" s="201"/>
      <c r="AI35" s="201"/>
      <c r="AJ35" s="201"/>
      <c r="AK35" s="201"/>
      <c r="AL35" s="201"/>
      <c r="AM35" s="201"/>
      <c r="AN35" s="201"/>
      <c r="AO35" s="201"/>
    </row>
    <row r="36">
      <c r="A36" s="197" t="str">
        <f>IFERROR(__xludf.DUMMYFUNCTION("""COMPUTED_VALUE"""),"RYR1")</f>
        <v>RYR1</v>
      </c>
      <c r="B36" s="198"/>
      <c r="C36" s="208"/>
      <c r="D36" s="205"/>
      <c r="E36" s="198"/>
      <c r="F36" s="198"/>
      <c r="G36" s="198"/>
      <c r="H36" s="199"/>
      <c r="I36" s="200"/>
      <c r="J36" s="62"/>
      <c r="K36" s="62"/>
      <c r="L36" s="62"/>
      <c r="M36" s="62"/>
      <c r="N36" s="62"/>
      <c r="O36" s="62"/>
      <c r="P36" s="62"/>
      <c r="Q36" s="66"/>
      <c r="R36" s="62"/>
      <c r="S36" s="62"/>
      <c r="T36" s="62"/>
      <c r="U36" s="74"/>
      <c r="V36" s="62"/>
      <c r="W36" s="75"/>
      <c r="X36" s="74"/>
      <c r="Y36" s="61"/>
      <c r="Z36" s="201"/>
      <c r="AA36" s="201"/>
      <c r="AB36" s="201"/>
      <c r="AC36" s="201"/>
      <c r="AD36" s="201"/>
      <c r="AE36" s="201"/>
      <c r="AF36" s="201"/>
      <c r="AG36" s="201"/>
      <c r="AH36" s="201"/>
      <c r="AI36" s="201"/>
      <c r="AJ36" s="201"/>
      <c r="AK36" s="201"/>
      <c r="AL36" s="201"/>
      <c r="AM36" s="201"/>
      <c r="AN36" s="201"/>
      <c r="AO36" s="201"/>
    </row>
    <row r="37">
      <c r="A37" s="197" t="str">
        <f>IFERROR(__xludf.DUMMYFUNCTION("""COMPUTED_VALUE"""),"hematological cancer taskforce")</f>
        <v>hematological cancer taskforce</v>
      </c>
      <c r="B37" s="198"/>
      <c r="C37" s="204"/>
      <c r="D37" s="205"/>
      <c r="E37" s="198"/>
      <c r="F37" s="198"/>
      <c r="G37" s="198"/>
      <c r="H37" s="199"/>
      <c r="I37" s="200"/>
      <c r="J37" s="62"/>
      <c r="K37" s="62"/>
      <c r="L37" s="62"/>
      <c r="M37" s="62"/>
      <c r="N37" s="62"/>
      <c r="O37" s="60"/>
      <c r="P37" s="62"/>
      <c r="Q37" s="66"/>
      <c r="R37" s="62"/>
      <c r="S37" s="62"/>
      <c r="T37" s="62"/>
      <c r="U37" s="74"/>
      <c r="V37" s="62"/>
      <c r="W37" s="75"/>
      <c r="X37" s="74"/>
      <c r="Y37" s="61"/>
      <c r="Z37" s="201"/>
      <c r="AA37" s="201"/>
      <c r="AB37" s="201"/>
      <c r="AC37" s="201"/>
      <c r="AD37" s="201"/>
      <c r="AE37" s="201"/>
      <c r="AF37" s="201"/>
      <c r="AG37" s="201"/>
      <c r="AH37" s="201"/>
      <c r="AI37" s="201"/>
      <c r="AJ37" s="201"/>
      <c r="AK37" s="201"/>
      <c r="AL37" s="201"/>
      <c r="AM37" s="201"/>
      <c r="AN37" s="201"/>
      <c r="AO37" s="201"/>
    </row>
    <row r="38">
      <c r="A38" s="197" t="str">
        <f>IFERROR(__xludf.DUMMYFUNCTION("""COMPUTED_VALUE"""),"Pediatric cancer and Hematological cancer taskforce")</f>
        <v>Pediatric cancer and Hematological cancer taskforce</v>
      </c>
      <c r="B38" s="198"/>
      <c r="C38" s="200"/>
      <c r="D38" s="205"/>
      <c r="E38" s="198"/>
      <c r="F38" s="198"/>
      <c r="G38" s="198"/>
      <c r="H38" s="199"/>
      <c r="I38" s="200"/>
      <c r="J38" s="62"/>
      <c r="K38" s="62"/>
      <c r="L38" s="62"/>
      <c r="M38" s="62"/>
      <c r="N38" s="62"/>
      <c r="O38" s="60"/>
      <c r="P38" s="62"/>
      <c r="Q38" s="66"/>
      <c r="R38" s="62"/>
      <c r="S38" s="62"/>
      <c r="T38" s="62"/>
      <c r="U38" s="74"/>
      <c r="V38" s="62"/>
      <c r="W38" s="75"/>
      <c r="X38" s="74"/>
      <c r="Y38" s="61"/>
      <c r="Z38" s="201"/>
      <c r="AA38" s="201"/>
      <c r="AB38" s="201"/>
      <c r="AC38" s="201"/>
      <c r="AD38" s="201"/>
      <c r="AE38" s="201"/>
      <c r="AF38" s="201"/>
      <c r="AG38" s="201"/>
      <c r="AH38" s="201"/>
      <c r="AI38" s="201"/>
      <c r="AJ38" s="201"/>
      <c r="AK38" s="201"/>
      <c r="AL38" s="201"/>
      <c r="AM38" s="201"/>
      <c r="AN38" s="201"/>
      <c r="AO38" s="201"/>
    </row>
    <row r="39">
      <c r="A39" s="197" t="str">
        <f>IFERROR(__xludf.DUMMYFUNCTION("""COMPUTED_VALUE"""),"Genitourinary cancer taskforce")</f>
        <v>Genitourinary cancer taskforce</v>
      </c>
      <c r="B39" s="198"/>
      <c r="C39" s="204"/>
      <c r="D39" s="206"/>
      <c r="E39" s="198"/>
      <c r="F39" s="198"/>
      <c r="G39" s="198"/>
      <c r="H39" s="200"/>
      <c r="I39" s="200"/>
      <c r="J39" s="79"/>
      <c r="K39" s="79"/>
      <c r="L39" s="62"/>
      <c r="M39" s="62"/>
      <c r="N39" s="62"/>
      <c r="O39" s="60"/>
      <c r="P39" s="62"/>
      <c r="Q39" s="66"/>
      <c r="R39" s="62"/>
      <c r="S39" s="62"/>
      <c r="T39" s="62"/>
      <c r="U39" s="74"/>
      <c r="V39" s="62"/>
      <c r="W39" s="75"/>
      <c r="X39" s="74"/>
      <c r="Y39" s="63"/>
      <c r="Z39" s="201"/>
      <c r="AA39" s="201"/>
      <c r="AB39" s="201"/>
      <c r="AC39" s="201"/>
      <c r="AD39" s="201"/>
      <c r="AE39" s="201"/>
      <c r="AF39" s="201"/>
      <c r="AG39" s="201"/>
      <c r="AH39" s="201"/>
      <c r="AI39" s="201"/>
      <c r="AJ39" s="201"/>
      <c r="AK39" s="201"/>
      <c r="AL39" s="201"/>
      <c r="AM39" s="201"/>
      <c r="AN39" s="201"/>
      <c r="AO39" s="201"/>
    </row>
    <row r="40">
      <c r="A40" s="197" t="str">
        <f>IFERROR(__xludf.DUMMYFUNCTION("""COMPUTED_VALUE"""),"Hematological Cancer taskforce")</f>
        <v>Hematological Cancer taskforce</v>
      </c>
      <c r="B40" s="198"/>
      <c r="C40" s="208"/>
      <c r="D40" s="205"/>
      <c r="E40" s="198"/>
      <c r="F40" s="198"/>
      <c r="G40" s="198"/>
      <c r="H40" s="200"/>
      <c r="I40" s="200"/>
      <c r="J40" s="79"/>
      <c r="K40" s="79"/>
      <c r="L40" s="62"/>
      <c r="M40" s="62"/>
      <c r="N40" s="62"/>
      <c r="O40" s="60"/>
      <c r="P40" s="62"/>
      <c r="Q40" s="66"/>
      <c r="R40" s="62"/>
      <c r="S40" s="62"/>
      <c r="T40" s="62"/>
      <c r="U40" s="74"/>
      <c r="V40" s="62"/>
      <c r="W40" s="75"/>
      <c r="X40" s="74"/>
      <c r="Y40" s="61"/>
      <c r="Z40" s="201"/>
      <c r="AA40" s="201"/>
      <c r="AB40" s="201"/>
      <c r="AC40" s="201"/>
      <c r="AD40" s="201"/>
      <c r="AE40" s="201"/>
      <c r="AF40" s="201"/>
      <c r="AG40" s="201"/>
      <c r="AH40" s="201"/>
      <c r="AI40" s="201"/>
      <c r="AJ40" s="201"/>
      <c r="AK40" s="201"/>
      <c r="AL40" s="201"/>
      <c r="AM40" s="201"/>
      <c r="AN40" s="201"/>
      <c r="AO40" s="201"/>
    </row>
    <row r="41">
      <c r="A41" s="197"/>
      <c r="B41" s="198"/>
      <c r="C41" s="208"/>
      <c r="D41" s="205"/>
      <c r="E41" s="198"/>
      <c r="F41" s="198"/>
      <c r="G41" s="198"/>
      <c r="H41" s="200"/>
      <c r="I41" s="200"/>
      <c r="J41" s="79"/>
      <c r="K41" s="79"/>
      <c r="L41" s="62"/>
      <c r="M41" s="62"/>
      <c r="N41" s="62"/>
      <c r="O41" s="60"/>
      <c r="P41" s="62"/>
      <c r="Q41" s="66"/>
      <c r="R41" s="62"/>
      <c r="S41" s="62"/>
      <c r="T41" s="62"/>
      <c r="U41" s="74"/>
      <c r="V41" s="62"/>
      <c r="W41" s="75"/>
      <c r="X41" s="74"/>
      <c r="Y41" s="63"/>
      <c r="Z41" s="201"/>
      <c r="AA41" s="201"/>
      <c r="AB41" s="201"/>
      <c r="AC41" s="201"/>
      <c r="AD41" s="201"/>
      <c r="AE41" s="201"/>
      <c r="AF41" s="201"/>
      <c r="AG41" s="201"/>
      <c r="AH41" s="201"/>
      <c r="AI41" s="201"/>
      <c r="AJ41" s="201"/>
      <c r="AK41" s="201"/>
      <c r="AL41" s="201"/>
      <c r="AM41" s="201"/>
      <c r="AN41" s="201"/>
      <c r="AO41" s="201"/>
    </row>
    <row r="42">
      <c r="A42" s="197"/>
      <c r="B42" s="198"/>
      <c r="C42" s="208"/>
      <c r="D42" s="207"/>
      <c r="E42" s="198"/>
      <c r="F42" s="198"/>
      <c r="G42" s="198"/>
      <c r="H42" s="210"/>
      <c r="I42" s="210"/>
      <c r="J42" s="89"/>
      <c r="K42" s="79"/>
      <c r="L42" s="62"/>
      <c r="M42" s="62"/>
      <c r="N42" s="62"/>
      <c r="O42" s="60"/>
      <c r="P42" s="62"/>
      <c r="Q42" s="66"/>
      <c r="R42" s="62"/>
      <c r="S42" s="62"/>
      <c r="T42" s="62"/>
      <c r="U42" s="74"/>
      <c r="V42" s="62"/>
      <c r="W42" s="75"/>
      <c r="X42" s="74"/>
      <c r="Y42" s="61"/>
      <c r="Z42" s="201"/>
      <c r="AA42" s="201"/>
      <c r="AB42" s="201"/>
      <c r="AC42" s="201"/>
      <c r="AD42" s="201"/>
      <c r="AE42" s="201"/>
      <c r="AF42" s="201"/>
      <c r="AG42" s="201"/>
      <c r="AH42" s="201"/>
      <c r="AI42" s="201"/>
      <c r="AJ42" s="201"/>
      <c r="AK42" s="201"/>
      <c r="AL42" s="201"/>
      <c r="AM42" s="201"/>
      <c r="AN42" s="201"/>
      <c r="AO42" s="201"/>
    </row>
    <row r="43">
      <c r="A43" s="197"/>
      <c r="B43" s="198"/>
      <c r="C43" s="208"/>
      <c r="D43" s="205"/>
      <c r="E43" s="198"/>
      <c r="F43" s="198"/>
      <c r="G43" s="198"/>
      <c r="H43" s="199"/>
      <c r="I43" s="200"/>
      <c r="J43" s="79"/>
      <c r="K43" s="79"/>
      <c r="L43" s="62"/>
      <c r="M43" s="62"/>
      <c r="N43" s="62"/>
      <c r="O43" s="60"/>
      <c r="P43" s="62"/>
      <c r="Q43" s="66"/>
      <c r="R43" s="62"/>
      <c r="S43" s="62"/>
      <c r="T43" s="62"/>
      <c r="U43" s="74"/>
      <c r="V43" s="62"/>
      <c r="W43" s="75"/>
      <c r="X43" s="74"/>
      <c r="Y43" s="61"/>
      <c r="Z43" s="201"/>
      <c r="AA43" s="201"/>
      <c r="AB43" s="201"/>
      <c r="AC43" s="201"/>
      <c r="AD43" s="201"/>
      <c r="AE43" s="201"/>
      <c r="AF43" s="201"/>
      <c r="AG43" s="201"/>
      <c r="AH43" s="201"/>
      <c r="AI43" s="201"/>
      <c r="AJ43" s="201"/>
      <c r="AK43" s="201"/>
      <c r="AL43" s="201"/>
      <c r="AM43" s="201"/>
      <c r="AN43" s="201"/>
      <c r="AO43" s="201"/>
    </row>
    <row r="44">
      <c r="A44" s="197"/>
      <c r="B44" s="198"/>
      <c r="C44" s="208"/>
      <c r="D44" s="207"/>
      <c r="E44" s="198"/>
      <c r="F44" s="198"/>
      <c r="G44" s="198"/>
      <c r="H44" s="199"/>
      <c r="I44" s="200"/>
      <c r="J44" s="79"/>
      <c r="K44" s="79"/>
      <c r="L44" s="62"/>
      <c r="M44" s="62"/>
      <c r="N44" s="62"/>
      <c r="O44" s="60"/>
      <c r="P44" s="62"/>
      <c r="Q44" s="66"/>
      <c r="R44" s="62"/>
      <c r="S44" s="62"/>
      <c r="T44" s="62"/>
      <c r="U44" s="74"/>
      <c r="V44" s="62"/>
      <c r="W44" s="75"/>
      <c r="X44" s="74"/>
      <c r="Y44" s="61"/>
      <c r="Z44" s="201"/>
      <c r="AA44" s="201"/>
      <c r="AB44" s="201"/>
      <c r="AC44" s="201"/>
      <c r="AD44" s="201"/>
      <c r="AE44" s="201"/>
      <c r="AF44" s="201"/>
      <c r="AG44" s="201"/>
      <c r="AH44" s="201"/>
      <c r="AI44" s="201"/>
      <c r="AJ44" s="201"/>
      <c r="AK44" s="201"/>
      <c r="AL44" s="201"/>
      <c r="AM44" s="201"/>
      <c r="AN44" s="201"/>
      <c r="AO44" s="201"/>
    </row>
    <row r="45">
      <c r="A45" s="197"/>
      <c r="B45" s="198"/>
      <c r="C45" s="208"/>
      <c r="D45" s="205"/>
      <c r="E45" s="198"/>
      <c r="F45" s="198"/>
      <c r="G45" s="198"/>
      <c r="H45" s="199"/>
      <c r="I45" s="200"/>
      <c r="J45" s="79"/>
      <c r="K45" s="79"/>
      <c r="L45" s="62"/>
      <c r="M45" s="62"/>
      <c r="N45" s="62"/>
      <c r="O45" s="60"/>
      <c r="P45" s="62"/>
      <c r="Q45" s="66"/>
      <c r="R45" s="62"/>
      <c r="S45" s="62"/>
      <c r="T45" s="62"/>
      <c r="U45" s="74"/>
      <c r="V45" s="62"/>
      <c r="W45" s="75"/>
      <c r="X45" s="74"/>
      <c r="Y45" s="61"/>
      <c r="Z45" s="201"/>
      <c r="AA45" s="201"/>
      <c r="AB45" s="201"/>
      <c r="AC45" s="201"/>
      <c r="AD45" s="201"/>
      <c r="AE45" s="201"/>
      <c r="AF45" s="201"/>
      <c r="AG45" s="201"/>
      <c r="AH45" s="201"/>
      <c r="AI45" s="201"/>
      <c r="AJ45" s="201"/>
      <c r="AK45" s="201"/>
      <c r="AL45" s="201"/>
      <c r="AM45" s="201"/>
      <c r="AN45" s="201"/>
      <c r="AO45" s="201"/>
    </row>
    <row r="46">
      <c r="A46" s="197"/>
      <c r="B46" s="198"/>
      <c r="C46" s="204"/>
      <c r="D46" s="205"/>
      <c r="E46" s="198"/>
      <c r="F46" s="198"/>
      <c r="G46" s="198"/>
      <c r="H46" s="200"/>
      <c r="I46" s="200"/>
      <c r="J46" s="79"/>
      <c r="K46" s="79"/>
      <c r="L46" s="62"/>
      <c r="M46" s="62"/>
      <c r="N46" s="62"/>
      <c r="O46" s="60"/>
      <c r="P46" s="62"/>
      <c r="Q46" s="66"/>
      <c r="R46" s="62"/>
      <c r="S46" s="62"/>
      <c r="T46" s="62"/>
      <c r="U46" s="74"/>
      <c r="V46" s="62"/>
      <c r="W46" s="75"/>
      <c r="X46" s="74"/>
      <c r="Y46" s="61"/>
      <c r="Z46" s="201"/>
      <c r="AA46" s="201"/>
      <c r="AB46" s="201"/>
      <c r="AC46" s="201"/>
      <c r="AD46" s="201"/>
      <c r="AE46" s="201"/>
      <c r="AF46" s="201"/>
      <c r="AG46" s="201"/>
      <c r="AH46" s="201"/>
      <c r="AI46" s="201"/>
      <c r="AJ46" s="201"/>
      <c r="AK46" s="201"/>
      <c r="AL46" s="201"/>
      <c r="AM46" s="201"/>
      <c r="AN46" s="201"/>
      <c r="AO46" s="201"/>
    </row>
    <row r="47">
      <c r="A47" s="197"/>
      <c r="B47" s="198"/>
      <c r="C47" s="199"/>
      <c r="D47" s="205"/>
      <c r="E47" s="198"/>
      <c r="F47" s="198"/>
      <c r="G47" s="198"/>
      <c r="H47" s="199"/>
      <c r="I47" s="200"/>
      <c r="J47" s="79"/>
      <c r="K47" s="79"/>
      <c r="L47" s="62"/>
      <c r="M47" s="62"/>
      <c r="N47" s="62"/>
      <c r="O47" s="60"/>
      <c r="P47" s="62"/>
      <c r="Q47" s="66"/>
      <c r="R47" s="62"/>
      <c r="S47" s="62"/>
      <c r="T47" s="62"/>
      <c r="U47" s="74"/>
      <c r="V47" s="62"/>
      <c r="W47" s="75"/>
      <c r="X47" s="74"/>
      <c r="Y47" s="61"/>
      <c r="Z47" s="201"/>
      <c r="AA47" s="201"/>
      <c r="AB47" s="201"/>
      <c r="AC47" s="201"/>
      <c r="AD47" s="201"/>
      <c r="AE47" s="201"/>
      <c r="AF47" s="201"/>
      <c r="AG47" s="201"/>
      <c r="AH47" s="201"/>
      <c r="AI47" s="201"/>
      <c r="AJ47" s="201"/>
      <c r="AK47" s="201"/>
      <c r="AL47" s="201"/>
      <c r="AM47" s="201"/>
      <c r="AN47" s="201"/>
      <c r="AO47" s="201"/>
    </row>
    <row r="48">
      <c r="A48" s="197"/>
      <c r="B48" s="198"/>
      <c r="C48" s="199"/>
      <c r="D48" s="205"/>
      <c r="E48" s="198"/>
      <c r="F48" s="198"/>
      <c r="G48" s="198"/>
      <c r="H48" s="200"/>
      <c r="I48" s="200"/>
      <c r="J48" s="79"/>
      <c r="K48" s="79"/>
      <c r="L48" s="62"/>
      <c r="M48" s="62"/>
      <c r="N48" s="62"/>
      <c r="O48" s="60"/>
      <c r="P48" s="62"/>
      <c r="Q48" s="66"/>
      <c r="R48" s="62"/>
      <c r="S48" s="62"/>
      <c r="T48" s="62"/>
      <c r="U48" s="74"/>
      <c r="V48" s="62"/>
      <c r="W48" s="75"/>
      <c r="X48" s="74"/>
      <c r="Y48" s="61"/>
      <c r="Z48" s="201"/>
      <c r="AA48" s="201"/>
      <c r="AB48" s="201"/>
      <c r="AC48" s="201"/>
      <c r="AD48" s="201"/>
      <c r="AE48" s="201"/>
      <c r="AF48" s="201"/>
      <c r="AG48" s="201"/>
      <c r="AH48" s="201"/>
      <c r="AI48" s="201"/>
      <c r="AJ48" s="201"/>
      <c r="AK48" s="201"/>
      <c r="AL48" s="201"/>
      <c r="AM48" s="201"/>
      <c r="AN48" s="201"/>
      <c r="AO48" s="201"/>
    </row>
    <row r="49">
      <c r="A49" s="197"/>
      <c r="B49" s="198"/>
      <c r="C49" s="212"/>
      <c r="D49" s="203"/>
      <c r="E49" s="198"/>
      <c r="F49" s="198"/>
      <c r="G49" s="198"/>
      <c r="H49" s="200"/>
      <c r="I49" s="200"/>
      <c r="J49" s="79"/>
      <c r="K49" s="60"/>
      <c r="L49" s="62"/>
      <c r="M49" s="62"/>
      <c r="N49" s="62"/>
      <c r="O49" s="60"/>
      <c r="P49" s="62"/>
      <c r="Q49" s="66"/>
      <c r="R49" s="62"/>
      <c r="S49" s="62"/>
      <c r="T49" s="62"/>
      <c r="U49" s="74"/>
      <c r="V49" s="62"/>
      <c r="W49" s="75"/>
      <c r="X49" s="74"/>
      <c r="Y49" s="61"/>
      <c r="Z49" s="201"/>
      <c r="AA49" s="201"/>
      <c r="AB49" s="201"/>
      <c r="AC49" s="201"/>
      <c r="AD49" s="201"/>
      <c r="AE49" s="201"/>
      <c r="AF49" s="201"/>
      <c r="AG49" s="201"/>
      <c r="AH49" s="201"/>
      <c r="AI49" s="201"/>
      <c r="AJ49" s="201"/>
      <c r="AK49" s="201"/>
      <c r="AL49" s="201"/>
      <c r="AM49" s="201"/>
      <c r="AN49" s="201"/>
      <c r="AO49" s="201"/>
    </row>
    <row r="50">
      <c r="A50" s="197"/>
      <c r="B50" s="198"/>
      <c r="C50" s="199"/>
      <c r="D50" s="203"/>
      <c r="E50" s="198"/>
      <c r="F50" s="198"/>
      <c r="G50" s="198"/>
      <c r="H50" s="200"/>
      <c r="I50" s="200"/>
      <c r="J50" s="62"/>
      <c r="K50" s="62"/>
      <c r="L50" s="62"/>
      <c r="M50" s="62"/>
      <c r="N50" s="62"/>
      <c r="O50" s="60"/>
      <c r="P50" s="62"/>
      <c r="Q50" s="66"/>
      <c r="R50" s="62"/>
      <c r="S50" s="62"/>
      <c r="T50" s="62"/>
      <c r="U50" s="74"/>
      <c r="V50" s="62"/>
      <c r="W50" s="75"/>
      <c r="X50" s="74"/>
      <c r="Y50" s="61"/>
      <c r="Z50" s="201"/>
      <c r="AA50" s="201"/>
      <c r="AB50" s="201"/>
      <c r="AC50" s="201"/>
      <c r="AD50" s="201"/>
      <c r="AE50" s="201"/>
      <c r="AF50" s="201"/>
      <c r="AG50" s="201"/>
      <c r="AH50" s="201"/>
      <c r="AI50" s="201"/>
      <c r="AJ50" s="201"/>
      <c r="AK50" s="201"/>
      <c r="AL50" s="201"/>
      <c r="AM50" s="201"/>
      <c r="AN50" s="201"/>
      <c r="AO50" s="201"/>
    </row>
    <row r="51">
      <c r="A51" s="197"/>
      <c r="B51" s="198"/>
      <c r="C51" s="208"/>
      <c r="D51" s="203"/>
      <c r="E51" s="198"/>
      <c r="F51" s="198"/>
      <c r="G51" s="198"/>
      <c r="H51" s="200"/>
      <c r="I51" s="200"/>
      <c r="J51" s="79"/>
      <c r="K51" s="79"/>
      <c r="L51" s="62"/>
      <c r="M51" s="62"/>
      <c r="N51" s="62"/>
      <c r="O51" s="60"/>
      <c r="P51" s="62"/>
      <c r="Q51" s="66"/>
      <c r="R51" s="62"/>
      <c r="S51" s="62"/>
      <c r="T51" s="62"/>
      <c r="U51" s="74"/>
      <c r="V51" s="62"/>
      <c r="W51" s="75"/>
      <c r="X51" s="74"/>
      <c r="Y51" s="91"/>
      <c r="Z51" s="201"/>
      <c r="AA51" s="201"/>
      <c r="AB51" s="201"/>
      <c r="AC51" s="201"/>
      <c r="AD51" s="201"/>
      <c r="AE51" s="201"/>
      <c r="AF51" s="201"/>
      <c r="AG51" s="201"/>
      <c r="AH51" s="201"/>
      <c r="AI51" s="201"/>
      <c r="AJ51" s="201"/>
      <c r="AK51" s="201"/>
      <c r="AL51" s="201"/>
      <c r="AM51" s="201"/>
      <c r="AN51" s="201"/>
      <c r="AO51" s="201"/>
    </row>
    <row r="52">
      <c r="A52" s="197"/>
      <c r="B52" s="198"/>
      <c r="C52" s="208"/>
      <c r="D52" s="203"/>
      <c r="E52" s="198"/>
      <c r="F52" s="198"/>
      <c r="G52" s="198"/>
      <c r="H52" s="199"/>
      <c r="I52" s="200"/>
      <c r="J52" s="62"/>
      <c r="K52" s="62"/>
      <c r="L52" s="62"/>
      <c r="M52" s="62"/>
      <c r="N52" s="62"/>
      <c r="O52" s="60"/>
      <c r="P52" s="62"/>
      <c r="Q52" s="66"/>
      <c r="R52" s="62"/>
      <c r="S52" s="62"/>
      <c r="T52" s="62"/>
      <c r="U52" s="74"/>
      <c r="V52" s="62"/>
      <c r="W52" s="75"/>
      <c r="X52" s="74"/>
      <c r="Y52" s="61"/>
      <c r="Z52" s="201"/>
      <c r="AA52" s="201"/>
      <c r="AB52" s="201"/>
      <c r="AC52" s="201"/>
      <c r="AD52" s="201"/>
      <c r="AE52" s="201"/>
      <c r="AF52" s="201"/>
      <c r="AG52" s="201"/>
      <c r="AH52" s="201"/>
      <c r="AI52" s="201"/>
      <c r="AJ52" s="201"/>
      <c r="AK52" s="201"/>
      <c r="AL52" s="201"/>
      <c r="AM52" s="201"/>
      <c r="AN52" s="201"/>
      <c r="AO52" s="201"/>
    </row>
    <row r="53">
      <c r="A53" s="197"/>
      <c r="B53" s="198"/>
      <c r="C53" s="208"/>
      <c r="D53" s="203"/>
      <c r="E53" s="198"/>
      <c r="F53" s="198"/>
      <c r="G53" s="198"/>
      <c r="H53" s="200"/>
      <c r="I53" s="200"/>
      <c r="J53" s="79"/>
      <c r="K53" s="60"/>
      <c r="L53" s="62"/>
      <c r="M53" s="62"/>
      <c r="N53" s="62"/>
      <c r="O53" s="60"/>
      <c r="P53" s="62"/>
      <c r="Q53" s="66"/>
      <c r="R53" s="62"/>
      <c r="S53" s="62"/>
      <c r="T53" s="62"/>
      <c r="U53" s="74"/>
      <c r="V53" s="62"/>
      <c r="W53" s="75"/>
      <c r="X53" s="74"/>
      <c r="Y53" s="91"/>
      <c r="Z53" s="201"/>
      <c r="AA53" s="201"/>
      <c r="AB53" s="201"/>
      <c r="AC53" s="201"/>
      <c r="AD53" s="201"/>
      <c r="AE53" s="201"/>
      <c r="AF53" s="201"/>
      <c r="AG53" s="201"/>
      <c r="AH53" s="201"/>
      <c r="AI53" s="201"/>
      <c r="AJ53" s="201"/>
      <c r="AK53" s="201"/>
      <c r="AL53" s="201"/>
      <c r="AM53" s="201"/>
      <c r="AN53" s="201"/>
      <c r="AO53" s="201"/>
    </row>
    <row r="54">
      <c r="A54" s="197"/>
      <c r="B54" s="198"/>
      <c r="C54" s="208"/>
      <c r="D54" s="203"/>
      <c r="E54" s="198"/>
      <c r="F54" s="198"/>
      <c r="G54" s="198"/>
      <c r="H54" s="200"/>
      <c r="I54" s="200"/>
      <c r="J54" s="79"/>
      <c r="K54" s="79"/>
      <c r="L54" s="62"/>
      <c r="M54" s="62"/>
      <c r="N54" s="62"/>
      <c r="O54" s="60"/>
      <c r="P54" s="62"/>
      <c r="Q54" s="66"/>
      <c r="R54" s="62"/>
      <c r="S54" s="62"/>
      <c r="T54" s="62"/>
      <c r="U54" s="74"/>
      <c r="V54" s="62"/>
      <c r="W54" s="75"/>
      <c r="X54" s="74"/>
      <c r="Y54" s="61"/>
      <c r="Z54" s="201"/>
      <c r="AA54" s="201"/>
      <c r="AB54" s="201"/>
      <c r="AC54" s="201"/>
      <c r="AD54" s="201"/>
      <c r="AE54" s="201"/>
      <c r="AF54" s="201"/>
      <c r="AG54" s="201"/>
      <c r="AH54" s="201"/>
      <c r="AI54" s="201"/>
      <c r="AJ54" s="201"/>
      <c r="AK54" s="201"/>
      <c r="AL54" s="201"/>
      <c r="AM54" s="201"/>
      <c r="AN54" s="201"/>
      <c r="AO54" s="201"/>
    </row>
    <row r="55" ht="20.25" customHeight="1">
      <c r="A55" s="197"/>
      <c r="B55" s="198"/>
      <c r="C55" s="208"/>
      <c r="D55" s="203"/>
      <c r="E55" s="198"/>
      <c r="F55" s="198"/>
      <c r="G55" s="198"/>
      <c r="H55" s="200"/>
      <c r="I55" s="200"/>
      <c r="J55" s="79"/>
      <c r="K55" s="79"/>
      <c r="L55" s="62"/>
      <c r="M55" s="62"/>
      <c r="N55" s="62"/>
      <c r="O55" s="60"/>
      <c r="P55" s="62"/>
      <c r="Q55" s="66"/>
      <c r="R55" s="62"/>
      <c r="S55" s="62"/>
      <c r="T55" s="62"/>
      <c r="U55" s="74"/>
      <c r="V55" s="62"/>
      <c r="W55" s="75"/>
      <c r="X55" s="74"/>
      <c r="Y55" s="91"/>
      <c r="Z55" s="201"/>
      <c r="AA55" s="201"/>
      <c r="AB55" s="201"/>
      <c r="AC55" s="201"/>
      <c r="AD55" s="201"/>
      <c r="AE55" s="201"/>
      <c r="AF55" s="201"/>
      <c r="AG55" s="201"/>
      <c r="AH55" s="201"/>
      <c r="AI55" s="201"/>
      <c r="AJ55" s="201"/>
      <c r="AK55" s="201"/>
      <c r="AL55" s="201"/>
      <c r="AM55" s="201"/>
      <c r="AN55" s="201"/>
      <c r="AO55" s="201"/>
    </row>
    <row r="56">
      <c r="A56" s="197"/>
      <c r="B56" s="198"/>
      <c r="C56" s="204"/>
      <c r="D56" s="203"/>
      <c r="E56" s="198"/>
      <c r="F56" s="198"/>
      <c r="G56" s="198"/>
      <c r="H56" s="199"/>
      <c r="I56" s="200"/>
      <c r="J56" s="62"/>
      <c r="K56" s="62"/>
      <c r="L56" s="62"/>
      <c r="M56" s="62"/>
      <c r="N56" s="62"/>
      <c r="O56" s="60"/>
      <c r="P56" s="62"/>
      <c r="Q56" s="66"/>
      <c r="R56" s="62"/>
      <c r="S56" s="62"/>
      <c r="T56" s="62"/>
      <c r="U56" s="74"/>
      <c r="V56" s="62"/>
      <c r="W56" s="75"/>
      <c r="X56" s="74"/>
      <c r="Y56" s="61"/>
      <c r="Z56" s="201"/>
      <c r="AA56" s="201"/>
      <c r="AB56" s="201"/>
      <c r="AC56" s="201"/>
      <c r="AD56" s="201"/>
      <c r="AE56" s="201"/>
      <c r="AF56" s="201"/>
      <c r="AG56" s="201"/>
      <c r="AH56" s="201"/>
      <c r="AI56" s="201"/>
      <c r="AJ56" s="201"/>
      <c r="AK56" s="201"/>
      <c r="AL56" s="201"/>
      <c r="AM56" s="201"/>
      <c r="AN56" s="201"/>
      <c r="AO56" s="201"/>
    </row>
    <row r="57" ht="18.75" customHeight="1">
      <c r="A57" s="197"/>
      <c r="B57" s="198"/>
      <c r="C57" s="204"/>
      <c r="D57" s="203"/>
      <c r="E57" s="198"/>
      <c r="F57" s="198"/>
      <c r="G57" s="198"/>
      <c r="H57" s="200"/>
      <c r="I57" s="200"/>
      <c r="J57" s="79"/>
      <c r="K57" s="60"/>
      <c r="L57" s="62"/>
      <c r="M57" s="62"/>
      <c r="N57" s="62"/>
      <c r="O57" s="60"/>
      <c r="P57" s="62"/>
      <c r="Q57" s="66"/>
      <c r="R57" s="62"/>
      <c r="S57" s="62"/>
      <c r="T57" s="62"/>
      <c r="U57" s="74"/>
      <c r="V57" s="62"/>
      <c r="W57" s="75"/>
      <c r="X57" s="74"/>
      <c r="Y57" s="61"/>
      <c r="Z57" s="201"/>
      <c r="AA57" s="201"/>
      <c r="AB57" s="201"/>
      <c r="AC57" s="201"/>
      <c r="AD57" s="201"/>
      <c r="AE57" s="201"/>
      <c r="AF57" s="201"/>
      <c r="AG57" s="201"/>
      <c r="AH57" s="201"/>
      <c r="AI57" s="201"/>
      <c r="AJ57" s="201"/>
      <c r="AK57" s="201"/>
      <c r="AL57" s="201"/>
      <c r="AM57" s="201"/>
      <c r="AN57" s="201"/>
      <c r="AO57" s="201"/>
    </row>
    <row r="58">
      <c r="A58" s="197"/>
      <c r="B58" s="198"/>
      <c r="C58" s="208"/>
      <c r="D58" s="197"/>
      <c r="E58" s="198"/>
      <c r="F58" s="198"/>
      <c r="G58" s="198"/>
      <c r="H58" s="199"/>
      <c r="I58" s="200"/>
      <c r="J58" s="62"/>
      <c r="K58" s="62"/>
      <c r="L58" s="62"/>
      <c r="M58" s="62"/>
      <c r="N58" s="62"/>
      <c r="O58" s="60"/>
      <c r="P58" s="62"/>
      <c r="Q58" s="66"/>
      <c r="R58" s="62"/>
      <c r="S58" s="62"/>
      <c r="T58" s="62"/>
      <c r="U58" s="74"/>
      <c r="V58" s="62"/>
      <c r="W58" s="75"/>
      <c r="X58" s="74"/>
      <c r="Y58" s="61"/>
      <c r="Z58" s="201"/>
      <c r="AA58" s="201"/>
      <c r="AB58" s="201"/>
      <c r="AC58" s="201"/>
      <c r="AD58" s="201"/>
      <c r="AE58" s="201"/>
      <c r="AF58" s="201"/>
      <c r="AG58" s="201"/>
      <c r="AH58" s="201"/>
      <c r="AI58" s="201"/>
      <c r="AJ58" s="201"/>
      <c r="AK58" s="201"/>
      <c r="AL58" s="201"/>
      <c r="AM58" s="201"/>
      <c r="AN58" s="201"/>
      <c r="AO58" s="201"/>
    </row>
    <row r="59">
      <c r="A59" s="197"/>
      <c r="B59" s="198"/>
      <c r="C59" s="208"/>
      <c r="D59" s="197"/>
      <c r="E59" s="198"/>
      <c r="F59" s="198"/>
      <c r="G59" s="198"/>
      <c r="H59" s="199"/>
      <c r="I59" s="200"/>
      <c r="J59" s="62"/>
      <c r="K59" s="62"/>
      <c r="L59" s="62"/>
      <c r="M59" s="62"/>
      <c r="N59" s="62"/>
      <c r="O59" s="60"/>
      <c r="P59" s="62"/>
      <c r="Q59" s="66"/>
      <c r="R59" s="62"/>
      <c r="S59" s="62"/>
      <c r="T59" s="62"/>
      <c r="U59" s="74"/>
      <c r="V59" s="62"/>
      <c r="W59" s="75"/>
      <c r="X59" s="74"/>
      <c r="Y59" s="61"/>
      <c r="Z59" s="201"/>
      <c r="AA59" s="201"/>
      <c r="AB59" s="201"/>
      <c r="AC59" s="201"/>
      <c r="AD59" s="201"/>
      <c r="AE59" s="201"/>
      <c r="AF59" s="201"/>
      <c r="AG59" s="201"/>
      <c r="AH59" s="201"/>
      <c r="AI59" s="201"/>
      <c r="AJ59" s="201"/>
      <c r="AK59" s="201"/>
      <c r="AL59" s="201"/>
      <c r="AM59" s="201"/>
      <c r="AN59" s="201"/>
      <c r="AO59" s="201"/>
    </row>
    <row r="60">
      <c r="A60" s="197"/>
      <c r="B60" s="198"/>
      <c r="C60" s="208"/>
      <c r="D60" s="206"/>
      <c r="E60" s="198"/>
      <c r="F60" s="198"/>
      <c r="G60" s="198"/>
      <c r="H60" s="199"/>
      <c r="I60" s="200"/>
      <c r="J60" s="62"/>
      <c r="K60" s="62"/>
      <c r="L60" s="62"/>
      <c r="M60" s="62"/>
      <c r="N60" s="62"/>
      <c r="O60" s="60"/>
      <c r="P60" s="62"/>
      <c r="Q60" s="66"/>
      <c r="R60" s="62"/>
      <c r="S60" s="62"/>
      <c r="T60" s="62"/>
      <c r="U60" s="74"/>
      <c r="V60" s="62"/>
      <c r="W60" s="75"/>
      <c r="X60" s="74"/>
      <c r="Y60" s="61"/>
      <c r="Z60" s="201"/>
      <c r="AA60" s="201"/>
      <c r="AB60" s="201"/>
      <c r="AC60" s="201"/>
      <c r="AD60" s="201"/>
      <c r="AE60" s="201"/>
      <c r="AF60" s="201"/>
      <c r="AG60" s="201"/>
      <c r="AH60" s="201"/>
      <c r="AI60" s="201"/>
      <c r="AJ60" s="201"/>
      <c r="AK60" s="201"/>
      <c r="AL60" s="201"/>
      <c r="AM60" s="201"/>
      <c r="AN60" s="201"/>
      <c r="AO60" s="201"/>
    </row>
    <row r="61">
      <c r="A61" s="197"/>
      <c r="B61" s="198"/>
      <c r="C61" s="208"/>
      <c r="D61" s="206"/>
      <c r="E61" s="198"/>
      <c r="F61" s="198"/>
      <c r="G61" s="198"/>
      <c r="H61" s="200"/>
      <c r="I61" s="200"/>
      <c r="J61" s="79"/>
      <c r="K61" s="79"/>
      <c r="L61" s="62"/>
      <c r="M61" s="62"/>
      <c r="N61" s="62"/>
      <c r="O61" s="60"/>
      <c r="P61" s="62"/>
      <c r="Q61" s="66"/>
      <c r="R61" s="62"/>
      <c r="S61" s="62"/>
      <c r="T61" s="62"/>
      <c r="U61" s="74"/>
      <c r="V61" s="62"/>
      <c r="W61" s="75"/>
      <c r="X61" s="74"/>
      <c r="Y61" s="61"/>
      <c r="Z61" s="201"/>
      <c r="AA61" s="201"/>
      <c r="AB61" s="201"/>
      <c r="AC61" s="201"/>
      <c r="AD61" s="201"/>
      <c r="AE61" s="201"/>
      <c r="AF61" s="201"/>
      <c r="AG61" s="201"/>
      <c r="AH61" s="201"/>
      <c r="AI61" s="201"/>
      <c r="AJ61" s="201"/>
      <c r="AK61" s="201"/>
      <c r="AL61" s="201"/>
      <c r="AM61" s="201"/>
      <c r="AN61" s="201"/>
      <c r="AO61" s="201"/>
    </row>
    <row r="62">
      <c r="A62" s="197"/>
      <c r="B62" s="198"/>
      <c r="C62" s="208"/>
      <c r="D62" s="206"/>
      <c r="E62" s="198"/>
      <c r="F62" s="198"/>
      <c r="G62" s="198"/>
      <c r="H62" s="200"/>
      <c r="I62" s="200"/>
      <c r="J62" s="79"/>
      <c r="K62" s="79"/>
      <c r="L62" s="62"/>
      <c r="M62" s="62"/>
      <c r="N62" s="62"/>
      <c r="O62" s="60"/>
      <c r="P62" s="62"/>
      <c r="Q62" s="66"/>
      <c r="R62" s="62"/>
      <c r="S62" s="62"/>
      <c r="T62" s="62"/>
      <c r="U62" s="74"/>
      <c r="V62" s="62"/>
      <c r="W62" s="75"/>
      <c r="X62" s="74"/>
      <c r="Y62" s="61"/>
      <c r="Z62" s="201"/>
      <c r="AA62" s="201"/>
      <c r="AB62" s="201"/>
      <c r="AC62" s="201"/>
      <c r="AD62" s="201"/>
      <c r="AE62" s="201"/>
      <c r="AF62" s="201"/>
      <c r="AG62" s="201"/>
      <c r="AH62" s="201"/>
      <c r="AI62" s="201"/>
      <c r="AJ62" s="201"/>
      <c r="AK62" s="201"/>
      <c r="AL62" s="201"/>
      <c r="AM62" s="201"/>
      <c r="AN62" s="201"/>
      <c r="AO62" s="201"/>
    </row>
    <row r="63">
      <c r="A63" s="213"/>
      <c r="B63" s="214"/>
      <c r="C63" s="215"/>
      <c r="D63" s="216"/>
      <c r="E63" s="214"/>
      <c r="F63" s="214"/>
      <c r="G63" s="214"/>
      <c r="H63" s="217"/>
      <c r="I63" s="217"/>
      <c r="J63" s="97"/>
      <c r="K63" s="97"/>
      <c r="L63" s="97"/>
      <c r="M63" s="97"/>
      <c r="N63" s="97"/>
      <c r="O63" s="93"/>
      <c r="P63" s="97"/>
      <c r="Q63" s="98"/>
      <c r="R63" s="97"/>
      <c r="S63" s="97"/>
      <c r="T63" s="97"/>
      <c r="U63" s="99"/>
      <c r="V63" s="97"/>
      <c r="W63" s="100"/>
      <c r="X63" s="99"/>
      <c r="Y63" s="101"/>
      <c r="Z63" s="201"/>
      <c r="AA63" s="201"/>
      <c r="AB63" s="201"/>
      <c r="AC63" s="201"/>
      <c r="AD63" s="201"/>
      <c r="AE63" s="201"/>
      <c r="AF63" s="201"/>
      <c r="AG63" s="201"/>
      <c r="AH63" s="201"/>
      <c r="AI63" s="201"/>
      <c r="AJ63" s="201"/>
      <c r="AK63" s="201"/>
      <c r="AL63" s="201"/>
      <c r="AM63" s="201"/>
      <c r="AN63" s="201"/>
      <c r="AO63" s="201"/>
    </row>
    <row r="64">
      <c r="A64" s="197"/>
      <c r="B64" s="198"/>
      <c r="C64" s="208"/>
      <c r="D64" s="197"/>
      <c r="E64" s="198"/>
      <c r="F64" s="198"/>
      <c r="G64" s="198"/>
      <c r="H64" s="199"/>
      <c r="I64" s="199"/>
      <c r="J64" s="62"/>
      <c r="K64" s="62"/>
      <c r="L64" s="62"/>
      <c r="M64" s="62"/>
      <c r="N64" s="62"/>
      <c r="O64" s="60"/>
      <c r="P64" s="62"/>
      <c r="Q64" s="66"/>
      <c r="R64" s="62"/>
      <c r="S64" s="62"/>
      <c r="T64" s="62"/>
      <c r="U64" s="74"/>
      <c r="V64" s="62"/>
      <c r="W64" s="75"/>
      <c r="X64" s="74"/>
      <c r="Y64" s="61"/>
      <c r="Z64" s="201"/>
      <c r="AA64" s="201"/>
      <c r="AB64" s="201"/>
      <c r="AC64" s="201"/>
      <c r="AD64" s="201"/>
      <c r="AE64" s="201"/>
      <c r="AF64" s="201"/>
      <c r="AG64" s="201"/>
      <c r="AH64" s="201"/>
      <c r="AI64" s="201"/>
      <c r="AJ64" s="201"/>
      <c r="AK64" s="201"/>
      <c r="AL64" s="201"/>
      <c r="AM64" s="201"/>
      <c r="AN64" s="201"/>
      <c r="AO64" s="201"/>
    </row>
    <row r="65">
      <c r="A65" s="197"/>
      <c r="B65" s="198"/>
      <c r="C65" s="208"/>
      <c r="D65" s="197"/>
      <c r="E65" s="198"/>
      <c r="F65" s="198"/>
      <c r="G65" s="198"/>
      <c r="H65" s="199"/>
      <c r="I65" s="200"/>
      <c r="J65" s="62"/>
      <c r="K65" s="62"/>
      <c r="L65" s="62"/>
      <c r="M65" s="62"/>
      <c r="N65" s="62"/>
      <c r="O65" s="60"/>
      <c r="P65" s="62"/>
      <c r="Q65" s="66"/>
      <c r="R65" s="62"/>
      <c r="S65" s="62"/>
      <c r="T65" s="62"/>
      <c r="U65" s="74"/>
      <c r="V65" s="62"/>
      <c r="W65" s="75"/>
      <c r="X65" s="74"/>
      <c r="Y65" s="61"/>
      <c r="Z65" s="201"/>
      <c r="AA65" s="201"/>
      <c r="AB65" s="201"/>
      <c r="AC65" s="201"/>
      <c r="AD65" s="201"/>
      <c r="AE65" s="201"/>
      <c r="AF65" s="201"/>
      <c r="AG65" s="201"/>
      <c r="AH65" s="201"/>
      <c r="AI65" s="201"/>
      <c r="AJ65" s="201"/>
      <c r="AK65" s="201"/>
      <c r="AL65" s="201"/>
      <c r="AM65" s="201"/>
      <c r="AN65" s="201"/>
      <c r="AO65" s="201"/>
    </row>
    <row r="66">
      <c r="A66" s="197"/>
      <c r="B66" s="198"/>
      <c r="C66" s="208"/>
      <c r="D66" s="197"/>
      <c r="E66" s="198"/>
      <c r="F66" s="198"/>
      <c r="G66" s="198"/>
      <c r="H66" s="199"/>
      <c r="I66" s="200"/>
      <c r="J66" s="62"/>
      <c r="K66" s="62"/>
      <c r="L66" s="62"/>
      <c r="M66" s="62"/>
      <c r="N66" s="62"/>
      <c r="O66" s="60"/>
      <c r="P66" s="62"/>
      <c r="Q66" s="66"/>
      <c r="R66" s="62"/>
      <c r="S66" s="62"/>
      <c r="T66" s="62"/>
      <c r="U66" s="74"/>
      <c r="V66" s="62"/>
      <c r="W66" s="75"/>
      <c r="X66" s="74"/>
      <c r="Y66" s="61"/>
      <c r="Z66" s="201"/>
      <c r="AA66" s="201"/>
      <c r="AB66" s="201"/>
      <c r="AC66" s="201"/>
      <c r="AD66" s="201"/>
      <c r="AE66" s="201"/>
      <c r="AF66" s="201"/>
      <c r="AG66" s="201"/>
      <c r="AH66" s="201"/>
      <c r="AI66" s="201"/>
      <c r="AJ66" s="201"/>
      <c r="AK66" s="201"/>
      <c r="AL66" s="201"/>
      <c r="AM66" s="201"/>
      <c r="AN66" s="201"/>
      <c r="AO66" s="201"/>
    </row>
    <row r="67">
      <c r="A67" s="197"/>
      <c r="B67" s="198"/>
      <c r="C67" s="208"/>
      <c r="D67" s="206"/>
      <c r="E67" s="198"/>
      <c r="F67" s="198"/>
      <c r="G67" s="198"/>
      <c r="H67" s="200"/>
      <c r="I67" s="200"/>
      <c r="J67" s="79"/>
      <c r="K67" s="79"/>
      <c r="L67" s="62"/>
      <c r="M67" s="62"/>
      <c r="N67" s="62"/>
      <c r="O67" s="60"/>
      <c r="P67" s="62"/>
      <c r="Q67" s="102"/>
      <c r="R67" s="62"/>
      <c r="S67" s="62"/>
      <c r="T67" s="62"/>
      <c r="U67" s="74"/>
      <c r="V67" s="62"/>
      <c r="W67" s="103"/>
      <c r="X67" s="74"/>
      <c r="Y67" s="61"/>
      <c r="Z67" s="201"/>
      <c r="AA67" s="201"/>
      <c r="AB67" s="201"/>
      <c r="AC67" s="201"/>
      <c r="AD67" s="201"/>
      <c r="AE67" s="201"/>
      <c r="AF67" s="201"/>
      <c r="AG67" s="201"/>
      <c r="AH67" s="201"/>
      <c r="AI67" s="201"/>
      <c r="AJ67" s="201"/>
      <c r="AK67" s="201"/>
      <c r="AL67" s="201"/>
      <c r="AM67" s="201"/>
      <c r="AN67" s="201"/>
      <c r="AO67" s="201"/>
    </row>
    <row r="68">
      <c r="A68" s="197"/>
      <c r="B68" s="198"/>
      <c r="C68" s="208"/>
      <c r="D68" s="206"/>
      <c r="E68" s="198"/>
      <c r="F68" s="198"/>
      <c r="G68" s="198"/>
      <c r="H68" s="200"/>
      <c r="I68" s="200"/>
      <c r="J68" s="79"/>
      <c r="K68" s="79"/>
      <c r="L68" s="62"/>
      <c r="M68" s="62"/>
      <c r="N68" s="62"/>
      <c r="O68" s="60"/>
      <c r="P68" s="62"/>
      <c r="Q68" s="66"/>
      <c r="R68" s="62"/>
      <c r="S68" s="62"/>
      <c r="T68" s="62"/>
      <c r="U68" s="74"/>
      <c r="V68" s="62"/>
      <c r="W68" s="75"/>
      <c r="X68" s="74"/>
      <c r="Y68" s="61"/>
      <c r="Z68" s="201"/>
      <c r="AA68" s="201"/>
      <c r="AB68" s="201"/>
      <c r="AC68" s="201"/>
      <c r="AD68" s="201"/>
      <c r="AE68" s="201"/>
      <c r="AF68" s="201"/>
      <c r="AG68" s="201"/>
      <c r="AH68" s="201"/>
      <c r="AI68" s="201"/>
      <c r="AJ68" s="201"/>
      <c r="AK68" s="201"/>
      <c r="AL68" s="201"/>
      <c r="AM68" s="201"/>
      <c r="AN68" s="201"/>
      <c r="AO68" s="201"/>
    </row>
    <row r="69">
      <c r="A69" s="197"/>
      <c r="B69" s="198"/>
      <c r="C69" s="208"/>
      <c r="D69" s="206"/>
      <c r="E69" s="198"/>
      <c r="F69" s="198"/>
      <c r="G69" s="198"/>
      <c r="H69" s="199"/>
      <c r="I69" s="200"/>
      <c r="J69" s="62"/>
      <c r="K69" s="62"/>
      <c r="L69" s="62"/>
      <c r="M69" s="62"/>
      <c r="N69" s="62"/>
      <c r="O69" s="60"/>
      <c r="P69" s="62"/>
      <c r="Q69" s="66"/>
      <c r="R69" s="62"/>
      <c r="S69" s="62"/>
      <c r="T69" s="62"/>
      <c r="U69" s="74"/>
      <c r="V69" s="62"/>
      <c r="W69" s="75"/>
      <c r="X69" s="74"/>
      <c r="Y69" s="61"/>
      <c r="Z69" s="201"/>
      <c r="AA69" s="201"/>
      <c r="AB69" s="201"/>
      <c r="AC69" s="201"/>
      <c r="AD69" s="201"/>
      <c r="AE69" s="201"/>
      <c r="AF69" s="201"/>
      <c r="AG69" s="201"/>
      <c r="AH69" s="201"/>
      <c r="AI69" s="201"/>
      <c r="AJ69" s="201"/>
      <c r="AK69" s="201"/>
      <c r="AL69" s="201"/>
      <c r="AM69" s="201"/>
      <c r="AN69" s="201"/>
      <c r="AO69" s="201"/>
    </row>
    <row r="70">
      <c r="A70" s="197"/>
      <c r="B70" s="198"/>
      <c r="C70" s="208"/>
      <c r="D70" s="206"/>
      <c r="E70" s="198"/>
      <c r="F70" s="198"/>
      <c r="G70" s="198"/>
      <c r="H70" s="200"/>
      <c r="I70" s="200"/>
      <c r="J70" s="79"/>
      <c r="K70" s="79"/>
      <c r="L70" s="62"/>
      <c r="M70" s="62"/>
      <c r="N70" s="62"/>
      <c r="O70" s="60"/>
      <c r="P70" s="62"/>
      <c r="Q70" s="66"/>
      <c r="R70" s="62"/>
      <c r="S70" s="62"/>
      <c r="T70" s="62"/>
      <c r="U70" s="74"/>
      <c r="V70" s="62"/>
      <c r="W70" s="75"/>
      <c r="X70" s="74"/>
      <c r="Y70" s="61"/>
      <c r="Z70" s="201"/>
      <c r="AA70" s="201"/>
      <c r="AB70" s="201"/>
      <c r="AC70" s="201"/>
      <c r="AD70" s="201"/>
      <c r="AE70" s="201"/>
      <c r="AF70" s="201"/>
      <c r="AG70" s="201"/>
      <c r="AH70" s="201"/>
      <c r="AI70" s="201"/>
      <c r="AJ70" s="201"/>
      <c r="AK70" s="201"/>
      <c r="AL70" s="201"/>
      <c r="AM70" s="201"/>
      <c r="AN70" s="201"/>
      <c r="AO70" s="201"/>
    </row>
    <row r="71">
      <c r="A71" s="197"/>
      <c r="B71" s="198"/>
      <c r="C71" s="208"/>
      <c r="D71" s="206"/>
      <c r="E71" s="198"/>
      <c r="F71" s="198"/>
      <c r="G71" s="198"/>
      <c r="H71" s="199"/>
      <c r="I71" s="200"/>
      <c r="J71" s="62"/>
      <c r="K71" s="62"/>
      <c r="L71" s="62"/>
      <c r="M71" s="62"/>
      <c r="N71" s="62"/>
      <c r="O71" s="60"/>
      <c r="P71" s="62"/>
      <c r="Q71" s="66"/>
      <c r="R71" s="62"/>
      <c r="S71" s="62"/>
      <c r="T71" s="62"/>
      <c r="U71" s="74"/>
      <c r="V71" s="62"/>
      <c r="W71" s="75"/>
      <c r="X71" s="74"/>
      <c r="Y71" s="63"/>
      <c r="Z71" s="201"/>
      <c r="AA71" s="201"/>
      <c r="AB71" s="201"/>
      <c r="AC71" s="201"/>
      <c r="AD71" s="201"/>
      <c r="AE71" s="201"/>
      <c r="AF71" s="201"/>
      <c r="AG71" s="201"/>
      <c r="AH71" s="201"/>
      <c r="AI71" s="201"/>
      <c r="AJ71" s="201"/>
      <c r="AK71" s="201"/>
      <c r="AL71" s="201"/>
      <c r="AM71" s="201"/>
      <c r="AN71" s="201"/>
      <c r="AO71" s="201"/>
    </row>
    <row r="72">
      <c r="A72" s="197"/>
      <c r="B72" s="198"/>
      <c r="C72" s="208"/>
      <c r="D72" s="206"/>
      <c r="E72" s="198"/>
      <c r="F72" s="198"/>
      <c r="G72" s="198"/>
      <c r="H72" s="200"/>
      <c r="I72" s="200"/>
      <c r="J72" s="79"/>
      <c r="K72" s="79"/>
      <c r="L72" s="62"/>
      <c r="M72" s="62"/>
      <c r="N72" s="62"/>
      <c r="O72" s="60"/>
      <c r="P72" s="62"/>
      <c r="Q72" s="66"/>
      <c r="R72" s="62"/>
      <c r="S72" s="62"/>
      <c r="T72" s="62"/>
      <c r="U72" s="74"/>
      <c r="V72" s="62"/>
      <c r="W72" s="75"/>
      <c r="X72" s="74"/>
      <c r="Y72" s="61"/>
      <c r="Z72" s="201"/>
      <c r="AA72" s="201"/>
      <c r="AB72" s="201"/>
      <c r="AC72" s="201"/>
      <c r="AD72" s="201"/>
      <c r="AE72" s="201"/>
      <c r="AF72" s="201"/>
      <c r="AG72" s="201"/>
      <c r="AH72" s="201"/>
      <c r="AI72" s="201"/>
      <c r="AJ72" s="201"/>
      <c r="AK72" s="201"/>
      <c r="AL72" s="201"/>
      <c r="AM72" s="201"/>
      <c r="AN72" s="201"/>
      <c r="AO72" s="201"/>
    </row>
    <row r="73">
      <c r="A73" s="197"/>
      <c r="B73" s="198"/>
      <c r="C73" s="208"/>
      <c r="D73" s="197"/>
      <c r="E73" s="198"/>
      <c r="F73" s="198"/>
      <c r="G73" s="198"/>
      <c r="H73" s="199"/>
      <c r="I73" s="200"/>
      <c r="J73" s="62"/>
      <c r="K73" s="62"/>
      <c r="L73" s="62"/>
      <c r="M73" s="62"/>
      <c r="N73" s="62"/>
      <c r="O73" s="60"/>
      <c r="P73" s="62"/>
      <c r="Q73" s="66"/>
      <c r="R73" s="62"/>
      <c r="S73" s="62"/>
      <c r="T73" s="62"/>
      <c r="U73" s="74"/>
      <c r="V73" s="62"/>
      <c r="W73" s="75"/>
      <c r="X73" s="74"/>
      <c r="Y73" s="61"/>
      <c r="Z73" s="201"/>
      <c r="AA73" s="201"/>
      <c r="AB73" s="201"/>
      <c r="AC73" s="201"/>
      <c r="AD73" s="201"/>
      <c r="AE73" s="201"/>
      <c r="AF73" s="201"/>
      <c r="AG73" s="201"/>
      <c r="AH73" s="201"/>
      <c r="AI73" s="201"/>
      <c r="AJ73" s="201"/>
      <c r="AK73" s="201"/>
      <c r="AL73" s="201"/>
      <c r="AM73" s="201"/>
      <c r="AN73" s="201"/>
      <c r="AO73" s="201"/>
    </row>
    <row r="74">
      <c r="A74" s="197"/>
      <c r="B74" s="198"/>
      <c r="C74" s="208"/>
      <c r="D74" s="197"/>
      <c r="E74" s="198"/>
      <c r="F74" s="198"/>
      <c r="G74" s="198"/>
      <c r="H74" s="199"/>
      <c r="I74" s="200"/>
      <c r="J74" s="62"/>
      <c r="K74" s="62"/>
      <c r="L74" s="62"/>
      <c r="M74" s="62"/>
      <c r="N74" s="62"/>
      <c r="O74" s="60"/>
      <c r="P74" s="62"/>
      <c r="Q74" s="66"/>
      <c r="R74" s="62"/>
      <c r="S74" s="62"/>
      <c r="T74" s="62"/>
      <c r="U74" s="74"/>
      <c r="V74" s="62"/>
      <c r="W74" s="75"/>
      <c r="X74" s="74"/>
      <c r="Y74" s="61"/>
      <c r="Z74" s="201"/>
      <c r="AA74" s="201"/>
      <c r="AB74" s="201"/>
      <c r="AC74" s="201"/>
      <c r="AD74" s="201"/>
      <c r="AE74" s="201"/>
      <c r="AF74" s="201"/>
      <c r="AG74" s="201"/>
      <c r="AH74" s="201"/>
      <c r="AI74" s="201"/>
      <c r="AJ74" s="201"/>
      <c r="AK74" s="201"/>
      <c r="AL74" s="201"/>
      <c r="AM74" s="201"/>
      <c r="AN74" s="201"/>
      <c r="AO74" s="201"/>
    </row>
    <row r="75">
      <c r="A75" s="197"/>
      <c r="B75" s="198"/>
      <c r="C75" s="200"/>
      <c r="D75" s="197"/>
      <c r="E75" s="198"/>
      <c r="F75" s="198"/>
      <c r="G75" s="198"/>
      <c r="H75" s="199"/>
      <c r="I75" s="200"/>
      <c r="J75" s="62"/>
      <c r="K75" s="62"/>
      <c r="L75" s="62"/>
      <c r="M75" s="62"/>
      <c r="N75" s="62"/>
      <c r="O75" s="60"/>
      <c r="P75" s="62"/>
      <c r="Q75" s="66"/>
      <c r="R75" s="62"/>
      <c r="S75" s="62"/>
      <c r="T75" s="62"/>
      <c r="U75" s="74"/>
      <c r="V75" s="62"/>
      <c r="W75" s="75"/>
      <c r="X75" s="74"/>
      <c r="Y75" s="104"/>
      <c r="Z75" s="201"/>
      <c r="AA75" s="201"/>
      <c r="AB75" s="201"/>
      <c r="AC75" s="201"/>
      <c r="AD75" s="201"/>
      <c r="AE75" s="201"/>
      <c r="AF75" s="201"/>
      <c r="AG75" s="201"/>
      <c r="AH75" s="201"/>
      <c r="AI75" s="201"/>
      <c r="AJ75" s="201"/>
      <c r="AK75" s="201"/>
      <c r="AL75" s="201"/>
      <c r="AM75" s="201"/>
      <c r="AN75" s="201"/>
      <c r="AO75" s="201"/>
    </row>
    <row r="76">
      <c r="A76" s="197"/>
      <c r="B76" s="198"/>
      <c r="C76" s="208"/>
      <c r="D76" s="206"/>
      <c r="E76" s="198"/>
      <c r="F76" s="198"/>
      <c r="G76" s="198"/>
      <c r="H76" s="200"/>
      <c r="I76" s="200"/>
      <c r="J76" s="79"/>
      <c r="K76" s="79"/>
      <c r="L76" s="62"/>
      <c r="M76" s="62"/>
      <c r="N76" s="62"/>
      <c r="O76" s="60"/>
      <c r="P76" s="62"/>
      <c r="Q76" s="66"/>
      <c r="R76" s="62"/>
      <c r="S76" s="62"/>
      <c r="T76" s="62"/>
      <c r="U76" s="74"/>
      <c r="V76" s="62"/>
      <c r="W76" s="75"/>
      <c r="X76" s="74"/>
      <c r="Y76" s="61"/>
      <c r="Z76" s="201"/>
      <c r="AA76" s="201"/>
      <c r="AB76" s="201"/>
      <c r="AC76" s="201"/>
      <c r="AD76" s="201"/>
      <c r="AE76" s="201"/>
      <c r="AF76" s="201"/>
      <c r="AG76" s="201"/>
      <c r="AH76" s="201"/>
      <c r="AI76" s="201"/>
      <c r="AJ76" s="201"/>
      <c r="AK76" s="201"/>
      <c r="AL76" s="201"/>
      <c r="AM76" s="201"/>
      <c r="AN76" s="201"/>
      <c r="AO76" s="201"/>
    </row>
    <row r="77">
      <c r="A77" s="197"/>
      <c r="B77" s="198"/>
      <c r="C77" s="208"/>
      <c r="D77" s="197"/>
      <c r="E77" s="198"/>
      <c r="F77" s="198"/>
      <c r="G77" s="198"/>
      <c r="H77" s="199"/>
      <c r="I77" s="200"/>
      <c r="J77" s="62"/>
      <c r="K77" s="62"/>
      <c r="L77" s="62"/>
      <c r="M77" s="62"/>
      <c r="N77" s="62"/>
      <c r="O77" s="60"/>
      <c r="P77" s="62"/>
      <c r="Q77" s="66"/>
      <c r="R77" s="62"/>
      <c r="S77" s="62"/>
      <c r="T77" s="62"/>
      <c r="U77" s="74"/>
      <c r="V77" s="62"/>
      <c r="W77" s="75"/>
      <c r="X77" s="74"/>
      <c r="Y77" s="61"/>
      <c r="Z77" s="201"/>
      <c r="AA77" s="201"/>
      <c r="AB77" s="201"/>
      <c r="AC77" s="201"/>
      <c r="AD77" s="201"/>
      <c r="AE77" s="201"/>
      <c r="AF77" s="201"/>
      <c r="AG77" s="201"/>
      <c r="AH77" s="201"/>
      <c r="AI77" s="201"/>
      <c r="AJ77" s="201"/>
      <c r="AK77" s="201"/>
      <c r="AL77" s="201"/>
      <c r="AM77" s="201"/>
      <c r="AN77" s="201"/>
      <c r="AO77" s="201"/>
    </row>
    <row r="78">
      <c r="A78" s="197"/>
      <c r="B78" s="198"/>
      <c r="C78" s="199"/>
      <c r="D78" s="197"/>
      <c r="E78" s="198"/>
      <c r="F78" s="198"/>
      <c r="G78" s="198"/>
      <c r="H78" s="199"/>
      <c r="I78" s="200"/>
      <c r="J78" s="62"/>
      <c r="K78" s="62"/>
      <c r="L78" s="62"/>
      <c r="M78" s="62"/>
      <c r="N78" s="62"/>
      <c r="O78" s="60"/>
      <c r="P78" s="62"/>
      <c r="Q78" s="66"/>
      <c r="R78" s="62"/>
      <c r="S78" s="62"/>
      <c r="T78" s="62"/>
      <c r="U78" s="74"/>
      <c r="V78" s="62"/>
      <c r="W78" s="75"/>
      <c r="X78" s="74"/>
      <c r="Y78" s="61"/>
      <c r="Z78" s="201"/>
      <c r="AA78" s="201"/>
      <c r="AB78" s="201"/>
      <c r="AC78" s="201"/>
      <c r="AD78" s="201"/>
      <c r="AE78" s="201"/>
      <c r="AF78" s="201"/>
      <c r="AG78" s="201"/>
      <c r="AH78" s="201"/>
      <c r="AI78" s="201"/>
      <c r="AJ78" s="201"/>
      <c r="AK78" s="201"/>
      <c r="AL78" s="201"/>
      <c r="AM78" s="201"/>
      <c r="AN78" s="201"/>
      <c r="AO78" s="201"/>
    </row>
    <row r="79">
      <c r="A79" s="197"/>
      <c r="B79" s="198"/>
      <c r="C79" s="199"/>
      <c r="D79" s="197"/>
      <c r="E79" s="198"/>
      <c r="F79" s="198"/>
      <c r="G79" s="198"/>
      <c r="H79" s="199"/>
      <c r="I79" s="200"/>
      <c r="J79" s="62"/>
      <c r="K79" s="62"/>
      <c r="L79" s="62"/>
      <c r="M79" s="62"/>
      <c r="N79" s="62"/>
      <c r="O79" s="60"/>
      <c r="P79" s="62"/>
      <c r="Q79" s="66"/>
      <c r="R79" s="62"/>
      <c r="S79" s="62"/>
      <c r="T79" s="62"/>
      <c r="U79" s="74"/>
      <c r="V79" s="62"/>
      <c r="W79" s="75"/>
      <c r="X79" s="74"/>
      <c r="Y79" s="61"/>
      <c r="Z79" s="201"/>
      <c r="AA79" s="201"/>
      <c r="AB79" s="201"/>
      <c r="AC79" s="201"/>
      <c r="AD79" s="201"/>
      <c r="AE79" s="201"/>
      <c r="AF79" s="201"/>
      <c r="AG79" s="201"/>
      <c r="AH79" s="201"/>
      <c r="AI79" s="201"/>
      <c r="AJ79" s="201"/>
      <c r="AK79" s="201"/>
      <c r="AL79" s="201"/>
      <c r="AM79" s="201"/>
      <c r="AN79" s="201"/>
      <c r="AO79" s="201"/>
    </row>
    <row r="80">
      <c r="A80" s="197"/>
      <c r="B80" s="198"/>
      <c r="C80" s="199"/>
      <c r="D80" s="197"/>
      <c r="E80" s="198"/>
      <c r="F80" s="198"/>
      <c r="G80" s="198"/>
      <c r="H80" s="199"/>
      <c r="I80" s="200"/>
      <c r="J80" s="62"/>
      <c r="K80" s="62"/>
      <c r="L80" s="62"/>
      <c r="M80" s="62"/>
      <c r="N80" s="62"/>
      <c r="O80" s="60"/>
      <c r="P80" s="62"/>
      <c r="Q80" s="66"/>
      <c r="R80" s="62"/>
      <c r="S80" s="62"/>
      <c r="T80" s="62"/>
      <c r="U80" s="74"/>
      <c r="V80" s="62"/>
      <c r="W80" s="75"/>
      <c r="X80" s="74"/>
      <c r="Y80" s="61"/>
      <c r="Z80" s="201"/>
      <c r="AA80" s="201"/>
      <c r="AB80" s="201"/>
      <c r="AC80" s="201"/>
      <c r="AD80" s="201"/>
      <c r="AE80" s="201"/>
      <c r="AF80" s="201"/>
      <c r="AG80" s="201"/>
      <c r="AH80" s="201"/>
      <c r="AI80" s="201"/>
      <c r="AJ80" s="201"/>
      <c r="AK80" s="201"/>
      <c r="AL80" s="201"/>
      <c r="AM80" s="201"/>
      <c r="AN80" s="201"/>
      <c r="AO80" s="201"/>
    </row>
    <row r="81">
      <c r="A81" s="197"/>
      <c r="B81" s="198"/>
      <c r="C81" s="199"/>
      <c r="D81" s="197"/>
      <c r="E81" s="198"/>
      <c r="F81" s="198"/>
      <c r="G81" s="198"/>
      <c r="H81" s="199"/>
      <c r="I81" s="200"/>
      <c r="J81" s="62"/>
      <c r="K81" s="62"/>
      <c r="L81" s="62"/>
      <c r="M81" s="62"/>
      <c r="N81" s="62"/>
      <c r="O81" s="60"/>
      <c r="P81" s="62"/>
      <c r="Q81" s="66"/>
      <c r="R81" s="62"/>
      <c r="S81" s="62"/>
      <c r="T81" s="62"/>
      <c r="U81" s="74"/>
      <c r="V81" s="62"/>
      <c r="W81" s="75"/>
      <c r="X81" s="74"/>
      <c r="Y81" s="61"/>
      <c r="Z81" s="201"/>
      <c r="AA81" s="201"/>
      <c r="AB81" s="201"/>
      <c r="AC81" s="201"/>
      <c r="AD81" s="201"/>
      <c r="AE81" s="201"/>
      <c r="AF81" s="201"/>
      <c r="AG81" s="201"/>
      <c r="AH81" s="201"/>
      <c r="AI81" s="201"/>
      <c r="AJ81" s="201"/>
      <c r="AK81" s="201"/>
      <c r="AL81" s="201"/>
      <c r="AM81" s="201"/>
      <c r="AN81" s="201"/>
      <c r="AO81" s="201"/>
    </row>
    <row r="82">
      <c r="A82" s="197"/>
      <c r="B82" s="198"/>
      <c r="C82" s="199"/>
      <c r="D82" s="197"/>
      <c r="E82" s="198"/>
      <c r="F82" s="198"/>
      <c r="G82" s="198"/>
      <c r="H82" s="199"/>
      <c r="I82" s="200"/>
      <c r="J82" s="62"/>
      <c r="K82" s="62"/>
      <c r="L82" s="62"/>
      <c r="M82" s="62"/>
      <c r="N82" s="62"/>
      <c r="O82" s="60"/>
      <c r="P82" s="62"/>
      <c r="Q82" s="66"/>
      <c r="R82" s="62"/>
      <c r="S82" s="62"/>
      <c r="T82" s="62"/>
      <c r="U82" s="74"/>
      <c r="V82" s="62"/>
      <c r="W82" s="75"/>
      <c r="X82" s="74"/>
      <c r="Y82" s="61"/>
      <c r="Z82" s="201"/>
      <c r="AA82" s="201"/>
      <c r="AB82" s="201"/>
      <c r="AC82" s="201"/>
      <c r="AD82" s="201"/>
      <c r="AE82" s="201"/>
      <c r="AF82" s="201"/>
      <c r="AG82" s="201"/>
      <c r="AH82" s="201"/>
      <c r="AI82" s="201"/>
      <c r="AJ82" s="201"/>
      <c r="AK82" s="201"/>
      <c r="AL82" s="201"/>
      <c r="AM82" s="201"/>
      <c r="AN82" s="201"/>
      <c r="AO82" s="201"/>
    </row>
    <row r="83">
      <c r="A83" s="197"/>
      <c r="B83" s="198"/>
      <c r="C83" s="199"/>
      <c r="D83" s="197"/>
      <c r="E83" s="198"/>
      <c r="F83" s="198"/>
      <c r="G83" s="198"/>
      <c r="H83" s="199"/>
      <c r="I83" s="200"/>
      <c r="J83" s="62"/>
      <c r="K83" s="62"/>
      <c r="L83" s="62"/>
      <c r="M83" s="62"/>
      <c r="N83" s="62"/>
      <c r="O83" s="60"/>
      <c r="P83" s="62"/>
      <c r="Q83" s="66"/>
      <c r="R83" s="62"/>
      <c r="S83" s="62"/>
      <c r="T83" s="62"/>
      <c r="U83" s="74"/>
      <c r="V83" s="62"/>
      <c r="W83" s="75"/>
      <c r="X83" s="74"/>
      <c r="Y83" s="61"/>
      <c r="Z83" s="201"/>
      <c r="AA83" s="201"/>
      <c r="AB83" s="201"/>
      <c r="AC83" s="201"/>
      <c r="AD83" s="201"/>
      <c r="AE83" s="201"/>
      <c r="AF83" s="201"/>
      <c r="AG83" s="201"/>
      <c r="AH83" s="201"/>
      <c r="AI83" s="201"/>
      <c r="AJ83" s="201"/>
      <c r="AK83" s="201"/>
      <c r="AL83" s="201"/>
      <c r="AM83" s="201"/>
      <c r="AN83" s="201"/>
      <c r="AO83" s="201"/>
    </row>
    <row r="84">
      <c r="A84" s="197"/>
      <c r="B84" s="198"/>
      <c r="C84" s="199"/>
      <c r="D84" s="197"/>
      <c r="E84" s="198"/>
      <c r="F84" s="198"/>
      <c r="G84" s="198"/>
      <c r="H84" s="199"/>
      <c r="I84" s="200"/>
      <c r="J84" s="62"/>
      <c r="K84" s="62"/>
      <c r="L84" s="62"/>
      <c r="M84" s="62"/>
      <c r="N84" s="62"/>
      <c r="O84" s="60"/>
      <c r="P84" s="62"/>
      <c r="Q84" s="66"/>
      <c r="R84" s="62"/>
      <c r="S84" s="62"/>
      <c r="T84" s="62"/>
      <c r="U84" s="74"/>
      <c r="V84" s="62"/>
      <c r="W84" s="75"/>
      <c r="X84" s="74"/>
      <c r="Y84" s="61"/>
      <c r="Z84" s="201"/>
      <c r="AA84" s="201"/>
      <c r="AB84" s="201"/>
      <c r="AC84" s="201"/>
      <c r="AD84" s="201"/>
      <c r="AE84" s="201"/>
      <c r="AF84" s="201"/>
      <c r="AG84" s="201"/>
      <c r="AH84" s="201"/>
      <c r="AI84" s="201"/>
      <c r="AJ84" s="201"/>
      <c r="AK84" s="201"/>
      <c r="AL84" s="201"/>
      <c r="AM84" s="201"/>
      <c r="AN84" s="201"/>
      <c r="AO84" s="201"/>
    </row>
    <row r="85">
      <c r="A85" s="197"/>
      <c r="B85" s="198"/>
      <c r="C85" s="199"/>
      <c r="D85" s="206"/>
      <c r="E85" s="198"/>
      <c r="F85" s="198"/>
      <c r="G85" s="198"/>
      <c r="H85" s="199"/>
      <c r="I85" s="200"/>
      <c r="J85" s="79"/>
      <c r="K85" s="79"/>
      <c r="L85" s="62"/>
      <c r="M85" s="62"/>
      <c r="N85" s="62"/>
      <c r="O85" s="60"/>
      <c r="P85" s="62"/>
      <c r="Q85" s="66"/>
      <c r="R85" s="62"/>
      <c r="S85" s="62"/>
      <c r="T85" s="62"/>
      <c r="U85" s="74"/>
      <c r="V85" s="62"/>
      <c r="W85" s="75"/>
      <c r="X85" s="74"/>
      <c r="Y85" s="61"/>
      <c r="Z85" s="201"/>
      <c r="AA85" s="201"/>
      <c r="AB85" s="201"/>
      <c r="AC85" s="201"/>
      <c r="AD85" s="201"/>
      <c r="AE85" s="201"/>
      <c r="AF85" s="201"/>
      <c r="AG85" s="201"/>
      <c r="AH85" s="201"/>
      <c r="AI85" s="201"/>
      <c r="AJ85" s="201"/>
      <c r="AK85" s="201"/>
      <c r="AL85" s="201"/>
      <c r="AM85" s="201"/>
      <c r="AN85" s="201"/>
      <c r="AO85" s="201"/>
    </row>
    <row r="86">
      <c r="A86" s="197"/>
      <c r="B86" s="198"/>
      <c r="C86" s="199"/>
      <c r="D86" s="197"/>
      <c r="E86" s="198"/>
      <c r="F86" s="198"/>
      <c r="G86" s="198"/>
      <c r="H86" s="199"/>
      <c r="I86" s="199"/>
      <c r="J86" s="62"/>
      <c r="K86" s="62"/>
      <c r="L86" s="62"/>
      <c r="M86" s="62"/>
      <c r="N86" s="62"/>
      <c r="O86" s="60"/>
      <c r="P86" s="62"/>
      <c r="Q86" s="66"/>
      <c r="R86" s="62"/>
      <c r="S86" s="62"/>
      <c r="T86" s="62"/>
      <c r="U86" s="74"/>
      <c r="V86" s="62"/>
      <c r="W86" s="75"/>
      <c r="X86" s="74"/>
      <c r="Y86" s="61"/>
      <c r="Z86" s="201"/>
      <c r="AA86" s="201"/>
      <c r="AB86" s="201"/>
      <c r="AC86" s="201"/>
      <c r="AD86" s="201"/>
      <c r="AE86" s="201"/>
      <c r="AF86" s="201"/>
      <c r="AG86" s="201"/>
      <c r="AH86" s="201"/>
      <c r="AI86" s="201"/>
      <c r="AJ86" s="201"/>
      <c r="AK86" s="201"/>
      <c r="AL86" s="201"/>
      <c r="AM86" s="201"/>
      <c r="AN86" s="201"/>
      <c r="AO86" s="201"/>
    </row>
    <row r="87">
      <c r="A87" s="197"/>
      <c r="B87" s="198"/>
      <c r="C87" s="199"/>
      <c r="D87" s="197"/>
      <c r="E87" s="198"/>
      <c r="F87" s="198"/>
      <c r="G87" s="198"/>
      <c r="H87" s="199"/>
      <c r="I87" s="200"/>
      <c r="J87" s="62"/>
      <c r="K87" s="62"/>
      <c r="L87" s="62"/>
      <c r="M87" s="62"/>
      <c r="N87" s="62"/>
      <c r="O87" s="60"/>
      <c r="P87" s="62"/>
      <c r="Q87" s="66"/>
      <c r="R87" s="62"/>
      <c r="S87" s="62"/>
      <c r="T87" s="62"/>
      <c r="U87" s="74"/>
      <c r="V87" s="62"/>
      <c r="W87" s="75"/>
      <c r="X87" s="74"/>
      <c r="Y87" s="61"/>
      <c r="Z87" s="201"/>
      <c r="AA87" s="201"/>
      <c r="AB87" s="201"/>
      <c r="AC87" s="201"/>
      <c r="AD87" s="201"/>
      <c r="AE87" s="201"/>
      <c r="AF87" s="201"/>
      <c r="AG87" s="201"/>
      <c r="AH87" s="201"/>
      <c r="AI87" s="201"/>
      <c r="AJ87" s="201"/>
      <c r="AK87" s="201"/>
      <c r="AL87" s="201"/>
      <c r="AM87" s="201"/>
      <c r="AN87" s="201"/>
      <c r="AO87" s="201"/>
    </row>
    <row r="88">
      <c r="A88" s="197"/>
      <c r="B88" s="198"/>
      <c r="C88" s="199"/>
      <c r="D88" s="197"/>
      <c r="E88" s="198"/>
      <c r="F88" s="198"/>
      <c r="G88" s="198"/>
      <c r="H88" s="199"/>
      <c r="I88" s="199"/>
      <c r="J88" s="62"/>
      <c r="K88" s="62"/>
      <c r="L88" s="62"/>
      <c r="M88" s="62"/>
      <c r="N88" s="62"/>
      <c r="O88" s="60"/>
      <c r="P88" s="62"/>
      <c r="Q88" s="66"/>
      <c r="R88" s="62"/>
      <c r="S88" s="62"/>
      <c r="T88" s="62"/>
      <c r="U88" s="74"/>
      <c r="V88" s="62"/>
      <c r="W88" s="75"/>
      <c r="X88" s="74"/>
      <c r="Y88" s="61"/>
      <c r="Z88" s="201"/>
      <c r="AA88" s="201"/>
      <c r="AB88" s="201"/>
      <c r="AC88" s="201"/>
      <c r="AD88" s="201"/>
      <c r="AE88" s="201"/>
      <c r="AF88" s="201"/>
      <c r="AG88" s="201"/>
      <c r="AH88" s="201"/>
      <c r="AI88" s="201"/>
      <c r="AJ88" s="201"/>
      <c r="AK88" s="201"/>
      <c r="AL88" s="201"/>
      <c r="AM88" s="201"/>
      <c r="AN88" s="201"/>
      <c r="AO88" s="201"/>
    </row>
    <row r="89">
      <c r="A89" s="197"/>
      <c r="B89" s="198"/>
      <c r="C89" s="199"/>
      <c r="D89" s="197"/>
      <c r="E89" s="198"/>
      <c r="F89" s="198"/>
      <c r="G89" s="198"/>
      <c r="H89" s="199"/>
      <c r="I89" s="200"/>
      <c r="J89" s="62"/>
      <c r="K89" s="62"/>
      <c r="L89" s="62"/>
      <c r="M89" s="62"/>
      <c r="N89" s="62"/>
      <c r="O89" s="60"/>
      <c r="P89" s="62"/>
      <c r="Q89" s="66"/>
      <c r="R89" s="62"/>
      <c r="S89" s="62"/>
      <c r="T89" s="62"/>
      <c r="U89" s="74"/>
      <c r="V89" s="62"/>
      <c r="W89" s="75"/>
      <c r="X89" s="74"/>
      <c r="Y89" s="61"/>
      <c r="Z89" s="201"/>
      <c r="AA89" s="201"/>
      <c r="AB89" s="201"/>
      <c r="AC89" s="201"/>
      <c r="AD89" s="201"/>
      <c r="AE89" s="201"/>
      <c r="AF89" s="201"/>
      <c r="AG89" s="201"/>
      <c r="AH89" s="201"/>
      <c r="AI89" s="201"/>
      <c r="AJ89" s="201"/>
      <c r="AK89" s="201"/>
      <c r="AL89" s="201"/>
      <c r="AM89" s="201"/>
      <c r="AN89" s="201"/>
      <c r="AO89" s="201"/>
    </row>
    <row r="90">
      <c r="A90" s="197"/>
      <c r="B90" s="198"/>
      <c r="C90" s="199"/>
      <c r="D90" s="197"/>
      <c r="E90" s="198"/>
      <c r="F90" s="198"/>
      <c r="G90" s="198"/>
      <c r="H90" s="199"/>
      <c r="I90" s="200"/>
      <c r="J90" s="62"/>
      <c r="K90" s="62"/>
      <c r="L90" s="62"/>
      <c r="M90" s="62"/>
      <c r="N90" s="62"/>
      <c r="O90" s="60"/>
      <c r="P90" s="62"/>
      <c r="Q90" s="66"/>
      <c r="R90" s="62"/>
      <c r="S90" s="62"/>
      <c r="T90" s="62"/>
      <c r="U90" s="74"/>
      <c r="V90" s="62"/>
      <c r="W90" s="75"/>
      <c r="X90" s="74"/>
      <c r="Y90" s="61"/>
      <c r="Z90" s="201"/>
      <c r="AA90" s="201"/>
      <c r="AB90" s="201"/>
      <c r="AC90" s="201"/>
      <c r="AD90" s="201"/>
      <c r="AE90" s="201"/>
      <c r="AF90" s="201"/>
      <c r="AG90" s="201"/>
      <c r="AH90" s="201"/>
      <c r="AI90" s="201"/>
      <c r="AJ90" s="201"/>
      <c r="AK90" s="201"/>
      <c r="AL90" s="201"/>
      <c r="AM90" s="201"/>
      <c r="AN90" s="201"/>
      <c r="AO90" s="201"/>
    </row>
    <row r="91">
      <c r="A91" s="197"/>
      <c r="B91" s="198"/>
      <c r="C91" s="199"/>
      <c r="D91" s="197"/>
      <c r="E91" s="198"/>
      <c r="F91" s="198"/>
      <c r="G91" s="198"/>
      <c r="H91" s="199"/>
      <c r="I91" s="200"/>
      <c r="J91" s="62"/>
      <c r="K91" s="62"/>
      <c r="L91" s="62"/>
      <c r="M91" s="62"/>
      <c r="N91" s="62"/>
      <c r="O91" s="60"/>
      <c r="P91" s="62"/>
      <c r="Q91" s="66"/>
      <c r="R91" s="62"/>
      <c r="S91" s="62"/>
      <c r="T91" s="62"/>
      <c r="U91" s="74"/>
      <c r="V91" s="62"/>
      <c r="W91" s="75"/>
      <c r="X91" s="74"/>
      <c r="Y91" s="61"/>
      <c r="Z91" s="201"/>
      <c r="AA91" s="201"/>
      <c r="AB91" s="201"/>
      <c r="AC91" s="201"/>
      <c r="AD91" s="201"/>
      <c r="AE91" s="201"/>
      <c r="AF91" s="201"/>
      <c r="AG91" s="201"/>
      <c r="AH91" s="201"/>
      <c r="AI91" s="201"/>
      <c r="AJ91" s="201"/>
      <c r="AK91" s="201"/>
      <c r="AL91" s="201"/>
      <c r="AM91" s="201"/>
      <c r="AN91" s="201"/>
      <c r="AO91" s="201"/>
    </row>
    <row r="92">
      <c r="A92" s="197"/>
      <c r="B92" s="198"/>
      <c r="C92" s="199"/>
      <c r="D92" s="197"/>
      <c r="E92" s="198"/>
      <c r="F92" s="198"/>
      <c r="G92" s="198"/>
      <c r="H92" s="199"/>
      <c r="I92" s="200"/>
      <c r="J92" s="62"/>
      <c r="K92" s="62"/>
      <c r="L92" s="62"/>
      <c r="M92" s="62"/>
      <c r="N92" s="62"/>
      <c r="O92" s="60"/>
      <c r="P92" s="62"/>
      <c r="Q92" s="66"/>
      <c r="R92" s="62"/>
      <c r="S92" s="62"/>
      <c r="T92" s="62"/>
      <c r="U92" s="74"/>
      <c r="V92" s="62"/>
      <c r="W92" s="75"/>
      <c r="X92" s="74"/>
      <c r="Y92" s="61"/>
      <c r="Z92" s="201"/>
      <c r="AA92" s="201"/>
      <c r="AB92" s="201"/>
      <c r="AC92" s="201"/>
      <c r="AD92" s="201"/>
      <c r="AE92" s="201"/>
      <c r="AF92" s="201"/>
      <c r="AG92" s="201"/>
      <c r="AH92" s="201"/>
      <c r="AI92" s="201"/>
      <c r="AJ92" s="201"/>
      <c r="AK92" s="201"/>
      <c r="AL92" s="201"/>
      <c r="AM92" s="201"/>
      <c r="AN92" s="201"/>
      <c r="AO92" s="201"/>
    </row>
    <row r="93">
      <c r="A93" s="197"/>
      <c r="B93" s="198"/>
      <c r="C93" s="208"/>
      <c r="D93" s="205"/>
      <c r="E93" s="198"/>
      <c r="F93" s="198"/>
      <c r="G93" s="198"/>
      <c r="H93" s="200"/>
      <c r="I93" s="200"/>
      <c r="J93" s="79"/>
      <c r="K93" s="79"/>
      <c r="L93" s="62"/>
      <c r="M93" s="62"/>
      <c r="N93" s="62"/>
      <c r="O93" s="60"/>
      <c r="P93" s="62"/>
      <c r="Q93" s="66"/>
      <c r="R93" s="62"/>
      <c r="S93" s="62"/>
      <c r="T93" s="62"/>
      <c r="U93" s="74"/>
      <c r="V93" s="62"/>
      <c r="W93" s="75"/>
      <c r="X93" s="74"/>
      <c r="Y93" s="63"/>
      <c r="Z93" s="201"/>
      <c r="AA93" s="201"/>
      <c r="AB93" s="201"/>
      <c r="AC93" s="201"/>
      <c r="AD93" s="201"/>
      <c r="AE93" s="201"/>
      <c r="AF93" s="201"/>
      <c r="AG93" s="201"/>
      <c r="AH93" s="201"/>
      <c r="AI93" s="201"/>
      <c r="AJ93" s="201"/>
      <c r="AK93" s="201"/>
      <c r="AL93" s="201"/>
      <c r="AM93" s="201"/>
      <c r="AN93" s="201"/>
      <c r="AO93" s="201"/>
    </row>
    <row r="94">
      <c r="A94" s="197"/>
      <c r="B94" s="198"/>
      <c r="C94" s="208"/>
      <c r="D94" s="205"/>
      <c r="E94" s="198"/>
      <c r="F94" s="198"/>
      <c r="G94" s="198"/>
      <c r="H94" s="200"/>
      <c r="I94" s="200"/>
      <c r="J94" s="60"/>
      <c r="K94" s="60"/>
      <c r="L94" s="62"/>
      <c r="M94" s="62"/>
      <c r="N94" s="62"/>
      <c r="O94" s="60"/>
      <c r="P94" s="62"/>
      <c r="Q94" s="66"/>
      <c r="R94" s="62"/>
      <c r="S94" s="62"/>
      <c r="T94" s="62"/>
      <c r="U94" s="74"/>
      <c r="V94" s="62"/>
      <c r="W94" s="75"/>
      <c r="X94" s="74"/>
      <c r="Y94" s="61"/>
      <c r="Z94" s="201"/>
      <c r="AA94" s="201"/>
      <c r="AB94" s="201"/>
      <c r="AC94" s="201"/>
      <c r="AD94" s="201"/>
      <c r="AE94" s="201"/>
      <c r="AF94" s="201"/>
      <c r="AG94" s="201"/>
      <c r="AH94" s="201"/>
      <c r="AI94" s="201"/>
      <c r="AJ94" s="201"/>
      <c r="AK94" s="201"/>
      <c r="AL94" s="201"/>
      <c r="AM94" s="201"/>
      <c r="AN94" s="201"/>
      <c r="AO94" s="201"/>
    </row>
    <row r="95">
      <c r="A95" s="197"/>
      <c r="B95" s="198"/>
      <c r="C95" s="199"/>
      <c r="D95" s="203"/>
      <c r="E95" s="198"/>
      <c r="F95" s="198"/>
      <c r="G95" s="198"/>
      <c r="H95" s="199"/>
      <c r="I95" s="200"/>
      <c r="J95" s="79"/>
      <c r="K95" s="79"/>
      <c r="L95" s="62"/>
      <c r="M95" s="62"/>
      <c r="N95" s="62"/>
      <c r="O95" s="60"/>
      <c r="P95" s="62"/>
      <c r="Q95" s="66"/>
      <c r="R95" s="62"/>
      <c r="S95" s="62"/>
      <c r="T95" s="62"/>
      <c r="U95" s="74"/>
      <c r="V95" s="62"/>
      <c r="W95" s="75"/>
      <c r="X95" s="74"/>
      <c r="Y95" s="61"/>
      <c r="Z95" s="201"/>
      <c r="AA95" s="201"/>
      <c r="AB95" s="201"/>
      <c r="AC95" s="201"/>
      <c r="AD95" s="201"/>
      <c r="AE95" s="201"/>
      <c r="AF95" s="201"/>
      <c r="AG95" s="201"/>
      <c r="AH95" s="201"/>
      <c r="AI95" s="201"/>
      <c r="AJ95" s="201"/>
      <c r="AK95" s="201"/>
      <c r="AL95" s="201"/>
      <c r="AM95" s="201"/>
      <c r="AN95" s="201"/>
      <c r="AO95" s="201"/>
    </row>
    <row r="96">
      <c r="A96" s="197"/>
      <c r="B96" s="198"/>
      <c r="C96" s="204"/>
      <c r="D96" s="207"/>
      <c r="E96" s="198"/>
      <c r="F96" s="198"/>
      <c r="G96" s="198"/>
      <c r="H96" s="200"/>
      <c r="I96" s="200"/>
      <c r="J96" s="60"/>
      <c r="K96" s="60"/>
      <c r="L96" s="62"/>
      <c r="M96" s="62"/>
      <c r="N96" s="62"/>
      <c r="O96" s="60"/>
      <c r="P96" s="62"/>
      <c r="Q96" s="66"/>
      <c r="R96" s="62"/>
      <c r="S96" s="62"/>
      <c r="T96" s="62"/>
      <c r="U96" s="74"/>
      <c r="V96" s="62"/>
      <c r="W96" s="75"/>
      <c r="X96" s="74"/>
      <c r="Y96" s="63"/>
      <c r="Z96" s="201"/>
      <c r="AA96" s="201"/>
      <c r="AB96" s="201"/>
      <c r="AC96" s="201"/>
      <c r="AD96" s="201"/>
      <c r="AE96" s="201"/>
      <c r="AF96" s="201"/>
      <c r="AG96" s="201"/>
      <c r="AH96" s="201"/>
      <c r="AI96" s="201"/>
      <c r="AJ96" s="201"/>
      <c r="AK96" s="201"/>
      <c r="AL96" s="201"/>
      <c r="AM96" s="201"/>
      <c r="AN96" s="201"/>
      <c r="AO96" s="201"/>
    </row>
    <row r="97">
      <c r="A97" s="197"/>
      <c r="B97" s="198"/>
      <c r="C97" s="204"/>
      <c r="D97" s="197"/>
      <c r="E97" s="198"/>
      <c r="F97" s="198"/>
      <c r="G97" s="198"/>
      <c r="H97" s="200"/>
      <c r="I97" s="200"/>
      <c r="J97" s="60"/>
      <c r="K97" s="60"/>
      <c r="L97" s="62"/>
      <c r="M97" s="62"/>
      <c r="N97" s="62"/>
      <c r="O97" s="60"/>
      <c r="P97" s="62"/>
      <c r="Q97" s="66"/>
      <c r="R97" s="62"/>
      <c r="S97" s="62"/>
      <c r="T97" s="62"/>
      <c r="U97" s="74"/>
      <c r="V97" s="62"/>
      <c r="W97" s="75"/>
      <c r="X97" s="74"/>
      <c r="Y97" s="61"/>
      <c r="Z97" s="201"/>
      <c r="AA97" s="201"/>
      <c r="AB97" s="201"/>
      <c r="AC97" s="201"/>
      <c r="AD97" s="201"/>
      <c r="AE97" s="201"/>
      <c r="AF97" s="201"/>
      <c r="AG97" s="201"/>
      <c r="AH97" s="201"/>
      <c r="AI97" s="201"/>
      <c r="AJ97" s="201"/>
      <c r="AK97" s="201"/>
      <c r="AL97" s="201"/>
      <c r="AM97" s="201"/>
      <c r="AN97" s="201"/>
      <c r="AO97" s="201"/>
    </row>
    <row r="98">
      <c r="A98" s="197"/>
      <c r="B98" s="198"/>
      <c r="C98" s="204"/>
      <c r="D98" s="207"/>
      <c r="E98" s="198"/>
      <c r="F98" s="198"/>
      <c r="G98" s="198"/>
      <c r="H98" s="200"/>
      <c r="I98" s="200"/>
      <c r="J98" s="60"/>
      <c r="K98" s="60"/>
      <c r="L98" s="62"/>
      <c r="M98" s="62"/>
      <c r="N98" s="62"/>
      <c r="O98" s="60"/>
      <c r="P98" s="62"/>
      <c r="Q98" s="66"/>
      <c r="R98" s="62"/>
      <c r="S98" s="62"/>
      <c r="T98" s="62"/>
      <c r="U98" s="74"/>
      <c r="V98" s="62"/>
      <c r="W98" s="75"/>
      <c r="X98" s="74"/>
      <c r="Y98" s="63"/>
      <c r="Z98" s="201"/>
      <c r="AA98" s="201"/>
      <c r="AB98" s="201"/>
      <c r="AC98" s="201"/>
      <c r="AD98" s="201"/>
      <c r="AE98" s="201"/>
      <c r="AF98" s="201"/>
      <c r="AG98" s="201"/>
      <c r="AH98" s="201"/>
      <c r="AI98" s="201"/>
      <c r="AJ98" s="201"/>
      <c r="AK98" s="201"/>
      <c r="AL98" s="201"/>
      <c r="AM98" s="201"/>
      <c r="AN98" s="201"/>
      <c r="AO98" s="201"/>
    </row>
    <row r="99">
      <c r="A99" s="197"/>
      <c r="B99" s="198"/>
      <c r="C99" s="204"/>
      <c r="D99" s="206"/>
      <c r="E99" s="198"/>
      <c r="F99" s="198"/>
      <c r="G99" s="198"/>
      <c r="H99" s="200"/>
      <c r="I99" s="200"/>
      <c r="J99" s="60"/>
      <c r="K99" s="60"/>
      <c r="L99" s="62"/>
      <c r="M99" s="62"/>
      <c r="N99" s="62"/>
      <c r="O99" s="60"/>
      <c r="P99" s="62"/>
      <c r="Q99" s="66"/>
      <c r="R99" s="62"/>
      <c r="S99" s="62"/>
      <c r="T99" s="62"/>
      <c r="U99" s="74"/>
      <c r="V99" s="62"/>
      <c r="W99" s="75"/>
      <c r="X99" s="74"/>
      <c r="Y99" s="63"/>
      <c r="Z99" s="201"/>
      <c r="AA99" s="201"/>
      <c r="AB99" s="201"/>
      <c r="AC99" s="201"/>
      <c r="AD99" s="201"/>
      <c r="AE99" s="201"/>
      <c r="AF99" s="201"/>
      <c r="AG99" s="201"/>
      <c r="AH99" s="201"/>
      <c r="AI99" s="201"/>
      <c r="AJ99" s="201"/>
      <c r="AK99" s="201"/>
      <c r="AL99" s="201"/>
      <c r="AM99" s="201"/>
      <c r="AN99" s="201"/>
      <c r="AO99" s="201"/>
    </row>
    <row r="100">
      <c r="A100" s="197"/>
      <c r="B100" s="198"/>
      <c r="C100" s="204"/>
      <c r="D100" s="197"/>
      <c r="E100" s="198"/>
      <c r="F100" s="198"/>
      <c r="G100" s="198"/>
      <c r="H100" s="200"/>
      <c r="I100" s="200"/>
      <c r="J100" s="60"/>
      <c r="K100" s="60"/>
      <c r="L100" s="62"/>
      <c r="M100" s="62"/>
      <c r="N100" s="62"/>
      <c r="O100" s="60"/>
      <c r="P100" s="62"/>
      <c r="Q100" s="66"/>
      <c r="R100" s="62"/>
      <c r="S100" s="62"/>
      <c r="T100" s="62"/>
      <c r="U100" s="74"/>
      <c r="V100" s="62"/>
      <c r="W100" s="75"/>
      <c r="X100" s="74"/>
      <c r="Y100" s="61"/>
      <c r="Z100" s="201"/>
      <c r="AA100" s="201"/>
      <c r="AB100" s="201"/>
      <c r="AC100" s="201"/>
      <c r="AD100" s="201"/>
      <c r="AE100" s="201"/>
      <c r="AF100" s="201"/>
      <c r="AG100" s="201"/>
      <c r="AH100" s="201"/>
      <c r="AI100" s="201"/>
      <c r="AJ100" s="201"/>
      <c r="AK100" s="201"/>
      <c r="AL100" s="201"/>
      <c r="AM100" s="201"/>
      <c r="AN100" s="201"/>
      <c r="AO100" s="201"/>
    </row>
    <row r="101">
      <c r="A101" s="197"/>
      <c r="B101" s="198"/>
      <c r="C101" s="204"/>
      <c r="D101" s="207"/>
      <c r="E101" s="198"/>
      <c r="F101" s="198"/>
      <c r="G101" s="198"/>
      <c r="H101" s="200"/>
      <c r="I101" s="200"/>
      <c r="J101" s="60"/>
      <c r="K101" s="60"/>
      <c r="L101" s="62"/>
      <c r="M101" s="62"/>
      <c r="N101" s="62"/>
      <c r="O101" s="60"/>
      <c r="P101" s="62"/>
      <c r="Q101" s="66"/>
      <c r="R101" s="62"/>
      <c r="S101" s="62"/>
      <c r="T101" s="62"/>
      <c r="U101" s="74"/>
      <c r="V101" s="62"/>
      <c r="W101" s="75"/>
      <c r="X101" s="74"/>
      <c r="Y101" s="63"/>
      <c r="Z101" s="201"/>
      <c r="AA101" s="201"/>
      <c r="AB101" s="201"/>
      <c r="AC101" s="201"/>
      <c r="AD101" s="201"/>
      <c r="AE101" s="201"/>
      <c r="AF101" s="201"/>
      <c r="AG101" s="201"/>
      <c r="AH101" s="201"/>
      <c r="AI101" s="201"/>
      <c r="AJ101" s="201"/>
      <c r="AK101" s="201"/>
      <c r="AL101" s="201"/>
      <c r="AM101" s="201"/>
      <c r="AN101" s="201"/>
      <c r="AO101" s="201"/>
    </row>
    <row r="102">
      <c r="A102" s="197"/>
      <c r="B102" s="198"/>
      <c r="C102" s="204"/>
      <c r="D102" s="197"/>
      <c r="E102" s="198"/>
      <c r="F102" s="198"/>
      <c r="G102" s="198"/>
      <c r="H102" s="200"/>
      <c r="I102" s="200"/>
      <c r="J102" s="60"/>
      <c r="K102" s="60"/>
      <c r="L102" s="62"/>
      <c r="M102" s="62"/>
      <c r="N102" s="62"/>
      <c r="O102" s="60"/>
      <c r="P102" s="62"/>
      <c r="Q102" s="66"/>
      <c r="R102" s="62"/>
      <c r="S102" s="62"/>
      <c r="T102" s="62"/>
      <c r="U102" s="74"/>
      <c r="V102" s="62"/>
      <c r="W102" s="75"/>
      <c r="X102" s="74"/>
      <c r="Y102" s="61"/>
      <c r="Z102" s="201"/>
      <c r="AA102" s="201"/>
      <c r="AB102" s="201"/>
      <c r="AC102" s="201"/>
      <c r="AD102" s="201"/>
      <c r="AE102" s="201"/>
      <c r="AF102" s="201"/>
      <c r="AG102" s="201"/>
      <c r="AH102" s="201"/>
      <c r="AI102" s="201"/>
      <c r="AJ102" s="201"/>
      <c r="AK102" s="201"/>
      <c r="AL102" s="201"/>
      <c r="AM102" s="201"/>
      <c r="AN102" s="201"/>
      <c r="AO102" s="201"/>
    </row>
    <row r="103">
      <c r="A103" s="197"/>
      <c r="B103" s="198"/>
      <c r="C103" s="208"/>
      <c r="D103" s="205"/>
      <c r="E103" s="198"/>
      <c r="F103" s="198"/>
      <c r="G103" s="198"/>
      <c r="H103" s="200"/>
      <c r="I103" s="200"/>
      <c r="J103" s="79"/>
      <c r="K103" s="79"/>
      <c r="L103" s="62"/>
      <c r="M103" s="62"/>
      <c r="N103" s="62"/>
      <c r="O103" s="60"/>
      <c r="P103" s="60"/>
      <c r="Q103" s="66"/>
      <c r="R103" s="60"/>
      <c r="S103" s="62"/>
      <c r="T103" s="62"/>
      <c r="U103" s="74"/>
      <c r="V103" s="62"/>
      <c r="W103" s="75"/>
      <c r="X103" s="74"/>
      <c r="Y103" s="91"/>
      <c r="Z103" s="201"/>
      <c r="AA103" s="201"/>
      <c r="AB103" s="201"/>
      <c r="AC103" s="201"/>
      <c r="AD103" s="201"/>
      <c r="AE103" s="201"/>
      <c r="AF103" s="201"/>
      <c r="AG103" s="201"/>
      <c r="AH103" s="201"/>
      <c r="AI103" s="201"/>
      <c r="AJ103" s="201"/>
      <c r="AK103" s="201"/>
      <c r="AL103" s="201"/>
      <c r="AM103" s="201"/>
      <c r="AN103" s="201"/>
      <c r="AO103" s="201"/>
    </row>
    <row r="104">
      <c r="A104" s="197"/>
      <c r="B104" s="198"/>
      <c r="C104" s="200"/>
      <c r="D104" s="206"/>
      <c r="E104" s="198"/>
      <c r="F104" s="198"/>
      <c r="G104" s="198"/>
      <c r="H104" s="200"/>
      <c r="I104" s="200"/>
      <c r="J104" s="60"/>
      <c r="K104" s="60"/>
      <c r="L104" s="62"/>
      <c r="M104" s="62"/>
      <c r="N104" s="62"/>
      <c r="O104" s="60"/>
      <c r="P104" s="62"/>
      <c r="Q104" s="66"/>
      <c r="R104" s="62"/>
      <c r="S104" s="62"/>
      <c r="T104" s="62"/>
      <c r="U104" s="74"/>
      <c r="V104" s="62"/>
      <c r="W104" s="75"/>
      <c r="X104" s="74"/>
      <c r="Y104" s="61"/>
      <c r="Z104" s="201"/>
      <c r="AA104" s="201"/>
      <c r="AB104" s="201"/>
      <c r="AC104" s="201"/>
      <c r="AD104" s="201"/>
      <c r="AE104" s="201"/>
      <c r="AF104" s="201"/>
      <c r="AG104" s="201"/>
      <c r="AH104" s="201"/>
      <c r="AI104" s="201"/>
      <c r="AJ104" s="201"/>
      <c r="AK104" s="201"/>
      <c r="AL104" s="201"/>
      <c r="AM104" s="201"/>
      <c r="AN104" s="201"/>
      <c r="AO104" s="201"/>
    </row>
    <row r="105">
      <c r="A105" s="197"/>
      <c r="B105" s="198"/>
      <c r="C105" s="204"/>
      <c r="D105" s="206"/>
      <c r="E105" s="198"/>
      <c r="F105" s="198"/>
      <c r="G105" s="198"/>
      <c r="H105" s="200"/>
      <c r="I105" s="200"/>
      <c r="J105" s="60"/>
      <c r="K105" s="60"/>
      <c r="L105" s="62"/>
      <c r="M105" s="62"/>
      <c r="N105" s="62"/>
      <c r="O105" s="60"/>
      <c r="P105" s="62"/>
      <c r="Q105" s="66"/>
      <c r="R105" s="62"/>
      <c r="S105" s="62"/>
      <c r="T105" s="62"/>
      <c r="U105" s="74"/>
      <c r="V105" s="62"/>
      <c r="W105" s="75"/>
      <c r="X105" s="74"/>
      <c r="Y105" s="63"/>
      <c r="Z105" s="201"/>
      <c r="AA105" s="201"/>
      <c r="AB105" s="201"/>
      <c r="AC105" s="201"/>
      <c r="AD105" s="201"/>
      <c r="AE105" s="201"/>
      <c r="AF105" s="201"/>
      <c r="AG105" s="201"/>
      <c r="AH105" s="201"/>
      <c r="AI105" s="201"/>
      <c r="AJ105" s="201"/>
      <c r="AK105" s="201"/>
      <c r="AL105" s="201"/>
      <c r="AM105" s="201"/>
      <c r="AN105" s="201"/>
      <c r="AO105" s="201"/>
    </row>
    <row r="106">
      <c r="A106" s="197"/>
      <c r="B106" s="198"/>
      <c r="C106" s="199"/>
      <c r="D106" s="197"/>
      <c r="E106" s="198"/>
      <c r="F106" s="198"/>
      <c r="G106" s="198"/>
      <c r="H106" s="199"/>
      <c r="I106" s="200"/>
      <c r="J106" s="62"/>
      <c r="K106" s="62"/>
      <c r="L106" s="62"/>
      <c r="M106" s="62"/>
      <c r="N106" s="62"/>
      <c r="O106" s="60"/>
      <c r="P106" s="62"/>
      <c r="Q106" s="66"/>
      <c r="R106" s="62"/>
      <c r="S106" s="62"/>
      <c r="T106" s="62"/>
      <c r="U106" s="74"/>
      <c r="V106" s="62"/>
      <c r="W106" s="75"/>
      <c r="X106" s="74"/>
      <c r="Y106" s="61"/>
      <c r="Z106" s="201"/>
      <c r="AA106" s="201"/>
      <c r="AB106" s="201"/>
      <c r="AC106" s="201"/>
      <c r="AD106" s="201"/>
      <c r="AE106" s="201"/>
      <c r="AF106" s="201"/>
      <c r="AG106" s="201"/>
      <c r="AH106" s="201"/>
      <c r="AI106" s="201"/>
      <c r="AJ106" s="201"/>
      <c r="AK106" s="201"/>
      <c r="AL106" s="201"/>
      <c r="AM106" s="201"/>
      <c r="AN106" s="201"/>
      <c r="AO106" s="201"/>
    </row>
    <row r="107">
      <c r="A107" s="197"/>
      <c r="B107" s="198"/>
      <c r="C107" s="199"/>
      <c r="D107" s="197"/>
      <c r="E107" s="198"/>
      <c r="F107" s="198"/>
      <c r="G107" s="198"/>
      <c r="H107" s="199"/>
      <c r="I107" s="200"/>
      <c r="J107" s="62"/>
      <c r="K107" s="62"/>
      <c r="L107" s="62"/>
      <c r="M107" s="62"/>
      <c r="N107" s="62"/>
      <c r="O107" s="60"/>
      <c r="P107" s="62"/>
      <c r="Q107" s="66"/>
      <c r="R107" s="62"/>
      <c r="S107" s="62"/>
      <c r="T107" s="62"/>
      <c r="U107" s="74"/>
      <c r="V107" s="62"/>
      <c r="W107" s="75"/>
      <c r="X107" s="74"/>
      <c r="Y107" s="61"/>
      <c r="Z107" s="201"/>
      <c r="AA107" s="201"/>
      <c r="AB107" s="201"/>
      <c r="AC107" s="201"/>
      <c r="AD107" s="201"/>
      <c r="AE107" s="201"/>
      <c r="AF107" s="201"/>
      <c r="AG107" s="201"/>
      <c r="AH107" s="201"/>
      <c r="AI107" s="201"/>
      <c r="AJ107" s="201"/>
      <c r="AK107" s="201"/>
      <c r="AL107" s="201"/>
      <c r="AM107" s="201"/>
      <c r="AN107" s="201"/>
      <c r="AO107" s="201"/>
    </row>
    <row r="108">
      <c r="A108" s="197"/>
      <c r="B108" s="198"/>
      <c r="C108" s="199"/>
      <c r="D108" s="197"/>
      <c r="E108" s="198"/>
      <c r="F108" s="198"/>
      <c r="G108" s="198"/>
      <c r="H108" s="200"/>
      <c r="I108" s="200"/>
      <c r="J108" s="79"/>
      <c r="K108" s="79"/>
      <c r="L108" s="62"/>
      <c r="M108" s="62"/>
      <c r="N108" s="62"/>
      <c r="O108" s="60"/>
      <c r="P108" s="62"/>
      <c r="Q108" s="66"/>
      <c r="R108" s="62"/>
      <c r="S108" s="62"/>
      <c r="T108" s="62"/>
      <c r="U108" s="74"/>
      <c r="V108" s="62"/>
      <c r="W108" s="75"/>
      <c r="X108" s="74"/>
      <c r="Y108" s="61"/>
      <c r="Z108" s="201"/>
      <c r="AA108" s="201"/>
      <c r="AB108" s="201"/>
      <c r="AC108" s="201"/>
      <c r="AD108" s="201"/>
      <c r="AE108" s="201"/>
      <c r="AF108" s="201"/>
      <c r="AG108" s="201"/>
      <c r="AH108" s="201"/>
      <c r="AI108" s="201"/>
      <c r="AJ108" s="201"/>
      <c r="AK108" s="201"/>
      <c r="AL108" s="201"/>
      <c r="AM108" s="201"/>
      <c r="AN108" s="201"/>
      <c r="AO108" s="201"/>
    </row>
    <row r="109">
      <c r="A109" s="197"/>
      <c r="B109" s="198"/>
      <c r="C109" s="204"/>
      <c r="D109" s="203"/>
      <c r="E109" s="198"/>
      <c r="F109" s="198"/>
      <c r="G109" s="198"/>
      <c r="H109" s="200"/>
      <c r="I109" s="200"/>
      <c r="J109" s="79"/>
      <c r="K109" s="79"/>
      <c r="L109" s="62"/>
      <c r="M109" s="62"/>
      <c r="N109" s="62"/>
      <c r="O109" s="60"/>
      <c r="P109" s="62"/>
      <c r="Q109" s="66"/>
      <c r="R109" s="62"/>
      <c r="S109" s="62"/>
      <c r="T109" s="62"/>
      <c r="U109" s="74"/>
      <c r="V109" s="62"/>
      <c r="W109" s="75"/>
      <c r="X109" s="74"/>
      <c r="Y109" s="61"/>
      <c r="Z109" s="201"/>
      <c r="AA109" s="201"/>
      <c r="AB109" s="201"/>
      <c r="AC109" s="201"/>
      <c r="AD109" s="201"/>
      <c r="AE109" s="201"/>
      <c r="AF109" s="201"/>
      <c r="AG109" s="201"/>
      <c r="AH109" s="201"/>
      <c r="AI109" s="201"/>
      <c r="AJ109" s="201"/>
      <c r="AK109" s="201"/>
      <c r="AL109" s="201"/>
      <c r="AM109" s="201"/>
      <c r="AN109" s="201"/>
      <c r="AO109" s="201"/>
    </row>
    <row r="110">
      <c r="A110" s="197"/>
      <c r="B110" s="198"/>
      <c r="C110" s="204"/>
      <c r="D110" s="197"/>
      <c r="E110" s="198"/>
      <c r="F110" s="198"/>
      <c r="G110" s="198"/>
      <c r="H110" s="200"/>
      <c r="I110" s="200"/>
      <c r="J110" s="79"/>
      <c r="K110" s="79"/>
      <c r="L110" s="62"/>
      <c r="M110" s="62"/>
      <c r="N110" s="62"/>
      <c r="O110" s="60"/>
      <c r="P110" s="62"/>
      <c r="Q110" s="66"/>
      <c r="R110" s="62"/>
      <c r="S110" s="62"/>
      <c r="T110" s="62"/>
      <c r="U110" s="74"/>
      <c r="V110" s="62"/>
      <c r="W110" s="75"/>
      <c r="X110" s="74"/>
      <c r="Y110" s="91"/>
      <c r="Z110" s="201"/>
      <c r="AA110" s="201"/>
      <c r="AB110" s="201"/>
      <c r="AC110" s="201"/>
      <c r="AD110" s="201"/>
      <c r="AE110" s="201"/>
      <c r="AF110" s="201"/>
      <c r="AG110" s="201"/>
      <c r="AH110" s="201"/>
      <c r="AI110" s="201"/>
      <c r="AJ110" s="201"/>
      <c r="AK110" s="201"/>
      <c r="AL110" s="201"/>
      <c r="AM110" s="201"/>
      <c r="AN110" s="201"/>
      <c r="AO110" s="201"/>
    </row>
    <row r="111">
      <c r="A111" s="197"/>
      <c r="B111" s="198"/>
      <c r="C111" s="204"/>
      <c r="D111" s="197"/>
      <c r="E111" s="198"/>
      <c r="F111" s="198"/>
      <c r="G111" s="198"/>
      <c r="H111" s="199"/>
      <c r="I111" s="200"/>
      <c r="J111" s="62"/>
      <c r="K111" s="62"/>
      <c r="L111" s="62"/>
      <c r="M111" s="62"/>
      <c r="N111" s="62"/>
      <c r="O111" s="60"/>
      <c r="P111" s="62"/>
      <c r="Q111" s="66"/>
      <c r="R111" s="62"/>
      <c r="S111" s="62"/>
      <c r="T111" s="62"/>
      <c r="U111" s="74"/>
      <c r="V111" s="62"/>
      <c r="W111" s="75"/>
      <c r="X111" s="74"/>
      <c r="Y111" s="61"/>
      <c r="Z111" s="201"/>
      <c r="AA111" s="201"/>
      <c r="AB111" s="201"/>
      <c r="AC111" s="201"/>
      <c r="AD111" s="201"/>
      <c r="AE111" s="201"/>
      <c r="AF111" s="201"/>
      <c r="AG111" s="201"/>
      <c r="AH111" s="201"/>
      <c r="AI111" s="201"/>
      <c r="AJ111" s="201"/>
      <c r="AK111" s="201"/>
      <c r="AL111" s="201"/>
      <c r="AM111" s="201"/>
      <c r="AN111" s="201"/>
      <c r="AO111" s="201"/>
    </row>
    <row r="112">
      <c r="A112" s="197"/>
      <c r="B112" s="198"/>
      <c r="C112" s="199"/>
      <c r="D112" s="197"/>
      <c r="E112" s="198"/>
      <c r="F112" s="198"/>
      <c r="G112" s="198"/>
      <c r="H112" s="202"/>
      <c r="I112" s="202"/>
      <c r="J112" s="62"/>
      <c r="K112" s="62"/>
      <c r="L112" s="62"/>
      <c r="M112" s="62"/>
      <c r="N112" s="62"/>
      <c r="O112" s="60"/>
      <c r="P112" s="62"/>
      <c r="Q112" s="66"/>
      <c r="R112" s="62"/>
      <c r="S112" s="62"/>
      <c r="T112" s="62"/>
      <c r="U112" s="74"/>
      <c r="V112" s="62"/>
      <c r="W112" s="75"/>
      <c r="X112" s="74"/>
      <c r="Y112" s="61"/>
      <c r="Z112" s="201"/>
      <c r="AA112" s="201"/>
      <c r="AB112" s="201"/>
      <c r="AC112" s="201"/>
      <c r="AD112" s="201"/>
      <c r="AE112" s="201"/>
      <c r="AF112" s="201"/>
      <c r="AG112" s="201"/>
      <c r="AH112" s="201"/>
      <c r="AI112" s="201"/>
      <c r="AJ112" s="201"/>
      <c r="AK112" s="201"/>
      <c r="AL112" s="201"/>
      <c r="AM112" s="201"/>
      <c r="AN112" s="201"/>
      <c r="AO112" s="201"/>
    </row>
    <row r="113">
      <c r="A113" s="197"/>
      <c r="B113" s="198"/>
      <c r="C113" s="199"/>
      <c r="D113" s="206"/>
      <c r="E113" s="198"/>
      <c r="F113" s="198"/>
      <c r="G113" s="198"/>
      <c r="H113" s="199"/>
      <c r="I113" s="200"/>
      <c r="J113" s="62"/>
      <c r="K113" s="62"/>
      <c r="L113" s="62"/>
      <c r="M113" s="62"/>
      <c r="N113" s="62"/>
      <c r="O113" s="60"/>
      <c r="P113" s="62"/>
      <c r="Q113" s="66"/>
      <c r="R113" s="62"/>
      <c r="S113" s="62"/>
      <c r="T113" s="62"/>
      <c r="U113" s="74"/>
      <c r="V113" s="62"/>
      <c r="W113" s="75"/>
      <c r="X113" s="74"/>
      <c r="Y113" s="61"/>
      <c r="Z113" s="201"/>
      <c r="AA113" s="201"/>
      <c r="AB113" s="201"/>
      <c r="AC113" s="201"/>
      <c r="AD113" s="201"/>
      <c r="AE113" s="201"/>
      <c r="AF113" s="201"/>
      <c r="AG113" s="201"/>
      <c r="AH113" s="201"/>
      <c r="AI113" s="201"/>
      <c r="AJ113" s="201"/>
      <c r="AK113" s="201"/>
      <c r="AL113" s="201"/>
      <c r="AM113" s="201"/>
      <c r="AN113" s="201"/>
      <c r="AO113" s="201"/>
    </row>
    <row r="114">
      <c r="A114" s="197"/>
      <c r="B114" s="198"/>
      <c r="C114" s="204"/>
      <c r="D114" s="197"/>
      <c r="E114" s="198"/>
      <c r="F114" s="198"/>
      <c r="G114" s="198"/>
      <c r="H114" s="199"/>
      <c r="I114" s="200"/>
      <c r="J114" s="62"/>
      <c r="K114" s="62"/>
      <c r="L114" s="62"/>
      <c r="M114" s="62"/>
      <c r="N114" s="62"/>
      <c r="O114" s="60"/>
      <c r="P114" s="62"/>
      <c r="Q114" s="66"/>
      <c r="R114" s="62"/>
      <c r="S114" s="62"/>
      <c r="T114" s="62"/>
      <c r="U114" s="74"/>
      <c r="V114" s="62"/>
      <c r="W114" s="75"/>
      <c r="X114" s="74"/>
      <c r="Y114" s="61"/>
      <c r="Z114" s="201"/>
      <c r="AA114" s="201"/>
      <c r="AB114" s="201"/>
      <c r="AC114" s="201"/>
      <c r="AD114" s="201"/>
      <c r="AE114" s="201"/>
      <c r="AF114" s="201"/>
      <c r="AG114" s="201"/>
      <c r="AH114" s="201"/>
      <c r="AI114" s="201"/>
      <c r="AJ114" s="201"/>
      <c r="AK114" s="201"/>
      <c r="AL114" s="201"/>
      <c r="AM114" s="201"/>
      <c r="AN114" s="201"/>
      <c r="AO114" s="201"/>
    </row>
    <row r="115">
      <c r="A115" s="197"/>
      <c r="B115" s="198"/>
      <c r="C115" s="199"/>
      <c r="D115" s="207"/>
      <c r="E115" s="198"/>
      <c r="F115" s="198"/>
      <c r="G115" s="198"/>
      <c r="H115" s="202"/>
      <c r="I115" s="202"/>
      <c r="J115" s="79"/>
      <c r="K115" s="79"/>
      <c r="L115" s="62"/>
      <c r="M115" s="62"/>
      <c r="N115" s="62"/>
      <c r="O115" s="60"/>
      <c r="P115" s="62"/>
      <c r="Q115" s="66"/>
      <c r="R115" s="62"/>
      <c r="S115" s="62"/>
      <c r="T115" s="62"/>
      <c r="U115" s="74"/>
      <c r="V115" s="62"/>
      <c r="W115" s="75"/>
      <c r="X115" s="74"/>
      <c r="Y115" s="61"/>
      <c r="Z115" s="201"/>
      <c r="AA115" s="201"/>
      <c r="AB115" s="201"/>
      <c r="AC115" s="201"/>
      <c r="AD115" s="201"/>
      <c r="AE115" s="201"/>
      <c r="AF115" s="201"/>
      <c r="AG115" s="201"/>
      <c r="AH115" s="201"/>
      <c r="AI115" s="201"/>
      <c r="AJ115" s="201"/>
      <c r="AK115" s="201"/>
      <c r="AL115" s="201"/>
      <c r="AM115" s="201"/>
      <c r="AN115" s="201"/>
      <c r="AO115" s="201"/>
    </row>
    <row r="116">
      <c r="A116" s="197"/>
      <c r="B116" s="198"/>
      <c r="C116" s="199"/>
      <c r="D116" s="203"/>
      <c r="E116" s="198"/>
      <c r="F116" s="198"/>
      <c r="G116" s="198"/>
      <c r="H116" s="199"/>
      <c r="I116" s="200"/>
      <c r="J116" s="62"/>
      <c r="K116" s="62"/>
      <c r="L116" s="62"/>
      <c r="M116" s="62"/>
      <c r="N116" s="62"/>
      <c r="O116" s="60"/>
      <c r="P116" s="62"/>
      <c r="Q116" s="66"/>
      <c r="R116" s="62"/>
      <c r="S116" s="62"/>
      <c r="T116" s="62"/>
      <c r="U116" s="74"/>
      <c r="V116" s="62"/>
      <c r="W116" s="75"/>
      <c r="X116" s="74"/>
      <c r="Y116" s="63"/>
      <c r="Z116" s="201"/>
      <c r="AA116" s="201"/>
      <c r="AB116" s="201"/>
      <c r="AC116" s="201"/>
      <c r="AD116" s="201"/>
      <c r="AE116" s="201"/>
      <c r="AF116" s="201"/>
      <c r="AG116" s="201"/>
      <c r="AH116" s="201"/>
      <c r="AI116" s="201"/>
      <c r="AJ116" s="201"/>
      <c r="AK116" s="201"/>
      <c r="AL116" s="201"/>
      <c r="AM116" s="201"/>
      <c r="AN116" s="201"/>
      <c r="AO116" s="201"/>
    </row>
    <row r="117">
      <c r="A117" s="197"/>
      <c r="B117" s="198"/>
      <c r="C117" s="199"/>
      <c r="D117" s="206"/>
      <c r="E117" s="198"/>
      <c r="F117" s="198"/>
      <c r="G117" s="198"/>
      <c r="H117" s="199"/>
      <c r="I117" s="200"/>
      <c r="J117" s="62"/>
      <c r="K117" s="62"/>
      <c r="L117" s="62"/>
      <c r="M117" s="62"/>
      <c r="N117" s="62"/>
      <c r="O117" s="60"/>
      <c r="P117" s="62"/>
      <c r="Q117" s="66"/>
      <c r="R117" s="62"/>
      <c r="S117" s="62"/>
      <c r="T117" s="62"/>
      <c r="U117" s="74"/>
      <c r="V117" s="62"/>
      <c r="W117" s="75"/>
      <c r="X117" s="74"/>
      <c r="Y117" s="61"/>
      <c r="Z117" s="201"/>
      <c r="AA117" s="201"/>
      <c r="AB117" s="201"/>
      <c r="AC117" s="201"/>
      <c r="AD117" s="201"/>
      <c r="AE117" s="201"/>
      <c r="AF117" s="201"/>
      <c r="AG117" s="201"/>
      <c r="AH117" s="201"/>
      <c r="AI117" s="201"/>
      <c r="AJ117" s="201"/>
      <c r="AK117" s="201"/>
      <c r="AL117" s="201"/>
      <c r="AM117" s="201"/>
      <c r="AN117" s="201"/>
      <c r="AO117" s="201"/>
    </row>
    <row r="118">
      <c r="A118" s="197"/>
      <c r="B118" s="198"/>
      <c r="C118" s="199"/>
      <c r="D118" s="197"/>
      <c r="E118" s="198"/>
      <c r="F118" s="198"/>
      <c r="G118" s="198"/>
      <c r="H118" s="199"/>
      <c r="I118" s="200"/>
      <c r="J118" s="62"/>
      <c r="K118" s="62"/>
      <c r="L118" s="62"/>
      <c r="M118" s="62"/>
      <c r="N118" s="62"/>
      <c r="O118" s="60"/>
      <c r="P118" s="62"/>
      <c r="Q118" s="66"/>
      <c r="R118" s="62"/>
      <c r="S118" s="62"/>
      <c r="T118" s="62"/>
      <c r="U118" s="74"/>
      <c r="V118" s="62"/>
      <c r="W118" s="75"/>
      <c r="X118" s="74"/>
      <c r="Y118" s="61"/>
      <c r="Z118" s="201"/>
      <c r="AA118" s="201"/>
      <c r="AB118" s="201"/>
      <c r="AC118" s="201"/>
      <c r="AD118" s="201"/>
      <c r="AE118" s="201"/>
      <c r="AF118" s="201"/>
      <c r="AG118" s="201"/>
      <c r="AH118" s="201"/>
      <c r="AI118" s="201"/>
      <c r="AJ118" s="201"/>
      <c r="AK118" s="201"/>
      <c r="AL118" s="201"/>
      <c r="AM118" s="201"/>
      <c r="AN118" s="201"/>
      <c r="AO118" s="201"/>
    </row>
    <row r="119">
      <c r="A119" s="197"/>
      <c r="B119" s="198"/>
      <c r="C119" s="199"/>
      <c r="D119" s="197"/>
      <c r="E119" s="198"/>
      <c r="F119" s="198"/>
      <c r="G119" s="198"/>
      <c r="H119" s="199"/>
      <c r="I119" s="199"/>
      <c r="J119" s="62"/>
      <c r="K119" s="62"/>
      <c r="L119" s="62"/>
      <c r="M119" s="62"/>
      <c r="N119" s="62"/>
      <c r="O119" s="60"/>
      <c r="P119" s="62"/>
      <c r="Q119" s="66"/>
      <c r="R119" s="62"/>
      <c r="S119" s="62"/>
      <c r="T119" s="62"/>
      <c r="U119" s="74"/>
      <c r="V119" s="62"/>
      <c r="W119" s="75"/>
      <c r="X119" s="74"/>
      <c r="Y119" s="61"/>
      <c r="Z119" s="201"/>
      <c r="AA119" s="201"/>
      <c r="AB119" s="201"/>
      <c r="AC119" s="201"/>
      <c r="AD119" s="201"/>
      <c r="AE119" s="201"/>
      <c r="AF119" s="201"/>
      <c r="AG119" s="201"/>
      <c r="AH119" s="201"/>
      <c r="AI119" s="201"/>
      <c r="AJ119" s="201"/>
      <c r="AK119" s="201"/>
      <c r="AL119" s="201"/>
      <c r="AM119" s="201"/>
      <c r="AN119" s="201"/>
      <c r="AO119" s="201"/>
    </row>
    <row r="120" ht="16.5" customHeight="1">
      <c r="A120" s="197"/>
      <c r="B120" s="198"/>
      <c r="C120" s="199"/>
      <c r="D120" s="203"/>
      <c r="E120" s="198"/>
      <c r="F120" s="198"/>
      <c r="G120" s="198"/>
      <c r="H120" s="200"/>
      <c r="I120" s="200"/>
      <c r="J120" s="79"/>
      <c r="K120" s="79"/>
      <c r="L120" s="62"/>
      <c r="M120" s="62"/>
      <c r="N120" s="62"/>
      <c r="O120" s="60"/>
      <c r="P120" s="62"/>
      <c r="Q120" s="66"/>
      <c r="R120" s="62"/>
      <c r="S120" s="62"/>
      <c r="T120" s="62"/>
      <c r="U120" s="74"/>
      <c r="V120" s="62"/>
      <c r="W120" s="75"/>
      <c r="X120" s="74"/>
      <c r="Y120" s="61"/>
      <c r="Z120" s="201"/>
      <c r="AA120" s="201"/>
      <c r="AB120" s="201"/>
      <c r="AC120" s="201"/>
      <c r="AD120" s="201"/>
      <c r="AE120" s="201"/>
      <c r="AF120" s="201"/>
      <c r="AG120" s="201"/>
      <c r="AH120" s="201"/>
      <c r="AI120" s="201"/>
      <c r="AJ120" s="201"/>
      <c r="AK120" s="201"/>
      <c r="AL120" s="201"/>
      <c r="AM120" s="201"/>
      <c r="AN120" s="201"/>
      <c r="AO120" s="201"/>
    </row>
    <row r="121">
      <c r="A121" s="197"/>
      <c r="B121" s="198"/>
      <c r="C121" s="199"/>
      <c r="D121" s="203"/>
      <c r="E121" s="198"/>
      <c r="F121" s="198"/>
      <c r="G121" s="198"/>
      <c r="H121" s="200"/>
      <c r="I121" s="200"/>
      <c r="J121" s="79"/>
      <c r="K121" s="79"/>
      <c r="L121" s="62"/>
      <c r="M121" s="62"/>
      <c r="N121" s="62"/>
      <c r="O121" s="60"/>
      <c r="P121" s="62"/>
      <c r="Q121" s="66"/>
      <c r="R121" s="62"/>
      <c r="S121" s="62"/>
      <c r="T121" s="62"/>
      <c r="U121" s="74"/>
      <c r="V121" s="62"/>
      <c r="W121" s="75"/>
      <c r="X121" s="74"/>
      <c r="Y121" s="61"/>
      <c r="Z121" s="201"/>
      <c r="AA121" s="201"/>
      <c r="AB121" s="201"/>
      <c r="AC121" s="201"/>
      <c r="AD121" s="201"/>
      <c r="AE121" s="201"/>
      <c r="AF121" s="201"/>
      <c r="AG121" s="201"/>
      <c r="AH121" s="201"/>
      <c r="AI121" s="201"/>
      <c r="AJ121" s="201"/>
      <c r="AK121" s="201"/>
      <c r="AL121" s="201"/>
      <c r="AM121" s="201"/>
      <c r="AN121" s="201"/>
      <c r="AO121" s="201"/>
    </row>
    <row r="122">
      <c r="A122" s="197"/>
      <c r="B122" s="198"/>
      <c r="C122" s="199"/>
      <c r="D122" s="205"/>
      <c r="E122" s="198"/>
      <c r="F122" s="198"/>
      <c r="G122" s="198"/>
      <c r="H122" s="200"/>
      <c r="I122" s="200"/>
      <c r="J122" s="79"/>
      <c r="K122" s="79"/>
      <c r="L122" s="62"/>
      <c r="M122" s="62"/>
      <c r="N122" s="62"/>
      <c r="O122" s="60"/>
      <c r="P122" s="62"/>
      <c r="Q122" s="66"/>
      <c r="R122" s="62"/>
      <c r="S122" s="62"/>
      <c r="T122" s="62"/>
      <c r="U122" s="74"/>
      <c r="V122" s="62"/>
      <c r="W122" s="75"/>
      <c r="X122" s="74"/>
      <c r="Y122" s="61"/>
      <c r="Z122" s="201"/>
      <c r="AA122" s="201"/>
      <c r="AB122" s="201"/>
      <c r="AC122" s="201"/>
      <c r="AD122" s="201"/>
      <c r="AE122" s="201"/>
      <c r="AF122" s="201"/>
      <c r="AG122" s="201"/>
      <c r="AH122" s="201"/>
      <c r="AI122" s="201"/>
      <c r="AJ122" s="201"/>
      <c r="AK122" s="201"/>
      <c r="AL122" s="201"/>
      <c r="AM122" s="201"/>
      <c r="AN122" s="201"/>
      <c r="AO122" s="201"/>
    </row>
    <row r="123">
      <c r="A123" s="197"/>
      <c r="B123" s="198"/>
      <c r="C123" s="199"/>
      <c r="D123" s="197"/>
      <c r="E123" s="198"/>
      <c r="F123" s="198"/>
      <c r="G123" s="198"/>
      <c r="H123" s="199"/>
      <c r="I123" s="200"/>
      <c r="J123" s="62"/>
      <c r="K123" s="62"/>
      <c r="L123" s="62"/>
      <c r="M123" s="62"/>
      <c r="N123" s="62"/>
      <c r="O123" s="60"/>
      <c r="P123" s="62"/>
      <c r="Q123" s="66"/>
      <c r="R123" s="62"/>
      <c r="S123" s="62"/>
      <c r="T123" s="62"/>
      <c r="U123" s="74"/>
      <c r="V123" s="62"/>
      <c r="W123" s="75"/>
      <c r="X123" s="74"/>
      <c r="Y123" s="61"/>
      <c r="Z123" s="201"/>
      <c r="AA123" s="201"/>
      <c r="AB123" s="201"/>
      <c r="AC123" s="201"/>
      <c r="AD123" s="201"/>
      <c r="AE123" s="201"/>
      <c r="AF123" s="201"/>
      <c r="AG123" s="201"/>
      <c r="AH123" s="201"/>
      <c r="AI123" s="201"/>
      <c r="AJ123" s="201"/>
      <c r="AK123" s="201"/>
      <c r="AL123" s="201"/>
      <c r="AM123" s="201"/>
      <c r="AN123" s="201"/>
      <c r="AO123" s="201"/>
    </row>
    <row r="124">
      <c r="A124" s="197"/>
      <c r="B124" s="198"/>
      <c r="C124" s="199"/>
      <c r="D124" s="197"/>
      <c r="E124" s="198"/>
      <c r="F124" s="198"/>
      <c r="G124" s="198"/>
      <c r="H124" s="199"/>
      <c r="I124" s="200"/>
      <c r="J124" s="62"/>
      <c r="K124" s="62"/>
      <c r="L124" s="62"/>
      <c r="M124" s="62"/>
      <c r="N124" s="62"/>
      <c r="O124" s="60"/>
      <c r="P124" s="62"/>
      <c r="Q124" s="66"/>
      <c r="R124" s="62"/>
      <c r="S124" s="62"/>
      <c r="T124" s="62"/>
      <c r="U124" s="74"/>
      <c r="V124" s="62"/>
      <c r="W124" s="75"/>
      <c r="X124" s="74"/>
      <c r="Y124" s="61"/>
      <c r="Z124" s="201"/>
      <c r="AA124" s="201"/>
      <c r="AB124" s="201"/>
      <c r="AC124" s="201"/>
      <c r="AD124" s="201"/>
      <c r="AE124" s="201"/>
      <c r="AF124" s="201"/>
      <c r="AG124" s="201"/>
      <c r="AH124" s="201"/>
      <c r="AI124" s="201"/>
      <c r="AJ124" s="201"/>
      <c r="AK124" s="201"/>
      <c r="AL124" s="201"/>
      <c r="AM124" s="201"/>
      <c r="AN124" s="201"/>
      <c r="AO124" s="201"/>
    </row>
    <row r="125">
      <c r="A125" s="197"/>
      <c r="B125" s="198"/>
      <c r="C125" s="199"/>
      <c r="D125" s="206"/>
      <c r="E125" s="198"/>
      <c r="F125" s="198"/>
      <c r="G125" s="198"/>
      <c r="H125" s="199"/>
      <c r="I125" s="200"/>
      <c r="J125" s="79"/>
      <c r="K125" s="79"/>
      <c r="L125" s="62"/>
      <c r="M125" s="62"/>
      <c r="N125" s="62"/>
      <c r="O125" s="60"/>
      <c r="P125" s="62"/>
      <c r="Q125" s="66"/>
      <c r="R125" s="62"/>
      <c r="S125" s="62"/>
      <c r="T125" s="62"/>
      <c r="U125" s="74"/>
      <c r="V125" s="62"/>
      <c r="W125" s="75"/>
      <c r="X125" s="74"/>
      <c r="Y125" s="61"/>
      <c r="Z125" s="201"/>
      <c r="AA125" s="201"/>
      <c r="AB125" s="201"/>
      <c r="AC125" s="201"/>
      <c r="AD125" s="201"/>
      <c r="AE125" s="201"/>
      <c r="AF125" s="201"/>
      <c r="AG125" s="201"/>
      <c r="AH125" s="201"/>
      <c r="AI125" s="201"/>
      <c r="AJ125" s="201"/>
      <c r="AK125" s="201"/>
      <c r="AL125" s="201"/>
      <c r="AM125" s="201"/>
      <c r="AN125" s="201"/>
      <c r="AO125" s="201"/>
    </row>
    <row r="126">
      <c r="A126" s="197"/>
      <c r="B126" s="198"/>
      <c r="C126" s="199"/>
      <c r="D126" s="207"/>
      <c r="E126" s="198"/>
      <c r="F126" s="198"/>
      <c r="G126" s="198"/>
      <c r="H126" s="202"/>
      <c r="I126" s="202"/>
      <c r="J126" s="79"/>
      <c r="K126" s="79"/>
      <c r="L126" s="62"/>
      <c r="M126" s="62"/>
      <c r="N126" s="62"/>
      <c r="O126" s="60"/>
      <c r="P126" s="62"/>
      <c r="Q126" s="66"/>
      <c r="R126" s="62"/>
      <c r="S126" s="62"/>
      <c r="T126" s="62"/>
      <c r="U126" s="74"/>
      <c r="V126" s="62"/>
      <c r="W126" s="75"/>
      <c r="X126" s="74"/>
      <c r="Y126" s="61"/>
      <c r="Z126" s="201"/>
      <c r="AA126" s="201"/>
      <c r="AB126" s="201"/>
      <c r="AC126" s="201"/>
      <c r="AD126" s="201"/>
      <c r="AE126" s="201"/>
      <c r="AF126" s="201"/>
      <c r="AG126" s="201"/>
      <c r="AH126" s="201"/>
      <c r="AI126" s="201"/>
      <c r="AJ126" s="201"/>
      <c r="AK126" s="201"/>
      <c r="AL126" s="201"/>
      <c r="AM126" s="201"/>
      <c r="AN126" s="201"/>
      <c r="AO126" s="201"/>
    </row>
    <row r="127" ht="18.0" customHeight="1">
      <c r="A127" s="197"/>
      <c r="B127" s="198"/>
      <c r="C127" s="199"/>
      <c r="D127" s="197"/>
      <c r="E127" s="198"/>
      <c r="F127" s="198"/>
      <c r="G127" s="198"/>
      <c r="H127" s="199"/>
      <c r="I127" s="200"/>
      <c r="J127" s="62"/>
      <c r="K127" s="62"/>
      <c r="L127" s="62"/>
      <c r="M127" s="62"/>
      <c r="N127" s="62"/>
      <c r="O127" s="60"/>
      <c r="P127" s="62"/>
      <c r="Q127" s="66"/>
      <c r="R127" s="62"/>
      <c r="S127" s="62"/>
      <c r="T127" s="62"/>
      <c r="U127" s="74"/>
      <c r="V127" s="62"/>
      <c r="W127" s="75"/>
      <c r="X127" s="74"/>
      <c r="Y127" s="61"/>
      <c r="Z127" s="201"/>
      <c r="AA127" s="201"/>
      <c r="AB127" s="201"/>
      <c r="AC127" s="201"/>
      <c r="AD127" s="201"/>
      <c r="AE127" s="201"/>
      <c r="AF127" s="201"/>
      <c r="AG127" s="201"/>
      <c r="AH127" s="201"/>
      <c r="AI127" s="201"/>
      <c r="AJ127" s="201"/>
      <c r="AK127" s="201"/>
      <c r="AL127" s="201"/>
      <c r="AM127" s="201"/>
      <c r="AN127" s="201"/>
      <c r="AO127" s="201"/>
    </row>
    <row r="128">
      <c r="A128" s="197"/>
      <c r="B128" s="198"/>
      <c r="C128" s="199"/>
      <c r="D128" s="197"/>
      <c r="E128" s="198"/>
      <c r="F128" s="198"/>
      <c r="G128" s="198"/>
      <c r="H128" s="199"/>
      <c r="I128" s="200"/>
      <c r="J128" s="62"/>
      <c r="K128" s="62"/>
      <c r="L128" s="62"/>
      <c r="M128" s="62"/>
      <c r="N128" s="62"/>
      <c r="O128" s="60"/>
      <c r="P128" s="62"/>
      <c r="Q128" s="66"/>
      <c r="R128" s="62"/>
      <c r="S128" s="62"/>
      <c r="T128" s="62"/>
      <c r="U128" s="74"/>
      <c r="V128" s="62"/>
      <c r="W128" s="75"/>
      <c r="X128" s="74"/>
      <c r="Y128" s="61"/>
      <c r="Z128" s="201"/>
      <c r="AA128" s="201"/>
      <c r="AB128" s="201"/>
      <c r="AC128" s="201"/>
      <c r="AD128" s="201"/>
      <c r="AE128" s="201"/>
      <c r="AF128" s="201"/>
      <c r="AG128" s="201"/>
      <c r="AH128" s="201"/>
      <c r="AI128" s="201"/>
      <c r="AJ128" s="201"/>
      <c r="AK128" s="201"/>
      <c r="AL128" s="201"/>
      <c r="AM128" s="201"/>
      <c r="AN128" s="201"/>
      <c r="AO128" s="201"/>
    </row>
    <row r="129">
      <c r="A129" s="197"/>
      <c r="B129" s="198"/>
      <c r="C129" s="199"/>
      <c r="D129" s="203"/>
      <c r="E129" s="198"/>
      <c r="F129" s="198"/>
      <c r="G129" s="198"/>
      <c r="H129" s="200"/>
      <c r="I129" s="200"/>
      <c r="J129" s="79"/>
      <c r="K129" s="79"/>
      <c r="L129" s="62"/>
      <c r="M129" s="62"/>
      <c r="N129" s="62"/>
      <c r="O129" s="60"/>
      <c r="P129" s="62"/>
      <c r="Q129" s="66"/>
      <c r="R129" s="62"/>
      <c r="S129" s="62"/>
      <c r="T129" s="62"/>
      <c r="U129" s="74"/>
      <c r="V129" s="62"/>
      <c r="W129" s="75"/>
      <c r="X129" s="74"/>
      <c r="Y129" s="61"/>
      <c r="Z129" s="201"/>
      <c r="AA129" s="201"/>
      <c r="AB129" s="201"/>
      <c r="AC129" s="201"/>
      <c r="AD129" s="201"/>
      <c r="AE129" s="201"/>
      <c r="AF129" s="201"/>
      <c r="AG129" s="201"/>
      <c r="AH129" s="201"/>
      <c r="AI129" s="201"/>
      <c r="AJ129" s="201"/>
      <c r="AK129" s="201"/>
      <c r="AL129" s="201"/>
      <c r="AM129" s="201"/>
      <c r="AN129" s="201"/>
      <c r="AO129" s="201"/>
    </row>
    <row r="130">
      <c r="A130" s="197"/>
      <c r="B130" s="198"/>
      <c r="C130" s="199"/>
      <c r="D130" s="206"/>
      <c r="E130" s="198"/>
      <c r="F130" s="198"/>
      <c r="G130" s="198"/>
      <c r="H130" s="200"/>
      <c r="I130" s="200"/>
      <c r="J130" s="79"/>
      <c r="K130" s="79"/>
      <c r="L130" s="62"/>
      <c r="M130" s="62"/>
      <c r="N130" s="62"/>
      <c r="O130" s="60"/>
      <c r="P130" s="62"/>
      <c r="Q130" s="66"/>
      <c r="R130" s="62"/>
      <c r="S130" s="62"/>
      <c r="T130" s="62"/>
      <c r="U130" s="74"/>
      <c r="V130" s="62"/>
      <c r="W130" s="75"/>
      <c r="X130" s="74"/>
      <c r="Y130" s="63"/>
      <c r="Z130" s="201"/>
      <c r="AA130" s="201"/>
      <c r="AB130" s="201"/>
      <c r="AC130" s="201"/>
      <c r="AD130" s="201"/>
      <c r="AE130" s="201"/>
      <c r="AF130" s="201"/>
      <c r="AG130" s="201"/>
      <c r="AH130" s="201"/>
      <c r="AI130" s="201"/>
      <c r="AJ130" s="201"/>
      <c r="AK130" s="201"/>
      <c r="AL130" s="201"/>
      <c r="AM130" s="201"/>
      <c r="AN130" s="201"/>
      <c r="AO130" s="201"/>
    </row>
    <row r="131">
      <c r="A131" s="197"/>
      <c r="B131" s="198"/>
      <c r="C131" s="199"/>
      <c r="D131" s="197"/>
      <c r="E131" s="198"/>
      <c r="F131" s="198"/>
      <c r="G131" s="198"/>
      <c r="H131" s="199"/>
      <c r="I131" s="200"/>
      <c r="J131" s="62"/>
      <c r="K131" s="62"/>
      <c r="L131" s="62"/>
      <c r="M131" s="62"/>
      <c r="N131" s="62"/>
      <c r="O131" s="60"/>
      <c r="P131" s="62"/>
      <c r="Q131" s="66"/>
      <c r="R131" s="62"/>
      <c r="S131" s="62"/>
      <c r="T131" s="62"/>
      <c r="U131" s="74"/>
      <c r="V131" s="62"/>
      <c r="W131" s="75"/>
      <c r="X131" s="74"/>
      <c r="Y131" s="61"/>
      <c r="Z131" s="201"/>
      <c r="AA131" s="201"/>
      <c r="AB131" s="201"/>
      <c r="AC131" s="201"/>
      <c r="AD131" s="201"/>
      <c r="AE131" s="201"/>
      <c r="AF131" s="201"/>
      <c r="AG131" s="201"/>
      <c r="AH131" s="201"/>
      <c r="AI131" s="201"/>
      <c r="AJ131" s="201"/>
      <c r="AK131" s="201"/>
      <c r="AL131" s="201"/>
      <c r="AM131" s="201"/>
      <c r="AN131" s="201"/>
      <c r="AO131" s="201"/>
    </row>
    <row r="132">
      <c r="A132" s="197"/>
      <c r="B132" s="198"/>
      <c r="C132" s="199"/>
      <c r="D132" s="206"/>
      <c r="E132" s="198"/>
      <c r="F132" s="198"/>
      <c r="G132" s="198"/>
      <c r="H132" s="200"/>
      <c r="I132" s="200"/>
      <c r="J132" s="79"/>
      <c r="K132" s="79"/>
      <c r="L132" s="62"/>
      <c r="M132" s="62"/>
      <c r="N132" s="62"/>
      <c r="O132" s="60"/>
      <c r="P132" s="62"/>
      <c r="Q132" s="66"/>
      <c r="R132" s="62"/>
      <c r="S132" s="62"/>
      <c r="T132" s="62"/>
      <c r="U132" s="74"/>
      <c r="V132" s="62"/>
      <c r="W132" s="75"/>
      <c r="X132" s="74"/>
      <c r="Y132" s="61"/>
      <c r="Z132" s="201"/>
      <c r="AA132" s="201"/>
      <c r="AB132" s="201"/>
      <c r="AC132" s="201"/>
      <c r="AD132" s="201"/>
      <c r="AE132" s="201"/>
      <c r="AF132" s="201"/>
      <c r="AG132" s="201"/>
      <c r="AH132" s="201"/>
      <c r="AI132" s="201"/>
      <c r="AJ132" s="201"/>
      <c r="AK132" s="201"/>
      <c r="AL132" s="201"/>
      <c r="AM132" s="201"/>
      <c r="AN132" s="201"/>
      <c r="AO132" s="201"/>
    </row>
    <row r="133">
      <c r="A133" s="197"/>
      <c r="B133" s="198"/>
      <c r="C133" s="199"/>
      <c r="D133" s="197"/>
      <c r="E133" s="198"/>
      <c r="F133" s="198"/>
      <c r="G133" s="198"/>
      <c r="H133" s="199"/>
      <c r="I133" s="200"/>
      <c r="J133" s="62"/>
      <c r="K133" s="62"/>
      <c r="L133" s="62"/>
      <c r="M133" s="62"/>
      <c r="N133" s="62"/>
      <c r="O133" s="60"/>
      <c r="P133" s="62"/>
      <c r="Q133" s="66"/>
      <c r="R133" s="62"/>
      <c r="S133" s="62"/>
      <c r="T133" s="62"/>
      <c r="U133" s="74"/>
      <c r="V133" s="62"/>
      <c r="W133" s="75"/>
      <c r="X133" s="74"/>
      <c r="Y133" s="61"/>
      <c r="Z133" s="201"/>
      <c r="AA133" s="201"/>
      <c r="AB133" s="201"/>
      <c r="AC133" s="201"/>
      <c r="AD133" s="201"/>
      <c r="AE133" s="201"/>
      <c r="AF133" s="201"/>
      <c r="AG133" s="201"/>
      <c r="AH133" s="201"/>
      <c r="AI133" s="201"/>
      <c r="AJ133" s="201"/>
      <c r="AK133" s="201"/>
      <c r="AL133" s="201"/>
      <c r="AM133" s="201"/>
      <c r="AN133" s="201"/>
      <c r="AO133" s="201"/>
    </row>
    <row r="134">
      <c r="A134" s="197"/>
      <c r="B134" s="198"/>
      <c r="C134" s="199"/>
      <c r="D134" s="203"/>
      <c r="E134" s="198"/>
      <c r="F134" s="198"/>
      <c r="G134" s="198"/>
      <c r="H134" s="199"/>
      <c r="I134" s="200"/>
      <c r="J134" s="79"/>
      <c r="K134" s="79"/>
      <c r="L134" s="62"/>
      <c r="M134" s="62"/>
      <c r="N134" s="62"/>
      <c r="O134" s="60"/>
      <c r="P134" s="62"/>
      <c r="Q134" s="66"/>
      <c r="R134" s="62"/>
      <c r="S134" s="62"/>
      <c r="T134" s="62"/>
      <c r="U134" s="74"/>
      <c r="V134" s="62"/>
      <c r="W134" s="75"/>
      <c r="X134" s="74"/>
      <c r="Y134" s="61"/>
      <c r="Z134" s="201"/>
      <c r="AA134" s="201"/>
      <c r="AB134" s="201"/>
      <c r="AC134" s="201"/>
      <c r="AD134" s="201"/>
      <c r="AE134" s="201"/>
      <c r="AF134" s="201"/>
      <c r="AG134" s="201"/>
      <c r="AH134" s="201"/>
      <c r="AI134" s="201"/>
      <c r="AJ134" s="201"/>
      <c r="AK134" s="201"/>
      <c r="AL134" s="201"/>
      <c r="AM134" s="201"/>
      <c r="AN134" s="201"/>
      <c r="AO134" s="201"/>
    </row>
    <row r="135">
      <c r="A135" s="197"/>
      <c r="B135" s="198"/>
      <c r="C135" s="199"/>
      <c r="D135" s="197"/>
      <c r="E135" s="198"/>
      <c r="F135" s="198"/>
      <c r="G135" s="198"/>
      <c r="H135" s="199"/>
      <c r="I135" s="200"/>
      <c r="J135" s="62"/>
      <c r="K135" s="62"/>
      <c r="L135" s="62"/>
      <c r="M135" s="62"/>
      <c r="N135" s="62"/>
      <c r="O135" s="60"/>
      <c r="P135" s="62"/>
      <c r="Q135" s="66"/>
      <c r="R135" s="62"/>
      <c r="S135" s="62"/>
      <c r="T135" s="62"/>
      <c r="U135" s="74"/>
      <c r="V135" s="62"/>
      <c r="W135" s="75"/>
      <c r="X135" s="74"/>
      <c r="Y135" s="61"/>
      <c r="Z135" s="201"/>
      <c r="AA135" s="201"/>
      <c r="AB135" s="201"/>
      <c r="AC135" s="201"/>
      <c r="AD135" s="201"/>
      <c r="AE135" s="201"/>
      <c r="AF135" s="201"/>
      <c r="AG135" s="201"/>
      <c r="AH135" s="201"/>
      <c r="AI135" s="201"/>
      <c r="AJ135" s="201"/>
      <c r="AK135" s="201"/>
      <c r="AL135" s="201"/>
      <c r="AM135" s="201"/>
      <c r="AN135" s="201"/>
      <c r="AO135" s="201"/>
    </row>
    <row r="136">
      <c r="A136" s="197"/>
      <c r="B136" s="198"/>
      <c r="C136" s="199"/>
      <c r="D136" s="197"/>
      <c r="E136" s="198"/>
      <c r="F136" s="198"/>
      <c r="G136" s="198"/>
      <c r="H136" s="199"/>
      <c r="I136" s="200"/>
      <c r="J136" s="62"/>
      <c r="K136" s="62"/>
      <c r="L136" s="62"/>
      <c r="M136" s="62"/>
      <c r="N136" s="62"/>
      <c r="O136" s="60"/>
      <c r="P136" s="62"/>
      <c r="Q136" s="66"/>
      <c r="R136" s="62"/>
      <c r="S136" s="62"/>
      <c r="T136" s="62"/>
      <c r="U136" s="74"/>
      <c r="V136" s="62"/>
      <c r="W136" s="75"/>
      <c r="X136" s="74"/>
      <c r="Y136" s="61"/>
      <c r="Z136" s="201"/>
      <c r="AA136" s="201"/>
      <c r="AB136" s="201"/>
      <c r="AC136" s="201"/>
      <c r="AD136" s="201"/>
      <c r="AE136" s="201"/>
      <c r="AF136" s="201"/>
      <c r="AG136" s="201"/>
      <c r="AH136" s="201"/>
      <c r="AI136" s="201"/>
      <c r="AJ136" s="201"/>
      <c r="AK136" s="201"/>
      <c r="AL136" s="201"/>
      <c r="AM136" s="201"/>
      <c r="AN136" s="201"/>
      <c r="AO136" s="201"/>
    </row>
    <row r="137">
      <c r="A137" s="197"/>
      <c r="B137" s="198"/>
      <c r="C137" s="199"/>
      <c r="D137" s="205"/>
      <c r="E137" s="198"/>
      <c r="F137" s="198"/>
      <c r="G137" s="198"/>
      <c r="H137" s="200"/>
      <c r="I137" s="200"/>
      <c r="J137" s="79"/>
      <c r="K137" s="79"/>
      <c r="L137" s="62"/>
      <c r="M137" s="62"/>
      <c r="N137" s="62"/>
      <c r="O137" s="60"/>
      <c r="P137" s="62"/>
      <c r="Q137" s="66"/>
      <c r="R137" s="62"/>
      <c r="S137" s="62"/>
      <c r="T137" s="62"/>
      <c r="U137" s="74"/>
      <c r="V137" s="62"/>
      <c r="W137" s="75"/>
      <c r="X137" s="74"/>
      <c r="Y137" s="61"/>
      <c r="Z137" s="201"/>
      <c r="AA137" s="201"/>
      <c r="AB137" s="201"/>
      <c r="AC137" s="201"/>
      <c r="AD137" s="201"/>
      <c r="AE137" s="201"/>
      <c r="AF137" s="201"/>
      <c r="AG137" s="201"/>
      <c r="AH137" s="201"/>
      <c r="AI137" s="201"/>
      <c r="AJ137" s="201"/>
      <c r="AK137" s="201"/>
      <c r="AL137" s="201"/>
      <c r="AM137" s="201"/>
      <c r="AN137" s="201"/>
      <c r="AO137" s="201"/>
    </row>
    <row r="138">
      <c r="A138" s="197"/>
      <c r="B138" s="198"/>
      <c r="C138" s="199"/>
      <c r="D138" s="206"/>
      <c r="E138" s="198"/>
      <c r="F138" s="198"/>
      <c r="G138" s="198"/>
      <c r="H138" s="200"/>
      <c r="I138" s="200"/>
      <c r="J138" s="79"/>
      <c r="K138" s="79"/>
      <c r="L138" s="62"/>
      <c r="M138" s="62"/>
      <c r="N138" s="62"/>
      <c r="O138" s="60"/>
      <c r="P138" s="62"/>
      <c r="Q138" s="66"/>
      <c r="R138" s="62"/>
      <c r="S138" s="62"/>
      <c r="T138" s="62"/>
      <c r="U138" s="74"/>
      <c r="V138" s="62"/>
      <c r="W138" s="75"/>
      <c r="X138" s="74"/>
      <c r="Y138" s="61"/>
      <c r="Z138" s="201"/>
      <c r="AA138" s="201"/>
      <c r="AB138" s="201"/>
      <c r="AC138" s="201"/>
      <c r="AD138" s="201"/>
      <c r="AE138" s="201"/>
      <c r="AF138" s="201"/>
      <c r="AG138" s="201"/>
      <c r="AH138" s="201"/>
      <c r="AI138" s="201"/>
      <c r="AJ138" s="201"/>
      <c r="AK138" s="201"/>
      <c r="AL138" s="201"/>
      <c r="AM138" s="201"/>
      <c r="AN138" s="201"/>
      <c r="AO138" s="201"/>
    </row>
    <row r="139">
      <c r="A139" s="197"/>
      <c r="B139" s="198"/>
      <c r="C139" s="199"/>
      <c r="D139" s="206"/>
      <c r="E139" s="198"/>
      <c r="F139" s="198"/>
      <c r="G139" s="198"/>
      <c r="H139" s="199"/>
      <c r="I139" s="200"/>
      <c r="J139" s="62"/>
      <c r="K139" s="62"/>
      <c r="L139" s="62"/>
      <c r="M139" s="62"/>
      <c r="N139" s="62"/>
      <c r="O139" s="60"/>
      <c r="P139" s="62"/>
      <c r="Q139" s="66"/>
      <c r="R139" s="62"/>
      <c r="S139" s="62"/>
      <c r="T139" s="62"/>
      <c r="U139" s="74"/>
      <c r="V139" s="62"/>
      <c r="W139" s="75"/>
      <c r="X139" s="74"/>
      <c r="Y139" s="61"/>
      <c r="Z139" s="201"/>
      <c r="AA139" s="201"/>
      <c r="AB139" s="201"/>
      <c r="AC139" s="201"/>
      <c r="AD139" s="201"/>
      <c r="AE139" s="201"/>
      <c r="AF139" s="201"/>
      <c r="AG139" s="201"/>
      <c r="AH139" s="201"/>
      <c r="AI139" s="201"/>
      <c r="AJ139" s="201"/>
      <c r="AK139" s="201"/>
      <c r="AL139" s="201"/>
      <c r="AM139" s="201"/>
      <c r="AN139" s="201"/>
      <c r="AO139" s="201"/>
    </row>
    <row r="140">
      <c r="A140" s="197"/>
      <c r="B140" s="198"/>
      <c r="C140" s="200"/>
      <c r="D140" s="197"/>
      <c r="E140" s="198"/>
      <c r="F140" s="198"/>
      <c r="G140" s="198"/>
      <c r="H140" s="199"/>
      <c r="I140" s="200"/>
      <c r="J140" s="62"/>
      <c r="K140" s="62"/>
      <c r="L140" s="62"/>
      <c r="M140" s="62"/>
      <c r="N140" s="62"/>
      <c r="O140" s="60"/>
      <c r="P140" s="62"/>
      <c r="Q140" s="66"/>
      <c r="R140" s="62"/>
      <c r="S140" s="62"/>
      <c r="T140" s="62"/>
      <c r="U140" s="74"/>
      <c r="V140" s="62"/>
      <c r="W140" s="75"/>
      <c r="X140" s="74"/>
      <c r="Y140" s="61"/>
      <c r="Z140" s="201"/>
      <c r="AA140" s="201"/>
      <c r="AB140" s="201"/>
      <c r="AC140" s="201"/>
      <c r="AD140" s="201"/>
      <c r="AE140" s="201"/>
      <c r="AF140" s="201"/>
      <c r="AG140" s="201"/>
      <c r="AH140" s="201"/>
      <c r="AI140" s="201"/>
      <c r="AJ140" s="201"/>
      <c r="AK140" s="201"/>
      <c r="AL140" s="201"/>
      <c r="AM140" s="201"/>
      <c r="AN140" s="201"/>
      <c r="AO140" s="201"/>
    </row>
    <row r="141">
      <c r="A141" s="197"/>
      <c r="B141" s="198"/>
      <c r="C141" s="199"/>
      <c r="D141" s="206"/>
      <c r="E141" s="198"/>
      <c r="F141" s="198"/>
      <c r="G141" s="198"/>
      <c r="H141" s="200"/>
      <c r="I141" s="200"/>
      <c r="J141" s="79"/>
      <c r="K141" s="79"/>
      <c r="L141" s="62"/>
      <c r="M141" s="62"/>
      <c r="N141" s="62"/>
      <c r="O141" s="60"/>
      <c r="P141" s="62"/>
      <c r="Q141" s="66"/>
      <c r="R141" s="62"/>
      <c r="S141" s="62"/>
      <c r="T141" s="62"/>
      <c r="U141" s="74"/>
      <c r="V141" s="62"/>
      <c r="W141" s="75"/>
      <c r="X141" s="74"/>
      <c r="Y141" s="61"/>
      <c r="Z141" s="201"/>
      <c r="AA141" s="201"/>
      <c r="AB141" s="201"/>
      <c r="AC141" s="201"/>
      <c r="AD141" s="201"/>
      <c r="AE141" s="201"/>
      <c r="AF141" s="201"/>
      <c r="AG141" s="201"/>
      <c r="AH141" s="201"/>
      <c r="AI141" s="201"/>
      <c r="AJ141" s="201"/>
      <c r="AK141" s="201"/>
      <c r="AL141" s="201"/>
      <c r="AM141" s="201"/>
      <c r="AN141" s="201"/>
      <c r="AO141" s="201"/>
    </row>
    <row r="142">
      <c r="A142" s="197"/>
      <c r="B142" s="198"/>
      <c r="C142" s="199"/>
      <c r="D142" s="206"/>
      <c r="E142" s="198"/>
      <c r="F142" s="198"/>
      <c r="G142" s="198"/>
      <c r="H142" s="200"/>
      <c r="I142" s="200"/>
      <c r="J142" s="79"/>
      <c r="K142" s="79"/>
      <c r="L142" s="62"/>
      <c r="M142" s="62"/>
      <c r="N142" s="62"/>
      <c r="O142" s="60"/>
      <c r="P142" s="62"/>
      <c r="Q142" s="66"/>
      <c r="R142" s="62"/>
      <c r="S142" s="62"/>
      <c r="T142" s="62"/>
      <c r="U142" s="74"/>
      <c r="V142" s="62"/>
      <c r="W142" s="75"/>
      <c r="X142" s="74"/>
      <c r="Y142" s="61"/>
      <c r="Z142" s="201"/>
      <c r="AA142" s="201"/>
      <c r="AB142" s="201"/>
      <c r="AC142" s="201"/>
      <c r="AD142" s="201"/>
      <c r="AE142" s="201"/>
      <c r="AF142" s="201"/>
      <c r="AG142" s="201"/>
      <c r="AH142" s="201"/>
      <c r="AI142" s="201"/>
      <c r="AJ142" s="201"/>
      <c r="AK142" s="201"/>
      <c r="AL142" s="201"/>
      <c r="AM142" s="201"/>
      <c r="AN142" s="201"/>
      <c r="AO142" s="201"/>
    </row>
    <row r="143">
      <c r="A143" s="197"/>
      <c r="B143" s="198"/>
      <c r="C143" s="200"/>
      <c r="D143" s="197"/>
      <c r="E143" s="198"/>
      <c r="F143" s="198"/>
      <c r="G143" s="198"/>
      <c r="H143" s="202"/>
      <c r="I143" s="202"/>
      <c r="J143" s="62"/>
      <c r="K143" s="62"/>
      <c r="L143" s="62"/>
      <c r="M143" s="62"/>
      <c r="N143" s="62"/>
      <c r="O143" s="60"/>
      <c r="P143" s="62"/>
      <c r="Q143" s="66"/>
      <c r="R143" s="62"/>
      <c r="S143" s="62"/>
      <c r="T143" s="62"/>
      <c r="U143" s="74"/>
      <c r="V143" s="62"/>
      <c r="W143" s="75"/>
      <c r="X143" s="74"/>
      <c r="Y143" s="61"/>
      <c r="Z143" s="201"/>
      <c r="AA143" s="201"/>
      <c r="AB143" s="201"/>
      <c r="AC143" s="201"/>
      <c r="AD143" s="201"/>
      <c r="AE143" s="201"/>
      <c r="AF143" s="201"/>
      <c r="AG143" s="201"/>
      <c r="AH143" s="201"/>
      <c r="AI143" s="201"/>
      <c r="AJ143" s="201"/>
      <c r="AK143" s="201"/>
      <c r="AL143" s="201"/>
      <c r="AM143" s="201"/>
      <c r="AN143" s="201"/>
      <c r="AO143" s="201"/>
    </row>
    <row r="144">
      <c r="A144" s="197"/>
      <c r="B144" s="198"/>
      <c r="C144" s="199"/>
      <c r="D144" s="206"/>
      <c r="E144" s="198"/>
      <c r="F144" s="198"/>
      <c r="G144" s="198"/>
      <c r="H144" s="200"/>
      <c r="I144" s="200"/>
      <c r="J144" s="79"/>
      <c r="K144" s="79"/>
      <c r="L144" s="62"/>
      <c r="M144" s="62"/>
      <c r="N144" s="62"/>
      <c r="O144" s="60"/>
      <c r="P144" s="62"/>
      <c r="Q144" s="66"/>
      <c r="R144" s="62"/>
      <c r="S144" s="62"/>
      <c r="T144" s="62"/>
      <c r="U144" s="74"/>
      <c r="V144" s="62"/>
      <c r="W144" s="75"/>
      <c r="X144" s="74"/>
      <c r="Y144" s="61"/>
      <c r="Z144" s="201"/>
      <c r="AA144" s="201"/>
      <c r="AB144" s="201"/>
      <c r="AC144" s="201"/>
      <c r="AD144" s="201"/>
      <c r="AE144" s="201"/>
      <c r="AF144" s="201"/>
      <c r="AG144" s="201"/>
      <c r="AH144" s="201"/>
      <c r="AI144" s="201"/>
      <c r="AJ144" s="201"/>
      <c r="AK144" s="201"/>
      <c r="AL144" s="201"/>
      <c r="AM144" s="201"/>
      <c r="AN144" s="201"/>
      <c r="AO144" s="201"/>
    </row>
    <row r="145">
      <c r="A145" s="197"/>
      <c r="B145" s="198"/>
      <c r="C145" s="199"/>
      <c r="D145" s="206"/>
      <c r="E145" s="198"/>
      <c r="F145" s="198"/>
      <c r="G145" s="198"/>
      <c r="H145" s="200"/>
      <c r="I145" s="200"/>
      <c r="J145" s="79"/>
      <c r="K145" s="79"/>
      <c r="L145" s="62"/>
      <c r="M145" s="62"/>
      <c r="N145" s="62"/>
      <c r="O145" s="60"/>
      <c r="P145" s="62"/>
      <c r="Q145" s="66"/>
      <c r="R145" s="62"/>
      <c r="S145" s="62"/>
      <c r="T145" s="62"/>
      <c r="U145" s="74"/>
      <c r="V145" s="62"/>
      <c r="W145" s="75"/>
      <c r="X145" s="74"/>
      <c r="Y145" s="61"/>
      <c r="Z145" s="201"/>
      <c r="AA145" s="201"/>
      <c r="AB145" s="201"/>
      <c r="AC145" s="201"/>
      <c r="AD145" s="201"/>
      <c r="AE145" s="201"/>
      <c r="AF145" s="201"/>
      <c r="AG145" s="201"/>
      <c r="AH145" s="201"/>
      <c r="AI145" s="201"/>
      <c r="AJ145" s="201"/>
      <c r="AK145" s="201"/>
      <c r="AL145" s="201"/>
      <c r="AM145" s="201"/>
      <c r="AN145" s="201"/>
      <c r="AO145" s="201"/>
    </row>
    <row r="146">
      <c r="A146" s="197"/>
      <c r="B146" s="198"/>
      <c r="C146" s="199"/>
      <c r="D146" s="197"/>
      <c r="E146" s="198"/>
      <c r="F146" s="198"/>
      <c r="G146" s="198"/>
      <c r="H146" s="199"/>
      <c r="I146" s="200"/>
      <c r="J146" s="62"/>
      <c r="K146" s="62"/>
      <c r="L146" s="62"/>
      <c r="M146" s="62"/>
      <c r="N146" s="62"/>
      <c r="O146" s="60"/>
      <c r="P146" s="62"/>
      <c r="Q146" s="66"/>
      <c r="R146" s="62"/>
      <c r="S146" s="62"/>
      <c r="T146" s="62"/>
      <c r="U146" s="74"/>
      <c r="V146" s="62"/>
      <c r="W146" s="75"/>
      <c r="X146" s="74"/>
      <c r="Y146" s="61"/>
      <c r="Z146" s="201"/>
      <c r="AA146" s="201"/>
      <c r="AB146" s="201"/>
      <c r="AC146" s="201"/>
      <c r="AD146" s="201"/>
      <c r="AE146" s="201"/>
      <c r="AF146" s="201"/>
      <c r="AG146" s="201"/>
      <c r="AH146" s="201"/>
      <c r="AI146" s="201"/>
      <c r="AJ146" s="201"/>
      <c r="AK146" s="201"/>
      <c r="AL146" s="201"/>
      <c r="AM146" s="201"/>
      <c r="AN146" s="201"/>
      <c r="AO146" s="201"/>
    </row>
    <row r="147">
      <c r="A147" s="197"/>
      <c r="B147" s="198"/>
      <c r="C147" s="199"/>
      <c r="D147" s="206"/>
      <c r="E147" s="198"/>
      <c r="F147" s="198"/>
      <c r="G147" s="198"/>
      <c r="H147" s="200"/>
      <c r="I147" s="200"/>
      <c r="J147" s="79"/>
      <c r="K147" s="79"/>
      <c r="L147" s="62"/>
      <c r="M147" s="62"/>
      <c r="N147" s="62"/>
      <c r="O147" s="60"/>
      <c r="P147" s="62"/>
      <c r="Q147" s="66"/>
      <c r="R147" s="62"/>
      <c r="S147" s="62"/>
      <c r="T147" s="62"/>
      <c r="U147" s="74"/>
      <c r="V147" s="62"/>
      <c r="W147" s="75"/>
      <c r="X147" s="74"/>
      <c r="Y147" s="61"/>
      <c r="Z147" s="201"/>
      <c r="AA147" s="201"/>
      <c r="AB147" s="201"/>
      <c r="AC147" s="201"/>
      <c r="AD147" s="201"/>
      <c r="AE147" s="201"/>
      <c r="AF147" s="201"/>
      <c r="AG147" s="201"/>
      <c r="AH147" s="201"/>
      <c r="AI147" s="201"/>
      <c r="AJ147" s="201"/>
      <c r="AK147" s="201"/>
      <c r="AL147" s="201"/>
      <c r="AM147" s="201"/>
      <c r="AN147" s="201"/>
      <c r="AO147" s="201"/>
    </row>
    <row r="148">
      <c r="A148" s="197"/>
      <c r="B148" s="198"/>
      <c r="C148" s="204"/>
      <c r="D148" s="197"/>
      <c r="E148" s="198"/>
      <c r="F148" s="198"/>
      <c r="G148" s="198"/>
      <c r="H148" s="199"/>
      <c r="I148" s="200"/>
      <c r="J148" s="62"/>
      <c r="K148" s="62"/>
      <c r="L148" s="62"/>
      <c r="M148" s="62"/>
      <c r="N148" s="62"/>
      <c r="O148" s="60"/>
      <c r="P148" s="62"/>
      <c r="Q148" s="66"/>
      <c r="R148" s="62"/>
      <c r="S148" s="62"/>
      <c r="T148" s="62"/>
      <c r="U148" s="74"/>
      <c r="V148" s="62"/>
      <c r="W148" s="75"/>
      <c r="X148" s="74"/>
      <c r="Y148" s="61"/>
      <c r="Z148" s="201"/>
      <c r="AA148" s="201"/>
      <c r="AB148" s="201"/>
      <c r="AC148" s="201"/>
      <c r="AD148" s="201"/>
      <c r="AE148" s="201"/>
      <c r="AF148" s="201"/>
      <c r="AG148" s="201"/>
      <c r="AH148" s="201"/>
      <c r="AI148" s="201"/>
      <c r="AJ148" s="201"/>
      <c r="AK148" s="201"/>
      <c r="AL148" s="201"/>
      <c r="AM148" s="201"/>
      <c r="AN148" s="201"/>
      <c r="AO148" s="201"/>
    </row>
    <row r="149">
      <c r="A149" s="197"/>
      <c r="B149" s="198"/>
      <c r="C149" s="199"/>
      <c r="D149" s="203"/>
      <c r="E149" s="198"/>
      <c r="F149" s="198"/>
      <c r="G149" s="198"/>
      <c r="H149" s="200"/>
      <c r="I149" s="200"/>
      <c r="J149" s="79"/>
      <c r="K149" s="79"/>
      <c r="L149" s="62"/>
      <c r="M149" s="62"/>
      <c r="N149" s="62"/>
      <c r="O149" s="60"/>
      <c r="P149" s="62"/>
      <c r="Q149" s="66"/>
      <c r="R149" s="62"/>
      <c r="S149" s="62"/>
      <c r="T149" s="62"/>
      <c r="U149" s="74"/>
      <c r="V149" s="62"/>
      <c r="W149" s="75"/>
      <c r="X149" s="74"/>
      <c r="Y149" s="61"/>
      <c r="Z149" s="201"/>
      <c r="AA149" s="201"/>
      <c r="AB149" s="201"/>
      <c r="AC149" s="201"/>
      <c r="AD149" s="201"/>
      <c r="AE149" s="201"/>
      <c r="AF149" s="201"/>
      <c r="AG149" s="201"/>
      <c r="AH149" s="201"/>
      <c r="AI149" s="201"/>
      <c r="AJ149" s="201"/>
      <c r="AK149" s="201"/>
      <c r="AL149" s="201"/>
      <c r="AM149" s="201"/>
      <c r="AN149" s="201"/>
      <c r="AO149" s="201"/>
    </row>
    <row r="150">
      <c r="A150" s="197"/>
      <c r="B150" s="198"/>
      <c r="C150" s="199"/>
      <c r="D150" s="206"/>
      <c r="E150" s="198"/>
      <c r="F150" s="198"/>
      <c r="G150" s="198"/>
      <c r="H150" s="199"/>
      <c r="I150" s="200"/>
      <c r="J150" s="62"/>
      <c r="K150" s="62"/>
      <c r="L150" s="62"/>
      <c r="M150" s="62"/>
      <c r="N150" s="62"/>
      <c r="O150" s="60"/>
      <c r="P150" s="62"/>
      <c r="Q150" s="66"/>
      <c r="R150" s="62"/>
      <c r="S150" s="62"/>
      <c r="T150" s="62"/>
      <c r="U150" s="74"/>
      <c r="V150" s="62"/>
      <c r="W150" s="75"/>
      <c r="X150" s="74"/>
      <c r="Y150" s="61"/>
      <c r="Z150" s="201"/>
      <c r="AA150" s="201"/>
      <c r="AB150" s="201"/>
      <c r="AC150" s="201"/>
      <c r="AD150" s="201"/>
      <c r="AE150" s="201"/>
      <c r="AF150" s="201"/>
      <c r="AG150" s="201"/>
      <c r="AH150" s="201"/>
      <c r="AI150" s="201"/>
      <c r="AJ150" s="201"/>
      <c r="AK150" s="201"/>
      <c r="AL150" s="201"/>
      <c r="AM150" s="201"/>
      <c r="AN150" s="201"/>
      <c r="AO150" s="201"/>
    </row>
    <row r="151">
      <c r="A151" s="197"/>
      <c r="B151" s="198"/>
      <c r="C151" s="199"/>
      <c r="D151" s="206"/>
      <c r="E151" s="198"/>
      <c r="F151" s="198"/>
      <c r="G151" s="198"/>
      <c r="H151" s="200"/>
      <c r="I151" s="200"/>
      <c r="J151" s="79"/>
      <c r="K151" s="79"/>
      <c r="L151" s="62"/>
      <c r="M151" s="62"/>
      <c r="N151" s="62"/>
      <c r="O151" s="60"/>
      <c r="P151" s="62"/>
      <c r="Q151" s="66"/>
      <c r="R151" s="62"/>
      <c r="S151" s="62"/>
      <c r="T151" s="62"/>
      <c r="U151" s="74"/>
      <c r="V151" s="62"/>
      <c r="W151" s="75"/>
      <c r="X151" s="74"/>
      <c r="Y151" s="61"/>
      <c r="Z151" s="201"/>
      <c r="AA151" s="201"/>
      <c r="AB151" s="201"/>
      <c r="AC151" s="201"/>
      <c r="AD151" s="201"/>
      <c r="AE151" s="201"/>
      <c r="AF151" s="201"/>
      <c r="AG151" s="201"/>
      <c r="AH151" s="201"/>
      <c r="AI151" s="201"/>
      <c r="AJ151" s="201"/>
      <c r="AK151" s="201"/>
      <c r="AL151" s="201"/>
      <c r="AM151" s="201"/>
      <c r="AN151" s="201"/>
      <c r="AO151" s="201"/>
    </row>
    <row r="152">
      <c r="A152" s="197"/>
      <c r="B152" s="198"/>
      <c r="C152" s="199"/>
      <c r="D152" s="197"/>
      <c r="E152" s="198"/>
      <c r="F152" s="198"/>
      <c r="G152" s="198"/>
      <c r="H152" s="199"/>
      <c r="I152" s="200"/>
      <c r="J152" s="62"/>
      <c r="K152" s="62"/>
      <c r="L152" s="62"/>
      <c r="M152" s="62"/>
      <c r="N152" s="62"/>
      <c r="O152" s="60"/>
      <c r="P152" s="62"/>
      <c r="Q152" s="66"/>
      <c r="R152" s="62"/>
      <c r="S152" s="62"/>
      <c r="T152" s="62"/>
      <c r="U152" s="74"/>
      <c r="V152" s="62"/>
      <c r="W152" s="75"/>
      <c r="X152" s="74"/>
      <c r="Y152" s="61"/>
      <c r="Z152" s="201"/>
      <c r="AA152" s="201"/>
      <c r="AB152" s="201"/>
      <c r="AC152" s="201"/>
      <c r="AD152" s="201"/>
      <c r="AE152" s="201"/>
      <c r="AF152" s="201"/>
      <c r="AG152" s="201"/>
      <c r="AH152" s="201"/>
      <c r="AI152" s="201"/>
      <c r="AJ152" s="201"/>
      <c r="AK152" s="201"/>
      <c r="AL152" s="201"/>
      <c r="AM152" s="201"/>
      <c r="AN152" s="201"/>
      <c r="AO152" s="201"/>
    </row>
    <row r="153">
      <c r="A153" s="197"/>
      <c r="B153" s="198"/>
      <c r="C153" s="199"/>
      <c r="D153" s="206"/>
      <c r="E153" s="198"/>
      <c r="F153" s="198"/>
      <c r="G153" s="198"/>
      <c r="H153" s="202"/>
      <c r="I153" s="202"/>
      <c r="J153" s="79"/>
      <c r="K153" s="79"/>
      <c r="L153" s="62"/>
      <c r="M153" s="62"/>
      <c r="N153" s="62"/>
      <c r="O153" s="60"/>
      <c r="P153" s="62"/>
      <c r="Q153" s="66"/>
      <c r="R153" s="62"/>
      <c r="S153" s="62"/>
      <c r="T153" s="62"/>
      <c r="U153" s="74"/>
      <c r="V153" s="62"/>
      <c r="W153" s="75"/>
      <c r="X153" s="74"/>
      <c r="Y153" s="61"/>
      <c r="Z153" s="201"/>
      <c r="AA153" s="201"/>
      <c r="AB153" s="201"/>
      <c r="AC153" s="201"/>
      <c r="AD153" s="201"/>
      <c r="AE153" s="201"/>
      <c r="AF153" s="201"/>
      <c r="AG153" s="201"/>
      <c r="AH153" s="201"/>
      <c r="AI153" s="201"/>
      <c r="AJ153" s="201"/>
      <c r="AK153" s="201"/>
      <c r="AL153" s="201"/>
      <c r="AM153" s="201"/>
      <c r="AN153" s="201"/>
      <c r="AO153" s="201"/>
    </row>
    <row r="154">
      <c r="A154" s="197"/>
      <c r="B154" s="198"/>
      <c r="C154" s="199"/>
      <c r="D154" s="197"/>
      <c r="E154" s="198"/>
      <c r="F154" s="198"/>
      <c r="G154" s="198"/>
      <c r="H154" s="199"/>
      <c r="I154" s="200"/>
      <c r="J154" s="62"/>
      <c r="K154" s="62"/>
      <c r="L154" s="62"/>
      <c r="M154" s="62"/>
      <c r="N154" s="62"/>
      <c r="O154" s="60"/>
      <c r="P154" s="62"/>
      <c r="Q154" s="66"/>
      <c r="R154" s="62"/>
      <c r="S154" s="62"/>
      <c r="T154" s="62"/>
      <c r="U154" s="74"/>
      <c r="V154" s="62"/>
      <c r="W154" s="75"/>
      <c r="X154" s="74"/>
      <c r="Y154" s="61"/>
      <c r="Z154" s="201"/>
      <c r="AA154" s="201"/>
      <c r="AB154" s="201"/>
      <c r="AC154" s="201"/>
      <c r="AD154" s="201"/>
      <c r="AE154" s="201"/>
      <c r="AF154" s="201"/>
      <c r="AG154" s="201"/>
      <c r="AH154" s="201"/>
      <c r="AI154" s="201"/>
      <c r="AJ154" s="201"/>
      <c r="AK154" s="201"/>
      <c r="AL154" s="201"/>
      <c r="AM154" s="201"/>
      <c r="AN154" s="201"/>
      <c r="AO154" s="201"/>
    </row>
    <row r="155">
      <c r="A155" s="197"/>
      <c r="B155" s="198"/>
      <c r="C155" s="199"/>
      <c r="D155" s="206"/>
      <c r="E155" s="198"/>
      <c r="F155" s="198"/>
      <c r="G155" s="198"/>
      <c r="H155" s="199"/>
      <c r="I155" s="200"/>
      <c r="J155" s="79"/>
      <c r="K155" s="79"/>
      <c r="L155" s="62"/>
      <c r="M155" s="62"/>
      <c r="N155" s="62"/>
      <c r="O155" s="60"/>
      <c r="P155" s="62"/>
      <c r="Q155" s="66"/>
      <c r="R155" s="62"/>
      <c r="S155" s="62"/>
      <c r="T155" s="62"/>
      <c r="U155" s="74"/>
      <c r="V155" s="62"/>
      <c r="W155" s="75"/>
      <c r="X155" s="74"/>
      <c r="Y155" s="61"/>
      <c r="Z155" s="201"/>
      <c r="AA155" s="201"/>
      <c r="AB155" s="201"/>
      <c r="AC155" s="201"/>
      <c r="AD155" s="201"/>
      <c r="AE155" s="201"/>
      <c r="AF155" s="201"/>
      <c r="AG155" s="201"/>
      <c r="AH155" s="201"/>
      <c r="AI155" s="201"/>
      <c r="AJ155" s="201"/>
      <c r="AK155" s="201"/>
      <c r="AL155" s="201"/>
      <c r="AM155" s="201"/>
      <c r="AN155" s="201"/>
      <c r="AO155" s="201"/>
    </row>
    <row r="156">
      <c r="A156" s="197"/>
      <c r="B156" s="198"/>
      <c r="C156" s="204"/>
      <c r="D156" s="197"/>
      <c r="E156" s="198"/>
      <c r="F156" s="198"/>
      <c r="G156" s="198"/>
      <c r="H156" s="199"/>
      <c r="I156" s="200"/>
      <c r="J156" s="62"/>
      <c r="K156" s="62"/>
      <c r="L156" s="62"/>
      <c r="M156" s="62"/>
      <c r="N156" s="62"/>
      <c r="O156" s="60"/>
      <c r="P156" s="62"/>
      <c r="Q156" s="66"/>
      <c r="R156" s="62"/>
      <c r="S156" s="62"/>
      <c r="T156" s="62"/>
      <c r="U156" s="74"/>
      <c r="V156" s="62"/>
      <c r="W156" s="75"/>
      <c r="X156" s="74"/>
      <c r="Y156" s="61"/>
      <c r="Z156" s="201"/>
      <c r="AA156" s="201"/>
      <c r="AB156" s="201"/>
      <c r="AC156" s="201"/>
      <c r="AD156" s="201"/>
      <c r="AE156" s="201"/>
      <c r="AF156" s="201"/>
      <c r="AG156" s="201"/>
      <c r="AH156" s="201"/>
      <c r="AI156" s="201"/>
      <c r="AJ156" s="201"/>
      <c r="AK156" s="201"/>
      <c r="AL156" s="201"/>
      <c r="AM156" s="201"/>
      <c r="AN156" s="201"/>
      <c r="AO156" s="201"/>
    </row>
    <row r="157">
      <c r="A157" s="197"/>
      <c r="B157" s="198"/>
      <c r="C157" s="199"/>
      <c r="D157" s="197"/>
      <c r="E157" s="198"/>
      <c r="F157" s="198"/>
      <c r="G157" s="198"/>
      <c r="H157" s="199"/>
      <c r="I157" s="200"/>
      <c r="J157" s="62"/>
      <c r="K157" s="62"/>
      <c r="L157" s="62"/>
      <c r="M157" s="62"/>
      <c r="N157" s="62"/>
      <c r="O157" s="60"/>
      <c r="P157" s="62"/>
      <c r="Q157" s="66"/>
      <c r="R157" s="62"/>
      <c r="S157" s="62"/>
      <c r="T157" s="62"/>
      <c r="U157" s="74"/>
      <c r="V157" s="62"/>
      <c r="W157" s="75"/>
      <c r="X157" s="74"/>
      <c r="Y157" s="61"/>
      <c r="Z157" s="201"/>
      <c r="AA157" s="201"/>
      <c r="AB157" s="201"/>
      <c r="AC157" s="201"/>
      <c r="AD157" s="201"/>
      <c r="AE157" s="201"/>
      <c r="AF157" s="201"/>
      <c r="AG157" s="201"/>
      <c r="AH157" s="201"/>
      <c r="AI157" s="201"/>
      <c r="AJ157" s="201"/>
      <c r="AK157" s="201"/>
      <c r="AL157" s="201"/>
      <c r="AM157" s="201"/>
      <c r="AN157" s="201"/>
      <c r="AO157" s="201"/>
    </row>
    <row r="158">
      <c r="A158" s="197"/>
      <c r="B158" s="198"/>
      <c r="C158" s="199"/>
      <c r="D158" s="206"/>
      <c r="E158" s="198"/>
      <c r="F158" s="198"/>
      <c r="G158" s="198"/>
      <c r="H158" s="200"/>
      <c r="I158" s="200"/>
      <c r="J158" s="79"/>
      <c r="K158" s="79"/>
      <c r="L158" s="62"/>
      <c r="M158" s="62"/>
      <c r="N158" s="62"/>
      <c r="O158" s="60"/>
      <c r="P158" s="62"/>
      <c r="Q158" s="66"/>
      <c r="R158" s="62"/>
      <c r="S158" s="62"/>
      <c r="T158" s="62"/>
      <c r="U158" s="74"/>
      <c r="V158" s="62"/>
      <c r="W158" s="75"/>
      <c r="X158" s="74"/>
      <c r="Y158" s="61"/>
      <c r="Z158" s="201"/>
      <c r="AA158" s="201"/>
      <c r="AB158" s="201"/>
      <c r="AC158" s="201"/>
      <c r="AD158" s="201"/>
      <c r="AE158" s="201"/>
      <c r="AF158" s="201"/>
      <c r="AG158" s="201"/>
      <c r="AH158" s="201"/>
      <c r="AI158" s="201"/>
      <c r="AJ158" s="201"/>
      <c r="AK158" s="201"/>
      <c r="AL158" s="201"/>
      <c r="AM158" s="201"/>
      <c r="AN158" s="201"/>
      <c r="AO158" s="201"/>
    </row>
    <row r="159">
      <c r="A159" s="197"/>
      <c r="B159" s="198"/>
      <c r="C159" s="199"/>
      <c r="D159" s="206"/>
      <c r="E159" s="198"/>
      <c r="F159" s="198"/>
      <c r="G159" s="198"/>
      <c r="H159" s="199"/>
      <c r="I159" s="200"/>
      <c r="J159" s="62"/>
      <c r="K159" s="62"/>
      <c r="L159" s="62"/>
      <c r="M159" s="62"/>
      <c r="N159" s="62"/>
      <c r="O159" s="60"/>
      <c r="P159" s="62"/>
      <c r="Q159" s="66"/>
      <c r="R159" s="62"/>
      <c r="S159" s="62"/>
      <c r="T159" s="62"/>
      <c r="U159" s="74"/>
      <c r="V159" s="62"/>
      <c r="W159" s="75"/>
      <c r="X159" s="74"/>
      <c r="Y159" s="61"/>
      <c r="Z159" s="201"/>
      <c r="AA159" s="201"/>
      <c r="AB159" s="201"/>
      <c r="AC159" s="201"/>
      <c r="AD159" s="201"/>
      <c r="AE159" s="201"/>
      <c r="AF159" s="201"/>
      <c r="AG159" s="201"/>
      <c r="AH159" s="201"/>
      <c r="AI159" s="201"/>
      <c r="AJ159" s="201"/>
      <c r="AK159" s="201"/>
      <c r="AL159" s="201"/>
      <c r="AM159" s="201"/>
      <c r="AN159" s="201"/>
      <c r="AO159" s="201"/>
    </row>
    <row r="160">
      <c r="A160" s="197"/>
      <c r="B160" s="198"/>
      <c r="C160" s="199"/>
      <c r="D160" s="206"/>
      <c r="E160" s="198"/>
      <c r="F160" s="198"/>
      <c r="G160" s="198"/>
      <c r="H160" s="200"/>
      <c r="I160" s="200"/>
      <c r="J160" s="79"/>
      <c r="K160" s="79"/>
      <c r="L160" s="62"/>
      <c r="M160" s="62"/>
      <c r="N160" s="62"/>
      <c r="O160" s="60"/>
      <c r="P160" s="62"/>
      <c r="Q160" s="66"/>
      <c r="R160" s="62"/>
      <c r="S160" s="62"/>
      <c r="T160" s="62"/>
      <c r="U160" s="74"/>
      <c r="V160" s="62"/>
      <c r="W160" s="75"/>
      <c r="X160" s="74"/>
      <c r="Y160" s="61"/>
      <c r="Z160" s="201"/>
      <c r="AA160" s="201"/>
      <c r="AB160" s="201"/>
      <c r="AC160" s="201"/>
      <c r="AD160" s="201"/>
      <c r="AE160" s="201"/>
      <c r="AF160" s="201"/>
      <c r="AG160" s="201"/>
      <c r="AH160" s="201"/>
      <c r="AI160" s="201"/>
      <c r="AJ160" s="201"/>
      <c r="AK160" s="201"/>
      <c r="AL160" s="201"/>
      <c r="AM160" s="201"/>
      <c r="AN160" s="201"/>
      <c r="AO160" s="201"/>
    </row>
    <row r="161">
      <c r="A161" s="197"/>
      <c r="B161" s="198"/>
      <c r="C161" s="199"/>
      <c r="D161" s="197"/>
      <c r="E161" s="198"/>
      <c r="F161" s="198"/>
      <c r="G161" s="198"/>
      <c r="H161" s="199"/>
      <c r="I161" s="200"/>
      <c r="J161" s="62"/>
      <c r="K161" s="62"/>
      <c r="L161" s="62"/>
      <c r="M161" s="62"/>
      <c r="N161" s="62"/>
      <c r="O161" s="60"/>
      <c r="P161" s="62"/>
      <c r="Q161" s="66"/>
      <c r="R161" s="62"/>
      <c r="S161" s="62"/>
      <c r="T161" s="62"/>
      <c r="U161" s="74"/>
      <c r="V161" s="62"/>
      <c r="W161" s="75"/>
      <c r="X161" s="74"/>
      <c r="Y161" s="61"/>
      <c r="Z161" s="201"/>
      <c r="AA161" s="201"/>
      <c r="AB161" s="201"/>
      <c r="AC161" s="201"/>
      <c r="AD161" s="201"/>
      <c r="AE161" s="201"/>
      <c r="AF161" s="201"/>
      <c r="AG161" s="201"/>
      <c r="AH161" s="201"/>
      <c r="AI161" s="201"/>
      <c r="AJ161" s="201"/>
      <c r="AK161" s="201"/>
      <c r="AL161" s="201"/>
      <c r="AM161" s="201"/>
      <c r="AN161" s="201"/>
      <c r="AO161" s="201"/>
    </row>
    <row r="162">
      <c r="A162" s="197"/>
      <c r="B162" s="198"/>
      <c r="C162" s="199"/>
      <c r="D162" s="197"/>
      <c r="E162" s="198"/>
      <c r="F162" s="198"/>
      <c r="G162" s="198"/>
      <c r="H162" s="199"/>
      <c r="I162" s="200"/>
      <c r="J162" s="62"/>
      <c r="K162" s="62"/>
      <c r="L162" s="62"/>
      <c r="M162" s="62"/>
      <c r="N162" s="62"/>
      <c r="O162" s="60"/>
      <c r="P162" s="62"/>
      <c r="Q162" s="66"/>
      <c r="R162" s="62"/>
      <c r="S162" s="62"/>
      <c r="T162" s="62"/>
      <c r="U162" s="74"/>
      <c r="V162" s="62"/>
      <c r="W162" s="75"/>
      <c r="X162" s="74"/>
      <c r="Y162" s="61"/>
      <c r="Z162" s="201"/>
      <c r="AA162" s="201"/>
      <c r="AB162" s="201"/>
      <c r="AC162" s="201"/>
      <c r="AD162" s="201"/>
      <c r="AE162" s="201"/>
      <c r="AF162" s="201"/>
      <c r="AG162" s="201"/>
      <c r="AH162" s="201"/>
      <c r="AI162" s="201"/>
      <c r="AJ162" s="201"/>
      <c r="AK162" s="201"/>
      <c r="AL162" s="201"/>
      <c r="AM162" s="201"/>
      <c r="AN162" s="201"/>
      <c r="AO162" s="201"/>
    </row>
    <row r="163">
      <c r="A163" s="197"/>
      <c r="B163" s="198"/>
      <c r="C163" s="199"/>
      <c r="D163" s="205"/>
      <c r="E163" s="198"/>
      <c r="F163" s="198"/>
      <c r="G163" s="198"/>
      <c r="H163" s="200"/>
      <c r="I163" s="200"/>
      <c r="J163" s="79"/>
      <c r="K163" s="79"/>
      <c r="L163" s="62"/>
      <c r="M163" s="62"/>
      <c r="N163" s="62"/>
      <c r="O163" s="60"/>
      <c r="P163" s="62"/>
      <c r="Q163" s="66"/>
      <c r="R163" s="62"/>
      <c r="S163" s="62"/>
      <c r="T163" s="62"/>
      <c r="U163" s="74"/>
      <c r="V163" s="62"/>
      <c r="W163" s="75"/>
      <c r="X163" s="74"/>
      <c r="Y163" s="61"/>
      <c r="Z163" s="201"/>
      <c r="AA163" s="201"/>
      <c r="AB163" s="201"/>
      <c r="AC163" s="201"/>
      <c r="AD163" s="201"/>
      <c r="AE163" s="201"/>
      <c r="AF163" s="201"/>
      <c r="AG163" s="201"/>
      <c r="AH163" s="201"/>
      <c r="AI163" s="201"/>
      <c r="AJ163" s="201"/>
      <c r="AK163" s="201"/>
      <c r="AL163" s="201"/>
      <c r="AM163" s="201"/>
      <c r="AN163" s="201"/>
      <c r="AO163" s="201"/>
    </row>
    <row r="164">
      <c r="A164" s="197"/>
      <c r="B164" s="198"/>
      <c r="C164" s="199"/>
      <c r="D164" s="206"/>
      <c r="E164" s="198"/>
      <c r="F164" s="198"/>
      <c r="G164" s="198"/>
      <c r="H164" s="200"/>
      <c r="I164" s="200"/>
      <c r="J164" s="79"/>
      <c r="K164" s="79"/>
      <c r="L164" s="62"/>
      <c r="M164" s="62"/>
      <c r="N164" s="62"/>
      <c r="O164" s="60"/>
      <c r="P164" s="62"/>
      <c r="Q164" s="66"/>
      <c r="R164" s="62"/>
      <c r="S164" s="62"/>
      <c r="T164" s="62"/>
      <c r="U164" s="74"/>
      <c r="V164" s="62"/>
      <c r="W164" s="75"/>
      <c r="X164" s="74"/>
      <c r="Y164" s="61"/>
      <c r="Z164" s="201"/>
      <c r="AA164" s="201"/>
      <c r="AB164" s="201"/>
      <c r="AC164" s="201"/>
      <c r="AD164" s="201"/>
      <c r="AE164" s="201"/>
      <c r="AF164" s="201"/>
      <c r="AG164" s="201"/>
      <c r="AH164" s="201"/>
      <c r="AI164" s="201"/>
      <c r="AJ164" s="201"/>
      <c r="AK164" s="201"/>
      <c r="AL164" s="201"/>
      <c r="AM164" s="201"/>
      <c r="AN164" s="201"/>
      <c r="AO164" s="201"/>
    </row>
    <row r="165">
      <c r="A165" s="197"/>
      <c r="B165" s="198"/>
      <c r="C165" s="204"/>
      <c r="D165" s="197"/>
      <c r="E165" s="198"/>
      <c r="F165" s="198"/>
      <c r="G165" s="198"/>
      <c r="H165" s="199"/>
      <c r="I165" s="200"/>
      <c r="J165" s="62"/>
      <c r="K165" s="62"/>
      <c r="L165" s="62"/>
      <c r="M165" s="62"/>
      <c r="N165" s="62"/>
      <c r="O165" s="60"/>
      <c r="P165" s="62"/>
      <c r="Q165" s="66"/>
      <c r="R165" s="62"/>
      <c r="S165" s="62"/>
      <c r="T165" s="62"/>
      <c r="U165" s="74"/>
      <c r="V165" s="62"/>
      <c r="W165" s="75"/>
      <c r="X165" s="74"/>
      <c r="Y165" s="61"/>
      <c r="Z165" s="201"/>
      <c r="AA165" s="201"/>
      <c r="AB165" s="201"/>
      <c r="AC165" s="201"/>
      <c r="AD165" s="201"/>
      <c r="AE165" s="201"/>
      <c r="AF165" s="201"/>
      <c r="AG165" s="201"/>
      <c r="AH165" s="201"/>
      <c r="AI165" s="201"/>
      <c r="AJ165" s="201"/>
      <c r="AK165" s="201"/>
      <c r="AL165" s="201"/>
      <c r="AM165" s="201"/>
      <c r="AN165" s="201"/>
      <c r="AO165" s="201"/>
    </row>
    <row r="166">
      <c r="A166" s="197"/>
      <c r="B166" s="198"/>
      <c r="C166" s="204"/>
      <c r="D166" s="197"/>
      <c r="E166" s="198"/>
      <c r="F166" s="198"/>
      <c r="G166" s="198"/>
      <c r="H166" s="199"/>
      <c r="I166" s="200"/>
      <c r="J166" s="62"/>
      <c r="K166" s="62"/>
      <c r="L166" s="62"/>
      <c r="M166" s="62"/>
      <c r="N166" s="62"/>
      <c r="O166" s="60"/>
      <c r="P166" s="62"/>
      <c r="Q166" s="66"/>
      <c r="R166" s="62"/>
      <c r="S166" s="62"/>
      <c r="T166" s="62"/>
      <c r="U166" s="74"/>
      <c r="V166" s="62"/>
      <c r="W166" s="75"/>
      <c r="X166" s="74"/>
      <c r="Y166" s="61"/>
      <c r="Z166" s="201"/>
      <c r="AA166" s="201"/>
      <c r="AB166" s="201"/>
      <c r="AC166" s="201"/>
      <c r="AD166" s="201"/>
      <c r="AE166" s="201"/>
      <c r="AF166" s="201"/>
      <c r="AG166" s="201"/>
      <c r="AH166" s="201"/>
      <c r="AI166" s="201"/>
      <c r="AJ166" s="201"/>
      <c r="AK166" s="201"/>
      <c r="AL166" s="201"/>
      <c r="AM166" s="201"/>
      <c r="AN166" s="201"/>
      <c r="AO166" s="201"/>
    </row>
    <row r="167">
      <c r="A167" s="197"/>
      <c r="B167" s="198"/>
      <c r="C167" s="199"/>
      <c r="D167" s="197"/>
      <c r="E167" s="198"/>
      <c r="F167" s="198"/>
      <c r="G167" s="198"/>
      <c r="H167" s="199"/>
      <c r="I167" s="200"/>
      <c r="J167" s="62"/>
      <c r="K167" s="62"/>
      <c r="L167" s="62"/>
      <c r="M167" s="62"/>
      <c r="N167" s="62"/>
      <c r="O167" s="60"/>
      <c r="P167" s="62"/>
      <c r="Q167" s="66"/>
      <c r="R167" s="62"/>
      <c r="S167" s="62"/>
      <c r="T167" s="62"/>
      <c r="U167" s="74"/>
      <c r="V167" s="62"/>
      <c r="W167" s="75"/>
      <c r="X167" s="74"/>
      <c r="Y167" s="61"/>
      <c r="Z167" s="201"/>
      <c r="AA167" s="201"/>
      <c r="AB167" s="201"/>
      <c r="AC167" s="201"/>
      <c r="AD167" s="201"/>
      <c r="AE167" s="201"/>
      <c r="AF167" s="201"/>
      <c r="AG167" s="201"/>
      <c r="AH167" s="201"/>
      <c r="AI167" s="201"/>
      <c r="AJ167" s="201"/>
      <c r="AK167" s="201"/>
      <c r="AL167" s="201"/>
      <c r="AM167" s="201"/>
      <c r="AN167" s="201"/>
      <c r="AO167" s="201"/>
    </row>
    <row r="168">
      <c r="A168" s="197"/>
      <c r="B168" s="198"/>
      <c r="C168" s="199"/>
      <c r="D168" s="206"/>
      <c r="E168" s="198"/>
      <c r="F168" s="198"/>
      <c r="G168" s="198"/>
      <c r="H168" s="200"/>
      <c r="I168" s="200"/>
      <c r="J168" s="79"/>
      <c r="K168" s="79"/>
      <c r="L168" s="62"/>
      <c r="M168" s="62"/>
      <c r="N168" s="62"/>
      <c r="O168" s="60"/>
      <c r="P168" s="62"/>
      <c r="Q168" s="66"/>
      <c r="R168" s="62"/>
      <c r="S168" s="62"/>
      <c r="T168" s="62"/>
      <c r="U168" s="74"/>
      <c r="V168" s="62"/>
      <c r="W168" s="75"/>
      <c r="X168" s="74"/>
      <c r="Y168" s="61"/>
      <c r="Z168" s="201"/>
      <c r="AA168" s="201"/>
      <c r="AB168" s="201"/>
      <c r="AC168" s="201"/>
      <c r="AD168" s="201"/>
      <c r="AE168" s="201"/>
      <c r="AF168" s="201"/>
      <c r="AG168" s="201"/>
      <c r="AH168" s="201"/>
      <c r="AI168" s="201"/>
      <c r="AJ168" s="201"/>
      <c r="AK168" s="201"/>
      <c r="AL168" s="201"/>
      <c r="AM168" s="201"/>
      <c r="AN168" s="201"/>
      <c r="AO168" s="201"/>
    </row>
    <row r="169" ht="20.25" customHeight="1">
      <c r="A169" s="197"/>
      <c r="B169" s="198"/>
      <c r="C169" s="212"/>
      <c r="D169" s="197"/>
      <c r="E169" s="198"/>
      <c r="F169" s="198"/>
      <c r="G169" s="198"/>
      <c r="H169" s="199"/>
      <c r="I169" s="200"/>
      <c r="J169" s="62"/>
      <c r="K169" s="62"/>
      <c r="L169" s="62"/>
      <c r="M169" s="62"/>
      <c r="N169" s="62"/>
      <c r="O169" s="60"/>
      <c r="P169" s="62"/>
      <c r="Q169" s="66"/>
      <c r="R169" s="62"/>
      <c r="S169" s="62"/>
      <c r="T169" s="62"/>
      <c r="U169" s="74"/>
      <c r="V169" s="62"/>
      <c r="W169" s="75"/>
      <c r="X169" s="74"/>
      <c r="Y169" s="63"/>
      <c r="Z169" s="201"/>
      <c r="AA169" s="201"/>
      <c r="AB169" s="201"/>
      <c r="AC169" s="201"/>
      <c r="AD169" s="201"/>
      <c r="AE169" s="201"/>
      <c r="AF169" s="201"/>
      <c r="AG169" s="201"/>
      <c r="AH169" s="201"/>
      <c r="AI169" s="201"/>
      <c r="AJ169" s="201"/>
      <c r="AK169" s="201"/>
      <c r="AL169" s="201"/>
      <c r="AM169" s="201"/>
      <c r="AN169" s="201"/>
      <c r="AO169" s="201"/>
    </row>
    <row r="170">
      <c r="A170" s="197"/>
      <c r="B170" s="198"/>
      <c r="C170" s="199"/>
      <c r="D170" s="197"/>
      <c r="E170" s="198"/>
      <c r="F170" s="198"/>
      <c r="G170" s="198"/>
      <c r="H170" s="199"/>
      <c r="I170" s="200"/>
      <c r="J170" s="62"/>
      <c r="K170" s="62"/>
      <c r="L170" s="62"/>
      <c r="M170" s="62"/>
      <c r="N170" s="62"/>
      <c r="O170" s="60"/>
      <c r="P170" s="62"/>
      <c r="Q170" s="66"/>
      <c r="R170" s="62"/>
      <c r="S170" s="62"/>
      <c r="T170" s="62"/>
      <c r="U170" s="74"/>
      <c r="V170" s="62"/>
      <c r="W170" s="75"/>
      <c r="X170" s="74"/>
      <c r="Y170" s="61"/>
      <c r="Z170" s="201"/>
      <c r="AA170" s="201"/>
      <c r="AB170" s="201"/>
      <c r="AC170" s="201"/>
      <c r="AD170" s="201"/>
      <c r="AE170" s="201"/>
      <c r="AF170" s="201"/>
      <c r="AG170" s="201"/>
      <c r="AH170" s="201"/>
      <c r="AI170" s="201"/>
      <c r="AJ170" s="201"/>
      <c r="AK170" s="201"/>
      <c r="AL170" s="201"/>
      <c r="AM170" s="201"/>
      <c r="AN170" s="201"/>
      <c r="AO170" s="201"/>
    </row>
    <row r="171">
      <c r="A171" s="197"/>
      <c r="B171" s="198"/>
      <c r="C171" s="199"/>
      <c r="D171" s="206"/>
      <c r="E171" s="198"/>
      <c r="F171" s="198"/>
      <c r="G171" s="198"/>
      <c r="H171" s="199"/>
      <c r="I171" s="200"/>
      <c r="J171" s="62"/>
      <c r="K171" s="62"/>
      <c r="L171" s="62"/>
      <c r="M171" s="62"/>
      <c r="N171" s="62"/>
      <c r="O171" s="60"/>
      <c r="P171" s="62"/>
      <c r="Q171" s="66"/>
      <c r="R171" s="62"/>
      <c r="S171" s="62"/>
      <c r="T171" s="62"/>
      <c r="U171" s="74"/>
      <c r="V171" s="62"/>
      <c r="W171" s="75"/>
      <c r="X171" s="74"/>
      <c r="Y171" s="61"/>
      <c r="Z171" s="201"/>
      <c r="AA171" s="201"/>
      <c r="AB171" s="201"/>
      <c r="AC171" s="201"/>
      <c r="AD171" s="201"/>
      <c r="AE171" s="201"/>
      <c r="AF171" s="201"/>
      <c r="AG171" s="201"/>
      <c r="AH171" s="201"/>
      <c r="AI171" s="201"/>
      <c r="AJ171" s="201"/>
      <c r="AK171" s="201"/>
      <c r="AL171" s="201"/>
      <c r="AM171" s="201"/>
      <c r="AN171" s="201"/>
      <c r="AO171" s="201"/>
    </row>
    <row r="172">
      <c r="A172" s="197"/>
      <c r="B172" s="198"/>
      <c r="C172" s="204"/>
      <c r="D172" s="197"/>
      <c r="E172" s="198"/>
      <c r="F172" s="198"/>
      <c r="G172" s="198"/>
      <c r="H172" s="199"/>
      <c r="I172" s="200"/>
      <c r="J172" s="62"/>
      <c r="K172" s="62"/>
      <c r="L172" s="62"/>
      <c r="M172" s="62"/>
      <c r="N172" s="62"/>
      <c r="O172" s="60"/>
      <c r="P172" s="62"/>
      <c r="Q172" s="66"/>
      <c r="R172" s="62"/>
      <c r="S172" s="62"/>
      <c r="T172" s="62"/>
      <c r="U172" s="74"/>
      <c r="V172" s="62"/>
      <c r="W172" s="75"/>
      <c r="X172" s="74"/>
      <c r="Y172" s="61"/>
      <c r="Z172" s="201"/>
      <c r="AA172" s="201"/>
      <c r="AB172" s="201"/>
      <c r="AC172" s="201"/>
      <c r="AD172" s="201"/>
      <c r="AE172" s="201"/>
      <c r="AF172" s="201"/>
      <c r="AG172" s="201"/>
      <c r="AH172" s="201"/>
      <c r="AI172" s="201"/>
      <c r="AJ172" s="201"/>
      <c r="AK172" s="201"/>
      <c r="AL172" s="201"/>
      <c r="AM172" s="201"/>
      <c r="AN172" s="201"/>
      <c r="AO172" s="201"/>
    </row>
    <row r="173">
      <c r="A173" s="197"/>
      <c r="B173" s="198"/>
      <c r="C173" s="199"/>
      <c r="D173" s="197"/>
      <c r="E173" s="198"/>
      <c r="F173" s="198"/>
      <c r="G173" s="198"/>
      <c r="H173" s="199"/>
      <c r="I173" s="200"/>
      <c r="J173" s="62"/>
      <c r="K173" s="62"/>
      <c r="L173" s="62"/>
      <c r="M173" s="62"/>
      <c r="N173" s="62"/>
      <c r="O173" s="60"/>
      <c r="P173" s="62"/>
      <c r="Q173" s="66"/>
      <c r="R173" s="62"/>
      <c r="S173" s="62"/>
      <c r="T173" s="62"/>
      <c r="U173" s="74"/>
      <c r="V173" s="62"/>
      <c r="W173" s="75"/>
      <c r="X173" s="74"/>
      <c r="Y173" s="61"/>
      <c r="Z173" s="201"/>
      <c r="AA173" s="201"/>
      <c r="AB173" s="201"/>
      <c r="AC173" s="201"/>
      <c r="AD173" s="201"/>
      <c r="AE173" s="201"/>
      <c r="AF173" s="201"/>
      <c r="AG173" s="201"/>
      <c r="AH173" s="201"/>
      <c r="AI173" s="201"/>
      <c r="AJ173" s="201"/>
      <c r="AK173" s="201"/>
      <c r="AL173" s="201"/>
      <c r="AM173" s="201"/>
      <c r="AN173" s="201"/>
      <c r="AO173" s="201"/>
    </row>
    <row r="174">
      <c r="A174" s="197"/>
      <c r="B174" s="198"/>
      <c r="C174" s="199"/>
      <c r="D174" s="203"/>
      <c r="E174" s="198"/>
      <c r="F174" s="198"/>
      <c r="G174" s="198"/>
      <c r="H174" s="199"/>
      <c r="I174" s="200"/>
      <c r="J174" s="79"/>
      <c r="K174" s="79"/>
      <c r="L174" s="62"/>
      <c r="M174" s="62"/>
      <c r="N174" s="62"/>
      <c r="O174" s="60"/>
      <c r="P174" s="62"/>
      <c r="Q174" s="66"/>
      <c r="R174" s="62"/>
      <c r="S174" s="62"/>
      <c r="T174" s="62"/>
      <c r="U174" s="74"/>
      <c r="V174" s="62"/>
      <c r="W174" s="75"/>
      <c r="X174" s="74"/>
      <c r="Y174" s="61"/>
      <c r="Z174" s="201"/>
      <c r="AA174" s="201"/>
      <c r="AB174" s="201"/>
      <c r="AC174" s="201"/>
      <c r="AD174" s="201"/>
      <c r="AE174" s="201"/>
      <c r="AF174" s="201"/>
      <c r="AG174" s="201"/>
      <c r="AH174" s="201"/>
      <c r="AI174" s="201"/>
      <c r="AJ174" s="201"/>
      <c r="AK174" s="201"/>
      <c r="AL174" s="201"/>
      <c r="AM174" s="201"/>
      <c r="AN174" s="201"/>
      <c r="AO174" s="201"/>
    </row>
    <row r="175">
      <c r="A175" s="197"/>
      <c r="B175" s="198"/>
      <c r="C175" s="199"/>
      <c r="D175" s="206"/>
      <c r="E175" s="198"/>
      <c r="F175" s="198"/>
      <c r="G175" s="198"/>
      <c r="H175" s="199"/>
      <c r="I175" s="200"/>
      <c r="J175" s="62"/>
      <c r="K175" s="62"/>
      <c r="L175" s="62"/>
      <c r="M175" s="62"/>
      <c r="N175" s="62"/>
      <c r="O175" s="60"/>
      <c r="P175" s="62"/>
      <c r="Q175" s="66"/>
      <c r="R175" s="62"/>
      <c r="S175" s="62"/>
      <c r="T175" s="62"/>
      <c r="U175" s="74"/>
      <c r="V175" s="62"/>
      <c r="W175" s="75"/>
      <c r="X175" s="74"/>
      <c r="Y175" s="61"/>
      <c r="Z175" s="201"/>
      <c r="AA175" s="201"/>
      <c r="AB175" s="201"/>
      <c r="AC175" s="201"/>
      <c r="AD175" s="201"/>
      <c r="AE175" s="201"/>
      <c r="AF175" s="201"/>
      <c r="AG175" s="201"/>
      <c r="AH175" s="201"/>
      <c r="AI175" s="201"/>
      <c r="AJ175" s="201"/>
      <c r="AK175" s="201"/>
      <c r="AL175" s="201"/>
      <c r="AM175" s="201"/>
      <c r="AN175" s="201"/>
      <c r="AO175" s="201"/>
    </row>
    <row r="176" ht="18.0" customHeight="1">
      <c r="A176" s="197"/>
      <c r="B176" s="198"/>
      <c r="C176" s="199"/>
      <c r="D176" s="205"/>
      <c r="E176" s="198"/>
      <c r="F176" s="198"/>
      <c r="G176" s="198"/>
      <c r="H176" s="200"/>
      <c r="I176" s="200"/>
      <c r="J176" s="79"/>
      <c r="K176" s="79"/>
      <c r="L176" s="62"/>
      <c r="M176" s="62"/>
      <c r="N176" s="62"/>
      <c r="O176" s="60"/>
      <c r="P176" s="62"/>
      <c r="Q176" s="66"/>
      <c r="R176" s="62"/>
      <c r="S176" s="62"/>
      <c r="T176" s="62"/>
      <c r="U176" s="74"/>
      <c r="V176" s="62"/>
      <c r="W176" s="75"/>
      <c r="X176" s="74"/>
      <c r="Y176" s="63"/>
      <c r="Z176" s="201"/>
      <c r="AA176" s="201"/>
      <c r="AB176" s="201"/>
      <c r="AC176" s="201"/>
      <c r="AD176" s="201"/>
      <c r="AE176" s="201"/>
      <c r="AF176" s="201"/>
      <c r="AG176" s="201"/>
      <c r="AH176" s="201"/>
      <c r="AI176" s="201"/>
      <c r="AJ176" s="201"/>
      <c r="AK176" s="201"/>
      <c r="AL176" s="201"/>
      <c r="AM176" s="201"/>
      <c r="AN176" s="201"/>
      <c r="AO176" s="201"/>
    </row>
    <row r="177">
      <c r="A177" s="197"/>
      <c r="B177" s="198"/>
      <c r="C177" s="199"/>
      <c r="D177" s="197"/>
      <c r="E177" s="198"/>
      <c r="F177" s="198"/>
      <c r="G177" s="198"/>
      <c r="H177" s="199"/>
      <c r="I177" s="200"/>
      <c r="J177" s="62"/>
      <c r="K177" s="62"/>
      <c r="L177" s="62"/>
      <c r="M177" s="62"/>
      <c r="N177" s="62"/>
      <c r="O177" s="60"/>
      <c r="P177" s="62"/>
      <c r="Q177" s="66"/>
      <c r="R177" s="62"/>
      <c r="S177" s="62"/>
      <c r="T177" s="62"/>
      <c r="U177" s="74"/>
      <c r="V177" s="62"/>
      <c r="W177" s="75"/>
      <c r="X177" s="74"/>
      <c r="Y177" s="63"/>
      <c r="Z177" s="201"/>
      <c r="AA177" s="201"/>
      <c r="AB177" s="201"/>
      <c r="AC177" s="201"/>
      <c r="AD177" s="201"/>
      <c r="AE177" s="201"/>
      <c r="AF177" s="201"/>
      <c r="AG177" s="201"/>
      <c r="AH177" s="201"/>
      <c r="AI177" s="201"/>
      <c r="AJ177" s="201"/>
      <c r="AK177" s="201"/>
      <c r="AL177" s="201"/>
      <c r="AM177" s="201"/>
      <c r="AN177" s="201"/>
      <c r="AO177" s="201"/>
    </row>
    <row r="178">
      <c r="A178" s="197"/>
      <c r="B178" s="198"/>
      <c r="C178" s="204"/>
      <c r="D178" s="205"/>
      <c r="E178" s="198"/>
      <c r="F178" s="198"/>
      <c r="G178" s="198"/>
      <c r="H178" s="202"/>
      <c r="I178" s="202"/>
      <c r="J178" s="62"/>
      <c r="K178" s="62"/>
      <c r="L178" s="62"/>
      <c r="M178" s="62"/>
      <c r="N178" s="62"/>
      <c r="O178" s="60"/>
      <c r="P178" s="62"/>
      <c r="Q178" s="66"/>
      <c r="R178" s="62"/>
      <c r="S178" s="62"/>
      <c r="T178" s="62"/>
      <c r="U178" s="74"/>
      <c r="V178" s="62"/>
      <c r="W178" s="75"/>
      <c r="X178" s="74"/>
      <c r="Y178" s="63"/>
      <c r="Z178" s="201"/>
      <c r="AA178" s="201"/>
      <c r="AB178" s="201"/>
      <c r="AC178" s="201"/>
      <c r="AD178" s="201"/>
      <c r="AE178" s="201"/>
      <c r="AF178" s="201"/>
      <c r="AG178" s="201"/>
      <c r="AH178" s="201"/>
      <c r="AI178" s="201"/>
      <c r="AJ178" s="201"/>
      <c r="AK178" s="201"/>
      <c r="AL178" s="201"/>
      <c r="AM178" s="201"/>
      <c r="AN178" s="201"/>
      <c r="AO178" s="201"/>
    </row>
    <row r="179" ht="17.25" customHeight="1">
      <c r="A179" s="197"/>
      <c r="B179" s="198"/>
      <c r="C179" s="199"/>
      <c r="D179" s="205"/>
      <c r="E179" s="198"/>
      <c r="F179" s="198"/>
      <c r="G179" s="198"/>
      <c r="H179" s="200"/>
      <c r="I179" s="202"/>
      <c r="J179" s="79"/>
      <c r="K179" s="79"/>
      <c r="L179" s="62"/>
      <c r="M179" s="62"/>
      <c r="N179" s="62"/>
      <c r="O179" s="60"/>
      <c r="P179" s="62"/>
      <c r="Q179" s="66"/>
      <c r="R179" s="62"/>
      <c r="S179" s="62"/>
      <c r="T179" s="62"/>
      <c r="U179" s="74"/>
      <c r="V179" s="62"/>
      <c r="W179" s="75"/>
      <c r="X179" s="74"/>
      <c r="Y179" s="63"/>
      <c r="Z179" s="201"/>
      <c r="AA179" s="201"/>
      <c r="AB179" s="201"/>
      <c r="AC179" s="201"/>
      <c r="AD179" s="201"/>
      <c r="AE179" s="201"/>
      <c r="AF179" s="201"/>
      <c r="AG179" s="201"/>
      <c r="AH179" s="201"/>
      <c r="AI179" s="201"/>
      <c r="AJ179" s="201"/>
      <c r="AK179" s="201"/>
      <c r="AL179" s="201"/>
      <c r="AM179" s="201"/>
      <c r="AN179" s="201"/>
      <c r="AO179" s="201"/>
    </row>
    <row r="180">
      <c r="A180" s="197"/>
      <c r="B180" s="198"/>
      <c r="C180" s="199"/>
      <c r="D180" s="206"/>
      <c r="E180" s="198"/>
      <c r="F180" s="198"/>
      <c r="G180" s="198"/>
      <c r="H180" s="200"/>
      <c r="I180" s="202"/>
      <c r="J180" s="62"/>
      <c r="K180" s="62"/>
      <c r="L180" s="62"/>
      <c r="M180" s="62"/>
      <c r="N180" s="62"/>
      <c r="O180" s="60"/>
      <c r="P180" s="62"/>
      <c r="Q180" s="66"/>
      <c r="R180" s="62"/>
      <c r="S180" s="62"/>
      <c r="T180" s="62"/>
      <c r="U180" s="74"/>
      <c r="V180" s="62"/>
      <c r="W180" s="75"/>
      <c r="X180" s="74"/>
      <c r="Y180" s="63"/>
      <c r="Z180" s="201"/>
      <c r="AA180" s="201"/>
      <c r="AB180" s="201"/>
      <c r="AC180" s="201"/>
      <c r="AD180" s="201"/>
      <c r="AE180" s="201"/>
      <c r="AF180" s="201"/>
      <c r="AG180" s="201"/>
      <c r="AH180" s="201"/>
      <c r="AI180" s="201"/>
      <c r="AJ180" s="201"/>
      <c r="AK180" s="201"/>
      <c r="AL180" s="201"/>
      <c r="AM180" s="201"/>
      <c r="AN180" s="201"/>
      <c r="AO180" s="201"/>
    </row>
    <row r="181">
      <c r="A181" s="197"/>
      <c r="B181" s="198"/>
      <c r="C181" s="204"/>
      <c r="D181" s="197"/>
      <c r="E181" s="198"/>
      <c r="F181" s="198"/>
      <c r="G181" s="198"/>
      <c r="H181" s="199"/>
      <c r="I181" s="202"/>
      <c r="J181" s="62"/>
      <c r="K181" s="62"/>
      <c r="L181" s="62"/>
      <c r="M181" s="62"/>
      <c r="N181" s="62"/>
      <c r="O181" s="60"/>
      <c r="P181" s="62"/>
      <c r="Q181" s="66"/>
      <c r="R181" s="62"/>
      <c r="S181" s="62"/>
      <c r="T181" s="62"/>
      <c r="U181" s="74"/>
      <c r="V181" s="62"/>
      <c r="W181" s="75"/>
      <c r="X181" s="74"/>
      <c r="Y181" s="63"/>
      <c r="Z181" s="201"/>
      <c r="AA181" s="201"/>
      <c r="AB181" s="201"/>
      <c r="AC181" s="201"/>
      <c r="AD181" s="201"/>
      <c r="AE181" s="201"/>
      <c r="AF181" s="201"/>
      <c r="AG181" s="201"/>
      <c r="AH181" s="201"/>
      <c r="AI181" s="201"/>
      <c r="AJ181" s="201"/>
      <c r="AK181" s="201"/>
      <c r="AL181" s="201"/>
      <c r="AM181" s="201"/>
      <c r="AN181" s="201"/>
      <c r="AO181" s="201"/>
    </row>
    <row r="182">
      <c r="A182" s="197"/>
      <c r="B182" s="198"/>
      <c r="C182" s="199"/>
      <c r="D182" s="197"/>
      <c r="E182" s="198"/>
      <c r="F182" s="198"/>
      <c r="G182" s="198"/>
      <c r="H182" s="199"/>
      <c r="I182" s="202"/>
      <c r="J182" s="62"/>
      <c r="K182" s="62"/>
      <c r="L182" s="62"/>
      <c r="M182" s="62"/>
      <c r="N182" s="62"/>
      <c r="O182" s="60"/>
      <c r="P182" s="62"/>
      <c r="Q182" s="66"/>
      <c r="R182" s="62"/>
      <c r="S182" s="62"/>
      <c r="T182" s="62"/>
      <c r="U182" s="74"/>
      <c r="V182" s="62"/>
      <c r="W182" s="75"/>
      <c r="X182" s="74"/>
      <c r="Y182" s="63"/>
      <c r="Z182" s="201"/>
      <c r="AA182" s="201"/>
      <c r="AB182" s="201"/>
      <c r="AC182" s="201"/>
      <c r="AD182" s="201"/>
      <c r="AE182" s="201"/>
      <c r="AF182" s="201"/>
      <c r="AG182" s="201"/>
      <c r="AH182" s="201"/>
      <c r="AI182" s="201"/>
      <c r="AJ182" s="201"/>
      <c r="AK182" s="201"/>
      <c r="AL182" s="201"/>
      <c r="AM182" s="201"/>
      <c r="AN182" s="201"/>
      <c r="AO182" s="201"/>
    </row>
    <row r="183">
      <c r="A183" s="197"/>
      <c r="B183" s="198"/>
      <c r="C183" s="199"/>
      <c r="D183" s="197"/>
      <c r="E183" s="198"/>
      <c r="F183" s="198"/>
      <c r="G183" s="198"/>
      <c r="H183" s="199"/>
      <c r="I183" s="202"/>
      <c r="J183" s="62"/>
      <c r="K183" s="62"/>
      <c r="L183" s="62"/>
      <c r="M183" s="62"/>
      <c r="N183" s="62"/>
      <c r="O183" s="60"/>
      <c r="P183" s="62"/>
      <c r="Q183" s="66"/>
      <c r="R183" s="62"/>
      <c r="S183" s="62"/>
      <c r="T183" s="62"/>
      <c r="U183" s="74"/>
      <c r="V183" s="62"/>
      <c r="W183" s="75"/>
      <c r="X183" s="74"/>
      <c r="Y183" s="61"/>
      <c r="Z183" s="201"/>
      <c r="AA183" s="201"/>
      <c r="AB183" s="201"/>
      <c r="AC183" s="201"/>
      <c r="AD183" s="201"/>
      <c r="AE183" s="201"/>
      <c r="AF183" s="201"/>
      <c r="AG183" s="201"/>
      <c r="AH183" s="201"/>
      <c r="AI183" s="201"/>
      <c r="AJ183" s="201"/>
      <c r="AK183" s="201"/>
      <c r="AL183" s="201"/>
      <c r="AM183" s="201"/>
      <c r="AN183" s="201"/>
      <c r="AO183" s="201"/>
    </row>
    <row r="184">
      <c r="A184" s="197"/>
      <c r="B184" s="198"/>
      <c r="C184" s="199"/>
      <c r="D184" s="206"/>
      <c r="E184" s="198"/>
      <c r="F184" s="198"/>
      <c r="G184" s="198"/>
      <c r="H184" s="199"/>
      <c r="I184" s="202"/>
      <c r="J184" s="62"/>
      <c r="K184" s="62"/>
      <c r="L184" s="62"/>
      <c r="M184" s="62"/>
      <c r="N184" s="62"/>
      <c r="O184" s="60"/>
      <c r="P184" s="62"/>
      <c r="Q184" s="66"/>
      <c r="R184" s="62"/>
      <c r="S184" s="62"/>
      <c r="T184" s="62"/>
      <c r="U184" s="74"/>
      <c r="V184" s="62"/>
      <c r="W184" s="75"/>
      <c r="X184" s="74"/>
      <c r="Y184" s="61"/>
      <c r="Z184" s="201"/>
      <c r="AA184" s="201"/>
      <c r="AB184" s="201"/>
      <c r="AC184" s="201"/>
      <c r="AD184" s="201"/>
      <c r="AE184" s="201"/>
      <c r="AF184" s="201"/>
      <c r="AG184" s="201"/>
      <c r="AH184" s="201"/>
      <c r="AI184" s="201"/>
      <c r="AJ184" s="201"/>
      <c r="AK184" s="201"/>
      <c r="AL184" s="201"/>
      <c r="AM184" s="201"/>
      <c r="AN184" s="201"/>
      <c r="AO184" s="201"/>
    </row>
    <row r="185">
      <c r="A185" s="197"/>
      <c r="B185" s="198"/>
      <c r="C185" s="204"/>
      <c r="D185" s="197"/>
      <c r="E185" s="198"/>
      <c r="F185" s="198"/>
      <c r="G185" s="198"/>
      <c r="H185" s="199"/>
      <c r="I185" s="202"/>
      <c r="J185" s="62"/>
      <c r="K185" s="62"/>
      <c r="L185" s="62"/>
      <c r="M185" s="62"/>
      <c r="N185" s="62"/>
      <c r="O185" s="60"/>
      <c r="P185" s="62"/>
      <c r="Q185" s="66"/>
      <c r="R185" s="62"/>
      <c r="S185" s="62"/>
      <c r="T185" s="62"/>
      <c r="U185" s="74"/>
      <c r="V185" s="62"/>
      <c r="W185" s="75"/>
      <c r="X185" s="74"/>
      <c r="Y185" s="61"/>
      <c r="Z185" s="201"/>
      <c r="AA185" s="201"/>
      <c r="AB185" s="201"/>
      <c r="AC185" s="201"/>
      <c r="AD185" s="201"/>
      <c r="AE185" s="201"/>
      <c r="AF185" s="201"/>
      <c r="AG185" s="201"/>
      <c r="AH185" s="201"/>
      <c r="AI185" s="201"/>
      <c r="AJ185" s="201"/>
      <c r="AK185" s="201"/>
      <c r="AL185" s="201"/>
      <c r="AM185" s="201"/>
      <c r="AN185" s="201"/>
      <c r="AO185" s="201"/>
    </row>
    <row r="186">
      <c r="A186" s="197"/>
      <c r="B186" s="198"/>
      <c r="C186" s="199"/>
      <c r="D186" s="197"/>
      <c r="E186" s="198"/>
      <c r="F186" s="198"/>
      <c r="G186" s="198"/>
      <c r="H186" s="199"/>
      <c r="I186" s="202"/>
      <c r="J186" s="62"/>
      <c r="K186" s="62"/>
      <c r="L186" s="62"/>
      <c r="M186" s="62"/>
      <c r="N186" s="62"/>
      <c r="O186" s="60"/>
      <c r="P186" s="62"/>
      <c r="Q186" s="66"/>
      <c r="R186" s="62"/>
      <c r="S186" s="62"/>
      <c r="T186" s="62"/>
      <c r="U186" s="74"/>
      <c r="V186" s="62"/>
      <c r="W186" s="75"/>
      <c r="X186" s="74"/>
      <c r="Y186" s="61"/>
      <c r="Z186" s="201"/>
      <c r="AA186" s="201"/>
      <c r="AB186" s="201"/>
      <c r="AC186" s="201"/>
      <c r="AD186" s="201"/>
      <c r="AE186" s="201"/>
      <c r="AF186" s="201"/>
      <c r="AG186" s="201"/>
      <c r="AH186" s="201"/>
      <c r="AI186" s="201"/>
      <c r="AJ186" s="201"/>
      <c r="AK186" s="201"/>
      <c r="AL186" s="201"/>
      <c r="AM186" s="201"/>
      <c r="AN186" s="201"/>
      <c r="AO186" s="201"/>
    </row>
    <row r="187">
      <c r="A187" s="197"/>
      <c r="B187" s="198"/>
      <c r="C187" s="199"/>
      <c r="D187" s="205"/>
      <c r="E187" s="198"/>
      <c r="F187" s="198"/>
      <c r="G187" s="198"/>
      <c r="H187" s="199"/>
      <c r="I187" s="200"/>
      <c r="J187" s="79"/>
      <c r="K187" s="79"/>
      <c r="L187" s="62"/>
      <c r="M187" s="62"/>
      <c r="N187" s="62"/>
      <c r="O187" s="60"/>
      <c r="P187" s="62"/>
      <c r="Q187" s="66"/>
      <c r="R187" s="62"/>
      <c r="S187" s="62"/>
      <c r="T187" s="62"/>
      <c r="U187" s="74"/>
      <c r="V187" s="62"/>
      <c r="W187" s="75"/>
      <c r="X187" s="74"/>
      <c r="Y187" s="91"/>
      <c r="Z187" s="201"/>
      <c r="AA187" s="201"/>
      <c r="AB187" s="201"/>
      <c r="AC187" s="201"/>
      <c r="AD187" s="201"/>
      <c r="AE187" s="201"/>
      <c r="AF187" s="201"/>
      <c r="AG187" s="201"/>
      <c r="AH187" s="201"/>
      <c r="AI187" s="201"/>
      <c r="AJ187" s="201"/>
      <c r="AK187" s="201"/>
      <c r="AL187" s="201"/>
      <c r="AM187" s="201"/>
      <c r="AN187" s="201"/>
      <c r="AO187" s="201"/>
    </row>
    <row r="188">
      <c r="A188" s="197"/>
      <c r="B188" s="198"/>
      <c r="C188" s="204"/>
      <c r="D188" s="197"/>
      <c r="E188" s="198"/>
      <c r="F188" s="198"/>
      <c r="G188" s="198"/>
      <c r="H188" s="199"/>
      <c r="I188" s="200"/>
      <c r="J188" s="79"/>
      <c r="K188" s="79"/>
      <c r="L188" s="62"/>
      <c r="M188" s="62"/>
      <c r="N188" s="62"/>
      <c r="O188" s="60"/>
      <c r="P188" s="62"/>
      <c r="Q188" s="66"/>
      <c r="R188" s="62"/>
      <c r="S188" s="62"/>
      <c r="T188" s="62"/>
      <c r="U188" s="74"/>
      <c r="V188" s="62"/>
      <c r="W188" s="75"/>
      <c r="X188" s="74"/>
      <c r="Y188" s="61"/>
      <c r="Z188" s="201"/>
      <c r="AA188" s="201"/>
      <c r="AB188" s="201"/>
      <c r="AC188" s="201"/>
      <c r="AD188" s="201"/>
      <c r="AE188" s="201"/>
      <c r="AF188" s="201"/>
      <c r="AG188" s="201"/>
      <c r="AH188" s="201"/>
      <c r="AI188" s="201"/>
      <c r="AJ188" s="201"/>
      <c r="AK188" s="201"/>
      <c r="AL188" s="201"/>
      <c r="AM188" s="201"/>
      <c r="AN188" s="201"/>
      <c r="AO188" s="201"/>
    </row>
    <row r="189">
      <c r="A189" s="197"/>
      <c r="B189" s="198"/>
      <c r="C189" s="199"/>
      <c r="D189" s="197"/>
      <c r="E189" s="198"/>
      <c r="F189" s="198"/>
      <c r="G189" s="198"/>
      <c r="H189" s="199"/>
      <c r="I189" s="200"/>
      <c r="J189" s="62"/>
      <c r="K189" s="62"/>
      <c r="L189" s="62"/>
      <c r="M189" s="62"/>
      <c r="N189" s="62"/>
      <c r="O189" s="60"/>
      <c r="P189" s="62"/>
      <c r="Q189" s="66"/>
      <c r="R189" s="62"/>
      <c r="S189" s="62"/>
      <c r="T189" s="62"/>
      <c r="U189" s="74"/>
      <c r="V189" s="62"/>
      <c r="W189" s="75"/>
      <c r="X189" s="74"/>
      <c r="Y189" s="61"/>
      <c r="Z189" s="201"/>
      <c r="AA189" s="201"/>
      <c r="AB189" s="201"/>
      <c r="AC189" s="201"/>
      <c r="AD189" s="201"/>
      <c r="AE189" s="201"/>
      <c r="AF189" s="201"/>
      <c r="AG189" s="201"/>
      <c r="AH189" s="201"/>
      <c r="AI189" s="201"/>
      <c r="AJ189" s="201"/>
      <c r="AK189" s="201"/>
      <c r="AL189" s="201"/>
      <c r="AM189" s="201"/>
      <c r="AN189" s="201"/>
      <c r="AO189" s="201"/>
    </row>
    <row r="190">
      <c r="A190" s="197"/>
      <c r="B190" s="198"/>
      <c r="C190" s="204"/>
      <c r="D190" s="197"/>
      <c r="E190" s="198"/>
      <c r="F190" s="198"/>
      <c r="G190" s="198"/>
      <c r="H190" s="199"/>
      <c r="I190" s="200"/>
      <c r="J190" s="62"/>
      <c r="K190" s="62"/>
      <c r="L190" s="62"/>
      <c r="M190" s="62"/>
      <c r="N190" s="62"/>
      <c r="O190" s="60"/>
      <c r="P190" s="62"/>
      <c r="Q190" s="66"/>
      <c r="R190" s="62"/>
      <c r="S190" s="62"/>
      <c r="T190" s="62"/>
      <c r="U190" s="74"/>
      <c r="V190" s="62"/>
      <c r="W190" s="75"/>
      <c r="X190" s="74"/>
      <c r="Y190" s="61"/>
      <c r="Z190" s="201"/>
      <c r="AA190" s="201"/>
      <c r="AB190" s="201"/>
      <c r="AC190" s="201"/>
      <c r="AD190" s="201"/>
      <c r="AE190" s="201"/>
      <c r="AF190" s="201"/>
      <c r="AG190" s="201"/>
      <c r="AH190" s="201"/>
      <c r="AI190" s="201"/>
      <c r="AJ190" s="201"/>
      <c r="AK190" s="201"/>
      <c r="AL190" s="201"/>
      <c r="AM190" s="201"/>
      <c r="AN190" s="201"/>
      <c r="AO190" s="201"/>
    </row>
    <row r="191">
      <c r="A191" s="197"/>
      <c r="B191" s="198"/>
      <c r="C191" s="204"/>
      <c r="D191" s="197"/>
      <c r="E191" s="198"/>
      <c r="F191" s="198"/>
      <c r="G191" s="198"/>
      <c r="H191" s="199"/>
      <c r="I191" s="200"/>
      <c r="J191" s="62"/>
      <c r="K191" s="62"/>
      <c r="L191" s="62"/>
      <c r="M191" s="62"/>
      <c r="N191" s="62"/>
      <c r="O191" s="60"/>
      <c r="P191" s="62"/>
      <c r="Q191" s="66"/>
      <c r="R191" s="62"/>
      <c r="S191" s="62"/>
      <c r="T191" s="62"/>
      <c r="U191" s="74"/>
      <c r="V191" s="62"/>
      <c r="W191" s="75"/>
      <c r="X191" s="74"/>
      <c r="Y191" s="104"/>
      <c r="Z191" s="201"/>
      <c r="AA191" s="201"/>
      <c r="AB191" s="201"/>
      <c r="AC191" s="201"/>
      <c r="AD191" s="201"/>
      <c r="AE191" s="201"/>
      <c r="AF191" s="201"/>
      <c r="AG191" s="201"/>
      <c r="AH191" s="201"/>
      <c r="AI191" s="201"/>
      <c r="AJ191" s="201"/>
      <c r="AK191" s="201"/>
      <c r="AL191" s="201"/>
      <c r="AM191" s="201"/>
      <c r="AN191" s="201"/>
      <c r="AO191" s="201"/>
    </row>
    <row r="192">
      <c r="A192" s="197"/>
      <c r="B192" s="198"/>
      <c r="C192" s="199"/>
      <c r="D192" s="197"/>
      <c r="E192" s="198"/>
      <c r="F192" s="198"/>
      <c r="G192" s="198"/>
      <c r="H192" s="199"/>
      <c r="I192" s="200"/>
      <c r="J192" s="62"/>
      <c r="K192" s="62"/>
      <c r="L192" s="62"/>
      <c r="M192" s="62"/>
      <c r="N192" s="62"/>
      <c r="O192" s="60"/>
      <c r="P192" s="62"/>
      <c r="Q192" s="66"/>
      <c r="R192" s="62"/>
      <c r="S192" s="62"/>
      <c r="T192" s="62"/>
      <c r="U192" s="74"/>
      <c r="V192" s="62"/>
      <c r="W192" s="75"/>
      <c r="X192" s="74"/>
      <c r="Y192" s="63"/>
      <c r="Z192" s="201"/>
      <c r="AA192" s="201"/>
      <c r="AB192" s="201"/>
      <c r="AC192" s="201"/>
      <c r="AD192" s="201"/>
      <c r="AE192" s="201"/>
      <c r="AF192" s="201"/>
      <c r="AG192" s="201"/>
      <c r="AH192" s="201"/>
      <c r="AI192" s="201"/>
      <c r="AJ192" s="201"/>
      <c r="AK192" s="201"/>
      <c r="AL192" s="201"/>
      <c r="AM192" s="201"/>
      <c r="AN192" s="201"/>
      <c r="AO192" s="201"/>
    </row>
    <row r="193">
      <c r="A193" s="197"/>
      <c r="B193" s="198"/>
      <c r="C193" s="199"/>
      <c r="D193" s="205"/>
      <c r="E193" s="198"/>
      <c r="F193" s="198"/>
      <c r="G193" s="198"/>
      <c r="H193" s="200"/>
      <c r="I193" s="200"/>
      <c r="J193" s="79"/>
      <c r="K193" s="79"/>
      <c r="L193" s="62"/>
      <c r="M193" s="62"/>
      <c r="N193" s="62"/>
      <c r="O193" s="60"/>
      <c r="P193" s="62"/>
      <c r="Q193" s="66"/>
      <c r="R193" s="62"/>
      <c r="S193" s="62"/>
      <c r="T193" s="62"/>
      <c r="U193" s="74"/>
      <c r="V193" s="62"/>
      <c r="W193" s="75"/>
      <c r="X193" s="74"/>
      <c r="Y193" s="63"/>
      <c r="Z193" s="201"/>
      <c r="AA193" s="201"/>
      <c r="AB193" s="201"/>
      <c r="AC193" s="201"/>
      <c r="AD193" s="201"/>
      <c r="AE193" s="201"/>
      <c r="AF193" s="201"/>
      <c r="AG193" s="201"/>
      <c r="AH193" s="201"/>
      <c r="AI193" s="201"/>
      <c r="AJ193" s="201"/>
      <c r="AK193" s="201"/>
      <c r="AL193" s="201"/>
      <c r="AM193" s="201"/>
      <c r="AN193" s="201"/>
      <c r="AO193" s="201"/>
    </row>
    <row r="194">
      <c r="A194" s="197"/>
      <c r="B194" s="198"/>
      <c r="C194" s="199"/>
      <c r="D194" s="205"/>
      <c r="E194" s="198"/>
      <c r="F194" s="198"/>
      <c r="G194" s="198"/>
      <c r="H194" s="199"/>
      <c r="I194" s="200"/>
      <c r="J194" s="62"/>
      <c r="K194" s="62"/>
      <c r="L194" s="62"/>
      <c r="M194" s="62"/>
      <c r="N194" s="62"/>
      <c r="O194" s="60"/>
      <c r="P194" s="62"/>
      <c r="Q194" s="66"/>
      <c r="R194" s="62"/>
      <c r="S194" s="62"/>
      <c r="T194" s="62"/>
      <c r="U194" s="74"/>
      <c r="V194" s="62"/>
      <c r="W194" s="75"/>
      <c r="X194" s="74"/>
      <c r="Y194" s="61"/>
      <c r="Z194" s="201"/>
      <c r="AA194" s="201"/>
      <c r="AB194" s="201"/>
      <c r="AC194" s="201"/>
      <c r="AD194" s="201"/>
      <c r="AE194" s="201"/>
      <c r="AF194" s="201"/>
      <c r="AG194" s="201"/>
      <c r="AH194" s="201"/>
      <c r="AI194" s="201"/>
      <c r="AJ194" s="201"/>
      <c r="AK194" s="201"/>
      <c r="AL194" s="201"/>
      <c r="AM194" s="201"/>
      <c r="AN194" s="201"/>
      <c r="AO194" s="201"/>
    </row>
    <row r="195">
      <c r="A195" s="197"/>
      <c r="B195" s="198"/>
      <c r="C195" s="204"/>
      <c r="D195" s="197"/>
      <c r="E195" s="198"/>
      <c r="F195" s="198"/>
      <c r="G195" s="198"/>
      <c r="H195" s="202"/>
      <c r="I195" s="202"/>
      <c r="J195" s="62"/>
      <c r="K195" s="62"/>
      <c r="L195" s="62"/>
      <c r="M195" s="62"/>
      <c r="N195" s="62"/>
      <c r="O195" s="60"/>
      <c r="P195" s="62"/>
      <c r="Q195" s="66"/>
      <c r="R195" s="62"/>
      <c r="S195" s="62"/>
      <c r="T195" s="62"/>
      <c r="U195" s="74"/>
      <c r="V195" s="62"/>
      <c r="W195" s="75"/>
      <c r="X195" s="74"/>
      <c r="Y195" s="61"/>
      <c r="Z195" s="201"/>
      <c r="AA195" s="201"/>
      <c r="AB195" s="201"/>
      <c r="AC195" s="201"/>
      <c r="AD195" s="201"/>
      <c r="AE195" s="201"/>
      <c r="AF195" s="201"/>
      <c r="AG195" s="201"/>
      <c r="AH195" s="201"/>
      <c r="AI195" s="201"/>
      <c r="AJ195" s="201"/>
      <c r="AK195" s="201"/>
      <c r="AL195" s="201"/>
      <c r="AM195" s="201"/>
      <c r="AN195" s="201"/>
      <c r="AO195" s="201"/>
    </row>
    <row r="196">
      <c r="A196" s="197"/>
      <c r="B196" s="198"/>
      <c r="C196" s="199"/>
      <c r="D196" s="205"/>
      <c r="E196" s="198"/>
      <c r="F196" s="198"/>
      <c r="G196" s="198"/>
      <c r="H196" s="199"/>
      <c r="I196" s="200"/>
      <c r="J196" s="62"/>
      <c r="K196" s="62"/>
      <c r="L196" s="62"/>
      <c r="M196" s="62"/>
      <c r="N196" s="62"/>
      <c r="O196" s="60"/>
      <c r="P196" s="62"/>
      <c r="Q196" s="66"/>
      <c r="R196" s="62"/>
      <c r="S196" s="62"/>
      <c r="T196" s="62"/>
      <c r="U196" s="74"/>
      <c r="V196" s="62"/>
      <c r="W196" s="75"/>
      <c r="X196" s="74"/>
      <c r="Y196" s="63"/>
      <c r="Z196" s="201"/>
      <c r="AA196" s="201"/>
      <c r="AB196" s="201"/>
      <c r="AC196" s="201"/>
      <c r="AD196" s="201"/>
      <c r="AE196" s="201"/>
      <c r="AF196" s="201"/>
      <c r="AG196" s="201"/>
      <c r="AH196" s="201"/>
      <c r="AI196" s="201"/>
      <c r="AJ196" s="201"/>
      <c r="AK196" s="201"/>
      <c r="AL196" s="201"/>
      <c r="AM196" s="201"/>
      <c r="AN196" s="201"/>
      <c r="AO196" s="201"/>
    </row>
    <row r="197" ht="17.25" customHeight="1">
      <c r="A197" s="197"/>
      <c r="B197" s="198"/>
      <c r="C197" s="204"/>
      <c r="D197" s="205"/>
      <c r="E197" s="198"/>
      <c r="F197" s="198"/>
      <c r="G197" s="198"/>
      <c r="H197" s="200"/>
      <c r="I197" s="200"/>
      <c r="J197" s="62"/>
      <c r="K197" s="62"/>
      <c r="L197" s="62"/>
      <c r="M197" s="62"/>
      <c r="N197" s="62"/>
      <c r="O197" s="60"/>
      <c r="P197" s="62"/>
      <c r="Q197" s="66"/>
      <c r="R197" s="62"/>
      <c r="S197" s="62"/>
      <c r="T197" s="62"/>
      <c r="U197" s="74"/>
      <c r="V197" s="62"/>
      <c r="W197" s="75"/>
      <c r="X197" s="74"/>
      <c r="Y197" s="63"/>
      <c r="Z197" s="201"/>
      <c r="AA197" s="201"/>
      <c r="AB197" s="201"/>
      <c r="AC197" s="201"/>
      <c r="AD197" s="201"/>
      <c r="AE197" s="201"/>
      <c r="AF197" s="201"/>
      <c r="AG197" s="201"/>
      <c r="AH197" s="201"/>
      <c r="AI197" s="201"/>
      <c r="AJ197" s="201"/>
      <c r="AK197" s="201"/>
      <c r="AL197" s="201"/>
      <c r="AM197" s="201"/>
      <c r="AN197" s="201"/>
      <c r="AO197" s="201"/>
    </row>
    <row r="198">
      <c r="A198" s="197"/>
      <c r="B198" s="198"/>
      <c r="C198" s="199"/>
      <c r="D198" s="205"/>
      <c r="E198" s="198"/>
      <c r="F198" s="198"/>
      <c r="G198" s="198"/>
      <c r="H198" s="199"/>
      <c r="I198" s="200"/>
      <c r="J198" s="62"/>
      <c r="K198" s="62"/>
      <c r="L198" s="62"/>
      <c r="M198" s="62"/>
      <c r="N198" s="62"/>
      <c r="O198" s="60"/>
      <c r="P198" s="62"/>
      <c r="Q198" s="66"/>
      <c r="R198" s="62"/>
      <c r="S198" s="62"/>
      <c r="T198" s="62"/>
      <c r="U198" s="74"/>
      <c r="V198" s="62"/>
      <c r="W198" s="75"/>
      <c r="X198" s="74"/>
      <c r="Y198" s="61"/>
      <c r="Z198" s="201"/>
      <c r="AA198" s="201"/>
      <c r="AB198" s="201"/>
      <c r="AC198" s="201"/>
      <c r="AD198" s="201"/>
      <c r="AE198" s="201"/>
      <c r="AF198" s="201"/>
      <c r="AG198" s="201"/>
      <c r="AH198" s="201"/>
      <c r="AI198" s="201"/>
      <c r="AJ198" s="201"/>
      <c r="AK198" s="201"/>
      <c r="AL198" s="201"/>
      <c r="AM198" s="201"/>
      <c r="AN198" s="201"/>
      <c r="AO198" s="201"/>
    </row>
    <row r="199">
      <c r="A199" s="197"/>
      <c r="B199" s="198"/>
      <c r="C199" s="199"/>
      <c r="D199" s="205"/>
      <c r="E199" s="198"/>
      <c r="F199" s="198"/>
      <c r="G199" s="198"/>
      <c r="H199" s="199"/>
      <c r="I199" s="200"/>
      <c r="J199" s="62"/>
      <c r="K199" s="62"/>
      <c r="L199" s="62"/>
      <c r="M199" s="62"/>
      <c r="N199" s="62"/>
      <c r="O199" s="60"/>
      <c r="P199" s="62"/>
      <c r="Q199" s="66"/>
      <c r="R199" s="62"/>
      <c r="S199" s="62"/>
      <c r="T199" s="62"/>
      <c r="U199" s="74"/>
      <c r="V199" s="62"/>
      <c r="W199" s="75"/>
      <c r="X199" s="74"/>
      <c r="Y199" s="63"/>
      <c r="Z199" s="201"/>
      <c r="AA199" s="201"/>
      <c r="AB199" s="201"/>
      <c r="AC199" s="201"/>
      <c r="AD199" s="201"/>
      <c r="AE199" s="201"/>
      <c r="AF199" s="201"/>
      <c r="AG199" s="201"/>
      <c r="AH199" s="201"/>
      <c r="AI199" s="201"/>
      <c r="AJ199" s="201"/>
      <c r="AK199" s="201"/>
      <c r="AL199" s="201"/>
      <c r="AM199" s="201"/>
      <c r="AN199" s="201"/>
      <c r="AO199" s="201"/>
    </row>
    <row r="200">
      <c r="A200" s="197"/>
      <c r="B200" s="198"/>
      <c r="C200" s="199"/>
      <c r="D200" s="205"/>
      <c r="E200" s="198"/>
      <c r="F200" s="198"/>
      <c r="G200" s="198"/>
      <c r="H200" s="200"/>
      <c r="I200" s="200"/>
      <c r="J200" s="79"/>
      <c r="K200" s="79"/>
      <c r="L200" s="62"/>
      <c r="M200" s="62"/>
      <c r="N200" s="62"/>
      <c r="O200" s="60"/>
      <c r="P200" s="62"/>
      <c r="Q200" s="66"/>
      <c r="R200" s="62"/>
      <c r="S200" s="62"/>
      <c r="T200" s="62"/>
      <c r="U200" s="74"/>
      <c r="V200" s="62"/>
      <c r="W200" s="75"/>
      <c r="X200" s="74"/>
      <c r="Y200" s="61"/>
      <c r="Z200" s="201"/>
      <c r="AA200" s="201"/>
      <c r="AB200" s="201"/>
      <c r="AC200" s="201"/>
      <c r="AD200" s="201"/>
      <c r="AE200" s="201"/>
      <c r="AF200" s="201"/>
      <c r="AG200" s="201"/>
      <c r="AH200" s="201"/>
      <c r="AI200" s="201"/>
      <c r="AJ200" s="201"/>
      <c r="AK200" s="201"/>
      <c r="AL200" s="201"/>
      <c r="AM200" s="201"/>
      <c r="AN200" s="201"/>
      <c r="AO200" s="201"/>
    </row>
    <row r="201">
      <c r="A201" s="197"/>
      <c r="B201" s="198"/>
      <c r="C201" s="199"/>
      <c r="D201" s="206"/>
      <c r="E201" s="198"/>
      <c r="F201" s="198"/>
      <c r="G201" s="198"/>
      <c r="H201" s="199"/>
      <c r="I201" s="200"/>
      <c r="J201" s="62"/>
      <c r="K201" s="62"/>
      <c r="L201" s="62"/>
      <c r="M201" s="62"/>
      <c r="N201" s="62"/>
      <c r="O201" s="60"/>
      <c r="P201" s="62"/>
      <c r="Q201" s="66"/>
      <c r="R201" s="62"/>
      <c r="S201" s="62"/>
      <c r="T201" s="62"/>
      <c r="U201" s="74"/>
      <c r="V201" s="62"/>
      <c r="W201" s="75"/>
      <c r="X201" s="74"/>
      <c r="Y201" s="61"/>
      <c r="Z201" s="201"/>
      <c r="AA201" s="201"/>
      <c r="AB201" s="201"/>
      <c r="AC201" s="201"/>
      <c r="AD201" s="201"/>
      <c r="AE201" s="201"/>
      <c r="AF201" s="201"/>
      <c r="AG201" s="201"/>
      <c r="AH201" s="201"/>
      <c r="AI201" s="201"/>
      <c r="AJ201" s="201"/>
      <c r="AK201" s="201"/>
      <c r="AL201" s="201"/>
      <c r="AM201" s="201"/>
      <c r="AN201" s="201"/>
      <c r="AO201" s="201"/>
    </row>
    <row r="202">
      <c r="A202" s="197"/>
      <c r="B202" s="198"/>
      <c r="C202" s="199"/>
      <c r="D202" s="197"/>
      <c r="E202" s="197"/>
      <c r="F202" s="198"/>
      <c r="G202" s="198"/>
      <c r="H202" s="199"/>
      <c r="I202" s="200"/>
      <c r="J202" s="62"/>
      <c r="K202" s="62"/>
      <c r="L202" s="62"/>
      <c r="M202" s="62"/>
      <c r="N202" s="62"/>
      <c r="O202" s="60"/>
      <c r="P202" s="62"/>
      <c r="Q202" s="66"/>
      <c r="R202" s="62"/>
      <c r="S202" s="62"/>
      <c r="T202" s="62"/>
      <c r="U202" s="74"/>
      <c r="V202" s="62"/>
      <c r="W202" s="75"/>
      <c r="X202" s="74"/>
      <c r="Y202" s="61"/>
      <c r="Z202" s="201"/>
      <c r="AA202" s="201"/>
      <c r="AB202" s="201"/>
      <c r="AC202" s="201"/>
      <c r="AD202" s="201"/>
      <c r="AE202" s="201"/>
      <c r="AF202" s="201"/>
      <c r="AG202" s="201"/>
      <c r="AH202" s="201"/>
      <c r="AI202" s="201"/>
      <c r="AJ202" s="201"/>
      <c r="AK202" s="201"/>
      <c r="AL202" s="201"/>
      <c r="AM202" s="201"/>
      <c r="AN202" s="201"/>
      <c r="AO202" s="201"/>
    </row>
    <row r="203">
      <c r="A203" s="197"/>
      <c r="B203" s="198"/>
      <c r="C203" s="204"/>
      <c r="D203" s="197"/>
      <c r="E203" s="197"/>
      <c r="F203" s="198"/>
      <c r="G203" s="198"/>
      <c r="H203" s="199"/>
      <c r="I203" s="200"/>
      <c r="J203" s="62"/>
      <c r="K203" s="62"/>
      <c r="L203" s="62"/>
      <c r="M203" s="62"/>
      <c r="N203" s="62"/>
      <c r="O203" s="60"/>
      <c r="P203" s="62"/>
      <c r="Q203" s="66"/>
      <c r="R203" s="62"/>
      <c r="S203" s="62"/>
      <c r="T203" s="62"/>
      <c r="U203" s="74"/>
      <c r="V203" s="62"/>
      <c r="W203" s="75"/>
      <c r="X203" s="74"/>
      <c r="Y203" s="63"/>
      <c r="Z203" s="201"/>
      <c r="AA203" s="201"/>
      <c r="AB203" s="201"/>
      <c r="AC203" s="201"/>
      <c r="AD203" s="201"/>
      <c r="AE203" s="201"/>
      <c r="AF203" s="201"/>
      <c r="AG203" s="201"/>
      <c r="AH203" s="201"/>
      <c r="AI203" s="201"/>
      <c r="AJ203" s="201"/>
      <c r="AK203" s="201"/>
      <c r="AL203" s="201"/>
      <c r="AM203" s="201"/>
      <c r="AN203" s="201"/>
      <c r="AO203" s="201"/>
    </row>
    <row r="204">
      <c r="A204" s="197"/>
      <c r="B204" s="198"/>
      <c r="C204" s="199"/>
      <c r="D204" s="205"/>
      <c r="E204" s="198"/>
      <c r="F204" s="198"/>
      <c r="G204" s="198"/>
      <c r="H204" s="199"/>
      <c r="I204" s="200"/>
      <c r="J204" s="62"/>
      <c r="K204" s="62"/>
      <c r="L204" s="62"/>
      <c r="M204" s="62"/>
      <c r="N204" s="62"/>
      <c r="O204" s="60"/>
      <c r="P204" s="62"/>
      <c r="Q204" s="66"/>
      <c r="R204" s="62"/>
      <c r="S204" s="62"/>
      <c r="T204" s="62"/>
      <c r="U204" s="74"/>
      <c r="V204" s="62"/>
      <c r="W204" s="75"/>
      <c r="X204" s="74"/>
      <c r="Y204" s="61"/>
      <c r="Z204" s="201"/>
      <c r="AA204" s="201"/>
      <c r="AB204" s="201"/>
      <c r="AC204" s="201"/>
      <c r="AD204" s="201"/>
      <c r="AE204" s="201"/>
      <c r="AF204" s="201"/>
      <c r="AG204" s="201"/>
      <c r="AH204" s="201"/>
      <c r="AI204" s="201"/>
      <c r="AJ204" s="201"/>
      <c r="AK204" s="201"/>
      <c r="AL204" s="201"/>
      <c r="AM204" s="201"/>
      <c r="AN204" s="201"/>
      <c r="AO204" s="201"/>
    </row>
    <row r="205">
      <c r="A205" s="197"/>
      <c r="B205" s="198"/>
      <c r="C205" s="204"/>
      <c r="D205" s="197"/>
      <c r="E205" s="197"/>
      <c r="F205" s="198"/>
      <c r="G205" s="198"/>
      <c r="H205" s="199"/>
      <c r="I205" s="200"/>
      <c r="J205" s="62"/>
      <c r="K205" s="62"/>
      <c r="L205" s="62"/>
      <c r="M205" s="62"/>
      <c r="N205" s="62"/>
      <c r="O205" s="60"/>
      <c r="P205" s="62"/>
      <c r="Q205" s="66"/>
      <c r="R205" s="62"/>
      <c r="S205" s="62"/>
      <c r="T205" s="62"/>
      <c r="U205" s="74"/>
      <c r="V205" s="62"/>
      <c r="W205" s="75"/>
      <c r="X205" s="74"/>
      <c r="Y205" s="61"/>
      <c r="Z205" s="201"/>
      <c r="AA205" s="201"/>
      <c r="AB205" s="201"/>
      <c r="AC205" s="201"/>
      <c r="AD205" s="201"/>
      <c r="AE205" s="201"/>
      <c r="AF205" s="201"/>
      <c r="AG205" s="201"/>
      <c r="AH205" s="201"/>
      <c r="AI205" s="201"/>
      <c r="AJ205" s="201"/>
      <c r="AK205" s="201"/>
      <c r="AL205" s="201"/>
      <c r="AM205" s="201"/>
      <c r="AN205" s="201"/>
      <c r="AO205" s="201"/>
    </row>
    <row r="206">
      <c r="A206" s="197"/>
      <c r="B206" s="198"/>
      <c r="C206" s="204"/>
      <c r="D206" s="197"/>
      <c r="E206" s="197"/>
      <c r="F206" s="198"/>
      <c r="G206" s="198"/>
      <c r="H206" s="202"/>
      <c r="I206" s="200"/>
      <c r="J206" s="62"/>
      <c r="K206" s="62"/>
      <c r="L206" s="62"/>
      <c r="M206" s="62"/>
      <c r="N206" s="62"/>
      <c r="O206" s="60"/>
      <c r="P206" s="62"/>
      <c r="Q206" s="66"/>
      <c r="R206" s="62"/>
      <c r="S206" s="62"/>
      <c r="T206" s="62"/>
      <c r="U206" s="74"/>
      <c r="V206" s="62"/>
      <c r="W206" s="75"/>
      <c r="X206" s="74"/>
      <c r="Y206" s="61"/>
      <c r="Z206" s="201"/>
      <c r="AA206" s="201"/>
      <c r="AB206" s="201"/>
      <c r="AC206" s="201"/>
      <c r="AD206" s="201"/>
      <c r="AE206" s="201"/>
      <c r="AF206" s="201"/>
      <c r="AG206" s="201"/>
      <c r="AH206" s="201"/>
      <c r="AI206" s="201"/>
      <c r="AJ206" s="201"/>
      <c r="AK206" s="201"/>
      <c r="AL206" s="201"/>
      <c r="AM206" s="201"/>
      <c r="AN206" s="201"/>
      <c r="AO206" s="201"/>
    </row>
    <row r="207">
      <c r="A207" s="197"/>
      <c r="B207" s="198"/>
      <c r="C207" s="199"/>
      <c r="D207" s="197"/>
      <c r="E207" s="197"/>
      <c r="F207" s="198"/>
      <c r="G207" s="198"/>
      <c r="H207" s="199"/>
      <c r="I207" s="200"/>
      <c r="J207" s="62"/>
      <c r="K207" s="62"/>
      <c r="L207" s="62"/>
      <c r="M207" s="62"/>
      <c r="N207" s="62"/>
      <c r="O207" s="60"/>
      <c r="P207" s="62"/>
      <c r="Q207" s="66"/>
      <c r="R207" s="62"/>
      <c r="S207" s="62"/>
      <c r="T207" s="62"/>
      <c r="U207" s="74"/>
      <c r="V207" s="62"/>
      <c r="W207" s="75"/>
      <c r="X207" s="74"/>
      <c r="Y207" s="61"/>
      <c r="Z207" s="201"/>
      <c r="AA207" s="201"/>
      <c r="AB207" s="201"/>
      <c r="AC207" s="201"/>
      <c r="AD207" s="201"/>
      <c r="AE207" s="201"/>
      <c r="AF207" s="201"/>
      <c r="AG207" s="201"/>
      <c r="AH207" s="201"/>
      <c r="AI207" s="201"/>
      <c r="AJ207" s="201"/>
      <c r="AK207" s="201"/>
      <c r="AL207" s="201"/>
      <c r="AM207" s="201"/>
      <c r="AN207" s="201"/>
      <c r="AO207" s="201"/>
    </row>
    <row r="208">
      <c r="A208" s="197"/>
      <c r="B208" s="198"/>
      <c r="C208" s="204"/>
      <c r="D208" s="197"/>
      <c r="E208" s="197"/>
      <c r="F208" s="198"/>
      <c r="G208" s="198"/>
      <c r="H208" s="199"/>
      <c r="I208" s="200"/>
      <c r="J208" s="62"/>
      <c r="K208" s="62"/>
      <c r="L208" s="62"/>
      <c r="M208" s="62"/>
      <c r="N208" s="62"/>
      <c r="O208" s="60"/>
      <c r="P208" s="62"/>
      <c r="Q208" s="66"/>
      <c r="R208" s="62"/>
      <c r="S208" s="62"/>
      <c r="T208" s="62"/>
      <c r="U208" s="74"/>
      <c r="V208" s="62"/>
      <c r="W208" s="75"/>
      <c r="X208" s="74"/>
      <c r="Y208" s="61"/>
      <c r="Z208" s="201"/>
      <c r="AA208" s="201"/>
      <c r="AB208" s="201"/>
      <c r="AC208" s="201"/>
      <c r="AD208" s="201"/>
      <c r="AE208" s="201"/>
      <c r="AF208" s="201"/>
      <c r="AG208" s="201"/>
      <c r="AH208" s="201"/>
      <c r="AI208" s="201"/>
      <c r="AJ208" s="201"/>
      <c r="AK208" s="201"/>
      <c r="AL208" s="201"/>
      <c r="AM208" s="201"/>
      <c r="AN208" s="201"/>
      <c r="AO208" s="201"/>
    </row>
    <row r="209">
      <c r="A209" s="197"/>
      <c r="B209" s="198"/>
      <c r="C209" s="199"/>
      <c r="D209" s="205"/>
      <c r="E209" s="198"/>
      <c r="F209" s="198"/>
      <c r="G209" s="198"/>
      <c r="H209" s="199"/>
      <c r="I209" s="200"/>
      <c r="J209" s="62"/>
      <c r="K209" s="62"/>
      <c r="L209" s="62"/>
      <c r="M209" s="62"/>
      <c r="N209" s="62"/>
      <c r="O209" s="60"/>
      <c r="P209" s="62"/>
      <c r="Q209" s="66"/>
      <c r="R209" s="62"/>
      <c r="S209" s="62"/>
      <c r="T209" s="62"/>
      <c r="U209" s="74"/>
      <c r="V209" s="62"/>
      <c r="W209" s="75"/>
      <c r="X209" s="74"/>
      <c r="Y209" s="61"/>
      <c r="Z209" s="201"/>
      <c r="AA209" s="201"/>
      <c r="AB209" s="201"/>
      <c r="AC209" s="201"/>
      <c r="AD209" s="201"/>
      <c r="AE209" s="201"/>
      <c r="AF209" s="201"/>
      <c r="AG209" s="201"/>
      <c r="AH209" s="201"/>
      <c r="AI209" s="201"/>
      <c r="AJ209" s="201"/>
      <c r="AK209" s="201"/>
      <c r="AL209" s="201"/>
      <c r="AM209" s="201"/>
      <c r="AN209" s="201"/>
      <c r="AO209" s="201"/>
    </row>
    <row r="210">
      <c r="A210" s="197"/>
      <c r="B210" s="198"/>
      <c r="C210" s="199"/>
      <c r="D210" s="197"/>
      <c r="E210" s="197"/>
      <c r="F210" s="198"/>
      <c r="G210" s="198"/>
      <c r="H210" s="199"/>
      <c r="I210" s="200"/>
      <c r="J210" s="62"/>
      <c r="K210" s="62"/>
      <c r="L210" s="62"/>
      <c r="M210" s="62"/>
      <c r="N210" s="62"/>
      <c r="O210" s="60"/>
      <c r="P210" s="62"/>
      <c r="Q210" s="66"/>
      <c r="R210" s="62"/>
      <c r="S210" s="62"/>
      <c r="T210" s="62"/>
      <c r="U210" s="74"/>
      <c r="V210" s="62"/>
      <c r="W210" s="75"/>
      <c r="X210" s="74"/>
      <c r="Y210" s="61"/>
      <c r="Z210" s="201"/>
      <c r="AA210" s="201"/>
      <c r="AB210" s="201"/>
      <c r="AC210" s="201"/>
      <c r="AD210" s="201"/>
      <c r="AE210" s="201"/>
      <c r="AF210" s="201"/>
      <c r="AG210" s="201"/>
      <c r="AH210" s="201"/>
      <c r="AI210" s="201"/>
      <c r="AJ210" s="201"/>
      <c r="AK210" s="201"/>
      <c r="AL210" s="201"/>
      <c r="AM210" s="201"/>
      <c r="AN210" s="201"/>
      <c r="AO210" s="201"/>
    </row>
    <row r="211">
      <c r="A211" s="197"/>
      <c r="B211" s="198"/>
      <c r="C211" s="199"/>
      <c r="D211" s="206"/>
      <c r="E211" s="198"/>
      <c r="F211" s="198"/>
      <c r="G211" s="198"/>
      <c r="H211" s="199"/>
      <c r="I211" s="200"/>
      <c r="J211" s="62"/>
      <c r="K211" s="62"/>
      <c r="L211" s="62"/>
      <c r="M211" s="62"/>
      <c r="N211" s="62"/>
      <c r="O211" s="60"/>
      <c r="P211" s="62"/>
      <c r="Q211" s="66"/>
      <c r="R211" s="62"/>
      <c r="S211" s="62"/>
      <c r="T211" s="62"/>
      <c r="U211" s="74"/>
      <c r="V211" s="62"/>
      <c r="W211" s="75"/>
      <c r="X211" s="74"/>
      <c r="Y211" s="61"/>
      <c r="Z211" s="201"/>
      <c r="AA211" s="201"/>
      <c r="AB211" s="201"/>
      <c r="AC211" s="201"/>
      <c r="AD211" s="201"/>
      <c r="AE211" s="201"/>
      <c r="AF211" s="201"/>
      <c r="AG211" s="201"/>
      <c r="AH211" s="201"/>
      <c r="AI211" s="201"/>
      <c r="AJ211" s="201"/>
      <c r="AK211" s="201"/>
      <c r="AL211" s="201"/>
      <c r="AM211" s="201"/>
      <c r="AN211" s="201"/>
      <c r="AO211" s="201"/>
    </row>
    <row r="212">
      <c r="A212" s="197"/>
      <c r="B212" s="198"/>
      <c r="C212" s="199"/>
      <c r="D212" s="197"/>
      <c r="E212" s="197"/>
      <c r="F212" s="198"/>
      <c r="G212" s="198"/>
      <c r="H212" s="199"/>
      <c r="I212" s="200"/>
      <c r="J212" s="62"/>
      <c r="K212" s="62"/>
      <c r="L212" s="62"/>
      <c r="M212" s="62"/>
      <c r="N212" s="62"/>
      <c r="O212" s="60"/>
      <c r="P212" s="62"/>
      <c r="Q212" s="66"/>
      <c r="R212" s="62"/>
      <c r="S212" s="62"/>
      <c r="T212" s="62"/>
      <c r="U212" s="74"/>
      <c r="V212" s="62"/>
      <c r="W212" s="75"/>
      <c r="X212" s="74"/>
      <c r="Y212" s="61"/>
      <c r="Z212" s="201"/>
      <c r="AA212" s="201"/>
      <c r="AB212" s="201"/>
      <c r="AC212" s="201"/>
      <c r="AD212" s="201"/>
      <c r="AE212" s="201"/>
      <c r="AF212" s="201"/>
      <c r="AG212" s="201"/>
      <c r="AH212" s="201"/>
      <c r="AI212" s="201"/>
      <c r="AJ212" s="201"/>
      <c r="AK212" s="201"/>
      <c r="AL212" s="201"/>
      <c r="AM212" s="201"/>
      <c r="AN212" s="201"/>
      <c r="AO212" s="201"/>
    </row>
    <row r="213">
      <c r="A213" s="197"/>
      <c r="B213" s="198"/>
      <c r="C213" s="199"/>
      <c r="D213" s="197"/>
      <c r="E213" s="197"/>
      <c r="F213" s="198"/>
      <c r="G213" s="198"/>
      <c r="H213" s="199"/>
      <c r="I213" s="200"/>
      <c r="J213" s="62"/>
      <c r="K213" s="62"/>
      <c r="L213" s="62"/>
      <c r="M213" s="62"/>
      <c r="N213" s="62"/>
      <c r="O213" s="60"/>
      <c r="P213" s="62"/>
      <c r="Q213" s="66"/>
      <c r="R213" s="62"/>
      <c r="S213" s="62"/>
      <c r="T213" s="62"/>
      <c r="U213" s="74"/>
      <c r="V213" s="62"/>
      <c r="W213" s="75"/>
      <c r="X213" s="74"/>
      <c r="Y213" s="61"/>
      <c r="Z213" s="201"/>
      <c r="AA213" s="201"/>
      <c r="AB213" s="201"/>
      <c r="AC213" s="201"/>
      <c r="AD213" s="201"/>
      <c r="AE213" s="201"/>
      <c r="AF213" s="201"/>
      <c r="AG213" s="201"/>
      <c r="AH213" s="201"/>
      <c r="AI213" s="201"/>
      <c r="AJ213" s="201"/>
      <c r="AK213" s="201"/>
      <c r="AL213" s="201"/>
      <c r="AM213" s="201"/>
      <c r="AN213" s="201"/>
      <c r="AO213" s="201"/>
    </row>
    <row r="214">
      <c r="A214" s="197"/>
      <c r="B214" s="198"/>
      <c r="C214" s="199"/>
      <c r="D214" s="197"/>
      <c r="E214" s="197"/>
      <c r="F214" s="198"/>
      <c r="G214" s="198"/>
      <c r="H214" s="199"/>
      <c r="I214" s="200"/>
      <c r="J214" s="62"/>
      <c r="K214" s="62"/>
      <c r="L214" s="62"/>
      <c r="M214" s="62"/>
      <c r="N214" s="62"/>
      <c r="O214" s="60"/>
      <c r="P214" s="62"/>
      <c r="Q214" s="66"/>
      <c r="R214" s="62"/>
      <c r="S214" s="62"/>
      <c r="T214" s="62"/>
      <c r="U214" s="74"/>
      <c r="V214" s="62"/>
      <c r="W214" s="75"/>
      <c r="X214" s="74"/>
      <c r="Y214" s="61"/>
      <c r="Z214" s="201"/>
      <c r="AA214" s="201"/>
      <c r="AB214" s="201"/>
      <c r="AC214" s="201"/>
      <c r="AD214" s="201"/>
      <c r="AE214" s="201"/>
      <c r="AF214" s="201"/>
      <c r="AG214" s="201"/>
      <c r="AH214" s="201"/>
      <c r="AI214" s="201"/>
      <c r="AJ214" s="201"/>
      <c r="AK214" s="201"/>
      <c r="AL214" s="201"/>
      <c r="AM214" s="201"/>
      <c r="AN214" s="201"/>
      <c r="AO214" s="201"/>
    </row>
    <row r="215">
      <c r="A215" s="197"/>
      <c r="B215" s="198"/>
      <c r="C215" s="204"/>
      <c r="D215" s="206"/>
      <c r="E215" s="198"/>
      <c r="F215" s="198"/>
      <c r="G215" s="198"/>
      <c r="H215" s="202"/>
      <c r="I215" s="200"/>
      <c r="J215" s="62"/>
      <c r="K215" s="62"/>
      <c r="L215" s="62"/>
      <c r="M215" s="62"/>
      <c r="N215" s="62"/>
      <c r="O215" s="60"/>
      <c r="P215" s="62"/>
      <c r="Q215" s="66"/>
      <c r="R215" s="62"/>
      <c r="S215" s="62"/>
      <c r="T215" s="62"/>
      <c r="U215" s="74"/>
      <c r="V215" s="62"/>
      <c r="W215" s="75"/>
      <c r="X215" s="74"/>
      <c r="Y215" s="61"/>
      <c r="Z215" s="201"/>
      <c r="AA215" s="201"/>
      <c r="AB215" s="201"/>
      <c r="AC215" s="201"/>
      <c r="AD215" s="201"/>
      <c r="AE215" s="201"/>
      <c r="AF215" s="201"/>
      <c r="AG215" s="201"/>
      <c r="AH215" s="201"/>
      <c r="AI215" s="201"/>
      <c r="AJ215" s="201"/>
      <c r="AK215" s="201"/>
      <c r="AL215" s="201"/>
      <c r="AM215" s="201"/>
      <c r="AN215" s="201"/>
      <c r="AO215" s="201"/>
    </row>
    <row r="216">
      <c r="A216" s="197"/>
      <c r="B216" s="198"/>
      <c r="C216" s="199"/>
      <c r="D216" s="205"/>
      <c r="E216" s="198"/>
      <c r="F216" s="198"/>
      <c r="G216" s="198"/>
      <c r="H216" s="199"/>
      <c r="I216" s="200"/>
      <c r="J216" s="62"/>
      <c r="K216" s="62"/>
      <c r="L216" s="62"/>
      <c r="M216" s="62"/>
      <c r="N216" s="62"/>
      <c r="O216" s="60"/>
      <c r="P216" s="62"/>
      <c r="Q216" s="66"/>
      <c r="R216" s="62"/>
      <c r="S216" s="62"/>
      <c r="T216" s="62"/>
      <c r="U216" s="74"/>
      <c r="V216" s="62"/>
      <c r="W216" s="75"/>
      <c r="X216" s="74"/>
      <c r="Y216" s="61"/>
      <c r="Z216" s="201"/>
      <c r="AA216" s="201"/>
      <c r="AB216" s="201"/>
      <c r="AC216" s="201"/>
      <c r="AD216" s="201"/>
      <c r="AE216" s="201"/>
      <c r="AF216" s="201"/>
      <c r="AG216" s="201"/>
      <c r="AH216" s="201"/>
      <c r="AI216" s="201"/>
      <c r="AJ216" s="201"/>
      <c r="AK216" s="201"/>
      <c r="AL216" s="201"/>
      <c r="AM216" s="201"/>
      <c r="AN216" s="201"/>
      <c r="AO216" s="201"/>
    </row>
    <row r="217">
      <c r="A217" s="197"/>
      <c r="B217" s="198"/>
      <c r="C217" s="199"/>
      <c r="D217" s="197"/>
      <c r="E217" s="197"/>
      <c r="F217" s="198"/>
      <c r="G217" s="198"/>
      <c r="H217" s="199"/>
      <c r="I217" s="200"/>
      <c r="J217" s="62"/>
      <c r="K217" s="62"/>
      <c r="L217" s="62"/>
      <c r="M217" s="62"/>
      <c r="N217" s="62"/>
      <c r="O217" s="60"/>
      <c r="P217" s="62"/>
      <c r="Q217" s="66"/>
      <c r="R217" s="62"/>
      <c r="S217" s="62"/>
      <c r="T217" s="62"/>
      <c r="U217" s="74"/>
      <c r="V217" s="62"/>
      <c r="W217" s="75"/>
      <c r="X217" s="74"/>
      <c r="Y217" s="61"/>
      <c r="Z217" s="201"/>
      <c r="AA217" s="201"/>
      <c r="AB217" s="201"/>
      <c r="AC217" s="201"/>
      <c r="AD217" s="201"/>
      <c r="AE217" s="201"/>
      <c r="AF217" s="201"/>
      <c r="AG217" s="201"/>
      <c r="AH217" s="201"/>
      <c r="AI217" s="201"/>
      <c r="AJ217" s="201"/>
      <c r="AK217" s="201"/>
      <c r="AL217" s="201"/>
      <c r="AM217" s="201"/>
      <c r="AN217" s="201"/>
      <c r="AO217" s="201"/>
    </row>
    <row r="218">
      <c r="A218" s="197"/>
      <c r="B218" s="198"/>
      <c r="C218" s="199"/>
      <c r="D218" s="197"/>
      <c r="E218" s="197"/>
      <c r="F218" s="198"/>
      <c r="G218" s="198"/>
      <c r="H218" s="199"/>
      <c r="I218" s="200"/>
      <c r="J218" s="62"/>
      <c r="K218" s="62"/>
      <c r="L218" s="62"/>
      <c r="M218" s="62"/>
      <c r="N218" s="62"/>
      <c r="O218" s="60"/>
      <c r="P218" s="62"/>
      <c r="Q218" s="66"/>
      <c r="R218" s="62"/>
      <c r="S218" s="62"/>
      <c r="T218" s="62"/>
      <c r="U218" s="74"/>
      <c r="V218" s="62"/>
      <c r="W218" s="75"/>
      <c r="X218" s="74"/>
      <c r="Y218" s="61"/>
      <c r="Z218" s="201"/>
      <c r="AA218" s="201"/>
      <c r="AB218" s="201"/>
      <c r="AC218" s="201"/>
      <c r="AD218" s="201"/>
      <c r="AE218" s="201"/>
      <c r="AF218" s="201"/>
      <c r="AG218" s="201"/>
      <c r="AH218" s="201"/>
      <c r="AI218" s="201"/>
      <c r="AJ218" s="201"/>
      <c r="AK218" s="201"/>
      <c r="AL218" s="201"/>
      <c r="AM218" s="201"/>
      <c r="AN218" s="201"/>
      <c r="AO218" s="201"/>
    </row>
    <row r="219">
      <c r="A219" s="197"/>
      <c r="B219" s="198"/>
      <c r="C219" s="204"/>
      <c r="D219" s="197"/>
      <c r="E219" s="198"/>
      <c r="F219" s="198"/>
      <c r="G219" s="198"/>
      <c r="H219" s="202"/>
      <c r="I219" s="200"/>
      <c r="J219" s="62"/>
      <c r="K219" s="62"/>
      <c r="L219" s="62"/>
      <c r="M219" s="62"/>
      <c r="N219" s="62"/>
      <c r="O219" s="60"/>
      <c r="P219" s="62"/>
      <c r="Q219" s="66"/>
      <c r="R219" s="62"/>
      <c r="S219" s="62"/>
      <c r="T219" s="62"/>
      <c r="U219" s="74"/>
      <c r="V219" s="62"/>
      <c r="W219" s="75"/>
      <c r="X219" s="74"/>
      <c r="Y219" s="61"/>
      <c r="Z219" s="201"/>
      <c r="AA219" s="201"/>
      <c r="AB219" s="201"/>
      <c r="AC219" s="201"/>
      <c r="AD219" s="201"/>
      <c r="AE219" s="201"/>
      <c r="AF219" s="201"/>
      <c r="AG219" s="201"/>
      <c r="AH219" s="201"/>
      <c r="AI219" s="201"/>
      <c r="AJ219" s="201"/>
      <c r="AK219" s="201"/>
      <c r="AL219" s="201"/>
      <c r="AM219" s="201"/>
      <c r="AN219" s="201"/>
      <c r="AO219" s="201"/>
    </row>
    <row r="220">
      <c r="A220" s="197"/>
      <c r="B220" s="198"/>
      <c r="C220" s="199"/>
      <c r="D220" s="197"/>
      <c r="E220" s="197"/>
      <c r="F220" s="198"/>
      <c r="G220" s="198"/>
      <c r="H220" s="199"/>
      <c r="I220" s="200"/>
      <c r="J220" s="62"/>
      <c r="K220" s="62"/>
      <c r="L220" s="62"/>
      <c r="M220" s="62"/>
      <c r="N220" s="62"/>
      <c r="O220" s="60"/>
      <c r="P220" s="62"/>
      <c r="Q220" s="66"/>
      <c r="R220" s="62"/>
      <c r="S220" s="62"/>
      <c r="T220" s="62"/>
      <c r="U220" s="74"/>
      <c r="V220" s="62"/>
      <c r="W220" s="75"/>
      <c r="X220" s="74"/>
      <c r="Y220" s="61"/>
      <c r="Z220" s="201"/>
      <c r="AA220" s="201"/>
      <c r="AB220" s="201"/>
      <c r="AC220" s="201"/>
      <c r="AD220" s="201"/>
      <c r="AE220" s="201"/>
      <c r="AF220" s="201"/>
      <c r="AG220" s="201"/>
      <c r="AH220" s="201"/>
      <c r="AI220" s="201"/>
      <c r="AJ220" s="201"/>
      <c r="AK220" s="201"/>
      <c r="AL220" s="201"/>
      <c r="AM220" s="201"/>
      <c r="AN220" s="201"/>
      <c r="AO220" s="201"/>
    </row>
    <row r="221">
      <c r="A221" s="197"/>
      <c r="B221" s="198"/>
      <c r="C221" s="204"/>
      <c r="D221" s="206"/>
      <c r="E221" s="198"/>
      <c r="F221" s="198"/>
      <c r="G221" s="198"/>
      <c r="H221" s="199"/>
      <c r="I221" s="200"/>
      <c r="J221" s="62"/>
      <c r="K221" s="62"/>
      <c r="L221" s="62"/>
      <c r="M221" s="62"/>
      <c r="N221" s="62"/>
      <c r="O221" s="60"/>
      <c r="P221" s="62"/>
      <c r="Q221" s="66"/>
      <c r="R221" s="62"/>
      <c r="S221" s="62"/>
      <c r="T221" s="62"/>
      <c r="U221" s="74"/>
      <c r="V221" s="62"/>
      <c r="W221" s="75"/>
      <c r="X221" s="74"/>
      <c r="Y221" s="61"/>
      <c r="Z221" s="201"/>
      <c r="AA221" s="201"/>
      <c r="AB221" s="201"/>
      <c r="AC221" s="201"/>
      <c r="AD221" s="201"/>
      <c r="AE221" s="201"/>
      <c r="AF221" s="201"/>
      <c r="AG221" s="201"/>
      <c r="AH221" s="201"/>
      <c r="AI221" s="201"/>
      <c r="AJ221" s="201"/>
      <c r="AK221" s="201"/>
      <c r="AL221" s="201"/>
      <c r="AM221" s="201"/>
      <c r="AN221" s="201"/>
      <c r="AO221" s="201"/>
    </row>
    <row r="222" ht="15.0" customHeight="1">
      <c r="A222" s="197"/>
      <c r="B222" s="198"/>
      <c r="C222" s="204"/>
      <c r="D222" s="206"/>
      <c r="E222" s="198"/>
      <c r="F222" s="198"/>
      <c r="G222" s="198"/>
      <c r="H222" s="200"/>
      <c r="I222" s="200"/>
      <c r="J222" s="62"/>
      <c r="K222" s="62"/>
      <c r="L222" s="62"/>
      <c r="M222" s="62"/>
      <c r="N222" s="62"/>
      <c r="O222" s="60"/>
      <c r="P222" s="62"/>
      <c r="Q222" s="66"/>
      <c r="R222" s="62"/>
      <c r="S222" s="62"/>
      <c r="T222" s="62"/>
      <c r="U222" s="74"/>
      <c r="V222" s="62"/>
      <c r="W222" s="75"/>
      <c r="X222" s="74"/>
      <c r="Y222" s="63"/>
      <c r="Z222" s="201"/>
      <c r="AA222" s="201"/>
      <c r="AB222" s="201"/>
      <c r="AC222" s="201"/>
      <c r="AD222" s="201"/>
      <c r="AE222" s="201"/>
      <c r="AF222" s="201"/>
      <c r="AG222" s="201"/>
      <c r="AH222" s="201"/>
      <c r="AI222" s="201"/>
      <c r="AJ222" s="201"/>
      <c r="AK222" s="201"/>
      <c r="AL222" s="201"/>
      <c r="AM222" s="201"/>
      <c r="AN222" s="201"/>
      <c r="AO222" s="201"/>
    </row>
    <row r="223">
      <c r="A223" s="218"/>
      <c r="B223" s="218"/>
      <c r="C223" s="218"/>
      <c r="D223" s="218"/>
      <c r="E223" s="218"/>
      <c r="F223" s="218"/>
      <c r="G223" s="218"/>
      <c r="H223" s="218"/>
      <c r="I223" s="218"/>
      <c r="Z223" s="201"/>
      <c r="AA223" s="201"/>
      <c r="AB223" s="201"/>
      <c r="AC223" s="201"/>
      <c r="AD223" s="201"/>
      <c r="AE223" s="201"/>
      <c r="AF223" s="201"/>
      <c r="AG223" s="201"/>
      <c r="AH223" s="201"/>
      <c r="AI223" s="201"/>
      <c r="AJ223" s="201"/>
      <c r="AK223" s="201"/>
      <c r="AL223" s="201"/>
      <c r="AM223" s="201"/>
      <c r="AN223" s="201"/>
      <c r="AO223" s="201"/>
    </row>
    <row r="224">
      <c r="A224" s="197"/>
      <c r="B224" s="198"/>
      <c r="C224" s="204"/>
      <c r="D224" s="206"/>
      <c r="E224" s="198"/>
      <c r="F224" s="198"/>
      <c r="G224" s="198"/>
      <c r="H224" s="202"/>
      <c r="I224" s="200"/>
      <c r="J224" s="62"/>
      <c r="K224" s="62"/>
      <c r="L224" s="62"/>
      <c r="M224" s="62"/>
      <c r="N224" s="62"/>
      <c r="O224" s="60"/>
      <c r="P224" s="62"/>
      <c r="Q224" s="66"/>
      <c r="R224" s="62"/>
      <c r="S224" s="62"/>
      <c r="T224" s="62"/>
      <c r="U224" s="74"/>
      <c r="V224" s="62"/>
      <c r="W224" s="75"/>
      <c r="X224" s="74"/>
      <c r="Y224" s="61"/>
      <c r="Z224" s="201"/>
      <c r="AA224" s="201"/>
      <c r="AB224" s="201"/>
      <c r="AC224" s="201"/>
      <c r="AD224" s="201"/>
      <c r="AE224" s="201"/>
      <c r="AF224" s="201"/>
      <c r="AG224" s="201"/>
      <c r="AH224" s="201"/>
      <c r="AI224" s="201"/>
      <c r="AJ224" s="201"/>
      <c r="AK224" s="201"/>
      <c r="AL224" s="201"/>
      <c r="AM224" s="201"/>
      <c r="AN224" s="201"/>
      <c r="AO224" s="201"/>
    </row>
    <row r="225">
      <c r="A225" s="197"/>
      <c r="B225" s="198"/>
      <c r="C225" s="199"/>
      <c r="D225" s="197"/>
      <c r="E225" s="197"/>
      <c r="F225" s="198"/>
      <c r="G225" s="198"/>
      <c r="H225" s="199"/>
      <c r="I225" s="200"/>
      <c r="J225" s="62"/>
      <c r="K225" s="62"/>
      <c r="L225" s="62"/>
      <c r="M225" s="62"/>
      <c r="N225" s="62"/>
      <c r="O225" s="60"/>
      <c r="P225" s="62"/>
      <c r="Q225" s="66"/>
      <c r="R225" s="62"/>
      <c r="S225" s="62"/>
      <c r="T225" s="62"/>
      <c r="U225" s="74"/>
      <c r="V225" s="62"/>
      <c r="W225" s="75"/>
      <c r="X225" s="74"/>
      <c r="Y225" s="61"/>
      <c r="Z225" s="201"/>
      <c r="AA225" s="201"/>
      <c r="AB225" s="201"/>
      <c r="AC225" s="201"/>
      <c r="AD225" s="201"/>
      <c r="AE225" s="201"/>
      <c r="AF225" s="201"/>
      <c r="AG225" s="201"/>
      <c r="AH225" s="201"/>
      <c r="AI225" s="201"/>
      <c r="AJ225" s="201"/>
      <c r="AK225" s="201"/>
      <c r="AL225" s="201"/>
      <c r="AM225" s="201"/>
      <c r="AN225" s="201"/>
      <c r="AO225" s="201"/>
    </row>
    <row r="226">
      <c r="A226" s="197"/>
      <c r="B226" s="198"/>
      <c r="C226" s="204"/>
      <c r="D226" s="206"/>
      <c r="E226" s="198"/>
      <c r="F226" s="198"/>
      <c r="G226" s="198"/>
      <c r="H226" s="199"/>
      <c r="I226" s="200"/>
      <c r="J226" s="62"/>
      <c r="K226" s="62"/>
      <c r="L226" s="62"/>
      <c r="M226" s="62"/>
      <c r="N226" s="62"/>
      <c r="O226" s="60"/>
      <c r="P226" s="62"/>
      <c r="Q226" s="66"/>
      <c r="R226" s="62"/>
      <c r="S226" s="62"/>
      <c r="T226" s="62"/>
      <c r="U226" s="74"/>
      <c r="V226" s="62"/>
      <c r="W226" s="75"/>
      <c r="X226" s="74"/>
      <c r="Y226" s="61"/>
      <c r="Z226" s="201"/>
      <c r="AA226" s="201"/>
      <c r="AB226" s="201"/>
      <c r="AC226" s="201"/>
      <c r="AD226" s="201"/>
      <c r="AE226" s="201"/>
      <c r="AF226" s="201"/>
      <c r="AG226" s="201"/>
      <c r="AH226" s="201"/>
      <c r="AI226" s="201"/>
      <c r="AJ226" s="201"/>
      <c r="AK226" s="201"/>
      <c r="AL226" s="201"/>
      <c r="AM226" s="201"/>
      <c r="AN226" s="201"/>
      <c r="AO226" s="201"/>
    </row>
    <row r="227">
      <c r="A227" s="197"/>
      <c r="B227" s="198"/>
      <c r="C227" s="204"/>
      <c r="D227" s="197"/>
      <c r="E227" s="197"/>
      <c r="F227" s="198"/>
      <c r="G227" s="198"/>
      <c r="H227" s="199"/>
      <c r="I227" s="200"/>
      <c r="J227" s="62"/>
      <c r="K227" s="62"/>
      <c r="L227" s="62"/>
      <c r="M227" s="62"/>
      <c r="N227" s="62"/>
      <c r="O227" s="60"/>
      <c r="P227" s="62"/>
      <c r="Q227" s="66"/>
      <c r="R227" s="62"/>
      <c r="S227" s="62"/>
      <c r="T227" s="62"/>
      <c r="U227" s="74"/>
      <c r="V227" s="62"/>
      <c r="W227" s="75"/>
      <c r="X227" s="74"/>
      <c r="Y227" s="61"/>
      <c r="Z227" s="201"/>
      <c r="AA227" s="201"/>
      <c r="AB227" s="201"/>
      <c r="AC227" s="201"/>
      <c r="AD227" s="201"/>
      <c r="AE227" s="201"/>
      <c r="AF227" s="201"/>
      <c r="AG227" s="201"/>
      <c r="AH227" s="201"/>
      <c r="AI227" s="201"/>
      <c r="AJ227" s="201"/>
      <c r="AK227" s="201"/>
      <c r="AL227" s="201"/>
      <c r="AM227" s="201"/>
      <c r="AN227" s="201"/>
      <c r="AO227" s="201"/>
    </row>
    <row r="228">
      <c r="A228" s="197"/>
      <c r="B228" s="198"/>
      <c r="C228" s="199"/>
      <c r="D228" s="197"/>
      <c r="E228" s="197"/>
      <c r="F228" s="198"/>
      <c r="G228" s="198"/>
      <c r="H228" s="199"/>
      <c r="I228" s="200"/>
      <c r="J228" s="62"/>
      <c r="K228" s="62"/>
      <c r="L228" s="62"/>
      <c r="M228" s="62"/>
      <c r="N228" s="62"/>
      <c r="O228" s="60"/>
      <c r="P228" s="62"/>
      <c r="Q228" s="66"/>
      <c r="R228" s="62"/>
      <c r="S228" s="62"/>
      <c r="T228" s="62"/>
      <c r="U228" s="74"/>
      <c r="V228" s="62"/>
      <c r="W228" s="75"/>
      <c r="X228" s="74"/>
      <c r="Y228" s="61"/>
      <c r="Z228" s="201"/>
      <c r="AA228" s="201"/>
      <c r="AB228" s="201"/>
      <c r="AC228" s="201"/>
      <c r="AD228" s="201"/>
      <c r="AE228" s="201"/>
      <c r="AF228" s="201"/>
      <c r="AG228" s="201"/>
      <c r="AH228" s="201"/>
      <c r="AI228" s="201"/>
      <c r="AJ228" s="201"/>
      <c r="AK228" s="201"/>
      <c r="AL228" s="201"/>
      <c r="AM228" s="201"/>
      <c r="AN228" s="201"/>
      <c r="AO228" s="201"/>
    </row>
    <row r="229">
      <c r="A229" s="197"/>
      <c r="B229" s="198"/>
      <c r="C229" s="199"/>
      <c r="D229" s="197"/>
      <c r="E229" s="197"/>
      <c r="F229" s="198"/>
      <c r="G229" s="198"/>
      <c r="H229" s="199"/>
      <c r="I229" s="200"/>
      <c r="J229" s="62"/>
      <c r="K229" s="62"/>
      <c r="L229" s="62"/>
      <c r="M229" s="62"/>
      <c r="N229" s="62"/>
      <c r="O229" s="60"/>
      <c r="P229" s="62"/>
      <c r="Q229" s="66"/>
      <c r="R229" s="62"/>
      <c r="S229" s="62"/>
      <c r="T229" s="62"/>
      <c r="U229" s="74"/>
      <c r="V229" s="62"/>
      <c r="W229" s="75"/>
      <c r="X229" s="74"/>
      <c r="Y229" s="61"/>
      <c r="Z229" s="201"/>
      <c r="AA229" s="201"/>
      <c r="AB229" s="201"/>
      <c r="AC229" s="201"/>
      <c r="AD229" s="201"/>
      <c r="AE229" s="201"/>
      <c r="AF229" s="201"/>
      <c r="AG229" s="201"/>
      <c r="AH229" s="201"/>
      <c r="AI229" s="201"/>
      <c r="AJ229" s="201"/>
      <c r="AK229" s="201"/>
      <c r="AL229" s="201"/>
      <c r="AM229" s="201"/>
      <c r="AN229" s="201"/>
      <c r="AO229" s="201"/>
    </row>
    <row r="230">
      <c r="A230" s="197"/>
      <c r="B230" s="198"/>
      <c r="C230" s="199"/>
      <c r="D230" s="206"/>
      <c r="E230" s="198"/>
      <c r="F230" s="198"/>
      <c r="G230" s="198"/>
      <c r="H230" s="199"/>
      <c r="I230" s="200"/>
      <c r="J230" s="62"/>
      <c r="K230" s="62"/>
      <c r="L230" s="62"/>
      <c r="M230" s="62"/>
      <c r="N230" s="62"/>
      <c r="O230" s="60"/>
      <c r="P230" s="62"/>
      <c r="Q230" s="66"/>
      <c r="R230" s="62"/>
      <c r="S230" s="62"/>
      <c r="T230" s="62"/>
      <c r="U230" s="74"/>
      <c r="V230" s="62"/>
      <c r="W230" s="75"/>
      <c r="X230" s="74"/>
      <c r="Y230" s="61"/>
      <c r="Z230" s="201"/>
      <c r="AA230" s="201"/>
      <c r="AB230" s="201"/>
      <c r="AC230" s="201"/>
      <c r="AD230" s="201"/>
      <c r="AE230" s="201"/>
      <c r="AF230" s="201"/>
      <c r="AG230" s="201"/>
      <c r="AH230" s="201"/>
      <c r="AI230" s="201"/>
      <c r="AJ230" s="201"/>
      <c r="AK230" s="201"/>
      <c r="AL230" s="201"/>
      <c r="AM230" s="201"/>
      <c r="AN230" s="201"/>
      <c r="AO230" s="201"/>
    </row>
    <row r="231">
      <c r="A231" s="197"/>
      <c r="B231" s="198"/>
      <c r="C231" s="199"/>
      <c r="D231" s="197"/>
      <c r="E231" s="197"/>
      <c r="F231" s="198"/>
      <c r="G231" s="198"/>
      <c r="H231" s="199"/>
      <c r="I231" s="200"/>
      <c r="J231" s="62"/>
      <c r="K231" s="62"/>
      <c r="L231" s="62"/>
      <c r="M231" s="62"/>
      <c r="N231" s="62"/>
      <c r="O231" s="60"/>
      <c r="P231" s="62"/>
      <c r="Q231" s="66"/>
      <c r="R231" s="62"/>
      <c r="S231" s="62"/>
      <c r="T231" s="62"/>
      <c r="U231" s="74"/>
      <c r="V231" s="62"/>
      <c r="W231" s="75"/>
      <c r="X231" s="74"/>
      <c r="Y231" s="63"/>
      <c r="Z231" s="201"/>
      <c r="AA231" s="201"/>
      <c r="AB231" s="201"/>
      <c r="AC231" s="201"/>
      <c r="AD231" s="201"/>
      <c r="AE231" s="201"/>
      <c r="AF231" s="201"/>
      <c r="AG231" s="201"/>
      <c r="AH231" s="201"/>
      <c r="AI231" s="201"/>
      <c r="AJ231" s="201"/>
      <c r="AK231" s="201"/>
      <c r="AL231" s="201"/>
      <c r="AM231" s="201"/>
      <c r="AN231" s="201"/>
      <c r="AO231" s="201"/>
    </row>
    <row r="232">
      <c r="A232" s="197"/>
      <c r="B232" s="198"/>
      <c r="C232" s="204"/>
      <c r="D232" s="206"/>
      <c r="E232" s="198"/>
      <c r="F232" s="198"/>
      <c r="G232" s="198"/>
      <c r="H232" s="200"/>
      <c r="I232" s="200"/>
      <c r="J232" s="62"/>
      <c r="K232" s="62"/>
      <c r="L232" s="62"/>
      <c r="M232" s="62"/>
      <c r="N232" s="62"/>
      <c r="O232" s="60"/>
      <c r="P232" s="62"/>
      <c r="Q232" s="66"/>
      <c r="R232" s="62"/>
      <c r="S232" s="62"/>
      <c r="T232" s="62"/>
      <c r="U232" s="74"/>
      <c r="V232" s="62"/>
      <c r="W232" s="75"/>
      <c r="X232" s="74"/>
      <c r="Y232" s="61"/>
      <c r="Z232" s="201"/>
      <c r="AA232" s="201"/>
      <c r="AB232" s="201"/>
      <c r="AC232" s="201"/>
      <c r="AD232" s="201"/>
      <c r="AE232" s="201"/>
      <c r="AF232" s="201"/>
      <c r="AG232" s="201"/>
      <c r="AH232" s="201"/>
      <c r="AI232" s="201"/>
      <c r="AJ232" s="201"/>
      <c r="AK232" s="201"/>
      <c r="AL232" s="201"/>
      <c r="AM232" s="201"/>
      <c r="AN232" s="201"/>
      <c r="AO232" s="201"/>
    </row>
    <row r="233">
      <c r="A233" s="197"/>
      <c r="B233" s="198"/>
      <c r="C233" s="204"/>
      <c r="D233" s="197"/>
      <c r="E233" s="197"/>
      <c r="F233" s="198"/>
      <c r="G233" s="198"/>
      <c r="H233" s="202"/>
      <c r="I233" s="200"/>
      <c r="J233" s="62"/>
      <c r="K233" s="62"/>
      <c r="L233" s="62"/>
      <c r="M233" s="62"/>
      <c r="N233" s="62"/>
      <c r="O233" s="60"/>
      <c r="P233" s="62"/>
      <c r="Q233" s="66"/>
      <c r="R233" s="62"/>
      <c r="S233" s="62"/>
      <c r="T233" s="62"/>
      <c r="U233" s="74"/>
      <c r="V233" s="62"/>
      <c r="W233" s="75"/>
      <c r="X233" s="74"/>
      <c r="Y233" s="61"/>
      <c r="Z233" s="201"/>
      <c r="AA233" s="201"/>
      <c r="AB233" s="201"/>
      <c r="AC233" s="201"/>
      <c r="AD233" s="201"/>
      <c r="AE233" s="201"/>
      <c r="AF233" s="201"/>
      <c r="AG233" s="201"/>
      <c r="AH233" s="201"/>
      <c r="AI233" s="201"/>
      <c r="AJ233" s="201"/>
      <c r="AK233" s="201"/>
      <c r="AL233" s="201"/>
      <c r="AM233" s="201"/>
      <c r="AN233" s="201"/>
      <c r="AO233" s="201"/>
    </row>
    <row r="234">
      <c r="A234" s="197"/>
      <c r="B234" s="198"/>
      <c r="C234" s="199"/>
      <c r="D234" s="197"/>
      <c r="E234" s="197"/>
      <c r="F234" s="198"/>
      <c r="G234" s="198"/>
      <c r="H234" s="199"/>
      <c r="I234" s="200"/>
      <c r="J234" s="62"/>
      <c r="K234" s="62"/>
      <c r="L234" s="62"/>
      <c r="M234" s="62"/>
      <c r="N234" s="62"/>
      <c r="O234" s="60"/>
      <c r="P234" s="62"/>
      <c r="Q234" s="66"/>
      <c r="R234" s="62"/>
      <c r="S234" s="62"/>
      <c r="T234" s="62"/>
      <c r="U234" s="74"/>
      <c r="V234" s="62"/>
      <c r="W234" s="75"/>
      <c r="X234" s="74"/>
      <c r="Y234" s="61"/>
      <c r="Z234" s="201"/>
      <c r="AA234" s="201"/>
      <c r="AB234" s="201"/>
      <c r="AC234" s="201"/>
      <c r="AD234" s="201"/>
      <c r="AE234" s="201"/>
      <c r="AF234" s="201"/>
      <c r="AG234" s="201"/>
      <c r="AH234" s="201"/>
      <c r="AI234" s="201"/>
      <c r="AJ234" s="201"/>
      <c r="AK234" s="201"/>
      <c r="AL234" s="201"/>
      <c r="AM234" s="201"/>
      <c r="AN234" s="201"/>
      <c r="AO234" s="201"/>
    </row>
    <row r="235">
      <c r="A235" s="197"/>
      <c r="B235" s="198"/>
      <c r="C235" s="199"/>
      <c r="D235" s="197"/>
      <c r="E235" s="197"/>
      <c r="F235" s="198"/>
      <c r="G235" s="198"/>
      <c r="H235" s="199"/>
      <c r="I235" s="200"/>
      <c r="J235" s="62"/>
      <c r="K235" s="62"/>
      <c r="L235" s="62"/>
      <c r="M235" s="62"/>
      <c r="N235" s="62"/>
      <c r="O235" s="60"/>
      <c r="P235" s="62"/>
      <c r="Q235" s="66"/>
      <c r="R235" s="62"/>
      <c r="S235" s="62"/>
      <c r="T235" s="62"/>
      <c r="U235" s="74"/>
      <c r="V235" s="62"/>
      <c r="W235" s="75"/>
      <c r="X235" s="74"/>
      <c r="Y235" s="61"/>
      <c r="Z235" s="201"/>
      <c r="AA235" s="201"/>
      <c r="AB235" s="201"/>
      <c r="AC235" s="201"/>
      <c r="AD235" s="201"/>
      <c r="AE235" s="201"/>
      <c r="AF235" s="201"/>
      <c r="AG235" s="201"/>
      <c r="AH235" s="201"/>
      <c r="AI235" s="201"/>
      <c r="AJ235" s="201"/>
      <c r="AK235" s="201"/>
      <c r="AL235" s="201"/>
      <c r="AM235" s="201"/>
      <c r="AN235" s="201"/>
      <c r="AO235" s="201"/>
    </row>
    <row r="236">
      <c r="A236" s="197"/>
      <c r="B236" s="198"/>
      <c r="C236" s="204"/>
      <c r="D236" s="197"/>
      <c r="E236" s="197"/>
      <c r="F236" s="198"/>
      <c r="G236" s="198"/>
      <c r="H236" s="202"/>
      <c r="I236" s="200"/>
      <c r="J236" s="62"/>
      <c r="K236" s="62"/>
      <c r="L236" s="62"/>
      <c r="M236" s="62"/>
      <c r="N236" s="62"/>
      <c r="O236" s="60"/>
      <c r="P236" s="62"/>
      <c r="Q236" s="66"/>
      <c r="R236" s="62"/>
      <c r="S236" s="62"/>
      <c r="T236" s="62"/>
      <c r="U236" s="74"/>
      <c r="V236" s="62"/>
      <c r="W236" s="75"/>
      <c r="X236" s="74"/>
      <c r="Y236" s="61"/>
      <c r="Z236" s="201"/>
      <c r="AA236" s="201"/>
      <c r="AB236" s="201"/>
      <c r="AC236" s="201"/>
      <c r="AD236" s="201"/>
      <c r="AE236" s="201"/>
      <c r="AF236" s="201"/>
      <c r="AG236" s="201"/>
      <c r="AH236" s="201"/>
      <c r="AI236" s="201"/>
      <c r="AJ236" s="201"/>
      <c r="AK236" s="201"/>
      <c r="AL236" s="201"/>
      <c r="AM236" s="201"/>
      <c r="AN236" s="201"/>
      <c r="AO236" s="201"/>
    </row>
    <row r="237">
      <c r="A237" s="197"/>
      <c r="B237" s="198"/>
      <c r="C237" s="199"/>
      <c r="D237" s="197"/>
      <c r="E237" s="197"/>
      <c r="F237" s="198"/>
      <c r="G237" s="198"/>
      <c r="H237" s="199"/>
      <c r="I237" s="200"/>
      <c r="J237" s="62"/>
      <c r="K237" s="62"/>
      <c r="L237" s="62"/>
      <c r="M237" s="62"/>
      <c r="N237" s="62"/>
      <c r="O237" s="60"/>
      <c r="P237" s="62"/>
      <c r="Q237" s="66"/>
      <c r="R237" s="62"/>
      <c r="S237" s="62"/>
      <c r="T237" s="62"/>
      <c r="U237" s="74"/>
      <c r="V237" s="62"/>
      <c r="W237" s="75"/>
      <c r="X237" s="74"/>
      <c r="Y237" s="61"/>
      <c r="Z237" s="201"/>
      <c r="AA237" s="201"/>
      <c r="AB237" s="201"/>
      <c r="AC237" s="201"/>
      <c r="AD237" s="201"/>
      <c r="AE237" s="201"/>
      <c r="AF237" s="201"/>
      <c r="AG237" s="201"/>
      <c r="AH237" s="201"/>
      <c r="AI237" s="201"/>
      <c r="AJ237" s="201"/>
      <c r="AK237" s="201"/>
      <c r="AL237" s="201"/>
      <c r="AM237" s="201"/>
      <c r="AN237" s="201"/>
      <c r="AO237" s="201"/>
    </row>
    <row r="238">
      <c r="A238" s="197"/>
      <c r="B238" s="198"/>
      <c r="C238" s="199"/>
      <c r="D238" s="206"/>
      <c r="E238" s="198"/>
      <c r="F238" s="198"/>
      <c r="G238" s="198"/>
      <c r="H238" s="199"/>
      <c r="I238" s="200"/>
      <c r="J238" s="62"/>
      <c r="K238" s="62"/>
      <c r="L238" s="62"/>
      <c r="M238" s="62"/>
      <c r="N238" s="62"/>
      <c r="O238" s="60"/>
      <c r="P238" s="62"/>
      <c r="Q238" s="66"/>
      <c r="R238" s="62"/>
      <c r="S238" s="62"/>
      <c r="T238" s="62"/>
      <c r="U238" s="74"/>
      <c r="V238" s="62"/>
      <c r="W238" s="75"/>
      <c r="X238" s="74"/>
      <c r="Y238" s="61"/>
      <c r="Z238" s="201"/>
      <c r="AA238" s="201"/>
      <c r="AB238" s="201"/>
      <c r="AC238" s="201"/>
      <c r="AD238" s="201"/>
      <c r="AE238" s="201"/>
      <c r="AF238" s="201"/>
      <c r="AG238" s="201"/>
      <c r="AH238" s="201"/>
      <c r="AI238" s="201"/>
      <c r="AJ238" s="201"/>
      <c r="AK238" s="201"/>
      <c r="AL238" s="201"/>
      <c r="AM238" s="201"/>
      <c r="AN238" s="201"/>
      <c r="AO238" s="201"/>
    </row>
    <row r="239">
      <c r="A239" s="197"/>
      <c r="B239" s="198"/>
      <c r="C239" s="199"/>
      <c r="D239" s="197"/>
      <c r="E239" s="197"/>
      <c r="F239" s="198"/>
      <c r="G239" s="198"/>
      <c r="H239" s="199"/>
      <c r="I239" s="200"/>
      <c r="J239" s="62"/>
      <c r="K239" s="62"/>
      <c r="L239" s="62"/>
      <c r="M239" s="62"/>
      <c r="N239" s="62"/>
      <c r="O239" s="60"/>
      <c r="P239" s="62"/>
      <c r="Q239" s="66"/>
      <c r="R239" s="62"/>
      <c r="S239" s="62"/>
      <c r="T239" s="62"/>
      <c r="U239" s="74"/>
      <c r="V239" s="62"/>
      <c r="W239" s="75"/>
      <c r="X239" s="74"/>
      <c r="Y239" s="61"/>
      <c r="Z239" s="201"/>
      <c r="AA239" s="201"/>
      <c r="AB239" s="201"/>
      <c r="AC239" s="201"/>
      <c r="AD239" s="201"/>
      <c r="AE239" s="201"/>
      <c r="AF239" s="201"/>
      <c r="AG239" s="201"/>
      <c r="AH239" s="201"/>
      <c r="AI239" s="201"/>
      <c r="AJ239" s="201"/>
      <c r="AK239" s="201"/>
      <c r="AL239" s="201"/>
      <c r="AM239" s="201"/>
      <c r="AN239" s="201"/>
      <c r="AO239" s="201"/>
    </row>
    <row r="240">
      <c r="A240" s="197"/>
      <c r="B240" s="198"/>
      <c r="C240" s="199"/>
      <c r="D240" s="206"/>
      <c r="E240" s="198"/>
      <c r="F240" s="198"/>
      <c r="G240" s="198"/>
      <c r="H240" s="199"/>
      <c r="I240" s="200"/>
      <c r="J240" s="62"/>
      <c r="K240" s="62"/>
      <c r="L240" s="62"/>
      <c r="M240" s="62"/>
      <c r="N240" s="62"/>
      <c r="O240" s="60"/>
      <c r="P240" s="62"/>
      <c r="Q240" s="66"/>
      <c r="R240" s="62"/>
      <c r="S240" s="62"/>
      <c r="T240" s="62"/>
      <c r="U240" s="74"/>
      <c r="V240" s="62"/>
      <c r="W240" s="75"/>
      <c r="X240" s="74"/>
      <c r="Y240" s="61"/>
      <c r="Z240" s="201"/>
      <c r="AA240" s="201"/>
      <c r="AB240" s="201"/>
      <c r="AC240" s="201"/>
      <c r="AD240" s="201"/>
      <c r="AE240" s="201"/>
      <c r="AF240" s="201"/>
      <c r="AG240" s="201"/>
      <c r="AH240" s="201"/>
      <c r="AI240" s="201"/>
      <c r="AJ240" s="201"/>
      <c r="AK240" s="201"/>
      <c r="AL240" s="201"/>
      <c r="AM240" s="201"/>
      <c r="AN240" s="201"/>
      <c r="AO240" s="201"/>
    </row>
    <row r="241">
      <c r="A241" s="197"/>
      <c r="B241" s="198"/>
      <c r="C241" s="204"/>
      <c r="D241" s="197"/>
      <c r="E241" s="197"/>
      <c r="F241" s="198"/>
      <c r="G241" s="198"/>
      <c r="H241" s="202"/>
      <c r="I241" s="200"/>
      <c r="J241" s="62"/>
      <c r="K241" s="62"/>
      <c r="L241" s="62"/>
      <c r="M241" s="62"/>
      <c r="N241" s="62"/>
      <c r="O241" s="60"/>
      <c r="P241" s="62"/>
      <c r="Q241" s="66"/>
      <c r="R241" s="62"/>
      <c r="S241" s="62"/>
      <c r="T241" s="62"/>
      <c r="U241" s="74"/>
      <c r="V241" s="62"/>
      <c r="W241" s="75"/>
      <c r="X241" s="74"/>
      <c r="Y241" s="61"/>
      <c r="Z241" s="201"/>
      <c r="AA241" s="201"/>
      <c r="AB241" s="201"/>
      <c r="AC241" s="201"/>
      <c r="AD241" s="201"/>
      <c r="AE241" s="201"/>
      <c r="AF241" s="201"/>
      <c r="AG241" s="201"/>
      <c r="AH241" s="201"/>
      <c r="AI241" s="201"/>
      <c r="AJ241" s="201"/>
      <c r="AK241" s="201"/>
      <c r="AL241" s="201"/>
      <c r="AM241" s="201"/>
      <c r="AN241" s="201"/>
      <c r="AO241" s="201"/>
    </row>
    <row r="242">
      <c r="A242" s="197"/>
      <c r="B242" s="198"/>
      <c r="C242" s="204"/>
      <c r="D242" s="197"/>
      <c r="E242" s="197"/>
      <c r="F242" s="198"/>
      <c r="G242" s="198"/>
      <c r="H242" s="199"/>
      <c r="I242" s="200"/>
      <c r="J242" s="62"/>
      <c r="K242" s="62"/>
      <c r="L242" s="62"/>
      <c r="M242" s="62"/>
      <c r="N242" s="62"/>
      <c r="O242" s="60"/>
      <c r="P242" s="62"/>
      <c r="Q242" s="66"/>
      <c r="R242" s="62"/>
      <c r="S242" s="62"/>
      <c r="T242" s="62"/>
      <c r="U242" s="74"/>
      <c r="V242" s="62"/>
      <c r="W242" s="75"/>
      <c r="X242" s="74"/>
      <c r="Y242" s="61"/>
      <c r="Z242" s="201"/>
      <c r="AA242" s="201"/>
      <c r="AB242" s="201"/>
      <c r="AC242" s="201"/>
      <c r="AD242" s="201"/>
      <c r="AE242" s="201"/>
      <c r="AF242" s="201"/>
      <c r="AG242" s="201"/>
      <c r="AH242" s="201"/>
      <c r="AI242" s="201"/>
      <c r="AJ242" s="201"/>
      <c r="AK242" s="201"/>
      <c r="AL242" s="201"/>
      <c r="AM242" s="201"/>
      <c r="AN242" s="201"/>
      <c r="AO242" s="201"/>
    </row>
    <row r="243">
      <c r="A243" s="197"/>
      <c r="B243" s="198"/>
      <c r="C243" s="204"/>
      <c r="D243" s="197"/>
      <c r="E243" s="197"/>
      <c r="F243" s="198"/>
      <c r="G243" s="198"/>
      <c r="H243" s="202"/>
      <c r="I243" s="200"/>
      <c r="J243" s="62"/>
      <c r="K243" s="62"/>
      <c r="L243" s="62"/>
      <c r="M243" s="62"/>
      <c r="N243" s="62"/>
      <c r="O243" s="60"/>
      <c r="P243" s="62"/>
      <c r="Q243" s="66"/>
      <c r="R243" s="62"/>
      <c r="S243" s="62"/>
      <c r="T243" s="62"/>
      <c r="U243" s="74"/>
      <c r="V243" s="62"/>
      <c r="W243" s="75"/>
      <c r="X243" s="74"/>
      <c r="Y243" s="61"/>
      <c r="Z243" s="201"/>
      <c r="AA243" s="201"/>
      <c r="AB243" s="201"/>
      <c r="AC243" s="201"/>
      <c r="AD243" s="201"/>
      <c r="AE243" s="201"/>
      <c r="AF243" s="201"/>
      <c r="AG243" s="201"/>
      <c r="AH243" s="201"/>
      <c r="AI243" s="201"/>
      <c r="AJ243" s="201"/>
      <c r="AK243" s="201"/>
      <c r="AL243" s="201"/>
      <c r="AM243" s="201"/>
      <c r="AN243" s="201"/>
      <c r="AO243" s="201"/>
    </row>
    <row r="244">
      <c r="A244" s="197"/>
      <c r="B244" s="198"/>
      <c r="C244" s="204"/>
      <c r="D244" s="197"/>
      <c r="E244" s="197"/>
      <c r="F244" s="198"/>
      <c r="G244" s="198"/>
      <c r="H244" s="199"/>
      <c r="I244" s="200"/>
      <c r="J244" s="62"/>
      <c r="K244" s="62"/>
      <c r="L244" s="62"/>
      <c r="M244" s="62"/>
      <c r="N244" s="62"/>
      <c r="O244" s="60"/>
      <c r="P244" s="62"/>
      <c r="Q244" s="66"/>
      <c r="R244" s="62"/>
      <c r="S244" s="62"/>
      <c r="T244" s="62"/>
      <c r="U244" s="74"/>
      <c r="V244" s="62"/>
      <c r="W244" s="75"/>
      <c r="X244" s="74"/>
      <c r="Y244" s="61"/>
      <c r="Z244" s="201"/>
      <c r="AA244" s="201"/>
      <c r="AB244" s="201"/>
      <c r="AC244" s="201"/>
      <c r="AD244" s="201"/>
      <c r="AE244" s="201"/>
      <c r="AF244" s="201"/>
      <c r="AG244" s="201"/>
      <c r="AH244" s="201"/>
      <c r="AI244" s="201"/>
      <c r="AJ244" s="201"/>
      <c r="AK244" s="201"/>
      <c r="AL244" s="201"/>
      <c r="AM244" s="201"/>
      <c r="AN244" s="201"/>
      <c r="AO244" s="201"/>
    </row>
    <row r="245">
      <c r="A245" s="197"/>
      <c r="B245" s="198"/>
      <c r="C245" s="199"/>
      <c r="D245" s="197"/>
      <c r="E245" s="197"/>
      <c r="F245" s="198"/>
      <c r="G245" s="198"/>
      <c r="H245" s="199"/>
      <c r="I245" s="200"/>
      <c r="J245" s="62"/>
      <c r="K245" s="62"/>
      <c r="L245" s="62"/>
      <c r="M245" s="62"/>
      <c r="N245" s="62"/>
      <c r="O245" s="60"/>
      <c r="P245" s="62"/>
      <c r="Q245" s="66"/>
      <c r="R245" s="62"/>
      <c r="S245" s="62"/>
      <c r="T245" s="62"/>
      <c r="U245" s="74"/>
      <c r="V245" s="62"/>
      <c r="W245" s="75"/>
      <c r="X245" s="74"/>
      <c r="Y245" s="61"/>
      <c r="Z245" s="201"/>
      <c r="AA245" s="201"/>
      <c r="AB245" s="201"/>
      <c r="AC245" s="201"/>
      <c r="AD245" s="201"/>
      <c r="AE245" s="201"/>
      <c r="AF245" s="201"/>
      <c r="AG245" s="201"/>
      <c r="AH245" s="201"/>
      <c r="AI245" s="201"/>
      <c r="AJ245" s="201"/>
      <c r="AK245" s="201"/>
      <c r="AL245" s="201"/>
      <c r="AM245" s="201"/>
      <c r="AN245" s="201"/>
      <c r="AO245" s="201"/>
    </row>
    <row r="246">
      <c r="A246" s="197"/>
      <c r="B246" s="198"/>
      <c r="C246" s="204"/>
      <c r="D246" s="197"/>
      <c r="E246" s="197"/>
      <c r="F246" s="198"/>
      <c r="G246" s="198"/>
      <c r="H246" s="200"/>
      <c r="I246" s="200"/>
      <c r="J246" s="62"/>
      <c r="K246" s="62"/>
      <c r="L246" s="62"/>
      <c r="M246" s="62"/>
      <c r="N246" s="62"/>
      <c r="O246" s="60"/>
      <c r="P246" s="62"/>
      <c r="Q246" s="66"/>
      <c r="R246" s="62"/>
      <c r="S246" s="62"/>
      <c r="T246" s="62"/>
      <c r="U246" s="74"/>
      <c r="V246" s="62"/>
      <c r="W246" s="75"/>
      <c r="X246" s="74"/>
      <c r="Y246" s="61"/>
      <c r="Z246" s="201"/>
      <c r="AA246" s="201"/>
      <c r="AB246" s="201"/>
      <c r="AC246" s="201"/>
      <c r="AD246" s="201"/>
      <c r="AE246" s="201"/>
      <c r="AF246" s="201"/>
      <c r="AG246" s="201"/>
      <c r="AH246" s="201"/>
      <c r="AI246" s="201"/>
      <c r="AJ246" s="201"/>
      <c r="AK246" s="201"/>
      <c r="AL246" s="201"/>
      <c r="AM246" s="201"/>
      <c r="AN246" s="201"/>
      <c r="AO246" s="201"/>
    </row>
    <row r="247">
      <c r="A247" s="197"/>
      <c r="B247" s="198"/>
      <c r="C247" s="204"/>
      <c r="D247" s="206"/>
      <c r="E247" s="198"/>
      <c r="F247" s="198"/>
      <c r="G247" s="198"/>
      <c r="H247" s="200"/>
      <c r="I247" s="200"/>
      <c r="J247" s="62"/>
      <c r="K247" s="62"/>
      <c r="L247" s="62"/>
      <c r="M247" s="62"/>
      <c r="N247" s="62"/>
      <c r="O247" s="60"/>
      <c r="P247" s="62"/>
      <c r="Q247" s="66"/>
      <c r="R247" s="62"/>
      <c r="S247" s="62"/>
      <c r="T247" s="62"/>
      <c r="U247" s="74"/>
      <c r="V247" s="62"/>
      <c r="W247" s="75"/>
      <c r="X247" s="74"/>
      <c r="Y247" s="61"/>
      <c r="Z247" s="201"/>
      <c r="AA247" s="201"/>
      <c r="AB247" s="201"/>
      <c r="AC247" s="201"/>
      <c r="AD247" s="201"/>
      <c r="AE247" s="201"/>
      <c r="AF247" s="201"/>
      <c r="AG247" s="201"/>
      <c r="AH247" s="201"/>
      <c r="AI247" s="201"/>
      <c r="AJ247" s="201"/>
      <c r="AK247" s="201"/>
      <c r="AL247" s="201"/>
      <c r="AM247" s="201"/>
      <c r="AN247" s="201"/>
      <c r="AO247" s="201"/>
    </row>
    <row r="248">
      <c r="A248" s="197"/>
      <c r="B248" s="198"/>
      <c r="C248" s="204"/>
      <c r="D248" s="197"/>
      <c r="E248" s="197"/>
      <c r="F248" s="198"/>
      <c r="G248" s="198"/>
      <c r="H248" s="199"/>
      <c r="I248" s="200"/>
      <c r="J248" s="62"/>
      <c r="K248" s="62"/>
      <c r="L248" s="62"/>
      <c r="M248" s="62"/>
      <c r="N248" s="62"/>
      <c r="O248" s="60"/>
      <c r="P248" s="62"/>
      <c r="Q248" s="66"/>
      <c r="R248" s="62"/>
      <c r="S248" s="62"/>
      <c r="T248" s="62"/>
      <c r="U248" s="74"/>
      <c r="V248" s="62"/>
      <c r="W248" s="75"/>
      <c r="X248" s="74"/>
      <c r="Y248" s="61"/>
      <c r="Z248" s="201"/>
      <c r="AA248" s="201"/>
      <c r="AB248" s="201"/>
      <c r="AC248" s="201"/>
      <c r="AD248" s="201"/>
      <c r="AE248" s="201"/>
      <c r="AF248" s="201"/>
      <c r="AG248" s="201"/>
      <c r="AH248" s="201"/>
      <c r="AI248" s="201"/>
      <c r="AJ248" s="201"/>
      <c r="AK248" s="201"/>
      <c r="AL248" s="201"/>
      <c r="AM248" s="201"/>
      <c r="AN248" s="201"/>
      <c r="AO248" s="201"/>
    </row>
    <row r="249">
      <c r="A249" s="197"/>
      <c r="B249" s="198"/>
      <c r="C249" s="204"/>
      <c r="D249" s="206"/>
      <c r="E249" s="198"/>
      <c r="F249" s="198"/>
      <c r="G249" s="198"/>
      <c r="H249" s="200"/>
      <c r="I249" s="200"/>
      <c r="J249" s="62"/>
      <c r="K249" s="62"/>
      <c r="L249" s="62"/>
      <c r="M249" s="62"/>
      <c r="N249" s="62"/>
      <c r="O249" s="60"/>
      <c r="P249" s="62"/>
      <c r="Q249" s="66"/>
      <c r="R249" s="62"/>
      <c r="S249" s="62"/>
      <c r="T249" s="62"/>
      <c r="U249" s="74"/>
      <c r="V249" s="62"/>
      <c r="W249" s="75"/>
      <c r="X249" s="74"/>
      <c r="Y249" s="61"/>
      <c r="Z249" s="201"/>
      <c r="AA249" s="201"/>
      <c r="AB249" s="201"/>
      <c r="AC249" s="201"/>
      <c r="AD249" s="201"/>
      <c r="AE249" s="201"/>
      <c r="AF249" s="201"/>
      <c r="AG249" s="201"/>
      <c r="AH249" s="201"/>
      <c r="AI249" s="201"/>
      <c r="AJ249" s="201"/>
      <c r="AK249" s="201"/>
      <c r="AL249" s="201"/>
      <c r="AM249" s="201"/>
      <c r="AN249" s="201"/>
      <c r="AO249" s="201"/>
    </row>
    <row r="250">
      <c r="A250" s="197"/>
      <c r="B250" s="198"/>
      <c r="C250" s="204"/>
      <c r="D250" s="197"/>
      <c r="E250" s="197"/>
      <c r="F250" s="198"/>
      <c r="G250" s="198"/>
      <c r="H250" s="199"/>
      <c r="I250" s="200"/>
      <c r="J250" s="62"/>
      <c r="K250" s="62"/>
      <c r="L250" s="62"/>
      <c r="M250" s="62"/>
      <c r="N250" s="62"/>
      <c r="O250" s="60"/>
      <c r="P250" s="62"/>
      <c r="Q250" s="66"/>
      <c r="R250" s="62"/>
      <c r="S250" s="62"/>
      <c r="T250" s="62"/>
      <c r="U250" s="74"/>
      <c r="V250" s="62"/>
      <c r="W250" s="75"/>
      <c r="X250" s="74"/>
      <c r="Y250" s="61"/>
      <c r="Z250" s="201"/>
      <c r="AA250" s="201"/>
      <c r="AB250" s="201"/>
      <c r="AC250" s="201"/>
      <c r="AD250" s="201"/>
      <c r="AE250" s="201"/>
      <c r="AF250" s="201"/>
      <c r="AG250" s="201"/>
      <c r="AH250" s="201"/>
      <c r="AI250" s="201"/>
      <c r="AJ250" s="201"/>
      <c r="AK250" s="201"/>
      <c r="AL250" s="201"/>
      <c r="AM250" s="201"/>
      <c r="AN250" s="201"/>
      <c r="AO250" s="201"/>
    </row>
    <row r="251">
      <c r="A251" s="197"/>
      <c r="B251" s="198"/>
      <c r="C251" s="204"/>
      <c r="D251" s="206"/>
      <c r="E251" s="198"/>
      <c r="F251" s="198"/>
      <c r="G251" s="198"/>
      <c r="H251" s="200"/>
      <c r="I251" s="200"/>
      <c r="J251" s="62"/>
      <c r="K251" s="62"/>
      <c r="L251" s="62"/>
      <c r="M251" s="62"/>
      <c r="N251" s="62"/>
      <c r="O251" s="60"/>
      <c r="P251" s="62"/>
      <c r="Q251" s="66"/>
      <c r="R251" s="62"/>
      <c r="S251" s="62"/>
      <c r="T251" s="62"/>
      <c r="U251" s="74"/>
      <c r="V251" s="62"/>
      <c r="W251" s="75"/>
      <c r="X251" s="74"/>
      <c r="Y251" s="61"/>
      <c r="Z251" s="201"/>
      <c r="AA251" s="201"/>
      <c r="AB251" s="201"/>
      <c r="AC251" s="201"/>
      <c r="AD251" s="201"/>
      <c r="AE251" s="201"/>
      <c r="AF251" s="201"/>
      <c r="AG251" s="201"/>
      <c r="AH251" s="201"/>
      <c r="AI251" s="201"/>
      <c r="AJ251" s="201"/>
      <c r="AK251" s="201"/>
      <c r="AL251" s="201"/>
      <c r="AM251" s="201"/>
      <c r="AN251" s="201"/>
      <c r="AO251" s="201"/>
    </row>
    <row r="252">
      <c r="A252" s="197"/>
      <c r="B252" s="198"/>
      <c r="C252" s="204"/>
      <c r="D252" s="206"/>
      <c r="E252" s="198"/>
      <c r="F252" s="198"/>
      <c r="G252" s="198"/>
      <c r="H252" s="200"/>
      <c r="I252" s="200"/>
      <c r="J252" s="62"/>
      <c r="K252" s="62"/>
      <c r="L252" s="62"/>
      <c r="M252" s="62"/>
      <c r="N252" s="62"/>
      <c r="O252" s="60"/>
      <c r="P252" s="62"/>
      <c r="Q252" s="66"/>
      <c r="R252" s="62"/>
      <c r="S252" s="62"/>
      <c r="T252" s="62"/>
      <c r="U252" s="74"/>
      <c r="V252" s="62"/>
      <c r="W252" s="75"/>
      <c r="X252" s="74"/>
      <c r="Y252" s="61"/>
      <c r="Z252" s="201"/>
      <c r="AA252" s="201"/>
      <c r="AB252" s="201"/>
      <c r="AC252" s="201"/>
      <c r="AD252" s="201"/>
      <c r="AE252" s="201"/>
      <c r="AF252" s="201"/>
      <c r="AG252" s="201"/>
      <c r="AH252" s="201"/>
      <c r="AI252" s="201"/>
      <c r="AJ252" s="201"/>
      <c r="AK252" s="201"/>
      <c r="AL252" s="201"/>
      <c r="AM252" s="201"/>
      <c r="AN252" s="201"/>
      <c r="AO252" s="201"/>
    </row>
    <row r="253">
      <c r="A253" s="197"/>
      <c r="B253" s="198"/>
      <c r="C253" s="199"/>
      <c r="D253" s="197"/>
      <c r="E253" s="197"/>
      <c r="F253" s="198"/>
      <c r="G253" s="198"/>
      <c r="H253" s="199"/>
      <c r="I253" s="200"/>
      <c r="J253" s="62"/>
      <c r="K253" s="62"/>
      <c r="L253" s="62"/>
      <c r="M253" s="62"/>
      <c r="N253" s="62"/>
      <c r="O253" s="60"/>
      <c r="P253" s="62"/>
      <c r="Q253" s="66"/>
      <c r="R253" s="62"/>
      <c r="S253" s="62"/>
      <c r="T253" s="62"/>
      <c r="U253" s="74"/>
      <c r="V253" s="62"/>
      <c r="W253" s="75"/>
      <c r="X253" s="74"/>
      <c r="Y253" s="63"/>
      <c r="Z253" s="201"/>
      <c r="AA253" s="201"/>
      <c r="AB253" s="201"/>
      <c r="AC253" s="201"/>
      <c r="AD253" s="201"/>
      <c r="AE253" s="201"/>
      <c r="AF253" s="201"/>
      <c r="AG253" s="201"/>
      <c r="AH253" s="201"/>
      <c r="AI253" s="201"/>
      <c r="AJ253" s="201"/>
      <c r="AK253" s="201"/>
      <c r="AL253" s="201"/>
      <c r="AM253" s="201"/>
      <c r="AN253" s="201"/>
      <c r="AO253" s="201"/>
    </row>
    <row r="254">
      <c r="A254" s="197"/>
      <c r="B254" s="198"/>
      <c r="C254" s="199"/>
      <c r="D254" s="197"/>
      <c r="E254" s="197"/>
      <c r="F254" s="198"/>
      <c r="G254" s="198"/>
      <c r="H254" s="199"/>
      <c r="I254" s="200"/>
      <c r="J254" s="62"/>
      <c r="K254" s="62"/>
      <c r="L254" s="62"/>
      <c r="M254" s="62"/>
      <c r="N254" s="62"/>
      <c r="O254" s="60"/>
      <c r="P254" s="62"/>
      <c r="Q254" s="66"/>
      <c r="R254" s="62"/>
      <c r="S254" s="62"/>
      <c r="T254" s="62"/>
      <c r="U254" s="74"/>
      <c r="V254" s="62"/>
      <c r="W254" s="75"/>
      <c r="X254" s="74"/>
      <c r="Y254" s="61"/>
      <c r="Z254" s="201"/>
      <c r="AA254" s="201"/>
      <c r="AB254" s="201"/>
      <c r="AC254" s="201"/>
      <c r="AD254" s="201"/>
      <c r="AE254" s="201"/>
      <c r="AF254" s="201"/>
      <c r="AG254" s="201"/>
      <c r="AH254" s="201"/>
      <c r="AI254" s="201"/>
      <c r="AJ254" s="201"/>
      <c r="AK254" s="201"/>
      <c r="AL254" s="201"/>
      <c r="AM254" s="201"/>
      <c r="AN254" s="201"/>
      <c r="AO254" s="201"/>
    </row>
    <row r="255">
      <c r="A255" s="197"/>
      <c r="B255" s="198"/>
      <c r="C255" s="204"/>
      <c r="D255" s="197"/>
      <c r="E255" s="197"/>
      <c r="F255" s="198"/>
      <c r="G255" s="198"/>
      <c r="H255" s="199"/>
      <c r="I255" s="200"/>
      <c r="J255" s="62"/>
      <c r="K255" s="62"/>
      <c r="L255" s="62"/>
      <c r="M255" s="62"/>
      <c r="N255" s="62"/>
      <c r="O255" s="60"/>
      <c r="P255" s="62"/>
      <c r="Q255" s="66"/>
      <c r="R255" s="62"/>
      <c r="S255" s="62"/>
      <c r="T255" s="62"/>
      <c r="U255" s="74"/>
      <c r="V255" s="62"/>
      <c r="W255" s="75"/>
      <c r="X255" s="74"/>
      <c r="Y255" s="61"/>
      <c r="Z255" s="201"/>
      <c r="AA255" s="201"/>
      <c r="AB255" s="201"/>
      <c r="AC255" s="201"/>
      <c r="AD255" s="201"/>
      <c r="AE255" s="201"/>
      <c r="AF255" s="201"/>
      <c r="AG255" s="201"/>
      <c r="AH255" s="201"/>
      <c r="AI255" s="201"/>
      <c r="AJ255" s="201"/>
      <c r="AK255" s="201"/>
      <c r="AL255" s="201"/>
      <c r="AM255" s="201"/>
      <c r="AN255" s="201"/>
      <c r="AO255" s="201"/>
    </row>
    <row r="256">
      <c r="A256" s="197"/>
      <c r="B256" s="198"/>
      <c r="C256" s="204"/>
      <c r="D256" s="197"/>
      <c r="E256" s="197"/>
      <c r="F256" s="198"/>
      <c r="G256" s="198"/>
      <c r="H256" s="199"/>
      <c r="I256" s="200"/>
      <c r="J256" s="62"/>
      <c r="K256" s="62"/>
      <c r="L256" s="62"/>
      <c r="M256" s="62"/>
      <c r="N256" s="62"/>
      <c r="O256" s="60"/>
      <c r="P256" s="62"/>
      <c r="Q256" s="66"/>
      <c r="R256" s="62"/>
      <c r="S256" s="62"/>
      <c r="T256" s="62"/>
      <c r="U256" s="74"/>
      <c r="V256" s="62"/>
      <c r="W256" s="75"/>
      <c r="X256" s="74"/>
      <c r="Y256" s="61"/>
      <c r="Z256" s="201"/>
      <c r="AA256" s="201"/>
      <c r="AB256" s="201"/>
      <c r="AC256" s="201"/>
      <c r="AD256" s="201"/>
      <c r="AE256" s="201"/>
      <c r="AF256" s="201"/>
      <c r="AG256" s="201"/>
      <c r="AH256" s="201"/>
      <c r="AI256" s="201"/>
      <c r="AJ256" s="201"/>
      <c r="AK256" s="201"/>
      <c r="AL256" s="201"/>
      <c r="AM256" s="201"/>
      <c r="AN256" s="201"/>
      <c r="AO256" s="201"/>
    </row>
    <row r="257">
      <c r="A257" s="197"/>
      <c r="B257" s="198"/>
      <c r="C257" s="204"/>
      <c r="D257" s="197"/>
      <c r="E257" s="197"/>
      <c r="F257" s="198"/>
      <c r="G257" s="198"/>
      <c r="H257" s="199"/>
      <c r="I257" s="200"/>
      <c r="J257" s="62"/>
      <c r="K257" s="62"/>
      <c r="L257" s="62"/>
      <c r="M257" s="62"/>
      <c r="N257" s="62"/>
      <c r="O257" s="60"/>
      <c r="P257" s="62"/>
      <c r="Q257" s="66"/>
      <c r="R257" s="62"/>
      <c r="S257" s="62"/>
      <c r="T257" s="62"/>
      <c r="U257" s="74"/>
      <c r="V257" s="62"/>
      <c r="W257" s="75"/>
      <c r="X257" s="74"/>
      <c r="Y257" s="61"/>
      <c r="Z257" s="201"/>
      <c r="AA257" s="201"/>
      <c r="AB257" s="201"/>
      <c r="AC257" s="201"/>
      <c r="AD257" s="201"/>
      <c r="AE257" s="201"/>
      <c r="AF257" s="201"/>
      <c r="AG257" s="201"/>
      <c r="AH257" s="201"/>
      <c r="AI257" s="201"/>
      <c r="AJ257" s="201"/>
      <c r="AK257" s="201"/>
      <c r="AL257" s="201"/>
      <c r="AM257" s="201"/>
      <c r="AN257" s="201"/>
      <c r="AO257" s="201"/>
    </row>
    <row r="258">
      <c r="A258" s="197"/>
      <c r="B258" s="198"/>
      <c r="C258" s="204"/>
      <c r="D258" s="197"/>
      <c r="E258" s="197"/>
      <c r="F258" s="198"/>
      <c r="G258" s="198"/>
      <c r="H258" s="199"/>
      <c r="I258" s="200"/>
      <c r="J258" s="62"/>
      <c r="K258" s="62"/>
      <c r="L258" s="62"/>
      <c r="M258" s="62"/>
      <c r="N258" s="62"/>
      <c r="O258" s="60"/>
      <c r="P258" s="62"/>
      <c r="Q258" s="66"/>
      <c r="R258" s="62"/>
      <c r="S258" s="62"/>
      <c r="T258" s="62"/>
      <c r="U258" s="74"/>
      <c r="V258" s="62"/>
      <c r="W258" s="75"/>
      <c r="X258" s="74"/>
      <c r="Y258" s="61"/>
      <c r="Z258" s="201"/>
      <c r="AA258" s="201"/>
      <c r="AB258" s="201"/>
      <c r="AC258" s="201"/>
      <c r="AD258" s="201"/>
      <c r="AE258" s="201"/>
      <c r="AF258" s="201"/>
      <c r="AG258" s="201"/>
      <c r="AH258" s="201"/>
      <c r="AI258" s="201"/>
      <c r="AJ258" s="201"/>
      <c r="AK258" s="201"/>
      <c r="AL258" s="201"/>
      <c r="AM258" s="201"/>
      <c r="AN258" s="201"/>
      <c r="AO258" s="201"/>
    </row>
    <row r="259">
      <c r="A259" s="197"/>
      <c r="B259" s="198"/>
      <c r="C259" s="199"/>
      <c r="D259" s="206"/>
      <c r="E259" s="198"/>
      <c r="F259" s="198"/>
      <c r="G259" s="198"/>
      <c r="H259" s="199"/>
      <c r="I259" s="200"/>
      <c r="J259" s="62"/>
      <c r="K259" s="62"/>
      <c r="L259" s="62"/>
      <c r="M259" s="62"/>
      <c r="N259" s="62"/>
      <c r="O259" s="60"/>
      <c r="P259" s="62"/>
      <c r="Q259" s="66"/>
      <c r="R259" s="62"/>
      <c r="S259" s="62"/>
      <c r="T259" s="62"/>
      <c r="U259" s="74"/>
      <c r="V259" s="62"/>
      <c r="W259" s="75"/>
      <c r="X259" s="74"/>
      <c r="Y259" s="61"/>
      <c r="Z259" s="201"/>
      <c r="AA259" s="201"/>
      <c r="AB259" s="201"/>
      <c r="AC259" s="201"/>
      <c r="AD259" s="201"/>
      <c r="AE259" s="201"/>
      <c r="AF259" s="201"/>
      <c r="AG259" s="201"/>
      <c r="AH259" s="201"/>
      <c r="AI259" s="201"/>
      <c r="AJ259" s="201"/>
      <c r="AK259" s="201"/>
      <c r="AL259" s="201"/>
      <c r="AM259" s="201"/>
      <c r="AN259" s="201"/>
      <c r="AO259" s="201"/>
    </row>
    <row r="260">
      <c r="A260" s="197"/>
      <c r="B260" s="198"/>
      <c r="C260" s="204"/>
      <c r="D260" s="197"/>
      <c r="E260" s="197"/>
      <c r="F260" s="198"/>
      <c r="G260" s="198"/>
      <c r="H260" s="199"/>
      <c r="I260" s="200"/>
      <c r="J260" s="62"/>
      <c r="K260" s="62"/>
      <c r="L260" s="62"/>
      <c r="M260" s="62"/>
      <c r="N260" s="62"/>
      <c r="O260" s="60"/>
      <c r="P260" s="62"/>
      <c r="Q260" s="66"/>
      <c r="R260" s="62"/>
      <c r="S260" s="62"/>
      <c r="T260" s="62"/>
      <c r="U260" s="74"/>
      <c r="V260" s="62"/>
      <c r="W260" s="75"/>
      <c r="X260" s="74"/>
      <c r="Y260" s="61"/>
      <c r="Z260" s="201"/>
      <c r="AA260" s="201"/>
      <c r="AB260" s="201"/>
      <c r="AC260" s="201"/>
      <c r="AD260" s="201"/>
      <c r="AE260" s="201"/>
      <c r="AF260" s="201"/>
      <c r="AG260" s="201"/>
      <c r="AH260" s="201"/>
      <c r="AI260" s="201"/>
      <c r="AJ260" s="201"/>
      <c r="AK260" s="201"/>
      <c r="AL260" s="201"/>
      <c r="AM260" s="201"/>
      <c r="AN260" s="201"/>
      <c r="AO260" s="201"/>
    </row>
    <row r="261">
      <c r="A261" s="197"/>
      <c r="B261" s="198"/>
      <c r="C261" s="204"/>
      <c r="D261" s="197"/>
      <c r="E261" s="197"/>
      <c r="F261" s="198"/>
      <c r="G261" s="198"/>
      <c r="H261" s="199"/>
      <c r="I261" s="199"/>
      <c r="J261" s="62"/>
      <c r="K261" s="62"/>
      <c r="L261" s="62"/>
      <c r="M261" s="62"/>
      <c r="N261" s="62"/>
      <c r="O261" s="60"/>
      <c r="P261" s="62"/>
      <c r="Q261" s="66"/>
      <c r="R261" s="62"/>
      <c r="S261" s="62"/>
      <c r="T261" s="62"/>
      <c r="U261" s="74"/>
      <c r="V261" s="62"/>
      <c r="W261" s="75"/>
      <c r="X261" s="74"/>
      <c r="Y261" s="61"/>
      <c r="Z261" s="201"/>
      <c r="AA261" s="201"/>
      <c r="AB261" s="201"/>
      <c r="AC261" s="201"/>
      <c r="AD261" s="201"/>
      <c r="AE261" s="201"/>
      <c r="AF261" s="201"/>
      <c r="AG261" s="201"/>
      <c r="AH261" s="201"/>
      <c r="AI261" s="201"/>
      <c r="AJ261" s="201"/>
      <c r="AK261" s="201"/>
      <c r="AL261" s="201"/>
      <c r="AM261" s="201"/>
      <c r="AN261" s="201"/>
      <c r="AO261" s="201"/>
    </row>
    <row r="262">
      <c r="A262" s="197"/>
      <c r="B262" s="198"/>
      <c r="C262" s="204"/>
      <c r="D262" s="197"/>
      <c r="E262" s="197"/>
      <c r="F262" s="198"/>
      <c r="G262" s="198"/>
      <c r="H262" s="199"/>
      <c r="I262" s="200"/>
      <c r="J262" s="62"/>
      <c r="K262" s="62"/>
      <c r="L262" s="62"/>
      <c r="M262" s="62"/>
      <c r="N262" s="62"/>
      <c r="O262" s="60"/>
      <c r="P262" s="62"/>
      <c r="Q262" s="66"/>
      <c r="R262" s="62"/>
      <c r="S262" s="62"/>
      <c r="T262" s="62"/>
      <c r="U262" s="74"/>
      <c r="V262" s="62"/>
      <c r="W262" s="75"/>
      <c r="X262" s="74"/>
      <c r="Y262" s="61"/>
      <c r="Z262" s="201"/>
      <c r="AA262" s="201"/>
      <c r="AB262" s="201"/>
      <c r="AC262" s="201"/>
      <c r="AD262" s="201"/>
      <c r="AE262" s="201"/>
      <c r="AF262" s="201"/>
      <c r="AG262" s="201"/>
      <c r="AH262" s="201"/>
      <c r="AI262" s="201"/>
      <c r="AJ262" s="201"/>
      <c r="AK262" s="201"/>
      <c r="AL262" s="201"/>
      <c r="AM262" s="201"/>
      <c r="AN262" s="201"/>
      <c r="AO262" s="201"/>
    </row>
    <row r="263">
      <c r="A263" s="197"/>
      <c r="B263" s="198"/>
      <c r="C263" s="204"/>
      <c r="D263" s="197"/>
      <c r="E263" s="197"/>
      <c r="F263" s="198"/>
      <c r="G263" s="198"/>
      <c r="H263" s="199"/>
      <c r="I263" s="200"/>
      <c r="J263" s="62"/>
      <c r="K263" s="62"/>
      <c r="L263" s="62"/>
      <c r="M263" s="62"/>
      <c r="N263" s="62"/>
      <c r="O263" s="60"/>
      <c r="P263" s="62"/>
      <c r="Q263" s="66"/>
      <c r="R263" s="62"/>
      <c r="S263" s="62"/>
      <c r="T263" s="62"/>
      <c r="U263" s="74"/>
      <c r="V263" s="62"/>
      <c r="W263" s="75"/>
      <c r="X263" s="74"/>
      <c r="Y263" s="61"/>
      <c r="Z263" s="201"/>
      <c r="AA263" s="201"/>
      <c r="AB263" s="201"/>
      <c r="AC263" s="201"/>
      <c r="AD263" s="201"/>
      <c r="AE263" s="201"/>
      <c r="AF263" s="201"/>
      <c r="AG263" s="201"/>
      <c r="AH263" s="201"/>
      <c r="AI263" s="201"/>
      <c r="AJ263" s="201"/>
      <c r="AK263" s="201"/>
      <c r="AL263" s="201"/>
      <c r="AM263" s="201"/>
      <c r="AN263" s="201"/>
      <c r="AO263" s="201"/>
    </row>
    <row r="264">
      <c r="A264" s="197"/>
      <c r="B264" s="198"/>
      <c r="C264" s="204"/>
      <c r="D264" s="197"/>
      <c r="E264" s="197"/>
      <c r="F264" s="198"/>
      <c r="G264" s="198"/>
      <c r="H264" s="199"/>
      <c r="I264" s="200"/>
      <c r="J264" s="62"/>
      <c r="K264" s="62"/>
      <c r="L264" s="62"/>
      <c r="M264" s="62"/>
      <c r="N264" s="62"/>
      <c r="O264" s="60"/>
      <c r="P264" s="62"/>
      <c r="Q264" s="66"/>
      <c r="R264" s="62"/>
      <c r="S264" s="62"/>
      <c r="T264" s="62"/>
      <c r="U264" s="74"/>
      <c r="V264" s="62"/>
      <c r="W264" s="75"/>
      <c r="X264" s="74"/>
      <c r="Y264" s="61"/>
      <c r="Z264" s="201"/>
      <c r="AA264" s="201"/>
      <c r="AB264" s="201"/>
      <c r="AC264" s="201"/>
      <c r="AD264" s="201"/>
      <c r="AE264" s="201"/>
      <c r="AF264" s="201"/>
      <c r="AG264" s="201"/>
      <c r="AH264" s="201"/>
      <c r="AI264" s="201"/>
      <c r="AJ264" s="201"/>
      <c r="AK264" s="201"/>
      <c r="AL264" s="201"/>
      <c r="AM264" s="201"/>
      <c r="AN264" s="201"/>
      <c r="AO264" s="201"/>
    </row>
    <row r="265">
      <c r="A265" s="197"/>
      <c r="B265" s="198"/>
      <c r="C265" s="204"/>
      <c r="D265" s="197"/>
      <c r="E265" s="197"/>
      <c r="F265" s="198"/>
      <c r="G265" s="198"/>
      <c r="H265" s="199"/>
      <c r="I265" s="200"/>
      <c r="J265" s="62"/>
      <c r="K265" s="62"/>
      <c r="L265" s="62"/>
      <c r="M265" s="62"/>
      <c r="N265" s="62"/>
      <c r="O265" s="60"/>
      <c r="P265" s="62"/>
      <c r="Q265" s="66"/>
      <c r="R265" s="62"/>
      <c r="S265" s="62"/>
      <c r="T265" s="62"/>
      <c r="U265" s="74"/>
      <c r="V265" s="62"/>
      <c r="W265" s="75"/>
      <c r="X265" s="74"/>
      <c r="Y265" s="61"/>
      <c r="Z265" s="201"/>
      <c r="AA265" s="201"/>
      <c r="AB265" s="201"/>
      <c r="AC265" s="201"/>
      <c r="AD265" s="201"/>
      <c r="AE265" s="201"/>
      <c r="AF265" s="201"/>
      <c r="AG265" s="201"/>
      <c r="AH265" s="201"/>
      <c r="AI265" s="201"/>
      <c r="AJ265" s="201"/>
      <c r="AK265" s="201"/>
      <c r="AL265" s="201"/>
      <c r="AM265" s="201"/>
      <c r="AN265" s="201"/>
      <c r="AO265" s="201"/>
    </row>
    <row r="266">
      <c r="A266" s="197"/>
      <c r="B266" s="198"/>
      <c r="C266" s="204"/>
      <c r="D266" s="197"/>
      <c r="E266" s="197"/>
      <c r="F266" s="198"/>
      <c r="G266" s="198"/>
      <c r="H266" s="199"/>
      <c r="I266" s="200"/>
      <c r="J266" s="62"/>
      <c r="K266" s="62"/>
      <c r="L266" s="62"/>
      <c r="M266" s="62"/>
      <c r="N266" s="62"/>
      <c r="O266" s="60"/>
      <c r="P266" s="62"/>
      <c r="Q266" s="66"/>
      <c r="R266" s="62"/>
      <c r="S266" s="62"/>
      <c r="T266" s="62"/>
      <c r="U266" s="74"/>
      <c r="V266" s="62"/>
      <c r="W266" s="75"/>
      <c r="X266" s="74"/>
      <c r="Y266" s="61"/>
      <c r="Z266" s="201"/>
      <c r="AA266" s="201"/>
      <c r="AB266" s="201"/>
      <c r="AC266" s="201"/>
      <c r="AD266" s="201"/>
      <c r="AE266" s="201"/>
      <c r="AF266" s="201"/>
      <c r="AG266" s="201"/>
      <c r="AH266" s="201"/>
      <c r="AI266" s="201"/>
      <c r="AJ266" s="201"/>
      <c r="AK266" s="201"/>
      <c r="AL266" s="201"/>
      <c r="AM266" s="201"/>
      <c r="AN266" s="201"/>
      <c r="AO266" s="201"/>
    </row>
    <row r="267">
      <c r="A267" s="197"/>
      <c r="B267" s="198"/>
      <c r="C267" s="204"/>
      <c r="D267" s="205"/>
      <c r="E267" s="198"/>
      <c r="F267" s="198"/>
      <c r="G267" s="198"/>
      <c r="H267" s="200"/>
      <c r="I267" s="200"/>
      <c r="J267" s="62"/>
      <c r="K267" s="62"/>
      <c r="L267" s="62"/>
      <c r="M267" s="62"/>
      <c r="N267" s="62"/>
      <c r="O267" s="60"/>
      <c r="P267" s="62"/>
      <c r="Q267" s="66"/>
      <c r="R267" s="62"/>
      <c r="S267" s="62"/>
      <c r="T267" s="62"/>
      <c r="U267" s="74"/>
      <c r="V267" s="62"/>
      <c r="W267" s="75"/>
      <c r="X267" s="74"/>
      <c r="Y267" s="61"/>
      <c r="Z267" s="201"/>
      <c r="AA267" s="201"/>
      <c r="AB267" s="201"/>
      <c r="AC267" s="201"/>
      <c r="AD267" s="201"/>
      <c r="AE267" s="201"/>
      <c r="AF267" s="201"/>
      <c r="AG267" s="201"/>
      <c r="AH267" s="201"/>
      <c r="AI267" s="201"/>
      <c r="AJ267" s="201"/>
      <c r="AK267" s="201"/>
      <c r="AL267" s="201"/>
      <c r="AM267" s="201"/>
      <c r="AN267" s="201"/>
      <c r="AO267" s="201"/>
    </row>
    <row r="268">
      <c r="A268" s="197"/>
      <c r="B268" s="198"/>
      <c r="C268" s="204"/>
      <c r="D268" s="197"/>
      <c r="E268" s="197"/>
      <c r="F268" s="198"/>
      <c r="G268" s="198"/>
      <c r="H268" s="199"/>
      <c r="I268" s="200"/>
      <c r="J268" s="62"/>
      <c r="K268" s="62"/>
      <c r="L268" s="62"/>
      <c r="M268" s="62"/>
      <c r="N268" s="62"/>
      <c r="O268" s="60"/>
      <c r="P268" s="62"/>
      <c r="Q268" s="66"/>
      <c r="R268" s="62"/>
      <c r="S268" s="62"/>
      <c r="T268" s="62"/>
      <c r="U268" s="74"/>
      <c r="V268" s="62"/>
      <c r="W268" s="75"/>
      <c r="X268" s="74"/>
      <c r="Y268" s="61"/>
      <c r="Z268" s="201"/>
      <c r="AA268" s="201"/>
      <c r="AB268" s="201"/>
      <c r="AC268" s="201"/>
      <c r="AD268" s="201"/>
      <c r="AE268" s="201"/>
      <c r="AF268" s="201"/>
      <c r="AG268" s="201"/>
      <c r="AH268" s="201"/>
      <c r="AI268" s="201"/>
      <c r="AJ268" s="201"/>
      <c r="AK268" s="201"/>
      <c r="AL268" s="201"/>
      <c r="AM268" s="201"/>
      <c r="AN268" s="201"/>
      <c r="AO268" s="201"/>
    </row>
    <row r="269" ht="18.0" customHeight="1">
      <c r="A269" s="197"/>
      <c r="B269" s="198"/>
      <c r="C269" s="204"/>
      <c r="D269" s="197"/>
      <c r="E269" s="197"/>
      <c r="F269" s="198"/>
      <c r="G269" s="198"/>
      <c r="H269" s="199"/>
      <c r="I269" s="200"/>
      <c r="J269" s="62"/>
      <c r="K269" s="62"/>
      <c r="L269" s="62"/>
      <c r="M269" s="62"/>
      <c r="N269" s="62"/>
      <c r="O269" s="60"/>
      <c r="P269" s="62"/>
      <c r="Q269" s="66"/>
      <c r="R269" s="62"/>
      <c r="S269" s="62"/>
      <c r="T269" s="62"/>
      <c r="U269" s="122"/>
      <c r="V269" s="62"/>
      <c r="W269" s="75"/>
      <c r="X269" s="74"/>
      <c r="Y269" s="61"/>
      <c r="Z269" s="201"/>
      <c r="AA269" s="201"/>
      <c r="AB269" s="201"/>
      <c r="AC269" s="201"/>
      <c r="AD269" s="201"/>
      <c r="AE269" s="201"/>
      <c r="AF269" s="201"/>
      <c r="AG269" s="201"/>
      <c r="AH269" s="201"/>
      <c r="AI269" s="201"/>
      <c r="AJ269" s="201"/>
      <c r="AK269" s="201"/>
      <c r="AL269" s="201"/>
      <c r="AM269" s="201"/>
      <c r="AN269" s="201"/>
      <c r="AO269" s="201"/>
    </row>
    <row r="270">
      <c r="A270" s="197"/>
      <c r="B270" s="198"/>
      <c r="C270" s="199"/>
      <c r="D270" s="197"/>
      <c r="E270" s="197"/>
      <c r="F270" s="198"/>
      <c r="G270" s="198"/>
      <c r="H270" s="199"/>
      <c r="I270" s="200"/>
      <c r="J270" s="62"/>
      <c r="K270" s="62"/>
      <c r="L270" s="62"/>
      <c r="M270" s="62"/>
      <c r="N270" s="62"/>
      <c r="O270" s="60"/>
      <c r="P270" s="62"/>
      <c r="Q270" s="66"/>
      <c r="R270" s="62"/>
      <c r="S270" s="62"/>
      <c r="T270" s="62"/>
      <c r="U270" s="74"/>
      <c r="V270" s="62"/>
      <c r="W270" s="75"/>
      <c r="X270" s="74"/>
      <c r="Y270" s="61"/>
      <c r="Z270" s="201"/>
      <c r="AA270" s="201"/>
      <c r="AB270" s="201"/>
      <c r="AC270" s="201"/>
      <c r="AD270" s="201"/>
      <c r="AE270" s="201"/>
      <c r="AF270" s="201"/>
      <c r="AG270" s="201"/>
      <c r="AH270" s="201"/>
      <c r="AI270" s="201"/>
      <c r="AJ270" s="201"/>
      <c r="AK270" s="201"/>
      <c r="AL270" s="201"/>
      <c r="AM270" s="201"/>
      <c r="AN270" s="201"/>
      <c r="AO270" s="201"/>
    </row>
    <row r="271">
      <c r="A271" s="197"/>
      <c r="B271" s="198"/>
      <c r="C271" s="204"/>
      <c r="D271" s="197"/>
      <c r="E271" s="197"/>
      <c r="F271" s="198"/>
      <c r="G271" s="198"/>
      <c r="H271" s="199"/>
      <c r="I271" s="200"/>
      <c r="J271" s="62"/>
      <c r="K271" s="62"/>
      <c r="L271" s="62"/>
      <c r="M271" s="62"/>
      <c r="N271" s="62"/>
      <c r="O271" s="60"/>
      <c r="P271" s="62"/>
      <c r="Q271" s="66"/>
      <c r="R271" s="62"/>
      <c r="S271" s="62"/>
      <c r="T271" s="62"/>
      <c r="U271" s="74"/>
      <c r="V271" s="62"/>
      <c r="W271" s="75"/>
      <c r="X271" s="74"/>
      <c r="Y271" s="61"/>
      <c r="Z271" s="201"/>
      <c r="AA271" s="201"/>
      <c r="AB271" s="201"/>
      <c r="AC271" s="201"/>
      <c r="AD271" s="201"/>
      <c r="AE271" s="201"/>
      <c r="AF271" s="201"/>
      <c r="AG271" s="201"/>
      <c r="AH271" s="201"/>
      <c r="AI271" s="201"/>
      <c r="AJ271" s="201"/>
      <c r="AK271" s="201"/>
      <c r="AL271" s="201"/>
      <c r="AM271" s="201"/>
      <c r="AN271" s="201"/>
      <c r="AO271" s="201"/>
    </row>
    <row r="272">
      <c r="A272" s="197"/>
      <c r="B272" s="198"/>
      <c r="C272" s="204"/>
      <c r="D272" s="197"/>
      <c r="E272" s="197"/>
      <c r="F272" s="198"/>
      <c r="G272" s="198"/>
      <c r="H272" s="199"/>
      <c r="I272" s="200"/>
      <c r="J272" s="62"/>
      <c r="K272" s="62"/>
      <c r="L272" s="62"/>
      <c r="M272" s="62"/>
      <c r="N272" s="62"/>
      <c r="O272" s="60"/>
      <c r="P272" s="62"/>
      <c r="Q272" s="66"/>
      <c r="R272" s="62"/>
      <c r="S272" s="62"/>
      <c r="T272" s="62"/>
      <c r="U272" s="74"/>
      <c r="V272" s="62"/>
      <c r="W272" s="75"/>
      <c r="X272" s="74"/>
      <c r="Y272" s="61"/>
      <c r="Z272" s="201"/>
      <c r="AA272" s="201"/>
      <c r="AB272" s="201"/>
      <c r="AC272" s="201"/>
      <c r="AD272" s="201"/>
      <c r="AE272" s="201"/>
      <c r="AF272" s="201"/>
      <c r="AG272" s="201"/>
      <c r="AH272" s="201"/>
      <c r="AI272" s="201"/>
      <c r="AJ272" s="201"/>
      <c r="AK272" s="201"/>
      <c r="AL272" s="201"/>
      <c r="AM272" s="201"/>
      <c r="AN272" s="201"/>
      <c r="AO272" s="201"/>
    </row>
    <row r="273">
      <c r="A273" s="197"/>
      <c r="B273" s="198"/>
      <c r="C273" s="204"/>
      <c r="D273" s="206"/>
      <c r="E273" s="198"/>
      <c r="F273" s="198"/>
      <c r="G273" s="198"/>
      <c r="H273" s="199"/>
      <c r="I273" s="200"/>
      <c r="J273" s="62"/>
      <c r="K273" s="62"/>
      <c r="L273" s="62"/>
      <c r="M273" s="62"/>
      <c r="N273" s="62"/>
      <c r="O273" s="60"/>
      <c r="P273" s="62"/>
      <c r="Q273" s="66"/>
      <c r="R273" s="62"/>
      <c r="S273" s="62"/>
      <c r="T273" s="62"/>
      <c r="U273" s="74"/>
      <c r="V273" s="62"/>
      <c r="W273" s="75"/>
      <c r="X273" s="74"/>
      <c r="Y273" s="61"/>
      <c r="Z273" s="201"/>
      <c r="AA273" s="201"/>
      <c r="AB273" s="201"/>
      <c r="AC273" s="201"/>
      <c r="AD273" s="201"/>
      <c r="AE273" s="201"/>
      <c r="AF273" s="201"/>
      <c r="AG273" s="201"/>
      <c r="AH273" s="201"/>
      <c r="AI273" s="201"/>
      <c r="AJ273" s="201"/>
      <c r="AK273" s="201"/>
      <c r="AL273" s="201"/>
      <c r="AM273" s="201"/>
      <c r="AN273" s="201"/>
      <c r="AO273" s="201"/>
    </row>
    <row r="274">
      <c r="A274" s="197"/>
      <c r="B274" s="198"/>
      <c r="C274" s="204"/>
      <c r="D274" s="197"/>
      <c r="E274" s="197"/>
      <c r="F274" s="198"/>
      <c r="G274" s="198"/>
      <c r="H274" s="199"/>
      <c r="I274" s="200"/>
      <c r="J274" s="62"/>
      <c r="K274" s="62"/>
      <c r="L274" s="62"/>
      <c r="M274" s="62"/>
      <c r="N274" s="62"/>
      <c r="O274" s="60"/>
      <c r="P274" s="62"/>
      <c r="Q274" s="66"/>
      <c r="R274" s="62"/>
      <c r="S274" s="62"/>
      <c r="T274" s="62"/>
      <c r="U274" s="74"/>
      <c r="V274" s="62"/>
      <c r="W274" s="75"/>
      <c r="X274" s="74"/>
      <c r="Y274" s="61"/>
      <c r="Z274" s="201"/>
      <c r="AA274" s="201"/>
      <c r="AB274" s="201"/>
      <c r="AC274" s="201"/>
      <c r="AD274" s="201"/>
      <c r="AE274" s="201"/>
      <c r="AF274" s="201"/>
      <c r="AG274" s="201"/>
      <c r="AH274" s="201"/>
      <c r="AI274" s="201"/>
      <c r="AJ274" s="201"/>
      <c r="AK274" s="201"/>
      <c r="AL274" s="201"/>
      <c r="AM274" s="201"/>
      <c r="AN274" s="201"/>
      <c r="AO274" s="201"/>
    </row>
    <row r="275">
      <c r="A275" s="197"/>
      <c r="B275" s="198"/>
      <c r="C275" s="204"/>
      <c r="D275" s="197"/>
      <c r="E275" s="197"/>
      <c r="F275" s="198"/>
      <c r="G275" s="198"/>
      <c r="H275" s="199"/>
      <c r="I275" s="200"/>
      <c r="J275" s="62"/>
      <c r="K275" s="62"/>
      <c r="L275" s="62"/>
      <c r="M275" s="62"/>
      <c r="N275" s="62"/>
      <c r="O275" s="60"/>
      <c r="P275" s="62"/>
      <c r="Q275" s="66"/>
      <c r="R275" s="62"/>
      <c r="S275" s="62"/>
      <c r="T275" s="62"/>
      <c r="U275" s="74"/>
      <c r="V275" s="62"/>
      <c r="W275" s="75"/>
      <c r="X275" s="74"/>
      <c r="Y275" s="61"/>
      <c r="Z275" s="201"/>
      <c r="AA275" s="201"/>
      <c r="AB275" s="201"/>
      <c r="AC275" s="201"/>
      <c r="AD275" s="201"/>
      <c r="AE275" s="201"/>
      <c r="AF275" s="201"/>
      <c r="AG275" s="201"/>
      <c r="AH275" s="201"/>
      <c r="AI275" s="201"/>
      <c r="AJ275" s="201"/>
      <c r="AK275" s="201"/>
      <c r="AL275" s="201"/>
      <c r="AM275" s="201"/>
      <c r="AN275" s="201"/>
      <c r="AO275" s="201"/>
    </row>
    <row r="276">
      <c r="A276" s="197"/>
      <c r="B276" s="198"/>
      <c r="C276" s="204"/>
      <c r="D276" s="197"/>
      <c r="E276" s="197"/>
      <c r="F276" s="198"/>
      <c r="G276" s="198"/>
      <c r="H276" s="199"/>
      <c r="I276" s="200"/>
      <c r="J276" s="62"/>
      <c r="K276" s="62"/>
      <c r="L276" s="62"/>
      <c r="M276" s="62"/>
      <c r="N276" s="62"/>
      <c r="O276" s="60"/>
      <c r="P276" s="62"/>
      <c r="Q276" s="66"/>
      <c r="R276" s="62"/>
      <c r="S276" s="62"/>
      <c r="T276" s="62"/>
      <c r="U276" s="74"/>
      <c r="V276" s="62"/>
      <c r="W276" s="75"/>
      <c r="X276" s="74"/>
      <c r="Y276" s="61"/>
      <c r="Z276" s="201"/>
      <c r="AA276" s="201"/>
      <c r="AB276" s="201"/>
      <c r="AC276" s="201"/>
      <c r="AD276" s="201"/>
      <c r="AE276" s="201"/>
      <c r="AF276" s="201"/>
      <c r="AG276" s="201"/>
      <c r="AH276" s="201"/>
      <c r="AI276" s="201"/>
      <c r="AJ276" s="201"/>
      <c r="AK276" s="201"/>
      <c r="AL276" s="201"/>
      <c r="AM276" s="201"/>
      <c r="AN276" s="201"/>
      <c r="AO276" s="201"/>
    </row>
    <row r="277">
      <c r="A277" s="197"/>
      <c r="B277" s="198"/>
      <c r="C277" s="204"/>
      <c r="D277" s="197"/>
      <c r="E277" s="197"/>
      <c r="F277" s="198"/>
      <c r="G277" s="198"/>
      <c r="H277" s="199"/>
      <c r="I277" s="200"/>
      <c r="J277" s="62"/>
      <c r="K277" s="62"/>
      <c r="L277" s="62"/>
      <c r="M277" s="62"/>
      <c r="N277" s="62"/>
      <c r="O277" s="60"/>
      <c r="P277" s="62"/>
      <c r="Q277" s="66"/>
      <c r="R277" s="62"/>
      <c r="S277" s="62"/>
      <c r="T277" s="62"/>
      <c r="U277" s="74"/>
      <c r="V277" s="62"/>
      <c r="W277" s="75"/>
      <c r="X277" s="74"/>
      <c r="Y277" s="61"/>
      <c r="Z277" s="201"/>
      <c r="AA277" s="201"/>
      <c r="AB277" s="201"/>
      <c r="AC277" s="201"/>
      <c r="AD277" s="201"/>
      <c r="AE277" s="201"/>
      <c r="AF277" s="201"/>
      <c r="AG277" s="201"/>
      <c r="AH277" s="201"/>
      <c r="AI277" s="201"/>
      <c r="AJ277" s="201"/>
      <c r="AK277" s="201"/>
      <c r="AL277" s="201"/>
      <c r="AM277" s="201"/>
      <c r="AN277" s="201"/>
      <c r="AO277" s="201"/>
    </row>
    <row r="278">
      <c r="A278" s="197"/>
      <c r="B278" s="198"/>
      <c r="C278" s="204"/>
      <c r="D278" s="197"/>
      <c r="E278" s="197"/>
      <c r="F278" s="198"/>
      <c r="G278" s="198"/>
      <c r="H278" s="199"/>
      <c r="I278" s="200"/>
      <c r="J278" s="62"/>
      <c r="K278" s="62"/>
      <c r="L278" s="62"/>
      <c r="M278" s="62"/>
      <c r="N278" s="62"/>
      <c r="O278" s="60"/>
      <c r="P278" s="62"/>
      <c r="Q278" s="66"/>
      <c r="R278" s="62"/>
      <c r="S278" s="62"/>
      <c r="T278" s="62"/>
      <c r="U278" s="74"/>
      <c r="V278" s="62"/>
      <c r="W278" s="75"/>
      <c r="X278" s="74"/>
      <c r="Y278" s="63"/>
      <c r="Z278" s="201"/>
      <c r="AA278" s="201"/>
      <c r="AB278" s="201"/>
      <c r="AC278" s="201"/>
      <c r="AD278" s="201"/>
      <c r="AE278" s="201"/>
      <c r="AF278" s="201"/>
      <c r="AG278" s="201"/>
      <c r="AH278" s="201"/>
      <c r="AI278" s="201"/>
      <c r="AJ278" s="201"/>
      <c r="AK278" s="201"/>
      <c r="AL278" s="201"/>
      <c r="AM278" s="201"/>
      <c r="AN278" s="201"/>
      <c r="AO278" s="201"/>
    </row>
    <row r="279">
      <c r="A279" s="197"/>
      <c r="B279" s="198"/>
      <c r="C279" s="204"/>
      <c r="D279" s="197"/>
      <c r="E279" s="197"/>
      <c r="F279" s="198"/>
      <c r="G279" s="198"/>
      <c r="H279" s="199"/>
      <c r="I279" s="200"/>
      <c r="J279" s="62"/>
      <c r="K279" s="62"/>
      <c r="L279" s="62"/>
      <c r="M279" s="62"/>
      <c r="N279" s="62"/>
      <c r="O279" s="60"/>
      <c r="P279" s="62"/>
      <c r="Q279" s="66"/>
      <c r="R279" s="62"/>
      <c r="S279" s="62"/>
      <c r="T279" s="62"/>
      <c r="U279" s="74"/>
      <c r="V279" s="62"/>
      <c r="W279" s="75"/>
      <c r="X279" s="74"/>
      <c r="Y279" s="61"/>
      <c r="Z279" s="201"/>
      <c r="AA279" s="201"/>
      <c r="AB279" s="201"/>
      <c r="AC279" s="201"/>
      <c r="AD279" s="201"/>
      <c r="AE279" s="201"/>
      <c r="AF279" s="201"/>
      <c r="AG279" s="201"/>
      <c r="AH279" s="201"/>
      <c r="AI279" s="201"/>
      <c r="AJ279" s="201"/>
      <c r="AK279" s="201"/>
      <c r="AL279" s="201"/>
      <c r="AM279" s="201"/>
      <c r="AN279" s="201"/>
      <c r="AO279" s="201"/>
    </row>
    <row r="280">
      <c r="A280" s="197"/>
      <c r="B280" s="198"/>
      <c r="C280" s="204"/>
      <c r="D280" s="197"/>
      <c r="E280" s="197"/>
      <c r="F280" s="198"/>
      <c r="G280" s="198"/>
      <c r="H280" s="199"/>
      <c r="I280" s="200"/>
      <c r="J280" s="62"/>
      <c r="K280" s="62"/>
      <c r="L280" s="62"/>
      <c r="M280" s="62"/>
      <c r="N280" s="62"/>
      <c r="O280" s="60"/>
      <c r="P280" s="62"/>
      <c r="Q280" s="66"/>
      <c r="R280" s="62"/>
      <c r="S280" s="62"/>
      <c r="T280" s="62"/>
      <c r="U280" s="74"/>
      <c r="V280" s="62"/>
      <c r="W280" s="75"/>
      <c r="X280" s="74"/>
      <c r="Y280" s="61"/>
      <c r="Z280" s="201"/>
      <c r="AA280" s="201"/>
      <c r="AB280" s="201"/>
      <c r="AC280" s="201"/>
      <c r="AD280" s="201"/>
      <c r="AE280" s="201"/>
      <c r="AF280" s="201"/>
      <c r="AG280" s="201"/>
      <c r="AH280" s="201"/>
      <c r="AI280" s="201"/>
      <c r="AJ280" s="201"/>
      <c r="AK280" s="201"/>
      <c r="AL280" s="201"/>
      <c r="AM280" s="201"/>
      <c r="AN280" s="201"/>
      <c r="AO280" s="201"/>
    </row>
    <row r="281">
      <c r="A281" s="197"/>
      <c r="B281" s="198"/>
      <c r="C281" s="199"/>
      <c r="D281" s="197"/>
      <c r="E281" s="197"/>
      <c r="F281" s="198"/>
      <c r="G281" s="198"/>
      <c r="H281" s="199"/>
      <c r="I281" s="200"/>
      <c r="J281" s="62"/>
      <c r="K281" s="62"/>
      <c r="L281" s="62"/>
      <c r="M281" s="62"/>
      <c r="N281" s="62"/>
      <c r="O281" s="60"/>
      <c r="P281" s="62"/>
      <c r="Q281" s="66"/>
      <c r="R281" s="62"/>
      <c r="S281" s="62"/>
      <c r="T281" s="62"/>
      <c r="U281" s="74"/>
      <c r="V281" s="62"/>
      <c r="W281" s="75"/>
      <c r="X281" s="74"/>
      <c r="Y281" s="61"/>
      <c r="Z281" s="201"/>
      <c r="AA281" s="201"/>
      <c r="AB281" s="201"/>
      <c r="AC281" s="201"/>
      <c r="AD281" s="201"/>
      <c r="AE281" s="201"/>
      <c r="AF281" s="201"/>
      <c r="AG281" s="201"/>
      <c r="AH281" s="201"/>
      <c r="AI281" s="201"/>
      <c r="AJ281" s="201"/>
      <c r="AK281" s="201"/>
      <c r="AL281" s="201"/>
      <c r="AM281" s="201"/>
      <c r="AN281" s="201"/>
      <c r="AO281" s="201"/>
    </row>
    <row r="282">
      <c r="A282" s="197"/>
      <c r="B282" s="198"/>
      <c r="C282" s="204"/>
      <c r="D282" s="197"/>
      <c r="E282" s="197"/>
      <c r="F282" s="198"/>
      <c r="G282" s="198"/>
      <c r="H282" s="199"/>
      <c r="I282" s="200"/>
      <c r="J282" s="62"/>
      <c r="K282" s="62"/>
      <c r="L282" s="62"/>
      <c r="M282" s="62"/>
      <c r="N282" s="62"/>
      <c r="O282" s="60"/>
      <c r="P282" s="62"/>
      <c r="Q282" s="66"/>
      <c r="R282" s="62"/>
      <c r="S282" s="62"/>
      <c r="T282" s="62"/>
      <c r="U282" s="74"/>
      <c r="V282" s="62"/>
      <c r="W282" s="75"/>
      <c r="X282" s="74"/>
      <c r="Y282" s="61"/>
      <c r="Z282" s="201"/>
      <c r="AA282" s="201"/>
      <c r="AB282" s="201"/>
      <c r="AC282" s="201"/>
      <c r="AD282" s="201"/>
      <c r="AE282" s="201"/>
      <c r="AF282" s="201"/>
      <c r="AG282" s="201"/>
      <c r="AH282" s="201"/>
      <c r="AI282" s="201"/>
      <c r="AJ282" s="201"/>
      <c r="AK282" s="201"/>
      <c r="AL282" s="201"/>
      <c r="AM282" s="201"/>
      <c r="AN282" s="201"/>
      <c r="AO282" s="201"/>
    </row>
    <row r="283">
      <c r="A283" s="197"/>
      <c r="B283" s="198"/>
      <c r="C283" s="199"/>
      <c r="D283" s="205"/>
      <c r="E283" s="198"/>
      <c r="F283" s="198"/>
      <c r="G283" s="198"/>
      <c r="H283" s="199"/>
      <c r="I283" s="200"/>
      <c r="J283" s="62"/>
      <c r="K283" s="62"/>
      <c r="L283" s="62"/>
      <c r="M283" s="62"/>
      <c r="N283" s="62"/>
      <c r="O283" s="60"/>
      <c r="P283" s="62"/>
      <c r="Q283" s="66"/>
      <c r="R283" s="62"/>
      <c r="S283" s="62"/>
      <c r="T283" s="62"/>
      <c r="U283" s="74"/>
      <c r="V283" s="62"/>
      <c r="W283" s="75"/>
      <c r="X283" s="74"/>
      <c r="Y283" s="61"/>
      <c r="Z283" s="201"/>
      <c r="AA283" s="201"/>
      <c r="AB283" s="201"/>
      <c r="AC283" s="201"/>
      <c r="AD283" s="201"/>
      <c r="AE283" s="201"/>
      <c r="AF283" s="201"/>
      <c r="AG283" s="201"/>
      <c r="AH283" s="201"/>
      <c r="AI283" s="201"/>
      <c r="AJ283" s="201"/>
      <c r="AK283" s="201"/>
      <c r="AL283" s="201"/>
      <c r="AM283" s="201"/>
      <c r="AN283" s="201"/>
      <c r="AO283" s="201"/>
    </row>
    <row r="284">
      <c r="A284" s="197"/>
      <c r="B284" s="198"/>
      <c r="C284" s="199"/>
      <c r="D284" s="205"/>
      <c r="E284" s="198"/>
      <c r="F284" s="198"/>
      <c r="G284" s="198"/>
      <c r="H284" s="199"/>
      <c r="I284" s="200"/>
      <c r="J284" s="79"/>
      <c r="K284" s="79"/>
      <c r="L284" s="62"/>
      <c r="M284" s="62"/>
      <c r="N284" s="62"/>
      <c r="O284" s="60"/>
      <c r="P284" s="62"/>
      <c r="Q284" s="66"/>
      <c r="R284" s="62"/>
      <c r="S284" s="62"/>
      <c r="T284" s="62"/>
      <c r="U284" s="74"/>
      <c r="V284" s="62"/>
      <c r="W284" s="75"/>
      <c r="X284" s="74"/>
      <c r="Y284" s="61"/>
      <c r="Z284" s="201"/>
      <c r="AA284" s="201"/>
      <c r="AB284" s="201"/>
      <c r="AC284" s="201"/>
      <c r="AD284" s="201"/>
      <c r="AE284" s="201"/>
      <c r="AF284" s="201"/>
      <c r="AG284" s="201"/>
      <c r="AH284" s="201"/>
      <c r="AI284" s="201"/>
      <c r="AJ284" s="201"/>
      <c r="AK284" s="201"/>
      <c r="AL284" s="201"/>
      <c r="AM284" s="201"/>
      <c r="AN284" s="201"/>
      <c r="AO284" s="201"/>
    </row>
    <row r="285">
      <c r="A285" s="197"/>
      <c r="B285" s="198"/>
      <c r="C285" s="199"/>
      <c r="D285" s="205"/>
      <c r="E285" s="198"/>
      <c r="F285" s="198"/>
      <c r="G285" s="198"/>
      <c r="H285" s="199"/>
      <c r="I285" s="200"/>
      <c r="J285" s="62"/>
      <c r="K285" s="62"/>
      <c r="L285" s="62"/>
      <c r="M285" s="62"/>
      <c r="N285" s="62"/>
      <c r="O285" s="60"/>
      <c r="P285" s="62"/>
      <c r="Q285" s="66"/>
      <c r="R285" s="62"/>
      <c r="S285" s="62"/>
      <c r="T285" s="62"/>
      <c r="U285" s="74"/>
      <c r="V285" s="62"/>
      <c r="W285" s="75"/>
      <c r="X285" s="74"/>
      <c r="Y285" s="61"/>
      <c r="Z285" s="201"/>
      <c r="AA285" s="201"/>
      <c r="AB285" s="201"/>
      <c r="AC285" s="201"/>
      <c r="AD285" s="201"/>
      <c r="AE285" s="201"/>
      <c r="AF285" s="201"/>
      <c r="AG285" s="201"/>
      <c r="AH285" s="201"/>
      <c r="AI285" s="201"/>
      <c r="AJ285" s="201"/>
      <c r="AK285" s="201"/>
      <c r="AL285" s="201"/>
      <c r="AM285" s="201"/>
      <c r="AN285" s="201"/>
      <c r="AO285" s="201"/>
    </row>
    <row r="286">
      <c r="A286" s="197"/>
      <c r="B286" s="198"/>
      <c r="C286" s="199"/>
      <c r="D286" s="205"/>
      <c r="E286" s="198"/>
      <c r="F286" s="198"/>
      <c r="G286" s="198"/>
      <c r="H286" s="199"/>
      <c r="I286" s="200"/>
      <c r="J286" s="62"/>
      <c r="K286" s="62"/>
      <c r="L286" s="62"/>
      <c r="M286" s="62"/>
      <c r="N286" s="62"/>
      <c r="O286" s="60"/>
      <c r="P286" s="62"/>
      <c r="Q286" s="66"/>
      <c r="R286" s="62"/>
      <c r="S286" s="62"/>
      <c r="T286" s="62"/>
      <c r="U286" s="74"/>
      <c r="V286" s="62"/>
      <c r="W286" s="75"/>
      <c r="X286" s="74"/>
      <c r="Y286" s="61"/>
      <c r="Z286" s="201"/>
      <c r="AA286" s="201"/>
      <c r="AB286" s="201"/>
      <c r="AC286" s="201"/>
      <c r="AD286" s="201"/>
      <c r="AE286" s="201"/>
      <c r="AF286" s="201"/>
      <c r="AG286" s="201"/>
      <c r="AH286" s="201"/>
      <c r="AI286" s="201"/>
      <c r="AJ286" s="201"/>
      <c r="AK286" s="201"/>
      <c r="AL286" s="201"/>
      <c r="AM286" s="201"/>
      <c r="AN286" s="201"/>
      <c r="AO286" s="201"/>
    </row>
    <row r="287">
      <c r="A287" s="197"/>
      <c r="B287" s="198"/>
      <c r="C287" s="199"/>
      <c r="D287" s="205"/>
      <c r="E287" s="198"/>
      <c r="F287" s="198"/>
      <c r="G287" s="198"/>
      <c r="H287" s="199"/>
      <c r="I287" s="200"/>
      <c r="J287" s="62"/>
      <c r="K287" s="62"/>
      <c r="L287" s="62"/>
      <c r="M287" s="62"/>
      <c r="N287" s="62"/>
      <c r="O287" s="60"/>
      <c r="P287" s="62"/>
      <c r="Q287" s="66"/>
      <c r="R287" s="62"/>
      <c r="S287" s="62"/>
      <c r="T287" s="62"/>
      <c r="U287" s="74"/>
      <c r="V287" s="62"/>
      <c r="W287" s="75"/>
      <c r="X287" s="74"/>
      <c r="Y287" s="61"/>
      <c r="Z287" s="201"/>
      <c r="AA287" s="201"/>
      <c r="AB287" s="201"/>
      <c r="AC287" s="201"/>
      <c r="AD287" s="201"/>
      <c r="AE287" s="201"/>
      <c r="AF287" s="201"/>
      <c r="AG287" s="201"/>
      <c r="AH287" s="201"/>
      <c r="AI287" s="201"/>
      <c r="AJ287" s="201"/>
      <c r="AK287" s="201"/>
      <c r="AL287" s="201"/>
      <c r="AM287" s="201"/>
      <c r="AN287" s="201"/>
      <c r="AO287" s="201"/>
    </row>
    <row r="288">
      <c r="A288" s="197"/>
      <c r="B288" s="198"/>
      <c r="C288" s="199"/>
      <c r="D288" s="205"/>
      <c r="E288" s="198"/>
      <c r="F288" s="198"/>
      <c r="G288" s="198"/>
      <c r="H288" s="200"/>
      <c r="I288" s="200"/>
      <c r="J288" s="79"/>
      <c r="K288" s="79"/>
      <c r="L288" s="62"/>
      <c r="M288" s="62"/>
      <c r="N288" s="62"/>
      <c r="O288" s="60"/>
      <c r="P288" s="62"/>
      <c r="Q288" s="66"/>
      <c r="R288" s="62"/>
      <c r="S288" s="62"/>
      <c r="T288" s="62"/>
      <c r="U288" s="74"/>
      <c r="V288" s="62"/>
      <c r="W288" s="75"/>
      <c r="X288" s="74"/>
      <c r="Y288" s="61"/>
      <c r="Z288" s="201"/>
      <c r="AA288" s="201"/>
      <c r="AB288" s="201"/>
      <c r="AC288" s="201"/>
      <c r="AD288" s="201"/>
      <c r="AE288" s="201"/>
      <c r="AF288" s="201"/>
      <c r="AG288" s="201"/>
      <c r="AH288" s="201"/>
      <c r="AI288" s="201"/>
      <c r="AJ288" s="201"/>
      <c r="AK288" s="201"/>
      <c r="AL288" s="201"/>
      <c r="AM288" s="201"/>
      <c r="AN288" s="201"/>
      <c r="AO288" s="201"/>
    </row>
    <row r="289">
      <c r="A289" s="197"/>
      <c r="B289" s="198"/>
      <c r="C289" s="199"/>
      <c r="D289" s="197"/>
      <c r="E289" s="197"/>
      <c r="F289" s="198"/>
      <c r="G289" s="198"/>
      <c r="H289" s="199"/>
      <c r="I289" s="199"/>
      <c r="J289" s="62"/>
      <c r="K289" s="62"/>
      <c r="L289" s="62"/>
      <c r="M289" s="62"/>
      <c r="N289" s="62"/>
      <c r="O289" s="60"/>
      <c r="P289" s="62"/>
      <c r="Q289" s="66"/>
      <c r="R289" s="62"/>
      <c r="S289" s="62"/>
      <c r="T289" s="62"/>
      <c r="U289" s="74"/>
      <c r="V289" s="62"/>
      <c r="W289" s="75"/>
      <c r="X289" s="74"/>
      <c r="Y289" s="61"/>
      <c r="Z289" s="201"/>
      <c r="AA289" s="201"/>
      <c r="AB289" s="201"/>
      <c r="AC289" s="201"/>
      <c r="AD289" s="201"/>
      <c r="AE289" s="201"/>
      <c r="AF289" s="201"/>
      <c r="AG289" s="201"/>
      <c r="AH289" s="201"/>
      <c r="AI289" s="201"/>
      <c r="AJ289" s="201"/>
      <c r="AK289" s="201"/>
      <c r="AL289" s="201"/>
      <c r="AM289" s="201"/>
      <c r="AN289" s="201"/>
      <c r="AO289" s="201"/>
    </row>
    <row r="290">
      <c r="A290" s="197"/>
      <c r="B290" s="198"/>
      <c r="C290" s="204"/>
      <c r="D290" s="197"/>
      <c r="E290" s="197"/>
      <c r="F290" s="198"/>
      <c r="G290" s="198"/>
      <c r="H290" s="199"/>
      <c r="I290" s="199"/>
      <c r="J290" s="62"/>
      <c r="K290" s="62"/>
      <c r="L290" s="62"/>
      <c r="M290" s="62"/>
      <c r="N290" s="62"/>
      <c r="O290" s="60"/>
      <c r="P290" s="62"/>
      <c r="Q290" s="66"/>
      <c r="R290" s="62"/>
      <c r="S290" s="62"/>
      <c r="T290" s="62"/>
      <c r="U290" s="74"/>
      <c r="V290" s="62"/>
      <c r="W290" s="75"/>
      <c r="X290" s="74"/>
      <c r="Y290" s="61"/>
      <c r="Z290" s="201"/>
      <c r="AA290" s="201"/>
      <c r="AB290" s="201"/>
      <c r="AC290" s="201"/>
      <c r="AD290" s="201"/>
      <c r="AE290" s="201"/>
      <c r="AF290" s="201"/>
      <c r="AG290" s="201"/>
      <c r="AH290" s="201"/>
      <c r="AI290" s="201"/>
      <c r="AJ290" s="201"/>
      <c r="AK290" s="201"/>
      <c r="AL290" s="201"/>
      <c r="AM290" s="201"/>
      <c r="AN290" s="201"/>
      <c r="AO290" s="201"/>
    </row>
    <row r="291">
      <c r="A291" s="197"/>
      <c r="B291" s="198"/>
      <c r="C291" s="199"/>
      <c r="D291" s="197"/>
      <c r="E291" s="197"/>
      <c r="F291" s="198"/>
      <c r="G291" s="198"/>
      <c r="H291" s="199"/>
      <c r="I291" s="199"/>
      <c r="J291" s="62"/>
      <c r="K291" s="62"/>
      <c r="L291" s="62"/>
      <c r="M291" s="62"/>
      <c r="N291" s="62"/>
      <c r="O291" s="60"/>
      <c r="P291" s="62"/>
      <c r="Q291" s="66"/>
      <c r="R291" s="62"/>
      <c r="S291" s="62"/>
      <c r="T291" s="62"/>
      <c r="U291" s="74"/>
      <c r="V291" s="62"/>
      <c r="W291" s="75"/>
      <c r="X291" s="74"/>
      <c r="Y291" s="61"/>
      <c r="Z291" s="201"/>
      <c r="AA291" s="201"/>
      <c r="AB291" s="201"/>
      <c r="AC291" s="201"/>
      <c r="AD291" s="201"/>
      <c r="AE291" s="201"/>
      <c r="AF291" s="201"/>
      <c r="AG291" s="201"/>
      <c r="AH291" s="201"/>
      <c r="AI291" s="201"/>
      <c r="AJ291" s="201"/>
      <c r="AK291" s="201"/>
      <c r="AL291" s="201"/>
      <c r="AM291" s="201"/>
      <c r="AN291" s="201"/>
      <c r="AO291" s="201"/>
    </row>
    <row r="292">
      <c r="A292" s="197"/>
      <c r="B292" s="198"/>
      <c r="C292" s="199"/>
      <c r="D292" s="197"/>
      <c r="E292" s="197"/>
      <c r="F292" s="198"/>
      <c r="G292" s="198"/>
      <c r="H292" s="199"/>
      <c r="I292" s="200"/>
      <c r="J292" s="62"/>
      <c r="K292" s="62"/>
      <c r="L292" s="62"/>
      <c r="M292" s="62"/>
      <c r="N292" s="62"/>
      <c r="O292" s="60"/>
      <c r="P292" s="62"/>
      <c r="Q292" s="66"/>
      <c r="R292" s="62"/>
      <c r="S292" s="62"/>
      <c r="T292" s="62"/>
      <c r="U292" s="74"/>
      <c r="V292" s="62"/>
      <c r="W292" s="75"/>
      <c r="X292" s="74"/>
      <c r="Y292" s="61"/>
      <c r="Z292" s="201"/>
      <c r="AA292" s="201"/>
      <c r="AB292" s="201"/>
      <c r="AC292" s="201"/>
      <c r="AD292" s="201"/>
      <c r="AE292" s="201"/>
      <c r="AF292" s="201"/>
      <c r="AG292" s="201"/>
      <c r="AH292" s="201"/>
      <c r="AI292" s="201"/>
      <c r="AJ292" s="201"/>
      <c r="AK292" s="201"/>
      <c r="AL292" s="201"/>
      <c r="AM292" s="201"/>
      <c r="AN292" s="201"/>
      <c r="AO292" s="201"/>
    </row>
    <row r="293">
      <c r="A293" s="197"/>
      <c r="B293" s="198"/>
      <c r="C293" s="199"/>
      <c r="D293" s="197"/>
      <c r="E293" s="197"/>
      <c r="F293" s="198"/>
      <c r="G293" s="198"/>
      <c r="H293" s="199"/>
      <c r="I293" s="199"/>
      <c r="J293" s="62"/>
      <c r="K293" s="62"/>
      <c r="L293" s="62"/>
      <c r="M293" s="62"/>
      <c r="N293" s="62"/>
      <c r="O293" s="60"/>
      <c r="P293" s="62"/>
      <c r="Q293" s="66"/>
      <c r="R293" s="62"/>
      <c r="S293" s="62"/>
      <c r="T293" s="62"/>
      <c r="U293" s="74"/>
      <c r="V293" s="62"/>
      <c r="W293" s="75"/>
      <c r="X293" s="74"/>
      <c r="Y293" s="61"/>
      <c r="Z293" s="201"/>
      <c r="AA293" s="201"/>
      <c r="AB293" s="201"/>
      <c r="AC293" s="201"/>
      <c r="AD293" s="201"/>
      <c r="AE293" s="201"/>
      <c r="AF293" s="201"/>
      <c r="AG293" s="201"/>
      <c r="AH293" s="201"/>
      <c r="AI293" s="201"/>
      <c r="AJ293" s="201"/>
      <c r="AK293" s="201"/>
      <c r="AL293" s="201"/>
      <c r="AM293" s="201"/>
      <c r="AN293" s="201"/>
      <c r="AO293" s="201"/>
    </row>
    <row r="294">
      <c r="A294" s="197"/>
      <c r="B294" s="198"/>
      <c r="C294" s="204"/>
      <c r="D294" s="207"/>
      <c r="E294" s="198"/>
      <c r="F294" s="198"/>
      <c r="G294" s="198"/>
      <c r="H294" s="199"/>
      <c r="I294" s="199"/>
      <c r="J294" s="62"/>
      <c r="K294" s="62"/>
      <c r="L294" s="62"/>
      <c r="M294" s="62"/>
      <c r="N294" s="62"/>
      <c r="O294" s="60"/>
      <c r="P294" s="62"/>
      <c r="Q294" s="66"/>
      <c r="R294" s="62"/>
      <c r="S294" s="62"/>
      <c r="T294" s="62"/>
      <c r="U294" s="74"/>
      <c r="V294" s="62"/>
      <c r="W294" s="75"/>
      <c r="X294" s="74"/>
      <c r="Y294" s="61"/>
      <c r="Z294" s="201"/>
      <c r="AA294" s="201"/>
      <c r="AB294" s="201"/>
      <c r="AC294" s="201"/>
      <c r="AD294" s="201"/>
      <c r="AE294" s="201"/>
      <c r="AF294" s="201"/>
      <c r="AG294" s="201"/>
      <c r="AH294" s="201"/>
      <c r="AI294" s="201"/>
      <c r="AJ294" s="201"/>
      <c r="AK294" s="201"/>
      <c r="AL294" s="201"/>
      <c r="AM294" s="201"/>
      <c r="AN294" s="201"/>
      <c r="AO294" s="201"/>
    </row>
    <row r="295">
      <c r="A295" s="197"/>
      <c r="B295" s="198"/>
      <c r="C295" s="204"/>
      <c r="D295" s="197"/>
      <c r="E295" s="197"/>
      <c r="F295" s="198"/>
      <c r="G295" s="198"/>
      <c r="H295" s="199"/>
      <c r="I295" s="199"/>
      <c r="J295" s="62"/>
      <c r="K295" s="62"/>
      <c r="L295" s="62"/>
      <c r="M295" s="62"/>
      <c r="N295" s="62"/>
      <c r="O295" s="60"/>
      <c r="P295" s="62"/>
      <c r="Q295" s="66"/>
      <c r="R295" s="62"/>
      <c r="S295" s="62"/>
      <c r="T295" s="62"/>
      <c r="U295" s="74"/>
      <c r="V295" s="62"/>
      <c r="W295" s="75"/>
      <c r="X295" s="74"/>
      <c r="Y295" s="61"/>
      <c r="Z295" s="201"/>
      <c r="AA295" s="201"/>
      <c r="AB295" s="201"/>
      <c r="AC295" s="201"/>
      <c r="AD295" s="201"/>
      <c r="AE295" s="201"/>
      <c r="AF295" s="201"/>
      <c r="AG295" s="201"/>
      <c r="AH295" s="201"/>
      <c r="AI295" s="201"/>
      <c r="AJ295" s="201"/>
      <c r="AK295" s="201"/>
      <c r="AL295" s="201"/>
      <c r="AM295" s="201"/>
      <c r="AN295" s="201"/>
      <c r="AO295" s="201"/>
    </row>
    <row r="296">
      <c r="A296" s="197"/>
      <c r="B296" s="198"/>
      <c r="C296" s="199"/>
      <c r="D296" s="197"/>
      <c r="E296" s="197"/>
      <c r="F296" s="198"/>
      <c r="G296" s="198"/>
      <c r="H296" s="199"/>
      <c r="I296" s="199"/>
      <c r="J296" s="62"/>
      <c r="K296" s="62"/>
      <c r="L296" s="62"/>
      <c r="M296" s="62"/>
      <c r="N296" s="62"/>
      <c r="O296" s="60"/>
      <c r="P296" s="62"/>
      <c r="Q296" s="66"/>
      <c r="R296" s="62"/>
      <c r="S296" s="62"/>
      <c r="T296" s="62"/>
      <c r="U296" s="74"/>
      <c r="V296" s="62"/>
      <c r="W296" s="75"/>
      <c r="X296" s="74"/>
      <c r="Y296" s="61"/>
      <c r="Z296" s="201"/>
      <c r="AA296" s="201"/>
      <c r="AB296" s="201"/>
      <c r="AC296" s="201"/>
      <c r="AD296" s="201"/>
      <c r="AE296" s="201"/>
      <c r="AF296" s="201"/>
      <c r="AG296" s="201"/>
      <c r="AH296" s="201"/>
      <c r="AI296" s="201"/>
      <c r="AJ296" s="201"/>
      <c r="AK296" s="201"/>
      <c r="AL296" s="201"/>
      <c r="AM296" s="201"/>
      <c r="AN296" s="201"/>
      <c r="AO296" s="201"/>
    </row>
    <row r="297">
      <c r="A297" s="197"/>
      <c r="B297" s="198"/>
      <c r="C297" s="204"/>
      <c r="D297" s="197"/>
      <c r="E297" s="197"/>
      <c r="F297" s="198"/>
      <c r="G297" s="198"/>
      <c r="H297" s="199"/>
      <c r="I297" s="199"/>
      <c r="J297" s="62"/>
      <c r="K297" s="62"/>
      <c r="L297" s="62"/>
      <c r="M297" s="62"/>
      <c r="N297" s="62"/>
      <c r="O297" s="60"/>
      <c r="P297" s="62"/>
      <c r="Q297" s="66"/>
      <c r="R297" s="62"/>
      <c r="S297" s="62"/>
      <c r="T297" s="62"/>
      <c r="U297" s="74"/>
      <c r="V297" s="62"/>
      <c r="W297" s="75"/>
      <c r="X297" s="74"/>
      <c r="Y297" s="61"/>
      <c r="Z297" s="201"/>
      <c r="AA297" s="201"/>
      <c r="AB297" s="201"/>
      <c r="AC297" s="201"/>
      <c r="AD297" s="201"/>
      <c r="AE297" s="201"/>
      <c r="AF297" s="201"/>
      <c r="AG297" s="201"/>
      <c r="AH297" s="201"/>
      <c r="AI297" s="201"/>
      <c r="AJ297" s="201"/>
      <c r="AK297" s="201"/>
      <c r="AL297" s="201"/>
      <c r="AM297" s="201"/>
      <c r="AN297" s="201"/>
      <c r="AO297" s="201"/>
    </row>
    <row r="298">
      <c r="A298" s="197"/>
      <c r="B298" s="198"/>
      <c r="C298" s="204"/>
      <c r="D298" s="197"/>
      <c r="E298" s="197"/>
      <c r="F298" s="198"/>
      <c r="G298" s="198"/>
      <c r="H298" s="199"/>
      <c r="I298" s="199"/>
      <c r="J298" s="62"/>
      <c r="K298" s="62"/>
      <c r="L298" s="62"/>
      <c r="M298" s="62"/>
      <c r="N298" s="62"/>
      <c r="O298" s="60"/>
      <c r="P298" s="62"/>
      <c r="Q298" s="66"/>
      <c r="R298" s="62"/>
      <c r="S298" s="62"/>
      <c r="T298" s="62"/>
      <c r="U298" s="74"/>
      <c r="V298" s="62"/>
      <c r="W298" s="75"/>
      <c r="X298" s="74"/>
      <c r="Y298" s="61"/>
      <c r="Z298" s="201"/>
      <c r="AA298" s="201"/>
      <c r="AB298" s="201"/>
      <c r="AC298" s="201"/>
      <c r="AD298" s="201"/>
      <c r="AE298" s="201"/>
      <c r="AF298" s="201"/>
      <c r="AG298" s="201"/>
      <c r="AH298" s="201"/>
      <c r="AI298" s="201"/>
      <c r="AJ298" s="201"/>
      <c r="AK298" s="201"/>
      <c r="AL298" s="201"/>
      <c r="AM298" s="201"/>
      <c r="AN298" s="201"/>
      <c r="AO298" s="201"/>
    </row>
    <row r="299">
      <c r="A299" s="197"/>
      <c r="B299" s="198"/>
      <c r="C299" s="204"/>
      <c r="D299" s="197"/>
      <c r="E299" s="197"/>
      <c r="F299" s="198"/>
      <c r="G299" s="198"/>
      <c r="H299" s="199"/>
      <c r="I299" s="199"/>
      <c r="J299" s="62"/>
      <c r="K299" s="62"/>
      <c r="L299" s="62"/>
      <c r="M299" s="62"/>
      <c r="N299" s="62"/>
      <c r="O299" s="60"/>
      <c r="P299" s="62"/>
      <c r="Q299" s="66"/>
      <c r="R299" s="62"/>
      <c r="S299" s="62"/>
      <c r="T299" s="62"/>
      <c r="U299" s="74"/>
      <c r="V299" s="62"/>
      <c r="W299" s="75"/>
      <c r="X299" s="74"/>
      <c r="Y299" s="61"/>
      <c r="Z299" s="201"/>
      <c r="AA299" s="201"/>
      <c r="AB299" s="201"/>
      <c r="AC299" s="201"/>
      <c r="AD299" s="201"/>
      <c r="AE299" s="201"/>
      <c r="AF299" s="201"/>
      <c r="AG299" s="201"/>
      <c r="AH299" s="201"/>
      <c r="AI299" s="201"/>
      <c r="AJ299" s="201"/>
      <c r="AK299" s="201"/>
      <c r="AL299" s="201"/>
      <c r="AM299" s="201"/>
      <c r="AN299" s="201"/>
      <c r="AO299" s="201"/>
    </row>
    <row r="300">
      <c r="A300" s="197"/>
      <c r="B300" s="198"/>
      <c r="C300" s="199"/>
      <c r="D300" s="197"/>
      <c r="E300" s="197"/>
      <c r="F300" s="198"/>
      <c r="G300" s="198"/>
      <c r="H300" s="199"/>
      <c r="I300" s="199"/>
      <c r="J300" s="62"/>
      <c r="K300" s="62"/>
      <c r="L300" s="62"/>
      <c r="M300" s="62"/>
      <c r="N300" s="62"/>
      <c r="O300" s="60"/>
      <c r="P300" s="62"/>
      <c r="Q300" s="66"/>
      <c r="R300" s="62"/>
      <c r="S300" s="62"/>
      <c r="T300" s="62"/>
      <c r="U300" s="74"/>
      <c r="V300" s="62"/>
      <c r="W300" s="75"/>
      <c r="X300" s="74"/>
      <c r="Y300" s="61"/>
      <c r="Z300" s="201"/>
      <c r="AA300" s="201"/>
      <c r="AB300" s="201"/>
      <c r="AC300" s="201"/>
      <c r="AD300" s="201"/>
      <c r="AE300" s="201"/>
      <c r="AF300" s="201"/>
      <c r="AG300" s="201"/>
      <c r="AH300" s="201"/>
      <c r="AI300" s="201"/>
      <c r="AJ300" s="201"/>
      <c r="AK300" s="201"/>
      <c r="AL300" s="201"/>
      <c r="AM300" s="201"/>
      <c r="AN300" s="201"/>
      <c r="AO300" s="201"/>
    </row>
    <row r="301">
      <c r="A301" s="197"/>
      <c r="B301" s="198"/>
      <c r="C301" s="204"/>
      <c r="D301" s="197"/>
      <c r="E301" s="197"/>
      <c r="F301" s="198"/>
      <c r="G301" s="198"/>
      <c r="H301" s="199"/>
      <c r="I301" s="199"/>
      <c r="J301" s="62"/>
      <c r="K301" s="62"/>
      <c r="L301" s="62"/>
      <c r="M301" s="62"/>
      <c r="N301" s="62"/>
      <c r="O301" s="60"/>
      <c r="P301" s="62"/>
      <c r="Q301" s="66"/>
      <c r="R301" s="62"/>
      <c r="S301" s="62"/>
      <c r="T301" s="62"/>
      <c r="U301" s="74"/>
      <c r="V301" s="62"/>
      <c r="W301" s="75"/>
      <c r="X301" s="74"/>
      <c r="Y301" s="61"/>
      <c r="Z301" s="201"/>
      <c r="AA301" s="201"/>
      <c r="AB301" s="201"/>
      <c r="AC301" s="201"/>
      <c r="AD301" s="201"/>
      <c r="AE301" s="201"/>
      <c r="AF301" s="201"/>
      <c r="AG301" s="201"/>
      <c r="AH301" s="201"/>
      <c r="AI301" s="201"/>
      <c r="AJ301" s="201"/>
      <c r="AK301" s="201"/>
      <c r="AL301" s="201"/>
      <c r="AM301" s="201"/>
      <c r="AN301" s="201"/>
      <c r="AO301" s="201"/>
    </row>
    <row r="302">
      <c r="A302" s="197"/>
      <c r="B302" s="198"/>
      <c r="C302" s="199"/>
      <c r="D302" s="197"/>
      <c r="E302" s="197"/>
      <c r="F302" s="198"/>
      <c r="G302" s="198"/>
      <c r="H302" s="199"/>
      <c r="I302" s="200"/>
      <c r="J302" s="62"/>
      <c r="K302" s="62"/>
      <c r="L302" s="62"/>
      <c r="M302" s="62"/>
      <c r="N302" s="62"/>
      <c r="O302" s="60"/>
      <c r="P302" s="62"/>
      <c r="Q302" s="66"/>
      <c r="R302" s="62"/>
      <c r="S302" s="62"/>
      <c r="T302" s="62"/>
      <c r="U302" s="74"/>
      <c r="V302" s="62"/>
      <c r="W302" s="75"/>
      <c r="X302" s="74"/>
      <c r="Y302" s="61"/>
      <c r="Z302" s="201"/>
      <c r="AA302" s="201"/>
      <c r="AB302" s="201"/>
      <c r="AC302" s="201"/>
      <c r="AD302" s="201"/>
      <c r="AE302" s="201"/>
      <c r="AF302" s="201"/>
      <c r="AG302" s="201"/>
      <c r="AH302" s="201"/>
      <c r="AI302" s="201"/>
      <c r="AJ302" s="201"/>
      <c r="AK302" s="201"/>
      <c r="AL302" s="201"/>
      <c r="AM302" s="201"/>
      <c r="AN302" s="201"/>
      <c r="AO302" s="201"/>
    </row>
    <row r="303">
      <c r="A303" s="197"/>
      <c r="B303" s="198"/>
      <c r="C303" s="199"/>
      <c r="D303" s="197"/>
      <c r="E303" s="197"/>
      <c r="F303" s="198"/>
      <c r="G303" s="198"/>
      <c r="H303" s="199"/>
      <c r="I303" s="199"/>
      <c r="J303" s="62"/>
      <c r="K303" s="62"/>
      <c r="L303" s="62"/>
      <c r="M303" s="62"/>
      <c r="N303" s="62"/>
      <c r="O303" s="60"/>
      <c r="P303" s="62"/>
      <c r="Q303" s="66"/>
      <c r="R303" s="62"/>
      <c r="S303" s="62"/>
      <c r="T303" s="62"/>
      <c r="U303" s="74"/>
      <c r="V303" s="62"/>
      <c r="W303" s="75"/>
      <c r="X303" s="74"/>
      <c r="Y303" s="61"/>
      <c r="Z303" s="201"/>
      <c r="AA303" s="201"/>
      <c r="AB303" s="201"/>
      <c r="AC303" s="201"/>
      <c r="AD303" s="201"/>
      <c r="AE303" s="201"/>
      <c r="AF303" s="201"/>
      <c r="AG303" s="201"/>
      <c r="AH303" s="201"/>
      <c r="AI303" s="201"/>
      <c r="AJ303" s="201"/>
      <c r="AK303" s="201"/>
      <c r="AL303" s="201"/>
      <c r="AM303" s="201"/>
      <c r="AN303" s="201"/>
      <c r="AO303" s="201"/>
    </row>
    <row r="304">
      <c r="A304" s="197"/>
      <c r="B304" s="198"/>
      <c r="C304" s="204"/>
      <c r="D304" s="197"/>
      <c r="E304" s="197"/>
      <c r="F304" s="198"/>
      <c r="G304" s="198"/>
      <c r="H304" s="199"/>
      <c r="I304" s="199"/>
      <c r="J304" s="62"/>
      <c r="K304" s="62"/>
      <c r="L304" s="62"/>
      <c r="M304" s="62"/>
      <c r="N304" s="62"/>
      <c r="O304" s="60"/>
      <c r="P304" s="62"/>
      <c r="Q304" s="66"/>
      <c r="R304" s="62"/>
      <c r="S304" s="62"/>
      <c r="T304" s="62"/>
      <c r="U304" s="74"/>
      <c r="V304" s="62"/>
      <c r="W304" s="75"/>
      <c r="X304" s="74"/>
      <c r="Y304" s="61"/>
      <c r="Z304" s="201"/>
      <c r="AA304" s="201"/>
      <c r="AB304" s="201"/>
      <c r="AC304" s="201"/>
      <c r="AD304" s="201"/>
      <c r="AE304" s="201"/>
      <c r="AF304" s="201"/>
      <c r="AG304" s="201"/>
      <c r="AH304" s="201"/>
      <c r="AI304" s="201"/>
      <c r="AJ304" s="201"/>
      <c r="AK304" s="201"/>
      <c r="AL304" s="201"/>
      <c r="AM304" s="201"/>
      <c r="AN304" s="201"/>
      <c r="AO304" s="201"/>
    </row>
    <row r="305">
      <c r="A305" s="197"/>
      <c r="B305" s="198"/>
      <c r="C305" s="199"/>
      <c r="D305" s="207"/>
      <c r="E305" s="198"/>
      <c r="F305" s="198"/>
      <c r="G305" s="198"/>
      <c r="H305" s="199"/>
      <c r="I305" s="199"/>
      <c r="J305" s="62"/>
      <c r="K305" s="62"/>
      <c r="L305" s="62"/>
      <c r="M305" s="62"/>
      <c r="N305" s="62"/>
      <c r="O305" s="60"/>
      <c r="P305" s="62"/>
      <c r="Q305" s="66"/>
      <c r="R305" s="62"/>
      <c r="S305" s="62"/>
      <c r="T305" s="62"/>
      <c r="U305" s="74"/>
      <c r="V305" s="62"/>
      <c r="W305" s="75"/>
      <c r="X305" s="74"/>
      <c r="Y305" s="63"/>
      <c r="Z305" s="201"/>
      <c r="AA305" s="201"/>
      <c r="AB305" s="201"/>
      <c r="AC305" s="201"/>
      <c r="AD305" s="201"/>
      <c r="AE305" s="201"/>
      <c r="AF305" s="201"/>
      <c r="AG305" s="201"/>
      <c r="AH305" s="201"/>
      <c r="AI305" s="201"/>
      <c r="AJ305" s="201"/>
      <c r="AK305" s="201"/>
      <c r="AL305" s="201"/>
      <c r="AM305" s="201"/>
      <c r="AN305" s="201"/>
      <c r="AO305" s="201"/>
    </row>
    <row r="306">
      <c r="A306" s="197"/>
      <c r="B306" s="198"/>
      <c r="C306" s="204"/>
      <c r="D306" s="197"/>
      <c r="E306" s="197"/>
      <c r="F306" s="198"/>
      <c r="G306" s="198"/>
      <c r="H306" s="199"/>
      <c r="I306" s="199"/>
      <c r="J306" s="62"/>
      <c r="K306" s="62"/>
      <c r="L306" s="62"/>
      <c r="M306" s="62"/>
      <c r="N306" s="62"/>
      <c r="O306" s="60"/>
      <c r="P306" s="62"/>
      <c r="Q306" s="66"/>
      <c r="R306" s="62"/>
      <c r="S306" s="62"/>
      <c r="T306" s="62"/>
      <c r="U306" s="74"/>
      <c r="V306" s="62"/>
      <c r="W306" s="75"/>
      <c r="X306" s="74"/>
      <c r="Y306" s="61"/>
      <c r="Z306" s="201"/>
      <c r="AA306" s="201"/>
      <c r="AB306" s="201"/>
      <c r="AC306" s="201"/>
      <c r="AD306" s="201"/>
      <c r="AE306" s="201"/>
      <c r="AF306" s="201"/>
      <c r="AG306" s="201"/>
      <c r="AH306" s="201"/>
      <c r="AI306" s="201"/>
      <c r="AJ306" s="201"/>
      <c r="AK306" s="201"/>
      <c r="AL306" s="201"/>
      <c r="AM306" s="201"/>
      <c r="AN306" s="201"/>
      <c r="AO306" s="201"/>
    </row>
    <row r="307">
      <c r="A307" s="197"/>
      <c r="B307" s="198"/>
      <c r="C307" s="204"/>
      <c r="D307" s="197"/>
      <c r="E307" s="197"/>
      <c r="F307" s="198"/>
      <c r="G307" s="198"/>
      <c r="H307" s="199"/>
      <c r="I307" s="199"/>
      <c r="J307" s="62"/>
      <c r="K307" s="62"/>
      <c r="L307" s="62"/>
      <c r="M307" s="62"/>
      <c r="N307" s="62"/>
      <c r="O307" s="60"/>
      <c r="P307" s="62"/>
      <c r="Q307" s="66"/>
      <c r="R307" s="62"/>
      <c r="S307" s="62"/>
      <c r="T307" s="62"/>
      <c r="U307" s="74"/>
      <c r="V307" s="62"/>
      <c r="W307" s="75"/>
      <c r="X307" s="74"/>
      <c r="Y307" s="61"/>
      <c r="Z307" s="201"/>
      <c r="AA307" s="201"/>
      <c r="AB307" s="201"/>
      <c r="AC307" s="201"/>
      <c r="AD307" s="201"/>
      <c r="AE307" s="201"/>
      <c r="AF307" s="201"/>
      <c r="AG307" s="201"/>
      <c r="AH307" s="201"/>
      <c r="AI307" s="201"/>
      <c r="AJ307" s="201"/>
      <c r="AK307" s="201"/>
      <c r="AL307" s="201"/>
      <c r="AM307" s="201"/>
      <c r="AN307" s="201"/>
      <c r="AO307" s="201"/>
    </row>
    <row r="308">
      <c r="A308" s="197"/>
      <c r="B308" s="198"/>
      <c r="C308" s="199"/>
      <c r="D308" s="197"/>
      <c r="E308" s="197"/>
      <c r="F308" s="198"/>
      <c r="G308" s="198"/>
      <c r="H308" s="199"/>
      <c r="I308" s="200"/>
      <c r="J308" s="62"/>
      <c r="K308" s="62"/>
      <c r="L308" s="62"/>
      <c r="M308" s="62"/>
      <c r="N308" s="62"/>
      <c r="O308" s="60"/>
      <c r="P308" s="62"/>
      <c r="Q308" s="66"/>
      <c r="R308" s="62"/>
      <c r="S308" s="62"/>
      <c r="T308" s="62"/>
      <c r="U308" s="74"/>
      <c r="V308" s="62"/>
      <c r="W308" s="75"/>
      <c r="X308" s="74"/>
      <c r="Y308" s="61"/>
      <c r="Z308" s="201"/>
      <c r="AA308" s="201"/>
      <c r="AB308" s="201"/>
      <c r="AC308" s="201"/>
      <c r="AD308" s="201"/>
      <c r="AE308" s="201"/>
      <c r="AF308" s="201"/>
      <c r="AG308" s="201"/>
      <c r="AH308" s="201"/>
      <c r="AI308" s="201"/>
      <c r="AJ308" s="201"/>
      <c r="AK308" s="201"/>
      <c r="AL308" s="201"/>
      <c r="AM308" s="201"/>
      <c r="AN308" s="201"/>
      <c r="AO308" s="201"/>
    </row>
    <row r="309">
      <c r="A309" s="197"/>
      <c r="B309" s="198"/>
      <c r="C309" s="199"/>
      <c r="D309" s="197"/>
      <c r="E309" s="197"/>
      <c r="F309" s="198"/>
      <c r="G309" s="198"/>
      <c r="H309" s="199"/>
      <c r="I309" s="199"/>
      <c r="J309" s="62"/>
      <c r="K309" s="62"/>
      <c r="L309" s="62"/>
      <c r="M309" s="62"/>
      <c r="N309" s="62"/>
      <c r="O309" s="60"/>
      <c r="P309" s="62"/>
      <c r="Q309" s="66"/>
      <c r="R309" s="62"/>
      <c r="S309" s="62"/>
      <c r="T309" s="62"/>
      <c r="U309" s="74"/>
      <c r="V309" s="62"/>
      <c r="W309" s="75"/>
      <c r="X309" s="74"/>
      <c r="Y309" s="61"/>
      <c r="Z309" s="201"/>
      <c r="AA309" s="201"/>
      <c r="AB309" s="201"/>
      <c r="AC309" s="201"/>
      <c r="AD309" s="201"/>
      <c r="AE309" s="201"/>
      <c r="AF309" s="201"/>
      <c r="AG309" s="201"/>
      <c r="AH309" s="201"/>
      <c r="AI309" s="201"/>
      <c r="AJ309" s="201"/>
      <c r="AK309" s="201"/>
      <c r="AL309" s="201"/>
      <c r="AM309" s="201"/>
      <c r="AN309" s="201"/>
      <c r="AO309" s="201"/>
    </row>
    <row r="310">
      <c r="A310" s="197"/>
      <c r="B310" s="198"/>
      <c r="C310" s="204"/>
      <c r="D310" s="197"/>
      <c r="E310" s="197"/>
      <c r="F310" s="198"/>
      <c r="G310" s="198"/>
      <c r="H310" s="199"/>
      <c r="I310" s="199"/>
      <c r="J310" s="62"/>
      <c r="K310" s="62"/>
      <c r="L310" s="62"/>
      <c r="M310" s="62"/>
      <c r="N310" s="62"/>
      <c r="O310" s="60"/>
      <c r="P310" s="62"/>
      <c r="Q310" s="66"/>
      <c r="R310" s="62"/>
      <c r="S310" s="62"/>
      <c r="T310" s="62"/>
      <c r="U310" s="74"/>
      <c r="V310" s="62"/>
      <c r="W310" s="75"/>
      <c r="X310" s="74"/>
      <c r="Y310" s="61"/>
      <c r="Z310" s="201"/>
      <c r="AA310" s="201"/>
      <c r="AB310" s="201"/>
      <c r="AC310" s="201"/>
      <c r="AD310" s="201"/>
      <c r="AE310" s="201"/>
      <c r="AF310" s="201"/>
      <c r="AG310" s="201"/>
      <c r="AH310" s="201"/>
      <c r="AI310" s="201"/>
      <c r="AJ310" s="201"/>
      <c r="AK310" s="201"/>
      <c r="AL310" s="201"/>
      <c r="AM310" s="201"/>
      <c r="AN310" s="201"/>
      <c r="AO310" s="201"/>
    </row>
    <row r="311">
      <c r="A311" s="197"/>
      <c r="B311" s="198"/>
      <c r="C311" s="204"/>
      <c r="D311" s="197"/>
      <c r="E311" s="197"/>
      <c r="F311" s="198"/>
      <c r="G311" s="198"/>
      <c r="H311" s="199"/>
      <c r="I311" s="199"/>
      <c r="J311" s="62"/>
      <c r="K311" s="62"/>
      <c r="L311" s="62"/>
      <c r="M311" s="62"/>
      <c r="N311" s="62"/>
      <c r="O311" s="60"/>
      <c r="P311" s="62"/>
      <c r="Q311" s="66"/>
      <c r="R311" s="62"/>
      <c r="S311" s="62"/>
      <c r="T311" s="62"/>
      <c r="U311" s="74"/>
      <c r="V311" s="62"/>
      <c r="W311" s="75"/>
      <c r="X311" s="74"/>
      <c r="Y311" s="63"/>
      <c r="Z311" s="201"/>
      <c r="AA311" s="201"/>
      <c r="AB311" s="201"/>
      <c r="AC311" s="201"/>
      <c r="AD311" s="201"/>
      <c r="AE311" s="201"/>
      <c r="AF311" s="201"/>
      <c r="AG311" s="201"/>
      <c r="AH311" s="201"/>
      <c r="AI311" s="201"/>
      <c r="AJ311" s="201"/>
      <c r="AK311" s="201"/>
      <c r="AL311" s="201"/>
      <c r="AM311" s="201"/>
      <c r="AN311" s="201"/>
      <c r="AO311" s="201"/>
    </row>
    <row r="312">
      <c r="A312" s="197"/>
      <c r="B312" s="198"/>
      <c r="C312" s="199"/>
      <c r="D312" s="197"/>
      <c r="E312" s="197"/>
      <c r="F312" s="198"/>
      <c r="G312" s="198"/>
      <c r="H312" s="199"/>
      <c r="I312" s="199"/>
      <c r="J312" s="62"/>
      <c r="K312" s="62"/>
      <c r="L312" s="62"/>
      <c r="M312" s="62"/>
      <c r="N312" s="62"/>
      <c r="O312" s="60"/>
      <c r="P312" s="62"/>
      <c r="Q312" s="66"/>
      <c r="R312" s="62"/>
      <c r="S312" s="62"/>
      <c r="T312" s="62"/>
      <c r="U312" s="74"/>
      <c r="V312" s="62"/>
      <c r="W312" s="75"/>
      <c r="X312" s="74"/>
      <c r="Y312" s="61"/>
      <c r="Z312" s="201"/>
      <c r="AA312" s="201"/>
      <c r="AB312" s="201"/>
      <c r="AC312" s="201"/>
      <c r="AD312" s="201"/>
      <c r="AE312" s="201"/>
      <c r="AF312" s="201"/>
      <c r="AG312" s="201"/>
      <c r="AH312" s="201"/>
      <c r="AI312" s="201"/>
      <c r="AJ312" s="201"/>
      <c r="AK312" s="201"/>
      <c r="AL312" s="201"/>
      <c r="AM312" s="201"/>
      <c r="AN312" s="201"/>
      <c r="AO312" s="201"/>
    </row>
    <row r="313">
      <c r="A313" s="197"/>
      <c r="B313" s="198"/>
      <c r="C313" s="199"/>
      <c r="D313" s="197"/>
      <c r="E313" s="197"/>
      <c r="F313" s="198"/>
      <c r="G313" s="198"/>
      <c r="H313" s="199"/>
      <c r="I313" s="199"/>
      <c r="J313" s="62"/>
      <c r="K313" s="62"/>
      <c r="L313" s="62"/>
      <c r="M313" s="62"/>
      <c r="N313" s="62"/>
      <c r="O313" s="60"/>
      <c r="P313" s="62"/>
      <c r="Q313" s="66"/>
      <c r="R313" s="62"/>
      <c r="S313" s="62"/>
      <c r="T313" s="62"/>
      <c r="U313" s="74"/>
      <c r="V313" s="62"/>
      <c r="W313" s="75"/>
      <c r="X313" s="74"/>
      <c r="Y313" s="61"/>
      <c r="Z313" s="201"/>
      <c r="AA313" s="201"/>
      <c r="AB313" s="201"/>
      <c r="AC313" s="201"/>
      <c r="AD313" s="201"/>
      <c r="AE313" s="201"/>
      <c r="AF313" s="201"/>
      <c r="AG313" s="201"/>
      <c r="AH313" s="201"/>
      <c r="AI313" s="201"/>
      <c r="AJ313" s="201"/>
      <c r="AK313" s="201"/>
      <c r="AL313" s="201"/>
      <c r="AM313" s="201"/>
      <c r="AN313" s="201"/>
      <c r="AO313" s="201"/>
    </row>
    <row r="314">
      <c r="A314" s="197"/>
      <c r="B314" s="198"/>
      <c r="C314" s="199"/>
      <c r="D314" s="197"/>
      <c r="E314" s="197"/>
      <c r="F314" s="198"/>
      <c r="G314" s="198"/>
      <c r="H314" s="199"/>
      <c r="I314" s="199"/>
      <c r="J314" s="62"/>
      <c r="K314" s="62"/>
      <c r="L314" s="62"/>
      <c r="M314" s="62"/>
      <c r="N314" s="62"/>
      <c r="O314" s="60"/>
      <c r="P314" s="62"/>
      <c r="Q314" s="66"/>
      <c r="R314" s="62"/>
      <c r="S314" s="62"/>
      <c r="T314" s="62"/>
      <c r="U314" s="74"/>
      <c r="V314" s="62"/>
      <c r="W314" s="75"/>
      <c r="X314" s="74"/>
      <c r="Y314" s="61"/>
      <c r="Z314" s="201"/>
      <c r="AA314" s="201"/>
      <c r="AB314" s="201"/>
      <c r="AC314" s="201"/>
      <c r="AD314" s="201"/>
      <c r="AE314" s="201"/>
      <c r="AF314" s="201"/>
      <c r="AG314" s="201"/>
      <c r="AH314" s="201"/>
      <c r="AI314" s="201"/>
      <c r="AJ314" s="201"/>
      <c r="AK314" s="201"/>
      <c r="AL314" s="201"/>
      <c r="AM314" s="201"/>
      <c r="AN314" s="201"/>
      <c r="AO314" s="201"/>
    </row>
    <row r="315">
      <c r="A315" s="197"/>
      <c r="B315" s="198"/>
      <c r="C315" s="204"/>
      <c r="D315" s="197"/>
      <c r="E315" s="197"/>
      <c r="F315" s="198"/>
      <c r="G315" s="198"/>
      <c r="H315" s="199"/>
      <c r="I315" s="199"/>
      <c r="J315" s="62"/>
      <c r="K315" s="62"/>
      <c r="L315" s="62"/>
      <c r="M315" s="62"/>
      <c r="N315" s="62"/>
      <c r="O315" s="60"/>
      <c r="P315" s="62"/>
      <c r="Q315" s="66"/>
      <c r="R315" s="62"/>
      <c r="S315" s="62"/>
      <c r="T315" s="62"/>
      <c r="U315" s="74"/>
      <c r="V315" s="62"/>
      <c r="W315" s="75"/>
      <c r="X315" s="74"/>
      <c r="Y315" s="61"/>
      <c r="Z315" s="201"/>
      <c r="AA315" s="201"/>
      <c r="AB315" s="201"/>
      <c r="AC315" s="201"/>
      <c r="AD315" s="201"/>
      <c r="AE315" s="201"/>
      <c r="AF315" s="201"/>
      <c r="AG315" s="201"/>
      <c r="AH315" s="201"/>
      <c r="AI315" s="201"/>
      <c r="AJ315" s="201"/>
      <c r="AK315" s="201"/>
      <c r="AL315" s="201"/>
      <c r="AM315" s="201"/>
      <c r="AN315" s="201"/>
      <c r="AO315" s="201"/>
    </row>
    <row r="316">
      <c r="A316" s="197"/>
      <c r="B316" s="198"/>
      <c r="C316" s="199"/>
      <c r="D316" s="197"/>
      <c r="E316" s="197"/>
      <c r="F316" s="198"/>
      <c r="G316" s="198"/>
      <c r="H316" s="199"/>
      <c r="I316" s="199"/>
      <c r="J316" s="62"/>
      <c r="K316" s="62"/>
      <c r="L316" s="62"/>
      <c r="M316" s="62"/>
      <c r="N316" s="62"/>
      <c r="O316" s="60"/>
      <c r="P316" s="62"/>
      <c r="Q316" s="66"/>
      <c r="R316" s="62"/>
      <c r="S316" s="62"/>
      <c r="T316" s="62"/>
      <c r="U316" s="74"/>
      <c r="V316" s="62"/>
      <c r="W316" s="75"/>
      <c r="X316" s="74"/>
      <c r="Y316" s="61"/>
      <c r="Z316" s="201"/>
      <c r="AA316" s="201"/>
      <c r="AB316" s="201"/>
      <c r="AC316" s="201"/>
      <c r="AD316" s="201"/>
      <c r="AE316" s="201"/>
      <c r="AF316" s="201"/>
      <c r="AG316" s="201"/>
      <c r="AH316" s="201"/>
      <c r="AI316" s="201"/>
      <c r="AJ316" s="201"/>
      <c r="AK316" s="201"/>
      <c r="AL316" s="201"/>
      <c r="AM316" s="201"/>
      <c r="AN316" s="201"/>
      <c r="AO316" s="201"/>
    </row>
    <row r="317">
      <c r="A317" s="197"/>
      <c r="B317" s="198"/>
      <c r="C317" s="204"/>
      <c r="D317" s="197"/>
      <c r="E317" s="197"/>
      <c r="F317" s="198"/>
      <c r="G317" s="198"/>
      <c r="H317" s="199"/>
      <c r="I317" s="199"/>
      <c r="J317" s="62"/>
      <c r="K317" s="62"/>
      <c r="L317" s="62"/>
      <c r="M317" s="62"/>
      <c r="N317" s="62"/>
      <c r="O317" s="60"/>
      <c r="P317" s="62"/>
      <c r="Q317" s="66"/>
      <c r="R317" s="62"/>
      <c r="S317" s="62"/>
      <c r="T317" s="62"/>
      <c r="U317" s="74"/>
      <c r="V317" s="62"/>
      <c r="W317" s="75"/>
      <c r="X317" s="74"/>
      <c r="Y317" s="61"/>
      <c r="Z317" s="201"/>
      <c r="AA317" s="201"/>
      <c r="AB317" s="201"/>
      <c r="AC317" s="201"/>
      <c r="AD317" s="201"/>
      <c r="AE317" s="201"/>
      <c r="AF317" s="201"/>
      <c r="AG317" s="201"/>
      <c r="AH317" s="201"/>
      <c r="AI317" s="201"/>
      <c r="AJ317" s="201"/>
      <c r="AK317" s="201"/>
      <c r="AL317" s="201"/>
      <c r="AM317" s="201"/>
      <c r="AN317" s="201"/>
      <c r="AO317" s="201"/>
    </row>
    <row r="318">
      <c r="A318" s="197"/>
      <c r="B318" s="198"/>
      <c r="C318" s="204"/>
      <c r="D318" s="197"/>
      <c r="E318" s="197"/>
      <c r="F318" s="198"/>
      <c r="G318" s="198"/>
      <c r="H318" s="199"/>
      <c r="I318" s="199"/>
      <c r="J318" s="62"/>
      <c r="K318" s="62"/>
      <c r="L318" s="62"/>
      <c r="M318" s="62"/>
      <c r="N318" s="62"/>
      <c r="O318" s="60"/>
      <c r="P318" s="62"/>
      <c r="Q318" s="66"/>
      <c r="R318" s="62"/>
      <c r="S318" s="62"/>
      <c r="T318" s="62"/>
      <c r="U318" s="74"/>
      <c r="V318" s="62"/>
      <c r="W318" s="75"/>
      <c r="X318" s="74"/>
      <c r="Y318" s="61"/>
      <c r="Z318" s="201"/>
      <c r="AA318" s="201"/>
      <c r="AB318" s="201"/>
      <c r="AC318" s="201"/>
      <c r="AD318" s="201"/>
      <c r="AE318" s="201"/>
      <c r="AF318" s="201"/>
      <c r="AG318" s="201"/>
      <c r="AH318" s="201"/>
      <c r="AI318" s="201"/>
      <c r="AJ318" s="201"/>
      <c r="AK318" s="201"/>
      <c r="AL318" s="201"/>
      <c r="AM318" s="201"/>
      <c r="AN318" s="201"/>
      <c r="AO318" s="201"/>
    </row>
    <row r="319">
      <c r="A319" s="197"/>
      <c r="B319" s="198"/>
      <c r="C319" s="204"/>
      <c r="D319" s="207"/>
      <c r="E319" s="198"/>
      <c r="F319" s="198"/>
      <c r="G319" s="198"/>
      <c r="H319" s="199"/>
      <c r="I319" s="199"/>
      <c r="J319" s="62"/>
      <c r="K319" s="62"/>
      <c r="L319" s="62"/>
      <c r="M319" s="62"/>
      <c r="N319" s="62"/>
      <c r="O319" s="60"/>
      <c r="P319" s="62"/>
      <c r="Q319" s="66"/>
      <c r="R319" s="62"/>
      <c r="S319" s="62"/>
      <c r="T319" s="62"/>
      <c r="U319" s="74"/>
      <c r="V319" s="62"/>
      <c r="W319" s="75"/>
      <c r="X319" s="74"/>
      <c r="Y319" s="61"/>
      <c r="Z319" s="201"/>
      <c r="AA319" s="201"/>
      <c r="AB319" s="201"/>
      <c r="AC319" s="201"/>
      <c r="AD319" s="201"/>
      <c r="AE319" s="201"/>
      <c r="AF319" s="201"/>
      <c r="AG319" s="201"/>
      <c r="AH319" s="201"/>
      <c r="AI319" s="201"/>
      <c r="AJ319" s="201"/>
      <c r="AK319" s="201"/>
      <c r="AL319" s="201"/>
      <c r="AM319" s="201"/>
      <c r="AN319" s="201"/>
      <c r="AO319" s="201"/>
    </row>
    <row r="320">
      <c r="A320" s="197"/>
      <c r="B320" s="198"/>
      <c r="C320" s="204"/>
      <c r="D320" s="197"/>
      <c r="E320" s="197"/>
      <c r="F320" s="198"/>
      <c r="G320" s="198"/>
      <c r="H320" s="199"/>
      <c r="I320" s="199"/>
      <c r="J320" s="62"/>
      <c r="K320" s="62"/>
      <c r="L320" s="62"/>
      <c r="M320" s="62"/>
      <c r="N320" s="62"/>
      <c r="O320" s="60"/>
      <c r="P320" s="62"/>
      <c r="Q320" s="66"/>
      <c r="R320" s="62"/>
      <c r="S320" s="62"/>
      <c r="T320" s="62"/>
      <c r="U320" s="74"/>
      <c r="V320" s="62"/>
      <c r="W320" s="75"/>
      <c r="X320" s="74"/>
      <c r="Y320" s="61"/>
      <c r="Z320" s="201"/>
      <c r="AA320" s="201"/>
      <c r="AB320" s="201"/>
      <c r="AC320" s="201"/>
      <c r="AD320" s="201"/>
      <c r="AE320" s="201"/>
      <c r="AF320" s="201"/>
      <c r="AG320" s="201"/>
      <c r="AH320" s="201"/>
      <c r="AI320" s="201"/>
      <c r="AJ320" s="201"/>
      <c r="AK320" s="201"/>
      <c r="AL320" s="201"/>
      <c r="AM320" s="201"/>
      <c r="AN320" s="201"/>
      <c r="AO320" s="201"/>
    </row>
    <row r="321">
      <c r="A321" s="197"/>
      <c r="B321" s="198"/>
      <c r="C321" s="199"/>
      <c r="D321" s="197"/>
      <c r="E321" s="197"/>
      <c r="F321" s="198"/>
      <c r="G321" s="198"/>
      <c r="H321" s="199"/>
      <c r="I321" s="199"/>
      <c r="J321" s="62"/>
      <c r="K321" s="62"/>
      <c r="L321" s="62"/>
      <c r="M321" s="62"/>
      <c r="N321" s="62"/>
      <c r="O321" s="60"/>
      <c r="P321" s="62"/>
      <c r="Q321" s="66"/>
      <c r="R321" s="62"/>
      <c r="S321" s="62"/>
      <c r="T321" s="62"/>
      <c r="U321" s="74"/>
      <c r="V321" s="62"/>
      <c r="W321" s="75"/>
      <c r="X321" s="74"/>
      <c r="Y321" s="61"/>
      <c r="Z321" s="201"/>
      <c r="AA321" s="201"/>
      <c r="AB321" s="201"/>
      <c r="AC321" s="201"/>
      <c r="AD321" s="201"/>
      <c r="AE321" s="201"/>
      <c r="AF321" s="201"/>
      <c r="AG321" s="201"/>
      <c r="AH321" s="201"/>
      <c r="AI321" s="201"/>
      <c r="AJ321" s="201"/>
      <c r="AK321" s="201"/>
      <c r="AL321" s="201"/>
      <c r="AM321" s="201"/>
      <c r="AN321" s="201"/>
      <c r="AO321" s="201"/>
    </row>
    <row r="322">
      <c r="A322" s="197"/>
      <c r="B322" s="198"/>
      <c r="C322" s="204"/>
      <c r="D322" s="197"/>
      <c r="E322" s="197"/>
      <c r="F322" s="198"/>
      <c r="G322" s="198"/>
      <c r="H322" s="199"/>
      <c r="I322" s="199"/>
      <c r="J322" s="62"/>
      <c r="K322" s="62"/>
      <c r="L322" s="62"/>
      <c r="M322" s="62"/>
      <c r="N322" s="62"/>
      <c r="O322" s="60"/>
      <c r="P322" s="62"/>
      <c r="Q322" s="66"/>
      <c r="R322" s="62"/>
      <c r="S322" s="62"/>
      <c r="T322" s="62"/>
      <c r="U322" s="74"/>
      <c r="V322" s="62"/>
      <c r="W322" s="75"/>
      <c r="X322" s="74"/>
      <c r="Y322" s="61"/>
      <c r="Z322" s="201"/>
      <c r="AA322" s="201"/>
      <c r="AB322" s="201"/>
      <c r="AC322" s="201"/>
      <c r="AD322" s="201"/>
      <c r="AE322" s="201"/>
      <c r="AF322" s="201"/>
      <c r="AG322" s="201"/>
      <c r="AH322" s="201"/>
      <c r="AI322" s="201"/>
      <c r="AJ322" s="201"/>
      <c r="AK322" s="201"/>
      <c r="AL322" s="201"/>
      <c r="AM322" s="201"/>
      <c r="AN322" s="201"/>
      <c r="AO322" s="201"/>
    </row>
    <row r="323">
      <c r="A323" s="197"/>
      <c r="B323" s="198"/>
      <c r="C323" s="199"/>
      <c r="D323" s="197"/>
      <c r="E323" s="197"/>
      <c r="F323" s="198"/>
      <c r="G323" s="198"/>
      <c r="H323" s="199"/>
      <c r="I323" s="199"/>
      <c r="J323" s="62"/>
      <c r="K323" s="62"/>
      <c r="L323" s="62"/>
      <c r="M323" s="62"/>
      <c r="N323" s="62"/>
      <c r="O323" s="60"/>
      <c r="P323" s="62"/>
      <c r="Q323" s="66"/>
      <c r="R323" s="62"/>
      <c r="S323" s="62"/>
      <c r="T323" s="62"/>
      <c r="U323" s="74"/>
      <c r="V323" s="62"/>
      <c r="W323" s="75"/>
      <c r="X323" s="74"/>
      <c r="Y323" s="61"/>
      <c r="Z323" s="201"/>
      <c r="AA323" s="201"/>
      <c r="AB323" s="201"/>
      <c r="AC323" s="201"/>
      <c r="AD323" s="201"/>
      <c r="AE323" s="201"/>
      <c r="AF323" s="201"/>
      <c r="AG323" s="201"/>
      <c r="AH323" s="201"/>
      <c r="AI323" s="201"/>
      <c r="AJ323" s="201"/>
      <c r="AK323" s="201"/>
      <c r="AL323" s="201"/>
      <c r="AM323" s="201"/>
      <c r="AN323" s="201"/>
      <c r="AO323" s="201"/>
    </row>
    <row r="324">
      <c r="A324" s="197"/>
      <c r="B324" s="198"/>
      <c r="C324" s="199"/>
      <c r="D324" s="197"/>
      <c r="E324" s="197"/>
      <c r="F324" s="198"/>
      <c r="G324" s="198"/>
      <c r="H324" s="199"/>
      <c r="I324" s="199"/>
      <c r="J324" s="62"/>
      <c r="K324" s="62"/>
      <c r="L324" s="62"/>
      <c r="M324" s="62"/>
      <c r="N324" s="62"/>
      <c r="O324" s="60"/>
      <c r="P324" s="62"/>
      <c r="Q324" s="66"/>
      <c r="R324" s="62"/>
      <c r="S324" s="62"/>
      <c r="T324" s="62"/>
      <c r="U324" s="74"/>
      <c r="V324" s="62"/>
      <c r="W324" s="75"/>
      <c r="X324" s="74"/>
      <c r="Y324" s="61"/>
      <c r="Z324" s="201"/>
      <c r="AA324" s="201"/>
      <c r="AB324" s="201"/>
      <c r="AC324" s="201"/>
      <c r="AD324" s="201"/>
      <c r="AE324" s="201"/>
      <c r="AF324" s="201"/>
      <c r="AG324" s="201"/>
      <c r="AH324" s="201"/>
      <c r="AI324" s="201"/>
      <c r="AJ324" s="201"/>
      <c r="AK324" s="201"/>
      <c r="AL324" s="201"/>
      <c r="AM324" s="201"/>
      <c r="AN324" s="201"/>
      <c r="AO324" s="201"/>
    </row>
    <row r="325">
      <c r="A325" s="197"/>
      <c r="B325" s="198"/>
      <c r="C325" s="199"/>
      <c r="D325" s="197"/>
      <c r="E325" s="197"/>
      <c r="F325" s="198"/>
      <c r="G325" s="198"/>
      <c r="H325" s="199"/>
      <c r="I325" s="199"/>
      <c r="J325" s="62"/>
      <c r="K325" s="62"/>
      <c r="L325" s="62"/>
      <c r="M325" s="62"/>
      <c r="N325" s="62"/>
      <c r="O325" s="60"/>
      <c r="P325" s="62"/>
      <c r="Q325" s="66"/>
      <c r="R325" s="62"/>
      <c r="S325" s="62"/>
      <c r="T325" s="62"/>
      <c r="U325" s="74"/>
      <c r="V325" s="62"/>
      <c r="W325" s="75"/>
      <c r="X325" s="74"/>
      <c r="Y325" s="61"/>
      <c r="Z325" s="201"/>
      <c r="AA325" s="201"/>
      <c r="AB325" s="201"/>
      <c r="AC325" s="201"/>
      <c r="AD325" s="201"/>
      <c r="AE325" s="201"/>
      <c r="AF325" s="201"/>
      <c r="AG325" s="201"/>
      <c r="AH325" s="201"/>
      <c r="AI325" s="201"/>
      <c r="AJ325" s="201"/>
      <c r="AK325" s="201"/>
      <c r="AL325" s="201"/>
      <c r="AM325" s="201"/>
      <c r="AN325" s="201"/>
      <c r="AO325" s="201"/>
    </row>
    <row r="326">
      <c r="A326" s="197"/>
      <c r="B326" s="198"/>
      <c r="C326" s="204"/>
      <c r="D326" s="207"/>
      <c r="E326" s="198"/>
      <c r="F326" s="198"/>
      <c r="G326" s="198"/>
      <c r="H326" s="199"/>
      <c r="I326" s="199"/>
      <c r="J326" s="62"/>
      <c r="K326" s="62"/>
      <c r="L326" s="62"/>
      <c r="M326" s="62"/>
      <c r="N326" s="62"/>
      <c r="O326" s="60"/>
      <c r="P326" s="62"/>
      <c r="Q326" s="66"/>
      <c r="R326" s="62"/>
      <c r="S326" s="62"/>
      <c r="T326" s="62"/>
      <c r="U326" s="74"/>
      <c r="V326" s="62"/>
      <c r="W326" s="75"/>
      <c r="X326" s="74"/>
      <c r="Y326" s="61"/>
      <c r="Z326" s="201"/>
      <c r="AA326" s="201"/>
      <c r="AB326" s="201"/>
      <c r="AC326" s="201"/>
      <c r="AD326" s="201"/>
      <c r="AE326" s="201"/>
      <c r="AF326" s="201"/>
      <c r="AG326" s="201"/>
      <c r="AH326" s="201"/>
      <c r="AI326" s="201"/>
      <c r="AJ326" s="201"/>
      <c r="AK326" s="201"/>
      <c r="AL326" s="201"/>
      <c r="AM326" s="201"/>
      <c r="AN326" s="201"/>
      <c r="AO326" s="201"/>
    </row>
    <row r="327">
      <c r="A327" s="197"/>
      <c r="B327" s="198"/>
      <c r="C327" s="199"/>
      <c r="D327" s="197"/>
      <c r="E327" s="197"/>
      <c r="F327" s="198"/>
      <c r="G327" s="198"/>
      <c r="H327" s="199"/>
      <c r="I327" s="199"/>
      <c r="J327" s="62"/>
      <c r="K327" s="62"/>
      <c r="L327" s="62"/>
      <c r="M327" s="62"/>
      <c r="N327" s="62"/>
      <c r="O327" s="60"/>
      <c r="P327" s="62"/>
      <c r="Q327" s="66"/>
      <c r="R327" s="62"/>
      <c r="S327" s="62"/>
      <c r="T327" s="62"/>
      <c r="U327" s="74"/>
      <c r="V327" s="62"/>
      <c r="W327" s="75"/>
      <c r="X327" s="74"/>
      <c r="Y327" s="61"/>
      <c r="Z327" s="201"/>
      <c r="AA327" s="201"/>
      <c r="AB327" s="201"/>
      <c r="AC327" s="201"/>
      <c r="AD327" s="201"/>
      <c r="AE327" s="201"/>
      <c r="AF327" s="201"/>
      <c r="AG327" s="201"/>
      <c r="AH327" s="201"/>
      <c r="AI327" s="201"/>
      <c r="AJ327" s="201"/>
      <c r="AK327" s="201"/>
      <c r="AL327" s="201"/>
      <c r="AM327" s="201"/>
      <c r="AN327" s="201"/>
      <c r="AO327" s="201"/>
    </row>
    <row r="328">
      <c r="A328" s="197"/>
      <c r="B328" s="198"/>
      <c r="C328" s="204"/>
      <c r="D328" s="197"/>
      <c r="E328" s="197"/>
      <c r="F328" s="198"/>
      <c r="G328" s="198"/>
      <c r="H328" s="199"/>
      <c r="I328" s="199"/>
      <c r="J328" s="62"/>
      <c r="K328" s="62"/>
      <c r="L328" s="62"/>
      <c r="M328" s="62"/>
      <c r="N328" s="62"/>
      <c r="O328" s="60"/>
      <c r="P328" s="62"/>
      <c r="Q328" s="66"/>
      <c r="R328" s="62"/>
      <c r="S328" s="62"/>
      <c r="T328" s="62"/>
      <c r="U328" s="74"/>
      <c r="V328" s="62"/>
      <c r="W328" s="75"/>
      <c r="X328" s="74"/>
      <c r="Y328" s="61"/>
      <c r="Z328" s="201"/>
      <c r="AA328" s="201"/>
      <c r="AB328" s="201"/>
      <c r="AC328" s="201"/>
      <c r="AD328" s="201"/>
      <c r="AE328" s="201"/>
      <c r="AF328" s="201"/>
      <c r="AG328" s="201"/>
      <c r="AH328" s="201"/>
      <c r="AI328" s="201"/>
      <c r="AJ328" s="201"/>
      <c r="AK328" s="201"/>
      <c r="AL328" s="201"/>
      <c r="AM328" s="201"/>
      <c r="AN328" s="201"/>
      <c r="AO328" s="201"/>
    </row>
    <row r="329">
      <c r="A329" s="197"/>
      <c r="B329" s="198"/>
      <c r="C329" s="204"/>
      <c r="D329" s="197"/>
      <c r="E329" s="197"/>
      <c r="F329" s="198"/>
      <c r="G329" s="198"/>
      <c r="H329" s="199"/>
      <c r="I329" s="199"/>
      <c r="J329" s="62"/>
      <c r="K329" s="62"/>
      <c r="L329" s="62"/>
      <c r="M329" s="62"/>
      <c r="N329" s="62"/>
      <c r="O329" s="60"/>
      <c r="P329" s="62"/>
      <c r="Q329" s="66"/>
      <c r="R329" s="62"/>
      <c r="S329" s="62"/>
      <c r="T329" s="62"/>
      <c r="U329" s="74"/>
      <c r="V329" s="62"/>
      <c r="W329" s="75"/>
      <c r="X329" s="74"/>
      <c r="Y329" s="61"/>
      <c r="Z329" s="201"/>
      <c r="AA329" s="201"/>
      <c r="AB329" s="201"/>
      <c r="AC329" s="201"/>
      <c r="AD329" s="201"/>
      <c r="AE329" s="201"/>
      <c r="AF329" s="201"/>
      <c r="AG329" s="201"/>
      <c r="AH329" s="201"/>
      <c r="AI329" s="201"/>
      <c r="AJ329" s="201"/>
      <c r="AK329" s="201"/>
      <c r="AL329" s="201"/>
      <c r="AM329" s="201"/>
      <c r="AN329" s="201"/>
      <c r="AO329" s="201"/>
    </row>
    <row r="330">
      <c r="A330" s="197"/>
      <c r="B330" s="198"/>
      <c r="C330" s="204"/>
      <c r="D330" s="197"/>
      <c r="E330" s="197"/>
      <c r="F330" s="198"/>
      <c r="G330" s="198"/>
      <c r="H330" s="199"/>
      <c r="I330" s="199"/>
      <c r="J330" s="62"/>
      <c r="K330" s="62"/>
      <c r="L330" s="62"/>
      <c r="M330" s="62"/>
      <c r="N330" s="62"/>
      <c r="O330" s="60"/>
      <c r="P330" s="62"/>
      <c r="Q330" s="66"/>
      <c r="R330" s="62"/>
      <c r="S330" s="62"/>
      <c r="T330" s="62"/>
      <c r="U330" s="74"/>
      <c r="V330" s="62"/>
      <c r="W330" s="75"/>
      <c r="X330" s="74"/>
      <c r="Y330" s="61"/>
      <c r="Z330" s="201"/>
      <c r="AA330" s="201"/>
      <c r="AB330" s="201"/>
      <c r="AC330" s="201"/>
      <c r="AD330" s="201"/>
      <c r="AE330" s="201"/>
      <c r="AF330" s="201"/>
      <c r="AG330" s="201"/>
      <c r="AH330" s="201"/>
      <c r="AI330" s="201"/>
      <c r="AJ330" s="201"/>
      <c r="AK330" s="201"/>
      <c r="AL330" s="201"/>
      <c r="AM330" s="201"/>
      <c r="AN330" s="201"/>
      <c r="AO330" s="201"/>
    </row>
    <row r="331">
      <c r="A331" s="197"/>
      <c r="B331" s="198"/>
      <c r="C331" s="204"/>
      <c r="D331" s="197"/>
      <c r="E331" s="197"/>
      <c r="F331" s="198"/>
      <c r="G331" s="198"/>
      <c r="H331" s="199"/>
      <c r="I331" s="199"/>
      <c r="J331" s="62"/>
      <c r="K331" s="62"/>
      <c r="L331" s="62"/>
      <c r="M331" s="62"/>
      <c r="N331" s="62"/>
      <c r="O331" s="60"/>
      <c r="P331" s="62"/>
      <c r="Q331" s="66"/>
      <c r="R331" s="62"/>
      <c r="S331" s="62"/>
      <c r="T331" s="62"/>
      <c r="U331" s="74"/>
      <c r="V331" s="62"/>
      <c r="W331" s="75"/>
      <c r="X331" s="74"/>
      <c r="Y331" s="61"/>
      <c r="Z331" s="201"/>
      <c r="AA331" s="201"/>
      <c r="AB331" s="201"/>
      <c r="AC331" s="201"/>
      <c r="AD331" s="201"/>
      <c r="AE331" s="201"/>
      <c r="AF331" s="201"/>
      <c r="AG331" s="201"/>
      <c r="AH331" s="201"/>
      <c r="AI331" s="201"/>
      <c r="AJ331" s="201"/>
      <c r="AK331" s="201"/>
      <c r="AL331" s="201"/>
      <c r="AM331" s="201"/>
      <c r="AN331" s="201"/>
      <c r="AO331" s="201"/>
    </row>
    <row r="332">
      <c r="A332" s="197"/>
      <c r="B332" s="198"/>
      <c r="C332" s="204"/>
      <c r="D332" s="197"/>
      <c r="E332" s="197"/>
      <c r="F332" s="198"/>
      <c r="G332" s="198"/>
      <c r="H332" s="199"/>
      <c r="I332" s="199"/>
      <c r="J332" s="62"/>
      <c r="K332" s="62"/>
      <c r="L332" s="62"/>
      <c r="M332" s="62"/>
      <c r="N332" s="62"/>
      <c r="O332" s="60"/>
      <c r="P332" s="62"/>
      <c r="Q332" s="66"/>
      <c r="R332" s="62"/>
      <c r="S332" s="62"/>
      <c r="T332" s="62"/>
      <c r="U332" s="74"/>
      <c r="V332" s="62"/>
      <c r="W332" s="75"/>
      <c r="X332" s="74"/>
      <c r="Y332" s="61"/>
      <c r="Z332" s="201"/>
      <c r="AA332" s="201"/>
      <c r="AB332" s="201"/>
      <c r="AC332" s="201"/>
      <c r="AD332" s="201"/>
      <c r="AE332" s="201"/>
      <c r="AF332" s="201"/>
      <c r="AG332" s="201"/>
      <c r="AH332" s="201"/>
      <c r="AI332" s="201"/>
      <c r="AJ332" s="201"/>
      <c r="AK332" s="201"/>
      <c r="AL332" s="201"/>
      <c r="AM332" s="201"/>
      <c r="AN332" s="201"/>
      <c r="AO332" s="201"/>
    </row>
    <row r="333">
      <c r="A333" s="197"/>
      <c r="B333" s="198"/>
      <c r="C333" s="199"/>
      <c r="D333" s="197"/>
      <c r="E333" s="197"/>
      <c r="F333" s="198"/>
      <c r="G333" s="198"/>
      <c r="H333" s="199"/>
      <c r="I333" s="199"/>
      <c r="J333" s="62"/>
      <c r="K333" s="62"/>
      <c r="L333" s="62"/>
      <c r="M333" s="62"/>
      <c r="N333" s="62"/>
      <c r="O333" s="60"/>
      <c r="P333" s="62"/>
      <c r="Q333" s="66"/>
      <c r="R333" s="62"/>
      <c r="S333" s="62"/>
      <c r="T333" s="62"/>
      <c r="U333" s="74"/>
      <c r="V333" s="62"/>
      <c r="W333" s="75"/>
      <c r="X333" s="74"/>
      <c r="Y333" s="61"/>
      <c r="Z333" s="201"/>
      <c r="AA333" s="201"/>
      <c r="AB333" s="201"/>
      <c r="AC333" s="201"/>
      <c r="AD333" s="201"/>
      <c r="AE333" s="201"/>
      <c r="AF333" s="201"/>
      <c r="AG333" s="201"/>
      <c r="AH333" s="201"/>
      <c r="AI333" s="201"/>
      <c r="AJ333" s="201"/>
      <c r="AK333" s="201"/>
      <c r="AL333" s="201"/>
      <c r="AM333" s="201"/>
      <c r="AN333" s="201"/>
      <c r="AO333" s="201"/>
    </row>
    <row r="334">
      <c r="A334" s="197"/>
      <c r="B334" s="198"/>
      <c r="C334" s="199"/>
      <c r="D334" s="197"/>
      <c r="E334" s="197"/>
      <c r="F334" s="198"/>
      <c r="G334" s="198"/>
      <c r="H334" s="199"/>
      <c r="I334" s="199"/>
      <c r="J334" s="62"/>
      <c r="K334" s="62"/>
      <c r="L334" s="62"/>
      <c r="M334" s="62"/>
      <c r="N334" s="62"/>
      <c r="O334" s="60"/>
      <c r="P334" s="62"/>
      <c r="Q334" s="66"/>
      <c r="R334" s="62"/>
      <c r="S334" s="62"/>
      <c r="T334" s="62"/>
      <c r="U334" s="74"/>
      <c r="V334" s="62"/>
      <c r="W334" s="75"/>
      <c r="X334" s="74"/>
      <c r="Y334" s="61"/>
      <c r="Z334" s="201"/>
      <c r="AA334" s="201"/>
      <c r="AB334" s="201"/>
      <c r="AC334" s="201"/>
      <c r="AD334" s="201"/>
      <c r="AE334" s="201"/>
      <c r="AF334" s="201"/>
      <c r="AG334" s="201"/>
      <c r="AH334" s="201"/>
      <c r="AI334" s="201"/>
      <c r="AJ334" s="201"/>
      <c r="AK334" s="201"/>
      <c r="AL334" s="201"/>
      <c r="AM334" s="201"/>
      <c r="AN334" s="201"/>
      <c r="AO334" s="201"/>
    </row>
    <row r="335">
      <c r="A335" s="197"/>
      <c r="B335" s="198"/>
      <c r="C335" s="204"/>
      <c r="D335" s="197"/>
      <c r="E335" s="197"/>
      <c r="F335" s="198"/>
      <c r="G335" s="198"/>
      <c r="H335" s="199"/>
      <c r="I335" s="199"/>
      <c r="J335" s="62"/>
      <c r="K335" s="62"/>
      <c r="L335" s="62"/>
      <c r="M335" s="62"/>
      <c r="N335" s="62"/>
      <c r="O335" s="60"/>
      <c r="P335" s="62"/>
      <c r="Q335" s="66"/>
      <c r="R335" s="62"/>
      <c r="S335" s="62"/>
      <c r="T335" s="62"/>
      <c r="U335" s="74"/>
      <c r="V335" s="62"/>
      <c r="W335" s="75"/>
      <c r="X335" s="74"/>
      <c r="Y335" s="61"/>
      <c r="Z335" s="201"/>
      <c r="AA335" s="201"/>
      <c r="AB335" s="201"/>
      <c r="AC335" s="201"/>
      <c r="AD335" s="201"/>
      <c r="AE335" s="201"/>
      <c r="AF335" s="201"/>
      <c r="AG335" s="201"/>
      <c r="AH335" s="201"/>
      <c r="AI335" s="201"/>
      <c r="AJ335" s="201"/>
      <c r="AK335" s="201"/>
      <c r="AL335" s="201"/>
      <c r="AM335" s="201"/>
      <c r="AN335" s="201"/>
      <c r="AO335" s="201"/>
    </row>
    <row r="336">
      <c r="A336" s="197"/>
      <c r="B336" s="198"/>
      <c r="C336" s="204"/>
      <c r="D336" s="197"/>
      <c r="E336" s="197"/>
      <c r="F336" s="198"/>
      <c r="G336" s="198"/>
      <c r="H336" s="199"/>
      <c r="I336" s="200"/>
      <c r="J336" s="62"/>
      <c r="K336" s="62"/>
      <c r="L336" s="62"/>
      <c r="M336" s="62"/>
      <c r="N336" s="62"/>
      <c r="O336" s="60"/>
      <c r="P336" s="62"/>
      <c r="Q336" s="66"/>
      <c r="R336" s="62"/>
      <c r="S336" s="62"/>
      <c r="T336" s="62"/>
      <c r="U336" s="74"/>
      <c r="V336" s="62"/>
      <c r="W336" s="75"/>
      <c r="X336" s="74"/>
      <c r="Y336" s="61"/>
      <c r="Z336" s="201"/>
      <c r="AA336" s="201"/>
      <c r="AB336" s="201"/>
      <c r="AC336" s="201"/>
      <c r="AD336" s="201"/>
      <c r="AE336" s="201"/>
      <c r="AF336" s="201"/>
      <c r="AG336" s="201"/>
      <c r="AH336" s="201"/>
      <c r="AI336" s="201"/>
      <c r="AJ336" s="201"/>
      <c r="AK336" s="201"/>
      <c r="AL336" s="201"/>
      <c r="AM336" s="201"/>
      <c r="AN336" s="201"/>
      <c r="AO336" s="201"/>
    </row>
    <row r="337">
      <c r="A337" s="197"/>
      <c r="B337" s="198"/>
      <c r="C337" s="199"/>
      <c r="D337" s="197"/>
      <c r="E337" s="197"/>
      <c r="F337" s="198"/>
      <c r="G337" s="198"/>
      <c r="H337" s="199"/>
      <c r="I337" s="199"/>
      <c r="J337" s="62"/>
      <c r="K337" s="62"/>
      <c r="L337" s="62"/>
      <c r="M337" s="62"/>
      <c r="N337" s="62"/>
      <c r="O337" s="60"/>
      <c r="P337" s="62"/>
      <c r="Q337" s="66"/>
      <c r="R337" s="62"/>
      <c r="S337" s="62"/>
      <c r="T337" s="62"/>
      <c r="U337" s="74"/>
      <c r="V337" s="62"/>
      <c r="W337" s="75"/>
      <c r="X337" s="74"/>
      <c r="Y337" s="61"/>
      <c r="Z337" s="201"/>
      <c r="AA337" s="201"/>
      <c r="AB337" s="201"/>
      <c r="AC337" s="201"/>
      <c r="AD337" s="201"/>
      <c r="AE337" s="201"/>
      <c r="AF337" s="201"/>
      <c r="AG337" s="201"/>
      <c r="AH337" s="201"/>
      <c r="AI337" s="201"/>
      <c r="AJ337" s="201"/>
      <c r="AK337" s="201"/>
      <c r="AL337" s="201"/>
      <c r="AM337" s="201"/>
      <c r="AN337" s="201"/>
      <c r="AO337" s="201"/>
    </row>
    <row r="338">
      <c r="A338" s="197"/>
      <c r="B338" s="198"/>
      <c r="C338" s="199"/>
      <c r="D338" s="197"/>
      <c r="E338" s="197"/>
      <c r="F338" s="198"/>
      <c r="G338" s="198"/>
      <c r="H338" s="199"/>
      <c r="I338" s="199"/>
      <c r="J338" s="62"/>
      <c r="K338" s="62"/>
      <c r="L338" s="62"/>
      <c r="M338" s="62"/>
      <c r="N338" s="62"/>
      <c r="O338" s="60"/>
      <c r="P338" s="62"/>
      <c r="Q338" s="66"/>
      <c r="R338" s="62"/>
      <c r="S338" s="62"/>
      <c r="T338" s="62"/>
      <c r="U338" s="74"/>
      <c r="V338" s="62"/>
      <c r="W338" s="75"/>
      <c r="X338" s="74"/>
      <c r="Y338" s="61"/>
      <c r="Z338" s="201"/>
      <c r="AA338" s="201"/>
      <c r="AB338" s="201"/>
      <c r="AC338" s="201"/>
      <c r="AD338" s="201"/>
      <c r="AE338" s="201"/>
      <c r="AF338" s="201"/>
      <c r="AG338" s="201"/>
      <c r="AH338" s="201"/>
      <c r="AI338" s="201"/>
      <c r="AJ338" s="201"/>
      <c r="AK338" s="201"/>
      <c r="AL338" s="201"/>
      <c r="AM338" s="201"/>
      <c r="AN338" s="201"/>
      <c r="AO338" s="201"/>
    </row>
    <row r="339">
      <c r="A339" s="197"/>
      <c r="B339" s="198"/>
      <c r="C339" s="199"/>
      <c r="D339" s="197"/>
      <c r="E339" s="197"/>
      <c r="F339" s="198"/>
      <c r="G339" s="198"/>
      <c r="H339" s="199"/>
      <c r="I339" s="199"/>
      <c r="J339" s="62"/>
      <c r="K339" s="62"/>
      <c r="L339" s="62"/>
      <c r="M339" s="62"/>
      <c r="N339" s="62"/>
      <c r="O339" s="60"/>
      <c r="P339" s="62"/>
      <c r="Q339" s="66"/>
      <c r="R339" s="62"/>
      <c r="S339" s="62"/>
      <c r="T339" s="62"/>
      <c r="U339" s="74"/>
      <c r="V339" s="62"/>
      <c r="W339" s="75"/>
      <c r="X339" s="74"/>
      <c r="Y339" s="61"/>
      <c r="Z339" s="201"/>
      <c r="AA339" s="201"/>
      <c r="AB339" s="201"/>
      <c r="AC339" s="201"/>
      <c r="AD339" s="201"/>
      <c r="AE339" s="201"/>
      <c r="AF339" s="201"/>
      <c r="AG339" s="201"/>
      <c r="AH339" s="201"/>
      <c r="AI339" s="201"/>
      <c r="AJ339" s="201"/>
      <c r="AK339" s="201"/>
      <c r="AL339" s="201"/>
      <c r="AM339" s="201"/>
      <c r="AN339" s="201"/>
      <c r="AO339" s="201"/>
    </row>
    <row r="340">
      <c r="A340" s="197"/>
      <c r="B340" s="198"/>
      <c r="C340" s="199"/>
      <c r="D340" s="197"/>
      <c r="E340" s="197"/>
      <c r="F340" s="198"/>
      <c r="G340" s="198"/>
      <c r="H340" s="199"/>
      <c r="I340" s="199"/>
      <c r="J340" s="62"/>
      <c r="K340" s="62"/>
      <c r="L340" s="62"/>
      <c r="M340" s="62"/>
      <c r="N340" s="62"/>
      <c r="O340" s="60"/>
      <c r="P340" s="62"/>
      <c r="Q340" s="66"/>
      <c r="R340" s="62"/>
      <c r="S340" s="62"/>
      <c r="T340" s="62"/>
      <c r="U340" s="74"/>
      <c r="V340" s="62"/>
      <c r="W340" s="75"/>
      <c r="X340" s="74"/>
      <c r="Y340" s="61"/>
      <c r="Z340" s="201"/>
      <c r="AA340" s="201"/>
      <c r="AB340" s="201"/>
      <c r="AC340" s="201"/>
      <c r="AD340" s="201"/>
      <c r="AE340" s="201"/>
      <c r="AF340" s="201"/>
      <c r="AG340" s="201"/>
      <c r="AH340" s="201"/>
      <c r="AI340" s="201"/>
      <c r="AJ340" s="201"/>
      <c r="AK340" s="201"/>
      <c r="AL340" s="201"/>
      <c r="AM340" s="201"/>
      <c r="AN340" s="201"/>
      <c r="AO340" s="201"/>
    </row>
    <row r="341">
      <c r="A341" s="197"/>
      <c r="B341" s="198"/>
      <c r="C341" s="199"/>
      <c r="D341" s="197"/>
      <c r="E341" s="197"/>
      <c r="F341" s="198"/>
      <c r="G341" s="198"/>
      <c r="H341" s="199"/>
      <c r="I341" s="199"/>
      <c r="J341" s="62"/>
      <c r="K341" s="62"/>
      <c r="L341" s="62"/>
      <c r="M341" s="62"/>
      <c r="N341" s="62"/>
      <c r="O341" s="60"/>
      <c r="P341" s="62"/>
      <c r="Q341" s="66"/>
      <c r="R341" s="62"/>
      <c r="S341" s="62"/>
      <c r="T341" s="62"/>
      <c r="U341" s="74"/>
      <c r="V341" s="62"/>
      <c r="W341" s="75"/>
      <c r="X341" s="74"/>
      <c r="Y341" s="61"/>
      <c r="Z341" s="201"/>
      <c r="AA341" s="201"/>
      <c r="AB341" s="201"/>
      <c r="AC341" s="201"/>
      <c r="AD341" s="201"/>
      <c r="AE341" s="201"/>
      <c r="AF341" s="201"/>
      <c r="AG341" s="201"/>
      <c r="AH341" s="201"/>
      <c r="AI341" s="201"/>
      <c r="AJ341" s="201"/>
      <c r="AK341" s="201"/>
      <c r="AL341" s="201"/>
      <c r="AM341" s="201"/>
      <c r="AN341" s="201"/>
      <c r="AO341" s="201"/>
    </row>
    <row r="342">
      <c r="A342" s="197"/>
      <c r="B342" s="198"/>
      <c r="C342" s="199"/>
      <c r="D342" s="197"/>
      <c r="E342" s="197"/>
      <c r="F342" s="198"/>
      <c r="G342" s="198"/>
      <c r="H342" s="199"/>
      <c r="I342" s="199"/>
      <c r="J342" s="62"/>
      <c r="K342" s="62"/>
      <c r="L342" s="62"/>
      <c r="M342" s="62"/>
      <c r="N342" s="62"/>
      <c r="O342" s="60"/>
      <c r="P342" s="62"/>
      <c r="Q342" s="66"/>
      <c r="R342" s="62"/>
      <c r="S342" s="62"/>
      <c r="T342" s="62"/>
      <c r="U342" s="74"/>
      <c r="V342" s="62"/>
      <c r="W342" s="75"/>
      <c r="X342" s="74"/>
      <c r="Y342" s="61"/>
      <c r="Z342" s="201"/>
      <c r="AA342" s="201"/>
      <c r="AB342" s="201"/>
      <c r="AC342" s="201"/>
      <c r="AD342" s="201"/>
      <c r="AE342" s="201"/>
      <c r="AF342" s="201"/>
      <c r="AG342" s="201"/>
      <c r="AH342" s="201"/>
      <c r="AI342" s="201"/>
      <c r="AJ342" s="201"/>
      <c r="AK342" s="201"/>
      <c r="AL342" s="201"/>
      <c r="AM342" s="201"/>
      <c r="AN342" s="201"/>
      <c r="AO342" s="201"/>
    </row>
    <row r="343">
      <c r="A343" s="197"/>
      <c r="B343" s="198"/>
      <c r="C343" s="199"/>
      <c r="D343" s="197"/>
      <c r="E343" s="197"/>
      <c r="F343" s="198"/>
      <c r="G343" s="198"/>
      <c r="H343" s="199"/>
      <c r="I343" s="199"/>
      <c r="J343" s="62"/>
      <c r="K343" s="62"/>
      <c r="L343" s="62"/>
      <c r="M343" s="62"/>
      <c r="N343" s="62"/>
      <c r="O343" s="60"/>
      <c r="P343" s="62"/>
      <c r="Q343" s="66"/>
      <c r="R343" s="62"/>
      <c r="S343" s="62"/>
      <c r="T343" s="62"/>
      <c r="U343" s="74"/>
      <c r="V343" s="62"/>
      <c r="W343" s="75"/>
      <c r="X343" s="74"/>
      <c r="Y343" s="61"/>
      <c r="Z343" s="201"/>
      <c r="AA343" s="201"/>
      <c r="AB343" s="201"/>
      <c r="AC343" s="201"/>
      <c r="AD343" s="201"/>
      <c r="AE343" s="201"/>
      <c r="AF343" s="201"/>
      <c r="AG343" s="201"/>
      <c r="AH343" s="201"/>
      <c r="AI343" s="201"/>
      <c r="AJ343" s="201"/>
      <c r="AK343" s="201"/>
      <c r="AL343" s="201"/>
      <c r="AM343" s="201"/>
      <c r="AN343" s="201"/>
      <c r="AO343" s="201"/>
    </row>
    <row r="344">
      <c r="A344" s="197"/>
      <c r="B344" s="198"/>
      <c r="C344" s="204"/>
      <c r="D344" s="197"/>
      <c r="E344" s="197"/>
      <c r="F344" s="198"/>
      <c r="G344" s="198"/>
      <c r="H344" s="199"/>
      <c r="I344" s="199"/>
      <c r="J344" s="62"/>
      <c r="K344" s="62"/>
      <c r="L344" s="62"/>
      <c r="M344" s="62"/>
      <c r="N344" s="62"/>
      <c r="O344" s="60"/>
      <c r="P344" s="62"/>
      <c r="Q344" s="66"/>
      <c r="R344" s="62"/>
      <c r="S344" s="62"/>
      <c r="T344" s="62"/>
      <c r="U344" s="74"/>
      <c r="V344" s="62"/>
      <c r="W344" s="75"/>
      <c r="X344" s="74"/>
      <c r="Y344" s="61"/>
      <c r="Z344" s="201"/>
      <c r="AA344" s="201"/>
      <c r="AB344" s="201"/>
      <c r="AC344" s="201"/>
      <c r="AD344" s="201"/>
      <c r="AE344" s="201"/>
      <c r="AF344" s="201"/>
      <c r="AG344" s="201"/>
      <c r="AH344" s="201"/>
      <c r="AI344" s="201"/>
      <c r="AJ344" s="201"/>
      <c r="AK344" s="201"/>
      <c r="AL344" s="201"/>
      <c r="AM344" s="201"/>
      <c r="AN344" s="201"/>
      <c r="AO344" s="201"/>
    </row>
    <row r="345">
      <c r="A345" s="197"/>
      <c r="B345" s="198"/>
      <c r="C345" s="199"/>
      <c r="D345" s="197"/>
      <c r="E345" s="197"/>
      <c r="F345" s="198"/>
      <c r="G345" s="198"/>
      <c r="H345" s="199"/>
      <c r="I345" s="199"/>
      <c r="J345" s="62"/>
      <c r="K345" s="62"/>
      <c r="L345" s="62"/>
      <c r="M345" s="62"/>
      <c r="N345" s="62"/>
      <c r="O345" s="60"/>
      <c r="P345" s="62"/>
      <c r="Q345" s="66"/>
      <c r="R345" s="62"/>
      <c r="S345" s="62"/>
      <c r="T345" s="62"/>
      <c r="U345" s="74"/>
      <c r="V345" s="62"/>
      <c r="W345" s="75"/>
      <c r="X345" s="74"/>
      <c r="Y345" s="61"/>
      <c r="Z345" s="201"/>
      <c r="AA345" s="201"/>
      <c r="AB345" s="201"/>
      <c r="AC345" s="201"/>
      <c r="AD345" s="201"/>
      <c r="AE345" s="201"/>
      <c r="AF345" s="201"/>
      <c r="AG345" s="201"/>
      <c r="AH345" s="201"/>
      <c r="AI345" s="201"/>
      <c r="AJ345" s="201"/>
      <c r="AK345" s="201"/>
      <c r="AL345" s="201"/>
      <c r="AM345" s="201"/>
      <c r="AN345" s="201"/>
      <c r="AO345" s="201"/>
    </row>
    <row r="346">
      <c r="A346" s="197"/>
      <c r="B346" s="198"/>
      <c r="C346" s="199"/>
      <c r="D346" s="197"/>
      <c r="E346" s="197"/>
      <c r="F346" s="198"/>
      <c r="G346" s="198"/>
      <c r="H346" s="199"/>
      <c r="I346" s="199"/>
      <c r="J346" s="62"/>
      <c r="K346" s="62"/>
      <c r="L346" s="62"/>
      <c r="M346" s="62"/>
      <c r="N346" s="62"/>
      <c r="O346" s="60"/>
      <c r="P346" s="62"/>
      <c r="Q346" s="66"/>
      <c r="R346" s="62"/>
      <c r="S346" s="62"/>
      <c r="T346" s="62"/>
      <c r="U346" s="74"/>
      <c r="V346" s="62"/>
      <c r="W346" s="75"/>
      <c r="X346" s="74"/>
      <c r="Y346" s="61"/>
      <c r="Z346" s="201"/>
      <c r="AA346" s="201"/>
      <c r="AB346" s="201"/>
      <c r="AC346" s="201"/>
      <c r="AD346" s="201"/>
      <c r="AE346" s="201"/>
      <c r="AF346" s="201"/>
      <c r="AG346" s="201"/>
      <c r="AH346" s="201"/>
      <c r="AI346" s="201"/>
      <c r="AJ346" s="201"/>
      <c r="AK346" s="201"/>
      <c r="AL346" s="201"/>
      <c r="AM346" s="201"/>
      <c r="AN346" s="201"/>
      <c r="AO346" s="201"/>
    </row>
    <row r="347">
      <c r="A347" s="197"/>
      <c r="B347" s="198"/>
      <c r="C347" s="212"/>
      <c r="D347" s="206"/>
      <c r="E347" s="198"/>
      <c r="F347" s="198"/>
      <c r="G347" s="198"/>
      <c r="H347" s="199"/>
      <c r="I347" s="199"/>
      <c r="J347" s="62"/>
      <c r="K347" s="62"/>
      <c r="L347" s="62"/>
      <c r="M347" s="62"/>
      <c r="N347" s="62"/>
      <c r="O347" s="60"/>
      <c r="P347" s="62"/>
      <c r="Q347" s="66"/>
      <c r="R347" s="62"/>
      <c r="S347" s="62"/>
      <c r="T347" s="62"/>
      <c r="U347" s="74"/>
      <c r="V347" s="62"/>
      <c r="W347" s="75"/>
      <c r="X347" s="74"/>
      <c r="Y347" s="61"/>
      <c r="Z347" s="201"/>
      <c r="AA347" s="201"/>
      <c r="AB347" s="201"/>
      <c r="AC347" s="201"/>
      <c r="AD347" s="201"/>
      <c r="AE347" s="201"/>
      <c r="AF347" s="201"/>
      <c r="AG347" s="201"/>
      <c r="AH347" s="201"/>
      <c r="AI347" s="201"/>
      <c r="AJ347" s="201"/>
      <c r="AK347" s="201"/>
      <c r="AL347" s="201"/>
      <c r="AM347" s="201"/>
      <c r="AN347" s="201"/>
      <c r="AO347" s="201"/>
    </row>
    <row r="348">
      <c r="A348" s="197"/>
      <c r="B348" s="198"/>
      <c r="C348" s="204"/>
      <c r="D348" s="197"/>
      <c r="E348" s="197"/>
      <c r="F348" s="198"/>
      <c r="G348" s="198"/>
      <c r="H348" s="199"/>
      <c r="I348" s="199"/>
      <c r="J348" s="62"/>
      <c r="K348" s="62"/>
      <c r="L348" s="62"/>
      <c r="M348" s="62"/>
      <c r="N348" s="62"/>
      <c r="O348" s="60"/>
      <c r="P348" s="62"/>
      <c r="Q348" s="66"/>
      <c r="R348" s="62"/>
      <c r="S348" s="62"/>
      <c r="T348" s="62"/>
      <c r="U348" s="74"/>
      <c r="V348" s="62"/>
      <c r="W348" s="75"/>
      <c r="X348" s="74"/>
      <c r="Y348" s="61"/>
      <c r="Z348" s="201"/>
      <c r="AA348" s="201"/>
      <c r="AB348" s="201"/>
      <c r="AC348" s="201"/>
      <c r="AD348" s="201"/>
      <c r="AE348" s="201"/>
      <c r="AF348" s="201"/>
      <c r="AG348" s="201"/>
      <c r="AH348" s="201"/>
      <c r="AI348" s="201"/>
      <c r="AJ348" s="201"/>
      <c r="AK348" s="201"/>
      <c r="AL348" s="201"/>
      <c r="AM348" s="201"/>
      <c r="AN348" s="201"/>
      <c r="AO348" s="201"/>
    </row>
    <row r="349">
      <c r="A349" s="197"/>
      <c r="B349" s="198"/>
      <c r="C349" s="204"/>
      <c r="D349" s="197"/>
      <c r="E349" s="197"/>
      <c r="F349" s="198"/>
      <c r="G349" s="198"/>
      <c r="H349" s="199"/>
      <c r="I349" s="199"/>
      <c r="J349" s="62"/>
      <c r="K349" s="62"/>
      <c r="L349" s="62"/>
      <c r="M349" s="62"/>
      <c r="N349" s="62"/>
      <c r="O349" s="60"/>
      <c r="P349" s="62"/>
      <c r="Q349" s="66"/>
      <c r="R349" s="62"/>
      <c r="S349" s="62"/>
      <c r="T349" s="62"/>
      <c r="U349" s="74"/>
      <c r="V349" s="62"/>
      <c r="W349" s="75"/>
      <c r="X349" s="74"/>
      <c r="Y349" s="61"/>
      <c r="Z349" s="201"/>
      <c r="AA349" s="201"/>
      <c r="AB349" s="201"/>
      <c r="AC349" s="201"/>
      <c r="AD349" s="201"/>
      <c r="AE349" s="201"/>
      <c r="AF349" s="201"/>
      <c r="AG349" s="201"/>
      <c r="AH349" s="201"/>
      <c r="AI349" s="201"/>
      <c r="AJ349" s="201"/>
      <c r="AK349" s="201"/>
      <c r="AL349" s="201"/>
      <c r="AM349" s="201"/>
      <c r="AN349" s="201"/>
      <c r="AO349" s="201"/>
    </row>
    <row r="350">
      <c r="A350" s="197"/>
      <c r="B350" s="198"/>
      <c r="C350" s="212"/>
      <c r="D350" s="206"/>
      <c r="E350" s="198"/>
      <c r="F350" s="198"/>
      <c r="G350" s="198"/>
      <c r="H350" s="199"/>
      <c r="I350" s="199"/>
      <c r="J350" s="62"/>
      <c r="K350" s="62"/>
      <c r="L350" s="62"/>
      <c r="M350" s="62"/>
      <c r="N350" s="62"/>
      <c r="O350" s="60"/>
      <c r="P350" s="62"/>
      <c r="Q350" s="66"/>
      <c r="R350" s="62"/>
      <c r="S350" s="62"/>
      <c r="T350" s="62"/>
      <c r="U350" s="74"/>
      <c r="V350" s="62"/>
      <c r="W350" s="75"/>
      <c r="X350" s="74"/>
      <c r="Y350" s="61"/>
      <c r="Z350" s="201"/>
      <c r="AA350" s="201"/>
      <c r="AB350" s="201"/>
      <c r="AC350" s="201"/>
      <c r="AD350" s="201"/>
      <c r="AE350" s="201"/>
      <c r="AF350" s="201"/>
      <c r="AG350" s="201"/>
      <c r="AH350" s="201"/>
      <c r="AI350" s="201"/>
      <c r="AJ350" s="201"/>
      <c r="AK350" s="201"/>
      <c r="AL350" s="201"/>
      <c r="AM350" s="201"/>
      <c r="AN350" s="201"/>
      <c r="AO350" s="201"/>
    </row>
    <row r="351">
      <c r="A351" s="197"/>
      <c r="B351" s="198"/>
      <c r="C351" s="204"/>
      <c r="D351" s="207"/>
      <c r="E351" s="198"/>
      <c r="F351" s="198"/>
      <c r="G351" s="198"/>
      <c r="H351" s="199"/>
      <c r="I351" s="199"/>
      <c r="J351" s="62"/>
      <c r="K351" s="62"/>
      <c r="L351" s="62"/>
      <c r="M351" s="62"/>
      <c r="N351" s="62"/>
      <c r="O351" s="60"/>
      <c r="P351" s="62"/>
      <c r="Q351" s="66"/>
      <c r="R351" s="62"/>
      <c r="S351" s="62"/>
      <c r="T351" s="62"/>
      <c r="U351" s="74"/>
      <c r="V351" s="62"/>
      <c r="W351" s="75"/>
      <c r="X351" s="74"/>
      <c r="Y351" s="61"/>
      <c r="Z351" s="201"/>
      <c r="AA351" s="201"/>
      <c r="AB351" s="201"/>
      <c r="AC351" s="201"/>
      <c r="AD351" s="201"/>
      <c r="AE351" s="201"/>
      <c r="AF351" s="201"/>
      <c r="AG351" s="201"/>
      <c r="AH351" s="201"/>
      <c r="AI351" s="201"/>
      <c r="AJ351" s="201"/>
      <c r="AK351" s="201"/>
      <c r="AL351" s="201"/>
      <c r="AM351" s="201"/>
      <c r="AN351" s="201"/>
      <c r="AO351" s="201"/>
    </row>
    <row r="352">
      <c r="A352" s="197"/>
      <c r="B352" s="198"/>
      <c r="C352" s="204"/>
      <c r="D352" s="197"/>
      <c r="E352" s="197"/>
      <c r="F352" s="198"/>
      <c r="G352" s="198"/>
      <c r="H352" s="199"/>
      <c r="I352" s="199"/>
      <c r="J352" s="62"/>
      <c r="K352" s="62"/>
      <c r="L352" s="62"/>
      <c r="M352" s="62"/>
      <c r="N352" s="62"/>
      <c r="O352" s="60"/>
      <c r="P352" s="62"/>
      <c r="Q352" s="66"/>
      <c r="R352" s="62"/>
      <c r="S352" s="62"/>
      <c r="T352" s="62"/>
      <c r="U352" s="74"/>
      <c r="V352" s="62"/>
      <c r="W352" s="75"/>
      <c r="X352" s="74"/>
      <c r="Y352" s="61"/>
      <c r="Z352" s="201"/>
      <c r="AA352" s="201"/>
      <c r="AB352" s="201"/>
      <c r="AC352" s="201"/>
      <c r="AD352" s="201"/>
      <c r="AE352" s="201"/>
      <c r="AF352" s="201"/>
      <c r="AG352" s="201"/>
      <c r="AH352" s="201"/>
      <c r="AI352" s="201"/>
      <c r="AJ352" s="201"/>
      <c r="AK352" s="201"/>
      <c r="AL352" s="201"/>
      <c r="AM352" s="201"/>
      <c r="AN352" s="201"/>
      <c r="AO352" s="201"/>
    </row>
    <row r="353">
      <c r="A353" s="197"/>
      <c r="B353" s="198"/>
      <c r="C353" s="204"/>
      <c r="D353" s="197"/>
      <c r="E353" s="197"/>
      <c r="F353" s="198"/>
      <c r="G353" s="198"/>
      <c r="H353" s="199"/>
      <c r="I353" s="199"/>
      <c r="J353" s="62"/>
      <c r="K353" s="62"/>
      <c r="L353" s="62"/>
      <c r="M353" s="62"/>
      <c r="N353" s="62"/>
      <c r="O353" s="60"/>
      <c r="P353" s="62"/>
      <c r="Q353" s="66"/>
      <c r="R353" s="62"/>
      <c r="S353" s="62"/>
      <c r="T353" s="62"/>
      <c r="U353" s="74"/>
      <c r="V353" s="62"/>
      <c r="W353" s="75"/>
      <c r="X353" s="74"/>
      <c r="Y353" s="61"/>
      <c r="Z353" s="201"/>
      <c r="AA353" s="201"/>
      <c r="AB353" s="201"/>
      <c r="AC353" s="201"/>
      <c r="AD353" s="201"/>
      <c r="AE353" s="201"/>
      <c r="AF353" s="201"/>
      <c r="AG353" s="201"/>
      <c r="AH353" s="201"/>
      <c r="AI353" s="201"/>
      <c r="AJ353" s="201"/>
      <c r="AK353" s="201"/>
      <c r="AL353" s="201"/>
      <c r="AM353" s="201"/>
      <c r="AN353" s="201"/>
      <c r="AO353" s="201"/>
    </row>
    <row r="354">
      <c r="A354" s="197"/>
      <c r="B354" s="198"/>
      <c r="C354" s="204"/>
      <c r="D354" s="197"/>
      <c r="E354" s="197"/>
      <c r="F354" s="198"/>
      <c r="G354" s="198"/>
      <c r="H354" s="199"/>
      <c r="I354" s="199"/>
      <c r="J354" s="62"/>
      <c r="K354" s="62"/>
      <c r="L354" s="62"/>
      <c r="M354" s="62"/>
      <c r="N354" s="62"/>
      <c r="O354" s="60"/>
      <c r="P354" s="62"/>
      <c r="Q354" s="66"/>
      <c r="R354" s="62"/>
      <c r="S354" s="62"/>
      <c r="T354" s="62"/>
      <c r="U354" s="74"/>
      <c r="V354" s="62"/>
      <c r="W354" s="75"/>
      <c r="X354" s="74"/>
      <c r="Y354" s="61"/>
      <c r="Z354" s="201"/>
      <c r="AA354" s="201"/>
      <c r="AB354" s="201"/>
      <c r="AC354" s="201"/>
      <c r="AD354" s="201"/>
      <c r="AE354" s="201"/>
      <c r="AF354" s="201"/>
      <c r="AG354" s="201"/>
      <c r="AH354" s="201"/>
      <c r="AI354" s="201"/>
      <c r="AJ354" s="201"/>
      <c r="AK354" s="201"/>
      <c r="AL354" s="201"/>
      <c r="AM354" s="201"/>
      <c r="AN354" s="201"/>
      <c r="AO354" s="201"/>
    </row>
    <row r="355">
      <c r="A355" s="197"/>
      <c r="B355" s="198"/>
      <c r="C355" s="204"/>
      <c r="D355" s="207"/>
      <c r="E355" s="198"/>
      <c r="F355" s="198"/>
      <c r="G355" s="198"/>
      <c r="H355" s="199"/>
      <c r="I355" s="200"/>
      <c r="J355" s="62"/>
      <c r="K355" s="62"/>
      <c r="L355" s="62"/>
      <c r="M355" s="62"/>
      <c r="N355" s="62"/>
      <c r="O355" s="60"/>
      <c r="P355" s="62"/>
      <c r="Q355" s="66"/>
      <c r="R355" s="62"/>
      <c r="S355" s="62"/>
      <c r="T355" s="62"/>
      <c r="U355" s="74"/>
      <c r="V355" s="62"/>
      <c r="W355" s="75"/>
      <c r="X355" s="74"/>
      <c r="Y355" s="61"/>
      <c r="Z355" s="201"/>
      <c r="AA355" s="201"/>
      <c r="AB355" s="201"/>
      <c r="AC355" s="201"/>
      <c r="AD355" s="201"/>
      <c r="AE355" s="201"/>
      <c r="AF355" s="201"/>
      <c r="AG355" s="201"/>
      <c r="AH355" s="201"/>
      <c r="AI355" s="201"/>
      <c r="AJ355" s="201"/>
      <c r="AK355" s="201"/>
      <c r="AL355" s="201"/>
      <c r="AM355" s="201"/>
      <c r="AN355" s="201"/>
      <c r="AO355" s="201"/>
    </row>
    <row r="356">
      <c r="A356" s="197"/>
      <c r="B356" s="198"/>
      <c r="C356" s="204"/>
      <c r="D356" s="197"/>
      <c r="E356" s="197"/>
      <c r="F356" s="198"/>
      <c r="G356" s="198"/>
      <c r="H356" s="199"/>
      <c r="I356" s="199"/>
      <c r="J356" s="62"/>
      <c r="K356" s="62"/>
      <c r="L356" s="62"/>
      <c r="M356" s="62"/>
      <c r="N356" s="62"/>
      <c r="O356" s="60"/>
      <c r="P356" s="62"/>
      <c r="Q356" s="66"/>
      <c r="R356" s="62"/>
      <c r="S356" s="62"/>
      <c r="T356" s="62"/>
      <c r="U356" s="74"/>
      <c r="V356" s="62"/>
      <c r="W356" s="75"/>
      <c r="X356" s="74"/>
      <c r="Y356" s="61"/>
      <c r="Z356" s="201"/>
      <c r="AA356" s="201"/>
      <c r="AB356" s="201"/>
      <c r="AC356" s="201"/>
      <c r="AD356" s="201"/>
      <c r="AE356" s="201"/>
      <c r="AF356" s="201"/>
      <c r="AG356" s="201"/>
      <c r="AH356" s="201"/>
      <c r="AI356" s="201"/>
      <c r="AJ356" s="201"/>
      <c r="AK356" s="201"/>
      <c r="AL356" s="201"/>
      <c r="AM356" s="201"/>
      <c r="AN356" s="201"/>
      <c r="AO356" s="201"/>
    </row>
    <row r="357">
      <c r="A357" s="197"/>
      <c r="B357" s="198"/>
      <c r="C357" s="199"/>
      <c r="D357" s="197"/>
      <c r="E357" s="197"/>
      <c r="F357" s="198"/>
      <c r="G357" s="198"/>
      <c r="H357" s="199"/>
      <c r="I357" s="199"/>
      <c r="J357" s="62"/>
      <c r="K357" s="62"/>
      <c r="L357" s="62"/>
      <c r="M357" s="62"/>
      <c r="N357" s="62"/>
      <c r="O357" s="60"/>
      <c r="P357" s="62"/>
      <c r="Q357" s="66"/>
      <c r="R357" s="62"/>
      <c r="S357" s="62"/>
      <c r="T357" s="62"/>
      <c r="U357" s="74"/>
      <c r="V357" s="62"/>
      <c r="W357" s="75"/>
      <c r="X357" s="74"/>
      <c r="Y357" s="61"/>
      <c r="Z357" s="201"/>
      <c r="AA357" s="201"/>
      <c r="AB357" s="201"/>
      <c r="AC357" s="201"/>
      <c r="AD357" s="201"/>
      <c r="AE357" s="201"/>
      <c r="AF357" s="201"/>
      <c r="AG357" s="201"/>
      <c r="AH357" s="201"/>
      <c r="AI357" s="201"/>
      <c r="AJ357" s="201"/>
      <c r="AK357" s="201"/>
      <c r="AL357" s="201"/>
      <c r="AM357" s="201"/>
      <c r="AN357" s="201"/>
      <c r="AO357" s="201"/>
    </row>
    <row r="358">
      <c r="A358" s="197"/>
      <c r="B358" s="198"/>
      <c r="C358" s="199"/>
      <c r="D358" s="197"/>
      <c r="E358" s="197"/>
      <c r="F358" s="198"/>
      <c r="G358" s="198"/>
      <c r="H358" s="199"/>
      <c r="I358" s="199"/>
      <c r="J358" s="62"/>
      <c r="K358" s="62"/>
      <c r="L358" s="62"/>
      <c r="M358" s="62"/>
      <c r="N358" s="62"/>
      <c r="O358" s="60"/>
      <c r="P358" s="62"/>
      <c r="Q358" s="66"/>
      <c r="R358" s="62"/>
      <c r="S358" s="62"/>
      <c r="T358" s="62"/>
      <c r="U358" s="74"/>
      <c r="V358" s="62"/>
      <c r="W358" s="75"/>
      <c r="X358" s="74"/>
      <c r="Y358" s="61"/>
      <c r="Z358" s="201"/>
      <c r="AA358" s="201"/>
      <c r="AB358" s="201"/>
      <c r="AC358" s="201"/>
      <c r="AD358" s="201"/>
      <c r="AE358" s="201"/>
      <c r="AF358" s="201"/>
      <c r="AG358" s="201"/>
      <c r="AH358" s="201"/>
      <c r="AI358" s="201"/>
      <c r="AJ358" s="201"/>
      <c r="AK358" s="201"/>
      <c r="AL358" s="201"/>
      <c r="AM358" s="201"/>
      <c r="AN358" s="201"/>
      <c r="AO358" s="201"/>
    </row>
    <row r="359">
      <c r="A359" s="197"/>
      <c r="B359" s="198"/>
      <c r="C359" s="199"/>
      <c r="D359" s="197"/>
      <c r="E359" s="197"/>
      <c r="F359" s="198"/>
      <c r="G359" s="198"/>
      <c r="H359" s="199"/>
      <c r="I359" s="199"/>
      <c r="J359" s="62"/>
      <c r="K359" s="62"/>
      <c r="L359" s="62"/>
      <c r="M359" s="62"/>
      <c r="N359" s="62"/>
      <c r="O359" s="60"/>
      <c r="P359" s="62"/>
      <c r="Q359" s="66"/>
      <c r="R359" s="62"/>
      <c r="S359" s="62"/>
      <c r="T359" s="62"/>
      <c r="U359" s="74"/>
      <c r="V359" s="62"/>
      <c r="W359" s="75"/>
      <c r="X359" s="74"/>
      <c r="Y359" s="61"/>
      <c r="Z359" s="201"/>
      <c r="AA359" s="201"/>
      <c r="AB359" s="201"/>
      <c r="AC359" s="201"/>
      <c r="AD359" s="201"/>
      <c r="AE359" s="201"/>
      <c r="AF359" s="201"/>
      <c r="AG359" s="201"/>
      <c r="AH359" s="201"/>
      <c r="AI359" s="201"/>
      <c r="AJ359" s="201"/>
      <c r="AK359" s="201"/>
      <c r="AL359" s="201"/>
      <c r="AM359" s="201"/>
      <c r="AN359" s="201"/>
      <c r="AO359" s="201"/>
    </row>
    <row r="360">
      <c r="A360" s="197"/>
      <c r="B360" s="198"/>
      <c r="C360" s="199"/>
      <c r="D360" s="197"/>
      <c r="E360" s="197"/>
      <c r="F360" s="198"/>
      <c r="G360" s="198"/>
      <c r="H360" s="199"/>
      <c r="I360" s="199"/>
      <c r="J360" s="62"/>
      <c r="K360" s="62"/>
      <c r="L360" s="62"/>
      <c r="M360" s="62"/>
      <c r="N360" s="62"/>
      <c r="O360" s="60"/>
      <c r="P360" s="62"/>
      <c r="Q360" s="66"/>
      <c r="R360" s="62"/>
      <c r="S360" s="62"/>
      <c r="T360" s="62"/>
      <c r="U360" s="74"/>
      <c r="V360" s="62"/>
      <c r="W360" s="75"/>
      <c r="X360" s="74"/>
      <c r="Y360" s="61"/>
      <c r="Z360" s="201"/>
      <c r="AA360" s="201"/>
      <c r="AB360" s="201"/>
      <c r="AC360" s="201"/>
      <c r="AD360" s="201"/>
      <c r="AE360" s="201"/>
      <c r="AF360" s="201"/>
      <c r="AG360" s="201"/>
      <c r="AH360" s="201"/>
      <c r="AI360" s="201"/>
      <c r="AJ360" s="201"/>
      <c r="AK360" s="201"/>
      <c r="AL360" s="201"/>
      <c r="AM360" s="201"/>
      <c r="AN360" s="201"/>
      <c r="AO360" s="201"/>
    </row>
    <row r="361">
      <c r="A361" s="197"/>
      <c r="B361" s="198"/>
      <c r="C361" s="204"/>
      <c r="D361" s="207"/>
      <c r="E361" s="198"/>
      <c r="F361" s="198"/>
      <c r="G361" s="198"/>
      <c r="H361" s="199"/>
      <c r="I361" s="199"/>
      <c r="J361" s="62"/>
      <c r="K361" s="62"/>
      <c r="L361" s="62"/>
      <c r="M361" s="62"/>
      <c r="N361" s="62"/>
      <c r="O361" s="60"/>
      <c r="P361" s="62"/>
      <c r="Q361" s="66"/>
      <c r="R361" s="62"/>
      <c r="S361" s="62"/>
      <c r="T361" s="62"/>
      <c r="U361" s="74"/>
      <c r="V361" s="62"/>
      <c r="W361" s="75"/>
      <c r="X361" s="74"/>
      <c r="Y361" s="61"/>
      <c r="Z361" s="201"/>
      <c r="AA361" s="201"/>
      <c r="AB361" s="201"/>
      <c r="AC361" s="201"/>
      <c r="AD361" s="201"/>
      <c r="AE361" s="201"/>
      <c r="AF361" s="201"/>
      <c r="AG361" s="201"/>
      <c r="AH361" s="201"/>
      <c r="AI361" s="201"/>
      <c r="AJ361" s="201"/>
      <c r="AK361" s="201"/>
      <c r="AL361" s="201"/>
      <c r="AM361" s="201"/>
      <c r="AN361" s="201"/>
      <c r="AO361" s="201"/>
    </row>
    <row r="362">
      <c r="A362" s="197"/>
      <c r="B362" s="198"/>
      <c r="C362" s="204"/>
      <c r="D362" s="207"/>
      <c r="E362" s="198"/>
      <c r="F362" s="198"/>
      <c r="G362" s="198"/>
      <c r="H362" s="199"/>
      <c r="I362" s="199"/>
      <c r="J362" s="62"/>
      <c r="K362" s="62"/>
      <c r="L362" s="62"/>
      <c r="M362" s="62"/>
      <c r="N362" s="62"/>
      <c r="O362" s="60"/>
      <c r="P362" s="62"/>
      <c r="Q362" s="66"/>
      <c r="R362" s="62"/>
      <c r="S362" s="62"/>
      <c r="T362" s="62"/>
      <c r="U362" s="74"/>
      <c r="V362" s="62"/>
      <c r="W362" s="75"/>
      <c r="X362" s="74"/>
      <c r="Y362" s="61"/>
      <c r="Z362" s="201"/>
      <c r="AA362" s="201"/>
      <c r="AB362" s="201"/>
      <c r="AC362" s="201"/>
      <c r="AD362" s="201"/>
      <c r="AE362" s="201"/>
      <c r="AF362" s="201"/>
      <c r="AG362" s="201"/>
      <c r="AH362" s="201"/>
      <c r="AI362" s="201"/>
      <c r="AJ362" s="201"/>
      <c r="AK362" s="201"/>
      <c r="AL362" s="201"/>
      <c r="AM362" s="201"/>
      <c r="AN362" s="201"/>
      <c r="AO362" s="201"/>
    </row>
    <row r="363">
      <c r="A363" s="197"/>
      <c r="B363" s="198"/>
      <c r="C363" s="199"/>
      <c r="D363" s="197"/>
      <c r="E363" s="197"/>
      <c r="F363" s="198"/>
      <c r="G363" s="198"/>
      <c r="H363" s="199"/>
      <c r="I363" s="199"/>
      <c r="J363" s="62"/>
      <c r="K363" s="62"/>
      <c r="L363" s="62"/>
      <c r="M363" s="62"/>
      <c r="N363" s="62"/>
      <c r="O363" s="60"/>
      <c r="P363" s="62"/>
      <c r="Q363" s="66"/>
      <c r="R363" s="62"/>
      <c r="S363" s="62"/>
      <c r="T363" s="62"/>
      <c r="U363" s="74"/>
      <c r="V363" s="62"/>
      <c r="W363" s="75"/>
      <c r="X363" s="74"/>
      <c r="Y363" s="61"/>
      <c r="Z363" s="201"/>
      <c r="AA363" s="201"/>
      <c r="AB363" s="201"/>
      <c r="AC363" s="201"/>
      <c r="AD363" s="201"/>
      <c r="AE363" s="201"/>
      <c r="AF363" s="201"/>
      <c r="AG363" s="201"/>
      <c r="AH363" s="201"/>
      <c r="AI363" s="201"/>
      <c r="AJ363" s="201"/>
      <c r="AK363" s="201"/>
      <c r="AL363" s="201"/>
      <c r="AM363" s="201"/>
      <c r="AN363" s="201"/>
      <c r="AO363" s="201"/>
    </row>
    <row r="364">
      <c r="A364" s="197"/>
      <c r="B364" s="198"/>
      <c r="C364" s="199"/>
      <c r="D364" s="197"/>
      <c r="E364" s="197"/>
      <c r="F364" s="198"/>
      <c r="G364" s="198"/>
      <c r="H364" s="199"/>
      <c r="I364" s="199"/>
      <c r="J364" s="62"/>
      <c r="K364" s="62"/>
      <c r="L364" s="62"/>
      <c r="M364" s="62"/>
      <c r="N364" s="62"/>
      <c r="O364" s="60"/>
      <c r="P364" s="62"/>
      <c r="Q364" s="66"/>
      <c r="R364" s="62"/>
      <c r="S364" s="62"/>
      <c r="T364" s="62"/>
      <c r="U364" s="74"/>
      <c r="V364" s="62"/>
      <c r="W364" s="75"/>
      <c r="X364" s="74"/>
      <c r="Y364" s="61"/>
      <c r="Z364" s="201"/>
      <c r="AA364" s="201"/>
      <c r="AB364" s="201"/>
      <c r="AC364" s="201"/>
      <c r="AD364" s="201"/>
      <c r="AE364" s="201"/>
      <c r="AF364" s="201"/>
      <c r="AG364" s="201"/>
      <c r="AH364" s="201"/>
      <c r="AI364" s="201"/>
      <c r="AJ364" s="201"/>
      <c r="AK364" s="201"/>
      <c r="AL364" s="201"/>
      <c r="AM364" s="201"/>
      <c r="AN364" s="201"/>
      <c r="AO364" s="201"/>
    </row>
    <row r="365">
      <c r="A365" s="197"/>
      <c r="B365" s="198"/>
      <c r="C365" s="204"/>
      <c r="D365" s="197"/>
      <c r="E365" s="197"/>
      <c r="F365" s="198"/>
      <c r="G365" s="198"/>
      <c r="H365" s="199"/>
      <c r="I365" s="199"/>
      <c r="J365" s="62"/>
      <c r="K365" s="62"/>
      <c r="L365" s="62"/>
      <c r="M365" s="62"/>
      <c r="N365" s="62"/>
      <c r="O365" s="60"/>
      <c r="P365" s="62"/>
      <c r="Q365" s="66"/>
      <c r="R365" s="62"/>
      <c r="S365" s="62"/>
      <c r="T365" s="62"/>
      <c r="U365" s="74"/>
      <c r="V365" s="62"/>
      <c r="W365" s="75"/>
      <c r="X365" s="74"/>
      <c r="Y365" s="61"/>
      <c r="Z365" s="201"/>
      <c r="AA365" s="201"/>
      <c r="AB365" s="201"/>
      <c r="AC365" s="201"/>
      <c r="AD365" s="201"/>
      <c r="AE365" s="201"/>
      <c r="AF365" s="201"/>
      <c r="AG365" s="201"/>
      <c r="AH365" s="201"/>
      <c r="AI365" s="201"/>
      <c r="AJ365" s="201"/>
      <c r="AK365" s="201"/>
      <c r="AL365" s="201"/>
      <c r="AM365" s="201"/>
      <c r="AN365" s="201"/>
      <c r="AO365" s="201"/>
    </row>
    <row r="366">
      <c r="A366" s="197"/>
      <c r="B366" s="198"/>
      <c r="C366" s="199"/>
      <c r="D366" s="197"/>
      <c r="E366" s="197"/>
      <c r="F366" s="198"/>
      <c r="G366" s="198"/>
      <c r="H366" s="199"/>
      <c r="I366" s="199"/>
      <c r="J366" s="62"/>
      <c r="K366" s="62"/>
      <c r="L366" s="62"/>
      <c r="M366" s="62"/>
      <c r="N366" s="62"/>
      <c r="O366" s="60"/>
      <c r="P366" s="62"/>
      <c r="Q366" s="66"/>
      <c r="R366" s="62"/>
      <c r="S366" s="62"/>
      <c r="T366" s="62"/>
      <c r="U366" s="74"/>
      <c r="V366" s="62"/>
      <c r="W366" s="75"/>
      <c r="X366" s="74"/>
      <c r="Y366" s="61"/>
      <c r="Z366" s="201"/>
      <c r="AA366" s="201"/>
      <c r="AB366" s="201"/>
      <c r="AC366" s="201"/>
      <c r="AD366" s="201"/>
      <c r="AE366" s="201"/>
      <c r="AF366" s="201"/>
      <c r="AG366" s="201"/>
      <c r="AH366" s="201"/>
      <c r="AI366" s="201"/>
      <c r="AJ366" s="201"/>
      <c r="AK366" s="201"/>
      <c r="AL366" s="201"/>
      <c r="AM366" s="201"/>
      <c r="AN366" s="201"/>
      <c r="AO366" s="201"/>
    </row>
    <row r="367">
      <c r="A367" s="197"/>
      <c r="B367" s="198"/>
      <c r="C367" s="204"/>
      <c r="D367" s="207"/>
      <c r="E367" s="198"/>
      <c r="F367" s="198"/>
      <c r="G367" s="198"/>
      <c r="H367" s="199"/>
      <c r="I367" s="199"/>
      <c r="J367" s="62"/>
      <c r="K367" s="62"/>
      <c r="L367" s="62"/>
      <c r="M367" s="62"/>
      <c r="N367" s="62"/>
      <c r="O367" s="60"/>
      <c r="P367" s="62"/>
      <c r="Q367" s="66"/>
      <c r="R367" s="62"/>
      <c r="S367" s="62"/>
      <c r="T367" s="62"/>
      <c r="U367" s="74"/>
      <c r="V367" s="62"/>
      <c r="W367" s="75"/>
      <c r="X367" s="74"/>
      <c r="Y367" s="61"/>
      <c r="Z367" s="201"/>
      <c r="AA367" s="201"/>
      <c r="AB367" s="201"/>
      <c r="AC367" s="201"/>
      <c r="AD367" s="201"/>
      <c r="AE367" s="201"/>
      <c r="AF367" s="201"/>
      <c r="AG367" s="201"/>
      <c r="AH367" s="201"/>
      <c r="AI367" s="201"/>
      <c r="AJ367" s="201"/>
      <c r="AK367" s="201"/>
      <c r="AL367" s="201"/>
      <c r="AM367" s="201"/>
      <c r="AN367" s="201"/>
      <c r="AO367" s="201"/>
    </row>
    <row r="368">
      <c r="A368" s="197"/>
      <c r="B368" s="198"/>
      <c r="C368" s="212"/>
      <c r="D368" s="197"/>
      <c r="E368" s="197"/>
      <c r="F368" s="198"/>
      <c r="G368" s="198"/>
      <c r="H368" s="199"/>
      <c r="I368" s="199"/>
      <c r="J368" s="62"/>
      <c r="K368" s="62"/>
      <c r="L368" s="62"/>
      <c r="M368" s="62"/>
      <c r="N368" s="62"/>
      <c r="O368" s="60"/>
      <c r="P368" s="62"/>
      <c r="Q368" s="66"/>
      <c r="R368" s="62"/>
      <c r="S368" s="62"/>
      <c r="T368" s="62"/>
      <c r="U368" s="74"/>
      <c r="V368" s="62"/>
      <c r="W368" s="75"/>
      <c r="X368" s="74"/>
      <c r="Y368" s="61"/>
      <c r="Z368" s="201"/>
      <c r="AA368" s="201"/>
      <c r="AB368" s="201"/>
      <c r="AC368" s="201"/>
      <c r="AD368" s="201"/>
      <c r="AE368" s="201"/>
      <c r="AF368" s="201"/>
      <c r="AG368" s="201"/>
      <c r="AH368" s="201"/>
      <c r="AI368" s="201"/>
      <c r="AJ368" s="201"/>
      <c r="AK368" s="201"/>
      <c r="AL368" s="201"/>
      <c r="AM368" s="201"/>
      <c r="AN368" s="201"/>
      <c r="AO368" s="201"/>
    </row>
    <row r="369">
      <c r="A369" s="197"/>
      <c r="B369" s="198"/>
      <c r="C369" s="204"/>
      <c r="D369" s="197"/>
      <c r="E369" s="197"/>
      <c r="F369" s="198"/>
      <c r="G369" s="198"/>
      <c r="H369" s="199"/>
      <c r="I369" s="199"/>
      <c r="J369" s="62"/>
      <c r="K369" s="62"/>
      <c r="L369" s="62"/>
      <c r="M369" s="62"/>
      <c r="N369" s="62"/>
      <c r="O369" s="60"/>
      <c r="P369" s="62"/>
      <c r="Q369" s="66"/>
      <c r="R369" s="62"/>
      <c r="S369" s="62"/>
      <c r="T369" s="62"/>
      <c r="U369" s="74"/>
      <c r="V369" s="62"/>
      <c r="W369" s="75"/>
      <c r="X369" s="74"/>
      <c r="Y369" s="61"/>
      <c r="Z369" s="201"/>
      <c r="AA369" s="201"/>
      <c r="AB369" s="201"/>
      <c r="AC369" s="201"/>
      <c r="AD369" s="201"/>
      <c r="AE369" s="201"/>
      <c r="AF369" s="201"/>
      <c r="AG369" s="201"/>
      <c r="AH369" s="201"/>
      <c r="AI369" s="201"/>
      <c r="AJ369" s="201"/>
      <c r="AK369" s="201"/>
      <c r="AL369" s="201"/>
      <c r="AM369" s="201"/>
      <c r="AN369" s="201"/>
      <c r="AO369" s="201"/>
    </row>
    <row r="370">
      <c r="A370" s="197"/>
      <c r="B370" s="198"/>
      <c r="C370" s="199"/>
      <c r="D370" s="197"/>
      <c r="E370" s="197"/>
      <c r="F370" s="198"/>
      <c r="G370" s="198"/>
      <c r="H370" s="199"/>
      <c r="I370" s="199"/>
      <c r="J370" s="62"/>
      <c r="K370" s="62"/>
      <c r="L370" s="62"/>
      <c r="M370" s="62"/>
      <c r="N370" s="62"/>
      <c r="O370" s="60"/>
      <c r="P370" s="62"/>
      <c r="Q370" s="66"/>
      <c r="R370" s="62"/>
      <c r="S370" s="62"/>
      <c r="T370" s="62"/>
      <c r="U370" s="74"/>
      <c r="V370" s="62"/>
      <c r="W370" s="75"/>
      <c r="X370" s="74"/>
      <c r="Y370" s="61"/>
      <c r="Z370" s="201"/>
      <c r="AA370" s="201"/>
      <c r="AB370" s="201"/>
      <c r="AC370" s="201"/>
      <c r="AD370" s="201"/>
      <c r="AE370" s="201"/>
      <c r="AF370" s="201"/>
      <c r="AG370" s="201"/>
      <c r="AH370" s="201"/>
      <c r="AI370" s="201"/>
      <c r="AJ370" s="201"/>
      <c r="AK370" s="201"/>
      <c r="AL370" s="201"/>
      <c r="AM370" s="201"/>
      <c r="AN370" s="201"/>
      <c r="AO370" s="201"/>
    </row>
    <row r="371">
      <c r="A371" s="197"/>
      <c r="B371" s="198"/>
      <c r="C371" s="199"/>
      <c r="D371" s="197"/>
      <c r="E371" s="197"/>
      <c r="F371" s="198"/>
      <c r="G371" s="198"/>
      <c r="H371" s="199"/>
      <c r="I371" s="199"/>
      <c r="J371" s="62"/>
      <c r="K371" s="62"/>
      <c r="L371" s="62"/>
      <c r="M371" s="62"/>
      <c r="N371" s="62"/>
      <c r="O371" s="60"/>
      <c r="P371" s="62"/>
      <c r="Q371" s="66"/>
      <c r="R371" s="62"/>
      <c r="S371" s="62"/>
      <c r="T371" s="62"/>
      <c r="U371" s="74"/>
      <c r="V371" s="62"/>
      <c r="W371" s="75"/>
      <c r="X371" s="74"/>
      <c r="Y371" s="61"/>
      <c r="Z371" s="201"/>
      <c r="AA371" s="201"/>
      <c r="AB371" s="201"/>
      <c r="AC371" s="201"/>
      <c r="AD371" s="201"/>
      <c r="AE371" s="201"/>
      <c r="AF371" s="201"/>
      <c r="AG371" s="201"/>
      <c r="AH371" s="201"/>
      <c r="AI371" s="201"/>
      <c r="AJ371" s="201"/>
      <c r="AK371" s="201"/>
      <c r="AL371" s="201"/>
      <c r="AM371" s="201"/>
      <c r="AN371" s="201"/>
      <c r="AO371" s="201"/>
    </row>
    <row r="372">
      <c r="A372" s="197"/>
      <c r="B372" s="198"/>
      <c r="C372" s="199"/>
      <c r="D372" s="197"/>
      <c r="E372" s="197"/>
      <c r="F372" s="198"/>
      <c r="G372" s="198"/>
      <c r="H372" s="199"/>
      <c r="I372" s="199"/>
      <c r="J372" s="62"/>
      <c r="K372" s="62"/>
      <c r="L372" s="62"/>
      <c r="M372" s="62"/>
      <c r="N372" s="62"/>
      <c r="O372" s="60"/>
      <c r="P372" s="62"/>
      <c r="Q372" s="66"/>
      <c r="R372" s="62"/>
      <c r="S372" s="62"/>
      <c r="T372" s="62"/>
      <c r="U372" s="74"/>
      <c r="V372" s="62"/>
      <c r="W372" s="75"/>
      <c r="X372" s="74"/>
      <c r="Y372" s="61"/>
      <c r="Z372" s="201"/>
      <c r="AA372" s="201"/>
      <c r="AB372" s="201"/>
      <c r="AC372" s="201"/>
      <c r="AD372" s="201"/>
      <c r="AE372" s="201"/>
      <c r="AF372" s="201"/>
      <c r="AG372" s="201"/>
      <c r="AH372" s="201"/>
      <c r="AI372" s="201"/>
      <c r="AJ372" s="201"/>
      <c r="AK372" s="201"/>
      <c r="AL372" s="201"/>
      <c r="AM372" s="201"/>
      <c r="AN372" s="201"/>
      <c r="AO372" s="201"/>
    </row>
    <row r="373">
      <c r="A373" s="197"/>
      <c r="B373" s="198"/>
      <c r="C373" s="208"/>
      <c r="D373" s="197"/>
      <c r="E373" s="197"/>
      <c r="F373" s="198"/>
      <c r="G373" s="198"/>
      <c r="H373" s="199"/>
      <c r="I373" s="199"/>
      <c r="J373" s="62"/>
      <c r="K373" s="62"/>
      <c r="L373" s="62"/>
      <c r="M373" s="62"/>
      <c r="N373" s="62"/>
      <c r="O373" s="60"/>
      <c r="P373" s="62"/>
      <c r="Q373" s="66"/>
      <c r="R373" s="62"/>
      <c r="S373" s="62"/>
      <c r="T373" s="62"/>
      <c r="U373" s="74"/>
      <c r="V373" s="62"/>
      <c r="W373" s="75"/>
      <c r="X373" s="74"/>
      <c r="Y373" s="61"/>
      <c r="Z373" s="201"/>
      <c r="AA373" s="201"/>
      <c r="AB373" s="201"/>
      <c r="AC373" s="201"/>
      <c r="AD373" s="201"/>
      <c r="AE373" s="201"/>
      <c r="AF373" s="201"/>
      <c r="AG373" s="201"/>
      <c r="AH373" s="201"/>
      <c r="AI373" s="201"/>
      <c r="AJ373" s="201"/>
      <c r="AK373" s="201"/>
      <c r="AL373" s="201"/>
      <c r="AM373" s="201"/>
      <c r="AN373" s="201"/>
      <c r="AO373" s="201"/>
    </row>
    <row r="374">
      <c r="A374" s="197"/>
      <c r="B374" s="198"/>
      <c r="C374" s="199"/>
      <c r="D374" s="197"/>
      <c r="E374" s="197"/>
      <c r="F374" s="198"/>
      <c r="G374" s="198"/>
      <c r="H374" s="199"/>
      <c r="I374" s="199"/>
      <c r="J374" s="62"/>
      <c r="K374" s="62"/>
      <c r="L374" s="62"/>
      <c r="M374" s="62"/>
      <c r="N374" s="62"/>
      <c r="O374" s="60"/>
      <c r="P374" s="62"/>
      <c r="Q374" s="66"/>
      <c r="R374" s="62"/>
      <c r="S374" s="62"/>
      <c r="T374" s="62"/>
      <c r="U374" s="74"/>
      <c r="V374" s="62"/>
      <c r="W374" s="75"/>
      <c r="X374" s="74"/>
      <c r="Y374" s="61"/>
      <c r="Z374" s="201"/>
      <c r="AA374" s="201"/>
      <c r="AB374" s="201"/>
      <c r="AC374" s="201"/>
      <c r="AD374" s="201"/>
      <c r="AE374" s="201"/>
      <c r="AF374" s="201"/>
      <c r="AG374" s="201"/>
      <c r="AH374" s="201"/>
      <c r="AI374" s="201"/>
      <c r="AJ374" s="201"/>
      <c r="AK374" s="201"/>
      <c r="AL374" s="201"/>
      <c r="AM374" s="201"/>
      <c r="AN374" s="201"/>
      <c r="AO374" s="201"/>
    </row>
    <row r="375">
      <c r="A375" s="197"/>
      <c r="B375" s="198"/>
      <c r="C375" s="199"/>
      <c r="D375" s="197"/>
      <c r="E375" s="197"/>
      <c r="F375" s="198"/>
      <c r="G375" s="198"/>
      <c r="H375" s="199"/>
      <c r="I375" s="199"/>
      <c r="J375" s="62"/>
      <c r="K375" s="62"/>
      <c r="L375" s="62"/>
      <c r="M375" s="62"/>
      <c r="N375" s="62"/>
      <c r="O375" s="60"/>
      <c r="P375" s="62"/>
      <c r="Q375" s="66"/>
      <c r="R375" s="62"/>
      <c r="S375" s="62"/>
      <c r="T375" s="62"/>
      <c r="U375" s="74"/>
      <c r="V375" s="62"/>
      <c r="W375" s="75"/>
      <c r="X375" s="74"/>
      <c r="Y375" s="61"/>
      <c r="Z375" s="201"/>
      <c r="AA375" s="201"/>
      <c r="AB375" s="201"/>
      <c r="AC375" s="201"/>
      <c r="AD375" s="201"/>
      <c r="AE375" s="201"/>
      <c r="AF375" s="201"/>
      <c r="AG375" s="201"/>
      <c r="AH375" s="201"/>
      <c r="AI375" s="201"/>
      <c r="AJ375" s="201"/>
      <c r="AK375" s="201"/>
      <c r="AL375" s="201"/>
      <c r="AM375" s="201"/>
      <c r="AN375" s="201"/>
      <c r="AO375" s="201"/>
    </row>
    <row r="376">
      <c r="A376" s="197"/>
      <c r="B376" s="198"/>
      <c r="C376" s="199"/>
      <c r="D376" s="197"/>
      <c r="E376" s="197"/>
      <c r="F376" s="198"/>
      <c r="G376" s="198"/>
      <c r="H376" s="199"/>
      <c r="I376" s="199"/>
      <c r="J376" s="62"/>
      <c r="K376" s="62"/>
      <c r="L376" s="62"/>
      <c r="M376" s="62"/>
      <c r="N376" s="62"/>
      <c r="O376" s="60"/>
      <c r="P376" s="62"/>
      <c r="Q376" s="66"/>
      <c r="R376" s="62"/>
      <c r="S376" s="62"/>
      <c r="T376" s="62"/>
      <c r="U376" s="74"/>
      <c r="V376" s="62"/>
      <c r="W376" s="75"/>
      <c r="X376" s="74"/>
      <c r="Y376" s="61"/>
      <c r="Z376" s="201"/>
      <c r="AA376" s="201"/>
      <c r="AB376" s="201"/>
      <c r="AC376" s="201"/>
      <c r="AD376" s="201"/>
      <c r="AE376" s="201"/>
      <c r="AF376" s="201"/>
      <c r="AG376" s="201"/>
      <c r="AH376" s="201"/>
      <c r="AI376" s="201"/>
      <c r="AJ376" s="201"/>
      <c r="AK376" s="201"/>
      <c r="AL376" s="201"/>
      <c r="AM376" s="201"/>
      <c r="AN376" s="201"/>
      <c r="AO376" s="201"/>
    </row>
    <row r="377">
      <c r="A377" s="197"/>
      <c r="B377" s="198"/>
      <c r="C377" s="199"/>
      <c r="D377" s="207"/>
      <c r="E377" s="198"/>
      <c r="F377" s="198"/>
      <c r="G377" s="198"/>
      <c r="H377" s="199"/>
      <c r="I377" s="199"/>
      <c r="J377" s="62"/>
      <c r="K377" s="62"/>
      <c r="L377" s="62"/>
      <c r="M377" s="62"/>
      <c r="N377" s="62"/>
      <c r="O377" s="60"/>
      <c r="P377" s="62"/>
      <c r="Q377" s="66"/>
      <c r="R377" s="62"/>
      <c r="S377" s="62"/>
      <c r="T377" s="62"/>
      <c r="U377" s="74"/>
      <c r="V377" s="62"/>
      <c r="W377" s="75"/>
      <c r="X377" s="74"/>
      <c r="Y377" s="61"/>
      <c r="Z377" s="201"/>
      <c r="AA377" s="201"/>
      <c r="AB377" s="201"/>
      <c r="AC377" s="201"/>
      <c r="AD377" s="201"/>
      <c r="AE377" s="201"/>
      <c r="AF377" s="201"/>
      <c r="AG377" s="201"/>
      <c r="AH377" s="201"/>
      <c r="AI377" s="201"/>
      <c r="AJ377" s="201"/>
      <c r="AK377" s="201"/>
      <c r="AL377" s="201"/>
      <c r="AM377" s="201"/>
      <c r="AN377" s="201"/>
      <c r="AO377" s="201"/>
    </row>
    <row r="378">
      <c r="A378" s="197"/>
      <c r="B378" s="198"/>
      <c r="C378" s="199"/>
      <c r="D378" s="207"/>
      <c r="E378" s="198"/>
      <c r="F378" s="198"/>
      <c r="G378" s="198"/>
      <c r="H378" s="199"/>
      <c r="I378" s="199"/>
      <c r="J378" s="62"/>
      <c r="K378" s="62"/>
      <c r="L378" s="62"/>
      <c r="M378" s="62"/>
      <c r="N378" s="62"/>
      <c r="O378" s="60"/>
      <c r="P378" s="62"/>
      <c r="Q378" s="66"/>
      <c r="R378" s="62"/>
      <c r="S378" s="62"/>
      <c r="T378" s="62"/>
      <c r="U378" s="74"/>
      <c r="V378" s="62"/>
      <c r="W378" s="75"/>
      <c r="X378" s="74"/>
      <c r="Y378" s="61"/>
      <c r="Z378" s="201"/>
      <c r="AA378" s="201"/>
      <c r="AB378" s="201"/>
      <c r="AC378" s="201"/>
      <c r="AD378" s="201"/>
      <c r="AE378" s="201"/>
      <c r="AF378" s="201"/>
      <c r="AG378" s="201"/>
      <c r="AH378" s="201"/>
      <c r="AI378" s="201"/>
      <c r="AJ378" s="201"/>
      <c r="AK378" s="201"/>
      <c r="AL378" s="201"/>
      <c r="AM378" s="201"/>
      <c r="AN378" s="201"/>
      <c r="AO378" s="201"/>
    </row>
    <row r="379">
      <c r="A379" s="197"/>
      <c r="B379" s="198"/>
      <c r="C379" s="208"/>
      <c r="D379" s="207"/>
      <c r="E379" s="198"/>
      <c r="F379" s="198"/>
      <c r="G379" s="198"/>
      <c r="H379" s="199"/>
      <c r="I379" s="200"/>
      <c r="J379" s="62"/>
      <c r="K379" s="62"/>
      <c r="L379" s="62"/>
      <c r="M379" s="62"/>
      <c r="N379" s="62"/>
      <c r="O379" s="60"/>
      <c r="P379" s="62"/>
      <c r="Q379" s="66"/>
      <c r="R379" s="62"/>
      <c r="S379" s="62"/>
      <c r="T379" s="62"/>
      <c r="U379" s="74"/>
      <c r="V379" s="62"/>
      <c r="W379" s="75"/>
      <c r="X379" s="74"/>
      <c r="Y379" s="61"/>
      <c r="Z379" s="201"/>
      <c r="AA379" s="201"/>
      <c r="AB379" s="201"/>
      <c r="AC379" s="201"/>
      <c r="AD379" s="201"/>
      <c r="AE379" s="201"/>
      <c r="AF379" s="201"/>
      <c r="AG379" s="201"/>
      <c r="AH379" s="201"/>
      <c r="AI379" s="201"/>
      <c r="AJ379" s="201"/>
      <c r="AK379" s="201"/>
      <c r="AL379" s="201"/>
      <c r="AM379" s="201"/>
      <c r="AN379" s="201"/>
      <c r="AO379" s="201"/>
    </row>
    <row r="380">
      <c r="A380" s="197"/>
      <c r="B380" s="198"/>
      <c r="C380" s="199"/>
      <c r="D380" s="207"/>
      <c r="E380" s="198"/>
      <c r="F380" s="198"/>
      <c r="G380" s="198"/>
      <c r="H380" s="199"/>
      <c r="I380" s="199"/>
      <c r="J380" s="62"/>
      <c r="K380" s="62"/>
      <c r="L380" s="62"/>
      <c r="M380" s="62"/>
      <c r="N380" s="62"/>
      <c r="O380" s="60"/>
      <c r="P380" s="62"/>
      <c r="Q380" s="66"/>
      <c r="R380" s="62"/>
      <c r="S380" s="62"/>
      <c r="T380" s="62"/>
      <c r="U380" s="74"/>
      <c r="V380" s="62"/>
      <c r="W380" s="75"/>
      <c r="X380" s="74"/>
      <c r="Y380" s="61"/>
      <c r="Z380" s="201"/>
      <c r="AA380" s="201"/>
      <c r="AB380" s="201"/>
      <c r="AC380" s="201"/>
      <c r="AD380" s="201"/>
      <c r="AE380" s="201"/>
      <c r="AF380" s="201"/>
      <c r="AG380" s="201"/>
      <c r="AH380" s="201"/>
      <c r="AI380" s="201"/>
      <c r="AJ380" s="201"/>
      <c r="AK380" s="201"/>
      <c r="AL380" s="201"/>
      <c r="AM380" s="201"/>
      <c r="AN380" s="201"/>
      <c r="AO380" s="201"/>
    </row>
    <row r="381">
      <c r="A381" s="197"/>
      <c r="B381" s="198"/>
      <c r="C381" s="199"/>
      <c r="D381" s="197"/>
      <c r="E381" s="197"/>
      <c r="F381" s="198"/>
      <c r="G381" s="198"/>
      <c r="H381" s="199"/>
      <c r="I381" s="199"/>
      <c r="J381" s="62"/>
      <c r="K381" s="62"/>
      <c r="L381" s="62"/>
      <c r="M381" s="62"/>
      <c r="N381" s="62"/>
      <c r="O381" s="60"/>
      <c r="P381" s="62"/>
      <c r="Q381" s="66"/>
      <c r="R381" s="62"/>
      <c r="S381" s="62"/>
      <c r="T381" s="62"/>
      <c r="U381" s="74"/>
      <c r="V381" s="62"/>
      <c r="W381" s="75"/>
      <c r="X381" s="74"/>
      <c r="Y381" s="61"/>
      <c r="Z381" s="201"/>
      <c r="AA381" s="201"/>
      <c r="AB381" s="201"/>
      <c r="AC381" s="201"/>
      <c r="AD381" s="201"/>
      <c r="AE381" s="201"/>
      <c r="AF381" s="201"/>
      <c r="AG381" s="201"/>
      <c r="AH381" s="201"/>
      <c r="AI381" s="201"/>
      <c r="AJ381" s="201"/>
      <c r="AK381" s="201"/>
      <c r="AL381" s="201"/>
      <c r="AM381" s="201"/>
      <c r="AN381" s="201"/>
      <c r="AO381" s="201"/>
    </row>
    <row r="382">
      <c r="A382" s="197"/>
      <c r="B382" s="198"/>
      <c r="C382" s="212"/>
      <c r="D382" s="197"/>
      <c r="E382" s="197"/>
      <c r="F382" s="198"/>
      <c r="G382" s="198"/>
      <c r="H382" s="199"/>
      <c r="I382" s="199"/>
      <c r="J382" s="62"/>
      <c r="K382" s="62"/>
      <c r="L382" s="62"/>
      <c r="M382" s="62"/>
      <c r="N382" s="62"/>
      <c r="O382" s="60"/>
      <c r="P382" s="62"/>
      <c r="Q382" s="66"/>
      <c r="R382" s="62"/>
      <c r="S382" s="62"/>
      <c r="T382" s="62"/>
      <c r="U382" s="74"/>
      <c r="V382" s="62"/>
      <c r="W382" s="75"/>
      <c r="X382" s="74"/>
      <c r="Y382" s="61"/>
      <c r="Z382" s="201"/>
      <c r="AA382" s="201"/>
      <c r="AB382" s="201"/>
      <c r="AC382" s="201"/>
      <c r="AD382" s="201"/>
      <c r="AE382" s="201"/>
      <c r="AF382" s="201"/>
      <c r="AG382" s="201"/>
      <c r="AH382" s="201"/>
      <c r="AI382" s="201"/>
      <c r="AJ382" s="201"/>
      <c r="AK382" s="201"/>
      <c r="AL382" s="201"/>
      <c r="AM382" s="201"/>
      <c r="AN382" s="201"/>
      <c r="AO382" s="201"/>
    </row>
    <row r="383">
      <c r="A383" s="197"/>
      <c r="B383" s="198"/>
      <c r="C383" s="200"/>
      <c r="D383" s="197"/>
      <c r="E383" s="197"/>
      <c r="F383" s="198"/>
      <c r="G383" s="198"/>
      <c r="H383" s="199"/>
      <c r="I383" s="199"/>
      <c r="J383" s="62"/>
      <c r="K383" s="62"/>
      <c r="L383" s="62"/>
      <c r="M383" s="62"/>
      <c r="N383" s="62"/>
      <c r="O383" s="60"/>
      <c r="P383" s="62"/>
      <c r="Q383" s="66"/>
      <c r="R383" s="62"/>
      <c r="S383" s="62"/>
      <c r="T383" s="62"/>
      <c r="U383" s="74"/>
      <c r="V383" s="62"/>
      <c r="W383" s="75"/>
      <c r="X383" s="74"/>
      <c r="Y383" s="61"/>
      <c r="Z383" s="201"/>
      <c r="AA383" s="201"/>
      <c r="AB383" s="201"/>
      <c r="AC383" s="201"/>
      <c r="AD383" s="201"/>
      <c r="AE383" s="201"/>
      <c r="AF383" s="201"/>
      <c r="AG383" s="201"/>
      <c r="AH383" s="201"/>
      <c r="AI383" s="201"/>
      <c r="AJ383" s="201"/>
      <c r="AK383" s="201"/>
      <c r="AL383" s="201"/>
      <c r="AM383" s="201"/>
      <c r="AN383" s="201"/>
      <c r="AO383" s="201"/>
    </row>
    <row r="384">
      <c r="A384" s="197"/>
      <c r="B384" s="198"/>
      <c r="C384" s="199"/>
      <c r="D384" s="197"/>
      <c r="E384" s="197"/>
      <c r="F384" s="198"/>
      <c r="G384" s="198"/>
      <c r="H384" s="199"/>
      <c r="I384" s="199"/>
      <c r="J384" s="62"/>
      <c r="K384" s="62"/>
      <c r="L384" s="62"/>
      <c r="M384" s="62"/>
      <c r="N384" s="62"/>
      <c r="O384" s="60"/>
      <c r="P384" s="62"/>
      <c r="Q384" s="66"/>
      <c r="R384" s="62"/>
      <c r="S384" s="62"/>
      <c r="T384" s="62"/>
      <c r="U384" s="74"/>
      <c r="V384" s="62"/>
      <c r="W384" s="75"/>
      <c r="X384" s="74"/>
      <c r="Y384" s="61"/>
      <c r="Z384" s="201"/>
      <c r="AA384" s="201"/>
      <c r="AB384" s="201"/>
      <c r="AC384" s="201"/>
      <c r="AD384" s="201"/>
      <c r="AE384" s="201"/>
      <c r="AF384" s="201"/>
      <c r="AG384" s="201"/>
      <c r="AH384" s="201"/>
      <c r="AI384" s="201"/>
      <c r="AJ384" s="201"/>
      <c r="AK384" s="201"/>
      <c r="AL384" s="201"/>
      <c r="AM384" s="201"/>
      <c r="AN384" s="201"/>
      <c r="AO384" s="201"/>
    </row>
    <row r="385">
      <c r="A385" s="197"/>
      <c r="B385" s="198"/>
      <c r="C385" s="199"/>
      <c r="D385" s="197"/>
      <c r="E385" s="197"/>
      <c r="F385" s="198"/>
      <c r="G385" s="198"/>
      <c r="H385" s="199"/>
      <c r="I385" s="199"/>
      <c r="J385" s="62"/>
      <c r="K385" s="62"/>
      <c r="L385" s="62"/>
      <c r="M385" s="62"/>
      <c r="N385" s="62"/>
      <c r="O385" s="60"/>
      <c r="P385" s="62"/>
      <c r="Q385" s="66"/>
      <c r="R385" s="62"/>
      <c r="S385" s="62"/>
      <c r="T385" s="62"/>
      <c r="U385" s="74"/>
      <c r="V385" s="62"/>
      <c r="W385" s="75"/>
      <c r="X385" s="74"/>
      <c r="Y385" s="61"/>
      <c r="Z385" s="201"/>
      <c r="AA385" s="201"/>
      <c r="AB385" s="201"/>
      <c r="AC385" s="201"/>
      <c r="AD385" s="201"/>
      <c r="AE385" s="201"/>
      <c r="AF385" s="201"/>
      <c r="AG385" s="201"/>
      <c r="AH385" s="201"/>
      <c r="AI385" s="201"/>
      <c r="AJ385" s="201"/>
      <c r="AK385" s="201"/>
      <c r="AL385" s="201"/>
      <c r="AM385" s="201"/>
      <c r="AN385" s="201"/>
      <c r="AO385" s="201"/>
    </row>
    <row r="386">
      <c r="A386" s="197"/>
      <c r="B386" s="198"/>
      <c r="C386" s="199"/>
      <c r="D386" s="197"/>
      <c r="E386" s="197"/>
      <c r="F386" s="198"/>
      <c r="G386" s="198"/>
      <c r="H386" s="199"/>
      <c r="I386" s="199"/>
      <c r="J386" s="62"/>
      <c r="K386" s="62"/>
      <c r="L386" s="62"/>
      <c r="M386" s="62"/>
      <c r="N386" s="62"/>
      <c r="O386" s="60"/>
      <c r="P386" s="62"/>
      <c r="Q386" s="66"/>
      <c r="R386" s="62"/>
      <c r="S386" s="62"/>
      <c r="T386" s="62"/>
      <c r="U386" s="74"/>
      <c r="V386" s="62"/>
      <c r="W386" s="75"/>
      <c r="X386" s="74"/>
      <c r="Y386" s="61"/>
      <c r="Z386" s="201"/>
      <c r="AA386" s="201"/>
      <c r="AB386" s="201"/>
      <c r="AC386" s="201"/>
      <c r="AD386" s="201"/>
      <c r="AE386" s="201"/>
      <c r="AF386" s="201"/>
      <c r="AG386" s="201"/>
      <c r="AH386" s="201"/>
      <c r="AI386" s="201"/>
      <c r="AJ386" s="201"/>
      <c r="AK386" s="201"/>
      <c r="AL386" s="201"/>
      <c r="AM386" s="201"/>
      <c r="AN386" s="201"/>
      <c r="AO386" s="201"/>
    </row>
    <row r="387">
      <c r="A387" s="197"/>
      <c r="B387" s="198"/>
      <c r="C387" s="199"/>
      <c r="D387" s="197"/>
      <c r="E387" s="197"/>
      <c r="F387" s="197"/>
      <c r="G387" s="198"/>
      <c r="H387" s="199"/>
      <c r="I387" s="199"/>
      <c r="J387" s="62"/>
      <c r="K387" s="62"/>
      <c r="L387" s="62"/>
      <c r="M387" s="62"/>
      <c r="N387" s="62"/>
      <c r="O387" s="60"/>
      <c r="P387" s="62"/>
      <c r="Q387" s="66"/>
      <c r="R387" s="62"/>
      <c r="S387" s="62"/>
      <c r="T387" s="62"/>
      <c r="U387" s="74"/>
      <c r="V387" s="62"/>
      <c r="W387" s="75"/>
      <c r="X387" s="74"/>
      <c r="Y387" s="61"/>
      <c r="Z387" s="201"/>
      <c r="AA387" s="201"/>
      <c r="AB387" s="201"/>
      <c r="AC387" s="201"/>
      <c r="AD387" s="201"/>
      <c r="AE387" s="201"/>
      <c r="AF387" s="201"/>
      <c r="AG387" s="201"/>
      <c r="AH387" s="201"/>
      <c r="AI387" s="201"/>
      <c r="AJ387" s="201"/>
      <c r="AK387" s="201"/>
      <c r="AL387" s="201"/>
      <c r="AM387" s="201"/>
      <c r="AN387" s="201"/>
      <c r="AO387" s="201"/>
    </row>
    <row r="388">
      <c r="A388" s="197"/>
      <c r="B388" s="198"/>
      <c r="C388" s="199"/>
      <c r="D388" s="197"/>
      <c r="E388" s="197"/>
      <c r="F388" s="197"/>
      <c r="G388" s="198"/>
      <c r="H388" s="199"/>
      <c r="I388" s="199"/>
      <c r="J388" s="62"/>
      <c r="K388" s="62"/>
      <c r="L388" s="62"/>
      <c r="M388" s="62"/>
      <c r="N388" s="62"/>
      <c r="O388" s="60"/>
      <c r="P388" s="62"/>
      <c r="Q388" s="66"/>
      <c r="R388" s="62"/>
      <c r="S388" s="62"/>
      <c r="T388" s="62"/>
      <c r="U388" s="74"/>
      <c r="V388" s="62"/>
      <c r="W388" s="75"/>
      <c r="X388" s="74"/>
      <c r="Y388" s="61"/>
      <c r="Z388" s="201"/>
      <c r="AA388" s="201"/>
      <c r="AB388" s="201"/>
      <c r="AC388" s="201"/>
      <c r="AD388" s="201"/>
      <c r="AE388" s="201"/>
      <c r="AF388" s="201"/>
      <c r="AG388" s="201"/>
      <c r="AH388" s="201"/>
      <c r="AI388" s="201"/>
      <c r="AJ388" s="201"/>
      <c r="AK388" s="201"/>
      <c r="AL388" s="201"/>
      <c r="AM388" s="201"/>
      <c r="AN388" s="201"/>
      <c r="AO388" s="201"/>
    </row>
    <row r="389">
      <c r="A389" s="197"/>
      <c r="B389" s="198"/>
      <c r="C389" s="199"/>
      <c r="D389" s="197"/>
      <c r="E389" s="197"/>
      <c r="F389" s="197"/>
      <c r="G389" s="198"/>
      <c r="H389" s="199"/>
      <c r="I389" s="199"/>
      <c r="J389" s="62"/>
      <c r="K389" s="62"/>
      <c r="L389" s="62"/>
      <c r="M389" s="62"/>
      <c r="N389" s="62"/>
      <c r="O389" s="60"/>
      <c r="P389" s="62"/>
      <c r="Q389" s="66"/>
      <c r="R389" s="62"/>
      <c r="S389" s="62"/>
      <c r="T389" s="62"/>
      <c r="U389" s="74"/>
      <c r="V389" s="62"/>
      <c r="W389" s="75"/>
      <c r="X389" s="74"/>
      <c r="Y389" s="61"/>
      <c r="Z389" s="201"/>
      <c r="AA389" s="201"/>
      <c r="AB389" s="201"/>
      <c r="AC389" s="201"/>
      <c r="AD389" s="201"/>
      <c r="AE389" s="201"/>
      <c r="AF389" s="201"/>
      <c r="AG389" s="201"/>
      <c r="AH389" s="201"/>
      <c r="AI389" s="201"/>
      <c r="AJ389" s="201"/>
      <c r="AK389" s="201"/>
      <c r="AL389" s="201"/>
      <c r="AM389" s="201"/>
      <c r="AN389" s="201"/>
      <c r="AO389" s="201"/>
    </row>
    <row r="390">
      <c r="A390" s="197"/>
      <c r="B390" s="198"/>
      <c r="C390" s="199"/>
      <c r="D390" s="197"/>
      <c r="E390" s="197"/>
      <c r="F390" s="197"/>
      <c r="G390" s="198"/>
      <c r="H390" s="199"/>
      <c r="I390" s="199"/>
      <c r="J390" s="62"/>
      <c r="K390" s="62"/>
      <c r="L390" s="62"/>
      <c r="M390" s="62"/>
      <c r="N390" s="62"/>
      <c r="O390" s="60"/>
      <c r="P390" s="62"/>
      <c r="Q390" s="66"/>
      <c r="R390" s="62"/>
      <c r="S390" s="62"/>
      <c r="T390" s="62"/>
      <c r="U390" s="74"/>
      <c r="V390" s="62"/>
      <c r="W390" s="75"/>
      <c r="X390" s="74"/>
      <c r="Y390" s="61"/>
      <c r="Z390" s="201"/>
      <c r="AA390" s="201"/>
      <c r="AB390" s="201"/>
      <c r="AC390" s="201"/>
      <c r="AD390" s="201"/>
      <c r="AE390" s="201"/>
      <c r="AF390" s="201"/>
      <c r="AG390" s="201"/>
      <c r="AH390" s="201"/>
      <c r="AI390" s="201"/>
      <c r="AJ390" s="201"/>
      <c r="AK390" s="201"/>
      <c r="AL390" s="201"/>
      <c r="AM390" s="201"/>
      <c r="AN390" s="201"/>
      <c r="AO390" s="201"/>
    </row>
    <row r="391">
      <c r="A391" s="197"/>
      <c r="B391" s="198"/>
      <c r="C391" s="199"/>
      <c r="D391" s="197"/>
      <c r="E391" s="197"/>
      <c r="F391" s="197"/>
      <c r="G391" s="198"/>
      <c r="H391" s="199"/>
      <c r="I391" s="199"/>
      <c r="J391" s="62"/>
      <c r="K391" s="62"/>
      <c r="L391" s="62"/>
      <c r="M391" s="62"/>
      <c r="N391" s="62"/>
      <c r="O391" s="60"/>
      <c r="P391" s="62"/>
      <c r="Q391" s="66"/>
      <c r="R391" s="62"/>
      <c r="S391" s="62"/>
      <c r="T391" s="62"/>
      <c r="U391" s="74"/>
      <c r="V391" s="62"/>
      <c r="W391" s="75"/>
      <c r="X391" s="74"/>
      <c r="Y391" s="61"/>
      <c r="Z391" s="201"/>
      <c r="AA391" s="201"/>
      <c r="AB391" s="201"/>
      <c r="AC391" s="201"/>
      <c r="AD391" s="201"/>
      <c r="AE391" s="201"/>
      <c r="AF391" s="201"/>
      <c r="AG391" s="201"/>
      <c r="AH391" s="201"/>
      <c r="AI391" s="201"/>
      <c r="AJ391" s="201"/>
      <c r="AK391" s="201"/>
      <c r="AL391" s="201"/>
      <c r="AM391" s="201"/>
      <c r="AN391" s="201"/>
      <c r="AO391" s="201"/>
    </row>
    <row r="392">
      <c r="A392" s="197"/>
      <c r="B392" s="198"/>
      <c r="C392" s="199"/>
      <c r="D392" s="197"/>
      <c r="E392" s="197"/>
      <c r="F392" s="197"/>
      <c r="G392" s="198"/>
      <c r="H392" s="199"/>
      <c r="I392" s="199"/>
      <c r="J392" s="62"/>
      <c r="K392" s="62"/>
      <c r="L392" s="62"/>
      <c r="M392" s="62"/>
      <c r="N392" s="62"/>
      <c r="O392" s="60"/>
      <c r="P392" s="62"/>
      <c r="Q392" s="66"/>
      <c r="R392" s="62"/>
      <c r="S392" s="62"/>
      <c r="T392" s="62"/>
      <c r="U392" s="74"/>
      <c r="V392" s="62"/>
      <c r="W392" s="75"/>
      <c r="X392" s="74"/>
      <c r="Y392" s="61"/>
      <c r="Z392" s="201"/>
      <c r="AA392" s="201"/>
      <c r="AB392" s="201"/>
      <c r="AC392" s="201"/>
      <c r="AD392" s="201"/>
      <c r="AE392" s="201"/>
      <c r="AF392" s="201"/>
      <c r="AG392" s="201"/>
      <c r="AH392" s="201"/>
      <c r="AI392" s="201"/>
      <c r="AJ392" s="201"/>
      <c r="AK392" s="201"/>
      <c r="AL392" s="201"/>
      <c r="AM392" s="201"/>
      <c r="AN392" s="201"/>
      <c r="AO392" s="201"/>
    </row>
    <row r="393">
      <c r="A393" s="197"/>
      <c r="B393" s="198"/>
      <c r="C393" s="199"/>
      <c r="D393" s="197"/>
      <c r="E393" s="197"/>
      <c r="F393" s="197"/>
      <c r="G393" s="198"/>
      <c r="H393" s="199"/>
      <c r="I393" s="199"/>
      <c r="J393" s="62"/>
      <c r="K393" s="62"/>
      <c r="L393" s="62"/>
      <c r="M393" s="62"/>
      <c r="N393" s="62"/>
      <c r="O393" s="60"/>
      <c r="P393" s="62"/>
      <c r="Q393" s="66"/>
      <c r="R393" s="62"/>
      <c r="S393" s="62"/>
      <c r="T393" s="62"/>
      <c r="U393" s="74"/>
      <c r="V393" s="62"/>
      <c r="W393" s="75"/>
      <c r="X393" s="74"/>
      <c r="Y393" s="61"/>
      <c r="Z393" s="201"/>
      <c r="AA393" s="201"/>
      <c r="AB393" s="201"/>
      <c r="AC393" s="201"/>
      <c r="AD393" s="201"/>
      <c r="AE393" s="201"/>
      <c r="AF393" s="201"/>
      <c r="AG393" s="201"/>
      <c r="AH393" s="201"/>
      <c r="AI393" s="201"/>
      <c r="AJ393" s="201"/>
      <c r="AK393" s="201"/>
      <c r="AL393" s="201"/>
      <c r="AM393" s="201"/>
      <c r="AN393" s="201"/>
      <c r="AO393" s="201"/>
    </row>
    <row r="394">
      <c r="A394" s="197"/>
      <c r="B394" s="198"/>
      <c r="C394" s="199"/>
      <c r="D394" s="197"/>
      <c r="E394" s="197"/>
      <c r="F394" s="197"/>
      <c r="G394" s="198"/>
      <c r="H394" s="199"/>
      <c r="I394" s="199"/>
      <c r="J394" s="62"/>
      <c r="K394" s="62"/>
      <c r="L394" s="62"/>
      <c r="M394" s="62"/>
      <c r="N394" s="62"/>
      <c r="O394" s="60"/>
      <c r="P394" s="62"/>
      <c r="Q394" s="66"/>
      <c r="R394" s="62"/>
      <c r="S394" s="62"/>
      <c r="T394" s="62"/>
      <c r="U394" s="74"/>
      <c r="V394" s="62"/>
      <c r="W394" s="75"/>
      <c r="X394" s="74"/>
      <c r="Y394" s="61"/>
      <c r="Z394" s="201"/>
      <c r="AA394" s="201"/>
      <c r="AB394" s="201"/>
      <c r="AC394" s="201"/>
      <c r="AD394" s="201"/>
      <c r="AE394" s="201"/>
      <c r="AF394" s="201"/>
      <c r="AG394" s="201"/>
      <c r="AH394" s="201"/>
      <c r="AI394" s="201"/>
      <c r="AJ394" s="201"/>
      <c r="AK394" s="201"/>
      <c r="AL394" s="201"/>
      <c r="AM394" s="201"/>
      <c r="AN394" s="201"/>
      <c r="AO394" s="201"/>
    </row>
    <row r="395">
      <c r="A395" s="197"/>
      <c r="B395" s="198"/>
      <c r="C395" s="199"/>
      <c r="D395" s="197"/>
      <c r="E395" s="197"/>
      <c r="F395" s="197"/>
      <c r="G395" s="198"/>
      <c r="H395" s="199"/>
      <c r="I395" s="199"/>
      <c r="J395" s="62"/>
      <c r="K395" s="62"/>
      <c r="L395" s="62"/>
      <c r="M395" s="62"/>
      <c r="N395" s="62"/>
      <c r="O395" s="60"/>
      <c r="P395" s="62"/>
      <c r="Q395" s="66"/>
      <c r="R395" s="62"/>
      <c r="S395" s="62"/>
      <c r="T395" s="62"/>
      <c r="U395" s="74"/>
      <c r="V395" s="62"/>
      <c r="W395" s="75"/>
      <c r="X395" s="74"/>
      <c r="Y395" s="61"/>
      <c r="Z395" s="201"/>
      <c r="AA395" s="201"/>
      <c r="AB395" s="201"/>
      <c r="AC395" s="201"/>
      <c r="AD395" s="201"/>
      <c r="AE395" s="201"/>
      <c r="AF395" s="201"/>
      <c r="AG395" s="201"/>
      <c r="AH395" s="201"/>
      <c r="AI395" s="201"/>
      <c r="AJ395" s="201"/>
      <c r="AK395" s="201"/>
      <c r="AL395" s="201"/>
      <c r="AM395" s="201"/>
      <c r="AN395" s="201"/>
      <c r="AO395" s="201"/>
    </row>
    <row r="396">
      <c r="A396" s="197"/>
      <c r="B396" s="198"/>
      <c r="C396" s="199"/>
      <c r="D396" s="197"/>
      <c r="E396" s="197"/>
      <c r="F396" s="197"/>
      <c r="G396" s="198"/>
      <c r="H396" s="199"/>
      <c r="I396" s="199"/>
      <c r="J396" s="62"/>
      <c r="K396" s="62"/>
      <c r="L396" s="62"/>
      <c r="M396" s="62"/>
      <c r="N396" s="62"/>
      <c r="O396" s="60"/>
      <c r="P396" s="62"/>
      <c r="Q396" s="66"/>
      <c r="R396" s="62"/>
      <c r="S396" s="62"/>
      <c r="T396" s="62"/>
      <c r="U396" s="74"/>
      <c r="V396" s="62"/>
      <c r="W396" s="75"/>
      <c r="X396" s="74"/>
      <c r="Y396" s="61"/>
      <c r="Z396" s="201"/>
      <c r="AA396" s="201"/>
      <c r="AB396" s="201"/>
      <c r="AC396" s="201"/>
      <c r="AD396" s="201"/>
      <c r="AE396" s="201"/>
      <c r="AF396" s="201"/>
      <c r="AG396" s="201"/>
      <c r="AH396" s="201"/>
      <c r="AI396" s="201"/>
      <c r="AJ396" s="201"/>
      <c r="AK396" s="201"/>
      <c r="AL396" s="201"/>
      <c r="AM396" s="201"/>
      <c r="AN396" s="201"/>
      <c r="AO396" s="201"/>
    </row>
    <row r="397">
      <c r="A397" s="197"/>
      <c r="B397" s="198"/>
      <c r="C397" s="199"/>
      <c r="D397" s="197"/>
      <c r="E397" s="197"/>
      <c r="F397" s="197"/>
      <c r="G397" s="197"/>
      <c r="H397" s="199"/>
      <c r="I397" s="199"/>
      <c r="J397" s="62"/>
      <c r="K397" s="62"/>
      <c r="L397" s="62"/>
      <c r="M397" s="62"/>
      <c r="N397" s="62"/>
      <c r="O397" s="60"/>
      <c r="P397" s="62"/>
      <c r="Q397" s="66"/>
      <c r="R397" s="62"/>
      <c r="S397" s="62"/>
      <c r="T397" s="62"/>
      <c r="U397" s="74"/>
      <c r="V397" s="62"/>
      <c r="W397" s="75"/>
      <c r="X397" s="74"/>
      <c r="Y397" s="61"/>
      <c r="Z397" s="201"/>
      <c r="AA397" s="201"/>
      <c r="AB397" s="201"/>
      <c r="AC397" s="201"/>
      <c r="AD397" s="201"/>
      <c r="AE397" s="201"/>
      <c r="AF397" s="201"/>
      <c r="AG397" s="201"/>
      <c r="AH397" s="201"/>
      <c r="AI397" s="201"/>
      <c r="AJ397" s="201"/>
      <c r="AK397" s="201"/>
      <c r="AL397" s="201"/>
      <c r="AM397" s="201"/>
      <c r="AN397" s="201"/>
      <c r="AO397" s="201"/>
    </row>
    <row r="398">
      <c r="A398" s="197"/>
      <c r="B398" s="198"/>
      <c r="C398" s="199"/>
      <c r="D398" s="197"/>
      <c r="E398" s="197"/>
      <c r="F398" s="197"/>
      <c r="G398" s="197"/>
      <c r="H398" s="199"/>
      <c r="I398" s="199"/>
      <c r="J398" s="62"/>
      <c r="K398" s="62"/>
      <c r="L398" s="62"/>
      <c r="M398" s="62"/>
      <c r="N398" s="62"/>
      <c r="O398" s="60"/>
      <c r="P398" s="62"/>
      <c r="Q398" s="66"/>
      <c r="R398" s="62"/>
      <c r="S398" s="62"/>
      <c r="T398" s="62"/>
      <c r="U398" s="74"/>
      <c r="V398" s="62"/>
      <c r="W398" s="75"/>
      <c r="X398" s="74"/>
      <c r="Y398" s="61"/>
      <c r="Z398" s="201"/>
      <c r="AA398" s="201"/>
      <c r="AB398" s="201"/>
      <c r="AC398" s="201"/>
      <c r="AD398" s="201"/>
      <c r="AE398" s="201"/>
      <c r="AF398" s="201"/>
      <c r="AG398" s="201"/>
      <c r="AH398" s="201"/>
      <c r="AI398" s="201"/>
      <c r="AJ398" s="201"/>
      <c r="AK398" s="201"/>
      <c r="AL398" s="201"/>
      <c r="AM398" s="201"/>
      <c r="AN398" s="201"/>
      <c r="AO398" s="201"/>
    </row>
    <row r="399">
      <c r="A399" s="197"/>
      <c r="B399" s="198"/>
      <c r="C399" s="199"/>
      <c r="D399" s="197"/>
      <c r="E399" s="197"/>
      <c r="F399" s="197"/>
      <c r="G399" s="197"/>
      <c r="H399" s="199"/>
      <c r="I399" s="199"/>
      <c r="J399" s="62"/>
      <c r="K399" s="62"/>
      <c r="L399" s="62"/>
      <c r="M399" s="62"/>
      <c r="N399" s="62"/>
      <c r="O399" s="60"/>
      <c r="P399" s="62"/>
      <c r="Q399" s="66"/>
      <c r="R399" s="62"/>
      <c r="S399" s="62"/>
      <c r="T399" s="62"/>
      <c r="U399" s="74"/>
      <c r="V399" s="62"/>
      <c r="W399" s="75"/>
      <c r="X399" s="74"/>
      <c r="Y399" s="61"/>
      <c r="Z399" s="201"/>
      <c r="AA399" s="201"/>
      <c r="AB399" s="201"/>
      <c r="AC399" s="201"/>
      <c r="AD399" s="201"/>
      <c r="AE399" s="201"/>
      <c r="AF399" s="201"/>
      <c r="AG399" s="201"/>
      <c r="AH399" s="201"/>
      <c r="AI399" s="201"/>
      <c r="AJ399" s="201"/>
      <c r="AK399" s="201"/>
      <c r="AL399" s="201"/>
      <c r="AM399" s="201"/>
      <c r="AN399" s="201"/>
      <c r="AO399" s="201"/>
    </row>
    <row r="400">
      <c r="A400" s="197"/>
      <c r="B400" s="198"/>
      <c r="C400" s="199"/>
      <c r="D400" s="197"/>
      <c r="E400" s="197"/>
      <c r="F400" s="197"/>
      <c r="G400" s="197"/>
      <c r="H400" s="199"/>
      <c r="I400" s="199"/>
      <c r="J400" s="62"/>
      <c r="K400" s="62"/>
      <c r="L400" s="62"/>
      <c r="M400" s="62"/>
      <c r="N400" s="62"/>
      <c r="O400" s="60"/>
      <c r="P400" s="62"/>
      <c r="Q400" s="66"/>
      <c r="R400" s="62"/>
      <c r="S400" s="62"/>
      <c r="T400" s="62"/>
      <c r="U400" s="74"/>
      <c r="V400" s="62"/>
      <c r="W400" s="75"/>
      <c r="X400" s="74"/>
      <c r="Y400" s="61"/>
      <c r="Z400" s="201"/>
      <c r="AA400" s="201"/>
      <c r="AB400" s="201"/>
      <c r="AC400" s="201"/>
      <c r="AD400" s="201"/>
      <c r="AE400" s="201"/>
      <c r="AF400" s="201"/>
      <c r="AG400" s="201"/>
      <c r="AH400" s="201"/>
      <c r="AI400" s="201"/>
      <c r="AJ400" s="201"/>
      <c r="AK400" s="201"/>
      <c r="AL400" s="201"/>
      <c r="AM400" s="201"/>
      <c r="AN400" s="201"/>
      <c r="AO400" s="201"/>
    </row>
    <row r="401">
      <c r="A401" s="197"/>
      <c r="B401" s="198"/>
      <c r="C401" s="199"/>
      <c r="D401" s="197"/>
      <c r="E401" s="197"/>
      <c r="F401" s="197"/>
      <c r="G401" s="197"/>
      <c r="H401" s="199"/>
      <c r="I401" s="199"/>
      <c r="J401" s="62"/>
      <c r="K401" s="62"/>
      <c r="L401" s="62"/>
      <c r="M401" s="62"/>
      <c r="N401" s="62"/>
      <c r="O401" s="60"/>
      <c r="P401" s="62"/>
      <c r="Q401" s="66"/>
      <c r="R401" s="62"/>
      <c r="S401" s="62"/>
      <c r="T401" s="62"/>
      <c r="U401" s="74"/>
      <c r="V401" s="62"/>
      <c r="W401" s="75"/>
      <c r="X401" s="74"/>
      <c r="Y401" s="61"/>
      <c r="Z401" s="201"/>
      <c r="AA401" s="201"/>
      <c r="AB401" s="201"/>
      <c r="AC401" s="201"/>
      <c r="AD401" s="201"/>
      <c r="AE401" s="201"/>
      <c r="AF401" s="201"/>
      <c r="AG401" s="201"/>
      <c r="AH401" s="201"/>
      <c r="AI401" s="201"/>
      <c r="AJ401" s="201"/>
      <c r="AK401" s="201"/>
      <c r="AL401" s="201"/>
      <c r="AM401" s="201"/>
      <c r="AN401" s="201"/>
      <c r="AO401" s="201"/>
    </row>
    <row r="402">
      <c r="A402" s="197"/>
      <c r="B402" s="198"/>
      <c r="C402" s="199"/>
      <c r="D402" s="197"/>
      <c r="E402" s="197"/>
      <c r="F402" s="197"/>
      <c r="G402" s="197"/>
      <c r="H402" s="199"/>
      <c r="I402" s="199"/>
      <c r="J402" s="62"/>
      <c r="K402" s="62"/>
      <c r="L402" s="62"/>
      <c r="M402" s="62"/>
      <c r="N402" s="62"/>
      <c r="O402" s="60"/>
      <c r="P402" s="62"/>
      <c r="Q402" s="66"/>
      <c r="R402" s="62"/>
      <c r="S402" s="62"/>
      <c r="T402" s="62"/>
      <c r="U402" s="74"/>
      <c r="V402" s="62"/>
      <c r="W402" s="75"/>
      <c r="X402" s="74"/>
      <c r="Y402" s="61"/>
      <c r="Z402" s="201"/>
      <c r="AA402" s="201"/>
      <c r="AB402" s="201"/>
      <c r="AC402" s="201"/>
      <c r="AD402" s="201"/>
      <c r="AE402" s="201"/>
      <c r="AF402" s="201"/>
      <c r="AG402" s="201"/>
      <c r="AH402" s="201"/>
      <c r="AI402" s="201"/>
      <c r="AJ402" s="201"/>
      <c r="AK402" s="201"/>
      <c r="AL402" s="201"/>
      <c r="AM402" s="201"/>
      <c r="AN402" s="201"/>
      <c r="AO402" s="201"/>
    </row>
    <row r="403">
      <c r="A403" s="197"/>
      <c r="B403" s="198"/>
      <c r="C403" s="199"/>
      <c r="D403" s="197"/>
      <c r="E403" s="197"/>
      <c r="F403" s="197"/>
      <c r="G403" s="197"/>
      <c r="H403" s="199"/>
      <c r="I403" s="199"/>
      <c r="J403" s="62"/>
      <c r="K403" s="62"/>
      <c r="L403" s="62"/>
      <c r="M403" s="62"/>
      <c r="N403" s="62"/>
      <c r="O403" s="60"/>
      <c r="P403" s="62"/>
      <c r="Q403" s="66"/>
      <c r="R403" s="62"/>
      <c r="S403" s="62"/>
      <c r="T403" s="62"/>
      <c r="U403" s="74"/>
      <c r="V403" s="62"/>
      <c r="W403" s="75"/>
      <c r="X403" s="74"/>
      <c r="Y403" s="61"/>
      <c r="Z403" s="201"/>
      <c r="AA403" s="201"/>
      <c r="AB403" s="201"/>
      <c r="AC403" s="201"/>
      <c r="AD403" s="201"/>
      <c r="AE403" s="201"/>
      <c r="AF403" s="201"/>
      <c r="AG403" s="201"/>
      <c r="AH403" s="201"/>
      <c r="AI403" s="201"/>
      <c r="AJ403" s="201"/>
      <c r="AK403" s="201"/>
      <c r="AL403" s="201"/>
      <c r="AM403" s="201"/>
      <c r="AN403" s="201"/>
      <c r="AO403" s="201"/>
    </row>
    <row r="404">
      <c r="A404" s="197"/>
      <c r="B404" s="198"/>
      <c r="C404" s="199"/>
      <c r="D404" s="197"/>
      <c r="E404" s="197"/>
      <c r="F404" s="197"/>
      <c r="G404" s="197"/>
      <c r="H404" s="199"/>
      <c r="I404" s="199"/>
      <c r="J404" s="62"/>
      <c r="K404" s="62"/>
      <c r="L404" s="62"/>
      <c r="M404" s="62"/>
      <c r="N404" s="62"/>
      <c r="O404" s="60"/>
      <c r="P404" s="62"/>
      <c r="Q404" s="66"/>
      <c r="R404" s="62"/>
      <c r="S404" s="62"/>
      <c r="T404" s="62"/>
      <c r="U404" s="74"/>
      <c r="V404" s="62"/>
      <c r="W404" s="75"/>
      <c r="X404" s="74"/>
      <c r="Y404" s="61"/>
      <c r="Z404" s="201"/>
      <c r="AA404" s="201"/>
      <c r="AB404" s="201"/>
      <c r="AC404" s="201"/>
      <c r="AD404" s="201"/>
      <c r="AE404" s="201"/>
      <c r="AF404" s="201"/>
      <c r="AG404" s="201"/>
      <c r="AH404" s="201"/>
      <c r="AI404" s="201"/>
      <c r="AJ404" s="201"/>
      <c r="AK404" s="201"/>
      <c r="AL404" s="201"/>
      <c r="AM404" s="201"/>
      <c r="AN404" s="201"/>
      <c r="AO404" s="201"/>
    </row>
    <row r="405">
      <c r="A405" s="197"/>
      <c r="B405" s="198"/>
      <c r="C405" s="199"/>
      <c r="D405" s="197"/>
      <c r="E405" s="197"/>
      <c r="F405" s="197"/>
      <c r="G405" s="197"/>
      <c r="H405" s="199"/>
      <c r="I405" s="199"/>
      <c r="J405" s="62"/>
      <c r="K405" s="62"/>
      <c r="L405" s="62"/>
      <c r="M405" s="62"/>
      <c r="N405" s="62"/>
      <c r="O405" s="60"/>
      <c r="P405" s="62"/>
      <c r="Q405" s="66"/>
      <c r="R405" s="62"/>
      <c r="S405" s="62"/>
      <c r="T405" s="62"/>
      <c r="U405" s="74"/>
      <c r="V405" s="62"/>
      <c r="W405" s="75"/>
      <c r="X405" s="74"/>
      <c r="Y405" s="61"/>
      <c r="Z405" s="201"/>
      <c r="AA405" s="201"/>
      <c r="AB405" s="201"/>
      <c r="AC405" s="201"/>
      <c r="AD405" s="201"/>
      <c r="AE405" s="201"/>
      <c r="AF405" s="201"/>
      <c r="AG405" s="201"/>
      <c r="AH405" s="201"/>
      <c r="AI405" s="201"/>
      <c r="AJ405" s="201"/>
      <c r="AK405" s="201"/>
      <c r="AL405" s="201"/>
      <c r="AM405" s="201"/>
      <c r="AN405" s="201"/>
      <c r="AO405" s="201"/>
    </row>
    <row r="406">
      <c r="A406" s="197"/>
      <c r="B406" s="198"/>
      <c r="C406" s="199"/>
      <c r="D406" s="197"/>
      <c r="E406" s="197"/>
      <c r="F406" s="197"/>
      <c r="G406" s="197"/>
      <c r="H406" s="199"/>
      <c r="I406" s="199"/>
      <c r="J406" s="62"/>
      <c r="K406" s="62"/>
      <c r="L406" s="62"/>
      <c r="M406" s="62"/>
      <c r="N406" s="62"/>
      <c r="O406" s="60"/>
      <c r="P406" s="62"/>
      <c r="Q406" s="66"/>
      <c r="R406" s="62"/>
      <c r="S406" s="62"/>
      <c r="T406" s="62"/>
      <c r="U406" s="74"/>
      <c r="V406" s="62"/>
      <c r="W406" s="75"/>
      <c r="X406" s="74"/>
      <c r="Y406" s="61"/>
      <c r="Z406" s="201"/>
      <c r="AA406" s="201"/>
      <c r="AB406" s="201"/>
      <c r="AC406" s="201"/>
      <c r="AD406" s="201"/>
      <c r="AE406" s="201"/>
      <c r="AF406" s="201"/>
      <c r="AG406" s="201"/>
      <c r="AH406" s="201"/>
      <c r="AI406" s="201"/>
      <c r="AJ406" s="201"/>
      <c r="AK406" s="201"/>
      <c r="AL406" s="201"/>
      <c r="AM406" s="201"/>
      <c r="AN406" s="201"/>
      <c r="AO406" s="201"/>
    </row>
    <row r="407">
      <c r="A407" s="197"/>
      <c r="B407" s="198"/>
      <c r="C407" s="199"/>
      <c r="D407" s="197"/>
      <c r="E407" s="197"/>
      <c r="F407" s="197"/>
      <c r="G407" s="197"/>
      <c r="H407" s="199"/>
      <c r="I407" s="199"/>
      <c r="J407" s="62"/>
      <c r="K407" s="62"/>
      <c r="L407" s="62"/>
      <c r="M407" s="62"/>
      <c r="N407" s="62"/>
      <c r="O407" s="60"/>
      <c r="P407" s="62"/>
      <c r="Q407" s="66"/>
      <c r="R407" s="62"/>
      <c r="S407" s="62"/>
      <c r="T407" s="62"/>
      <c r="U407" s="74"/>
      <c r="V407" s="62"/>
      <c r="W407" s="75"/>
      <c r="X407" s="74"/>
      <c r="Y407" s="61"/>
      <c r="Z407" s="201"/>
      <c r="AA407" s="201"/>
      <c r="AB407" s="201"/>
      <c r="AC407" s="201"/>
      <c r="AD407" s="201"/>
      <c r="AE407" s="201"/>
      <c r="AF407" s="201"/>
      <c r="AG407" s="201"/>
      <c r="AH407" s="201"/>
      <c r="AI407" s="201"/>
      <c r="AJ407" s="201"/>
      <c r="AK407" s="201"/>
      <c r="AL407" s="201"/>
      <c r="AM407" s="201"/>
      <c r="AN407" s="201"/>
      <c r="AO407" s="201"/>
    </row>
    <row r="408">
      <c r="A408" s="197"/>
      <c r="B408" s="198"/>
      <c r="C408" s="199"/>
      <c r="D408" s="197"/>
      <c r="E408" s="197"/>
      <c r="F408" s="197"/>
      <c r="G408" s="197"/>
      <c r="H408" s="199"/>
      <c r="I408" s="199"/>
      <c r="J408" s="62"/>
      <c r="K408" s="62"/>
      <c r="L408" s="62"/>
      <c r="M408" s="62"/>
      <c r="N408" s="62"/>
      <c r="O408" s="60"/>
      <c r="P408" s="62"/>
      <c r="Q408" s="66"/>
      <c r="R408" s="62"/>
      <c r="S408" s="62"/>
      <c r="T408" s="62"/>
      <c r="U408" s="74"/>
      <c r="V408" s="62"/>
      <c r="W408" s="75"/>
      <c r="X408" s="74"/>
      <c r="Y408" s="61"/>
      <c r="Z408" s="201"/>
      <c r="AA408" s="201"/>
      <c r="AB408" s="201"/>
      <c r="AC408" s="201"/>
      <c r="AD408" s="201"/>
      <c r="AE408" s="201"/>
      <c r="AF408" s="201"/>
      <c r="AG408" s="201"/>
      <c r="AH408" s="201"/>
      <c r="AI408" s="201"/>
      <c r="AJ408" s="201"/>
      <c r="AK408" s="201"/>
      <c r="AL408" s="201"/>
      <c r="AM408" s="201"/>
      <c r="AN408" s="201"/>
      <c r="AO408" s="201"/>
    </row>
    <row r="409">
      <c r="A409" s="197"/>
      <c r="B409" s="198"/>
      <c r="C409" s="199"/>
      <c r="D409" s="197"/>
      <c r="E409" s="197"/>
      <c r="F409" s="197"/>
      <c r="G409" s="197"/>
      <c r="H409" s="199"/>
      <c r="I409" s="199"/>
      <c r="J409" s="62"/>
      <c r="K409" s="62"/>
      <c r="L409" s="62"/>
      <c r="M409" s="62"/>
      <c r="N409" s="62"/>
      <c r="O409" s="60"/>
      <c r="P409" s="62"/>
      <c r="Q409" s="66"/>
      <c r="R409" s="62"/>
      <c r="S409" s="62"/>
      <c r="T409" s="62"/>
      <c r="U409" s="74"/>
      <c r="V409" s="62"/>
      <c r="W409" s="75"/>
      <c r="X409" s="74"/>
      <c r="Y409" s="61"/>
      <c r="Z409" s="201"/>
      <c r="AA409" s="201"/>
      <c r="AB409" s="201"/>
      <c r="AC409" s="201"/>
      <c r="AD409" s="201"/>
      <c r="AE409" s="201"/>
      <c r="AF409" s="201"/>
      <c r="AG409" s="201"/>
      <c r="AH409" s="201"/>
      <c r="AI409" s="201"/>
      <c r="AJ409" s="201"/>
      <c r="AK409" s="201"/>
      <c r="AL409" s="201"/>
      <c r="AM409" s="201"/>
      <c r="AN409" s="201"/>
      <c r="AO409" s="201"/>
    </row>
    <row r="410">
      <c r="A410" s="197"/>
      <c r="B410" s="198"/>
      <c r="C410" s="199"/>
      <c r="D410" s="197"/>
      <c r="E410" s="197"/>
      <c r="F410" s="197"/>
      <c r="G410" s="197"/>
      <c r="H410" s="199"/>
      <c r="I410" s="199"/>
      <c r="J410" s="62"/>
      <c r="K410" s="62"/>
      <c r="L410" s="62"/>
      <c r="M410" s="62"/>
      <c r="N410" s="62"/>
      <c r="O410" s="60"/>
      <c r="P410" s="62"/>
      <c r="Q410" s="66"/>
      <c r="R410" s="62"/>
      <c r="S410" s="62"/>
      <c r="T410" s="62"/>
      <c r="U410" s="74"/>
      <c r="V410" s="62"/>
      <c r="W410" s="75"/>
      <c r="X410" s="74"/>
      <c r="Y410" s="61"/>
      <c r="Z410" s="201"/>
      <c r="AA410" s="201"/>
      <c r="AB410" s="201"/>
      <c r="AC410" s="201"/>
      <c r="AD410" s="201"/>
      <c r="AE410" s="201"/>
      <c r="AF410" s="201"/>
      <c r="AG410" s="201"/>
      <c r="AH410" s="201"/>
      <c r="AI410" s="201"/>
      <c r="AJ410" s="201"/>
      <c r="AK410" s="201"/>
      <c r="AL410" s="201"/>
      <c r="AM410" s="201"/>
      <c r="AN410" s="201"/>
      <c r="AO410" s="201"/>
    </row>
    <row r="411">
      <c r="A411" s="197"/>
      <c r="B411" s="198"/>
      <c r="C411" s="199"/>
      <c r="D411" s="197"/>
      <c r="E411" s="197"/>
      <c r="F411" s="197"/>
      <c r="G411" s="197"/>
      <c r="H411" s="199"/>
      <c r="I411" s="199"/>
      <c r="J411" s="62"/>
      <c r="K411" s="62"/>
      <c r="L411" s="62"/>
      <c r="M411" s="62"/>
      <c r="N411" s="62"/>
      <c r="O411" s="60"/>
      <c r="P411" s="62"/>
      <c r="Q411" s="66"/>
      <c r="R411" s="62"/>
      <c r="S411" s="62"/>
      <c r="T411" s="62"/>
      <c r="U411" s="74"/>
      <c r="V411" s="62"/>
      <c r="W411" s="75"/>
      <c r="X411" s="74"/>
      <c r="Y411" s="61"/>
      <c r="Z411" s="201"/>
      <c r="AA411" s="201"/>
      <c r="AB411" s="201"/>
      <c r="AC411" s="201"/>
      <c r="AD411" s="201"/>
      <c r="AE411" s="201"/>
      <c r="AF411" s="201"/>
      <c r="AG411" s="201"/>
      <c r="AH411" s="201"/>
      <c r="AI411" s="201"/>
      <c r="AJ411" s="201"/>
      <c r="AK411" s="201"/>
      <c r="AL411" s="201"/>
      <c r="AM411" s="201"/>
      <c r="AN411" s="201"/>
      <c r="AO411" s="201"/>
    </row>
    <row r="412">
      <c r="A412" s="197"/>
      <c r="B412" s="198"/>
      <c r="C412" s="199"/>
      <c r="D412" s="197"/>
      <c r="E412" s="197"/>
      <c r="F412" s="197"/>
      <c r="G412" s="197"/>
      <c r="H412" s="199"/>
      <c r="I412" s="199"/>
      <c r="J412" s="62"/>
      <c r="K412" s="62"/>
      <c r="L412" s="62"/>
      <c r="M412" s="62"/>
      <c r="N412" s="62"/>
      <c r="O412" s="60"/>
      <c r="P412" s="62"/>
      <c r="Q412" s="66"/>
      <c r="R412" s="62"/>
      <c r="S412" s="62"/>
      <c r="T412" s="62"/>
      <c r="U412" s="74"/>
      <c r="V412" s="62"/>
      <c r="W412" s="75"/>
      <c r="X412" s="74"/>
      <c r="Y412" s="61"/>
      <c r="Z412" s="201"/>
      <c r="AA412" s="201"/>
      <c r="AB412" s="201"/>
      <c r="AC412" s="201"/>
      <c r="AD412" s="201"/>
      <c r="AE412" s="201"/>
      <c r="AF412" s="201"/>
      <c r="AG412" s="201"/>
      <c r="AH412" s="201"/>
      <c r="AI412" s="201"/>
      <c r="AJ412" s="201"/>
      <c r="AK412" s="201"/>
      <c r="AL412" s="201"/>
      <c r="AM412" s="201"/>
      <c r="AN412" s="201"/>
      <c r="AO412" s="201"/>
    </row>
    <row r="413">
      <c r="A413" s="197"/>
      <c r="B413" s="198"/>
      <c r="C413" s="199"/>
      <c r="D413" s="197"/>
      <c r="E413" s="197"/>
      <c r="F413" s="197"/>
      <c r="G413" s="197"/>
      <c r="H413" s="199"/>
      <c r="I413" s="199"/>
      <c r="J413" s="62"/>
      <c r="K413" s="62"/>
      <c r="L413" s="62"/>
      <c r="M413" s="62"/>
      <c r="N413" s="62"/>
      <c r="O413" s="60"/>
      <c r="P413" s="62"/>
      <c r="Q413" s="66"/>
      <c r="R413" s="62"/>
      <c r="S413" s="62"/>
      <c r="T413" s="62"/>
      <c r="U413" s="74"/>
      <c r="V413" s="62"/>
      <c r="W413" s="75"/>
      <c r="X413" s="74"/>
      <c r="Y413" s="61"/>
      <c r="Z413" s="201"/>
      <c r="AA413" s="201"/>
      <c r="AB413" s="201"/>
      <c r="AC413" s="201"/>
      <c r="AD413" s="201"/>
      <c r="AE413" s="201"/>
      <c r="AF413" s="201"/>
      <c r="AG413" s="201"/>
      <c r="AH413" s="201"/>
      <c r="AI413" s="201"/>
      <c r="AJ413" s="201"/>
      <c r="AK413" s="201"/>
      <c r="AL413" s="201"/>
      <c r="AM413" s="201"/>
      <c r="AN413" s="201"/>
      <c r="AO413" s="201"/>
    </row>
    <row r="414">
      <c r="A414" s="197"/>
      <c r="B414" s="198"/>
      <c r="C414" s="199"/>
      <c r="D414" s="197"/>
      <c r="E414" s="197"/>
      <c r="F414" s="197"/>
      <c r="G414" s="197"/>
      <c r="H414" s="199"/>
      <c r="I414" s="199"/>
      <c r="J414" s="62"/>
      <c r="K414" s="62"/>
      <c r="L414" s="62"/>
      <c r="M414" s="62"/>
      <c r="N414" s="62"/>
      <c r="O414" s="60"/>
      <c r="P414" s="62"/>
      <c r="Q414" s="66"/>
      <c r="R414" s="62"/>
      <c r="S414" s="62"/>
      <c r="T414" s="62"/>
      <c r="U414" s="74"/>
      <c r="V414" s="62"/>
      <c r="W414" s="75"/>
      <c r="X414" s="74"/>
      <c r="Y414" s="61"/>
      <c r="Z414" s="201"/>
      <c r="AA414" s="201"/>
      <c r="AB414" s="201"/>
      <c r="AC414" s="201"/>
      <c r="AD414" s="201"/>
      <c r="AE414" s="201"/>
      <c r="AF414" s="201"/>
      <c r="AG414" s="201"/>
      <c r="AH414" s="201"/>
      <c r="AI414" s="201"/>
      <c r="AJ414" s="201"/>
      <c r="AK414" s="201"/>
      <c r="AL414" s="201"/>
      <c r="AM414" s="201"/>
      <c r="AN414" s="201"/>
      <c r="AO414" s="201"/>
    </row>
    <row r="415">
      <c r="A415" s="197"/>
      <c r="B415" s="198"/>
      <c r="C415" s="199"/>
      <c r="D415" s="197"/>
      <c r="E415" s="197"/>
      <c r="F415" s="197"/>
      <c r="G415" s="197"/>
      <c r="H415" s="199"/>
      <c r="I415" s="199"/>
      <c r="J415" s="62"/>
      <c r="K415" s="62"/>
      <c r="L415" s="62"/>
      <c r="M415" s="62"/>
      <c r="N415" s="62"/>
      <c r="O415" s="60"/>
      <c r="P415" s="62"/>
      <c r="Q415" s="66"/>
      <c r="R415" s="62"/>
      <c r="S415" s="62"/>
      <c r="T415" s="62"/>
      <c r="U415" s="74"/>
      <c r="V415" s="62"/>
      <c r="W415" s="75"/>
      <c r="X415" s="74"/>
      <c r="Y415" s="61"/>
      <c r="Z415" s="201"/>
      <c r="AA415" s="201"/>
      <c r="AB415" s="201"/>
      <c r="AC415" s="201"/>
      <c r="AD415" s="201"/>
      <c r="AE415" s="201"/>
      <c r="AF415" s="201"/>
      <c r="AG415" s="201"/>
      <c r="AH415" s="201"/>
      <c r="AI415" s="201"/>
      <c r="AJ415" s="201"/>
      <c r="AK415" s="201"/>
      <c r="AL415" s="201"/>
      <c r="AM415" s="201"/>
      <c r="AN415" s="201"/>
      <c r="AO415" s="201"/>
    </row>
    <row r="416">
      <c r="A416" s="197"/>
      <c r="B416" s="198"/>
      <c r="C416" s="199"/>
      <c r="D416" s="197"/>
      <c r="E416" s="197"/>
      <c r="F416" s="197"/>
      <c r="G416" s="197"/>
      <c r="H416" s="199"/>
      <c r="I416" s="199"/>
      <c r="J416" s="62"/>
      <c r="K416" s="62"/>
      <c r="L416" s="62"/>
      <c r="M416" s="62"/>
      <c r="N416" s="62"/>
      <c r="O416" s="60"/>
      <c r="P416" s="62"/>
      <c r="Q416" s="66"/>
      <c r="R416" s="62"/>
      <c r="S416" s="62"/>
      <c r="T416" s="62"/>
      <c r="U416" s="74"/>
      <c r="V416" s="62"/>
      <c r="W416" s="75"/>
      <c r="X416" s="74"/>
      <c r="Y416" s="61"/>
      <c r="Z416" s="201"/>
      <c r="AA416" s="201"/>
      <c r="AB416" s="201"/>
      <c r="AC416" s="201"/>
      <c r="AD416" s="201"/>
      <c r="AE416" s="201"/>
      <c r="AF416" s="201"/>
      <c r="AG416" s="201"/>
      <c r="AH416" s="201"/>
      <c r="AI416" s="201"/>
      <c r="AJ416" s="201"/>
      <c r="AK416" s="201"/>
      <c r="AL416" s="201"/>
      <c r="AM416" s="201"/>
      <c r="AN416" s="201"/>
      <c r="AO416" s="201"/>
    </row>
    <row r="417">
      <c r="A417" s="197"/>
      <c r="B417" s="198"/>
      <c r="C417" s="199"/>
      <c r="D417" s="197"/>
      <c r="E417" s="197"/>
      <c r="F417" s="197"/>
      <c r="G417" s="197"/>
      <c r="H417" s="199"/>
      <c r="I417" s="199"/>
      <c r="J417" s="62"/>
      <c r="K417" s="62"/>
      <c r="L417" s="62"/>
      <c r="M417" s="62"/>
      <c r="N417" s="62"/>
      <c r="O417" s="60"/>
      <c r="P417" s="62"/>
      <c r="Q417" s="66"/>
      <c r="R417" s="62"/>
      <c r="S417" s="62"/>
      <c r="T417" s="62"/>
      <c r="U417" s="74"/>
      <c r="V417" s="62"/>
      <c r="W417" s="75"/>
      <c r="X417" s="74"/>
      <c r="Y417" s="61"/>
      <c r="Z417" s="201"/>
      <c r="AA417" s="201"/>
      <c r="AB417" s="201"/>
      <c r="AC417" s="201"/>
      <c r="AD417" s="201"/>
      <c r="AE417" s="201"/>
      <c r="AF417" s="201"/>
      <c r="AG417" s="201"/>
      <c r="AH417" s="201"/>
      <c r="AI417" s="201"/>
      <c r="AJ417" s="201"/>
      <c r="AK417" s="201"/>
      <c r="AL417" s="201"/>
      <c r="AM417" s="201"/>
      <c r="AN417" s="201"/>
      <c r="AO417" s="201"/>
    </row>
    <row r="418">
      <c r="A418" s="197"/>
      <c r="B418" s="198"/>
      <c r="C418" s="199"/>
      <c r="D418" s="197"/>
      <c r="E418" s="197"/>
      <c r="F418" s="197"/>
      <c r="G418" s="197"/>
      <c r="H418" s="199"/>
      <c r="I418" s="199"/>
      <c r="J418" s="62"/>
      <c r="K418" s="62"/>
      <c r="L418" s="62"/>
      <c r="M418" s="62"/>
      <c r="N418" s="62"/>
      <c r="O418" s="60"/>
      <c r="P418" s="62"/>
      <c r="Q418" s="66"/>
      <c r="R418" s="62"/>
      <c r="S418" s="62"/>
      <c r="T418" s="62"/>
      <c r="U418" s="74"/>
      <c r="V418" s="62"/>
      <c r="W418" s="75"/>
      <c r="X418" s="74"/>
      <c r="Y418" s="61"/>
      <c r="Z418" s="201"/>
      <c r="AA418" s="201"/>
      <c r="AB418" s="201"/>
      <c r="AC418" s="201"/>
      <c r="AD418" s="201"/>
      <c r="AE418" s="201"/>
      <c r="AF418" s="201"/>
      <c r="AG418" s="201"/>
      <c r="AH418" s="201"/>
      <c r="AI418" s="201"/>
      <c r="AJ418" s="201"/>
      <c r="AK418" s="201"/>
      <c r="AL418" s="201"/>
      <c r="AM418" s="201"/>
      <c r="AN418" s="201"/>
      <c r="AO418" s="201"/>
    </row>
    <row r="419">
      <c r="A419" s="197"/>
      <c r="B419" s="198"/>
      <c r="C419" s="199"/>
      <c r="D419" s="197"/>
      <c r="E419" s="197"/>
      <c r="F419" s="197"/>
      <c r="G419" s="197"/>
      <c r="H419" s="199"/>
      <c r="I419" s="199"/>
      <c r="J419" s="62"/>
      <c r="K419" s="62"/>
      <c r="L419" s="62"/>
      <c r="M419" s="62"/>
      <c r="N419" s="62"/>
      <c r="O419" s="60"/>
      <c r="P419" s="62"/>
      <c r="Q419" s="66"/>
      <c r="R419" s="62"/>
      <c r="S419" s="62"/>
      <c r="T419" s="62"/>
      <c r="U419" s="74"/>
      <c r="V419" s="62"/>
      <c r="W419" s="75"/>
      <c r="X419" s="74"/>
      <c r="Y419" s="61"/>
      <c r="Z419" s="201"/>
      <c r="AA419" s="201"/>
      <c r="AB419" s="201"/>
      <c r="AC419" s="201"/>
      <c r="AD419" s="201"/>
      <c r="AE419" s="201"/>
      <c r="AF419" s="201"/>
      <c r="AG419" s="201"/>
      <c r="AH419" s="201"/>
      <c r="AI419" s="201"/>
      <c r="AJ419" s="201"/>
      <c r="AK419" s="201"/>
      <c r="AL419" s="201"/>
      <c r="AM419" s="201"/>
      <c r="AN419" s="201"/>
      <c r="AO419" s="201"/>
    </row>
    <row r="420">
      <c r="A420" s="197"/>
      <c r="B420" s="198"/>
      <c r="C420" s="199"/>
      <c r="D420" s="197"/>
      <c r="E420" s="197"/>
      <c r="F420" s="197"/>
      <c r="G420" s="197"/>
      <c r="H420" s="199"/>
      <c r="I420" s="199"/>
      <c r="J420" s="62"/>
      <c r="K420" s="62"/>
      <c r="L420" s="62"/>
      <c r="M420" s="62"/>
      <c r="N420" s="62"/>
      <c r="O420" s="60"/>
      <c r="P420" s="62"/>
      <c r="Q420" s="66"/>
      <c r="R420" s="62"/>
      <c r="S420" s="62"/>
      <c r="T420" s="62"/>
      <c r="U420" s="74"/>
      <c r="V420" s="62"/>
      <c r="W420" s="75"/>
      <c r="X420" s="74"/>
      <c r="Y420" s="61"/>
      <c r="Z420" s="201"/>
      <c r="AA420" s="201"/>
      <c r="AB420" s="201"/>
      <c r="AC420" s="201"/>
      <c r="AD420" s="201"/>
      <c r="AE420" s="201"/>
      <c r="AF420" s="201"/>
      <c r="AG420" s="201"/>
      <c r="AH420" s="201"/>
      <c r="AI420" s="201"/>
      <c r="AJ420" s="201"/>
      <c r="AK420" s="201"/>
      <c r="AL420" s="201"/>
      <c r="AM420" s="201"/>
      <c r="AN420" s="201"/>
      <c r="AO420" s="201"/>
    </row>
    <row r="421">
      <c r="A421" s="197"/>
      <c r="B421" s="198"/>
      <c r="C421" s="199"/>
      <c r="D421" s="197"/>
      <c r="E421" s="197"/>
      <c r="F421" s="197"/>
      <c r="G421" s="197"/>
      <c r="H421" s="199"/>
      <c r="I421" s="199"/>
      <c r="J421" s="62"/>
      <c r="K421" s="62"/>
      <c r="L421" s="62"/>
      <c r="M421" s="62"/>
      <c r="N421" s="62"/>
      <c r="O421" s="60"/>
      <c r="P421" s="62"/>
      <c r="Q421" s="66"/>
      <c r="R421" s="62"/>
      <c r="S421" s="62"/>
      <c r="T421" s="62"/>
      <c r="U421" s="74"/>
      <c r="V421" s="62"/>
      <c r="W421" s="75"/>
      <c r="X421" s="74"/>
      <c r="Y421" s="61"/>
      <c r="Z421" s="201"/>
      <c r="AA421" s="201"/>
      <c r="AB421" s="201"/>
      <c r="AC421" s="201"/>
      <c r="AD421" s="201"/>
      <c r="AE421" s="201"/>
      <c r="AF421" s="201"/>
      <c r="AG421" s="201"/>
      <c r="AH421" s="201"/>
      <c r="AI421" s="201"/>
      <c r="AJ421" s="201"/>
      <c r="AK421" s="201"/>
      <c r="AL421" s="201"/>
      <c r="AM421" s="201"/>
      <c r="AN421" s="201"/>
      <c r="AO421" s="201"/>
    </row>
    <row r="422">
      <c r="A422" s="197"/>
      <c r="B422" s="198"/>
      <c r="C422" s="199"/>
      <c r="D422" s="197"/>
      <c r="E422" s="197"/>
      <c r="F422" s="197"/>
      <c r="G422" s="197"/>
      <c r="H422" s="199"/>
      <c r="I422" s="199"/>
      <c r="J422" s="62"/>
      <c r="K422" s="62"/>
      <c r="L422" s="62"/>
      <c r="M422" s="62"/>
      <c r="N422" s="62"/>
      <c r="O422" s="60"/>
      <c r="P422" s="62"/>
      <c r="Q422" s="66"/>
      <c r="R422" s="62"/>
      <c r="S422" s="62"/>
      <c r="T422" s="62"/>
      <c r="U422" s="74"/>
      <c r="V422" s="62"/>
      <c r="W422" s="75"/>
      <c r="X422" s="74"/>
      <c r="Y422" s="61"/>
      <c r="Z422" s="201"/>
      <c r="AA422" s="201"/>
      <c r="AB422" s="201"/>
      <c r="AC422" s="201"/>
      <c r="AD422" s="201"/>
      <c r="AE422" s="201"/>
      <c r="AF422" s="201"/>
      <c r="AG422" s="201"/>
      <c r="AH422" s="201"/>
      <c r="AI422" s="201"/>
      <c r="AJ422" s="201"/>
      <c r="AK422" s="201"/>
      <c r="AL422" s="201"/>
      <c r="AM422" s="201"/>
      <c r="AN422" s="201"/>
      <c r="AO422" s="201"/>
    </row>
    <row r="423">
      <c r="A423" s="197"/>
      <c r="B423" s="198"/>
      <c r="C423" s="199"/>
      <c r="D423" s="197"/>
      <c r="E423" s="197"/>
      <c r="F423" s="197"/>
      <c r="G423" s="197"/>
      <c r="H423" s="199"/>
      <c r="I423" s="199"/>
      <c r="J423" s="62"/>
      <c r="K423" s="62"/>
      <c r="L423" s="62"/>
      <c r="M423" s="62"/>
      <c r="N423" s="62"/>
      <c r="O423" s="60"/>
      <c r="P423" s="62"/>
      <c r="Q423" s="66"/>
      <c r="R423" s="62"/>
      <c r="S423" s="62"/>
      <c r="T423" s="62"/>
      <c r="U423" s="74"/>
      <c r="V423" s="62"/>
      <c r="W423" s="75"/>
      <c r="X423" s="74"/>
      <c r="Y423" s="61"/>
      <c r="Z423" s="201"/>
      <c r="AA423" s="201"/>
      <c r="AB423" s="201"/>
      <c r="AC423" s="201"/>
      <c r="AD423" s="201"/>
      <c r="AE423" s="201"/>
      <c r="AF423" s="201"/>
      <c r="AG423" s="201"/>
      <c r="AH423" s="201"/>
      <c r="AI423" s="201"/>
      <c r="AJ423" s="201"/>
      <c r="AK423" s="201"/>
      <c r="AL423" s="201"/>
      <c r="AM423" s="201"/>
      <c r="AN423" s="201"/>
      <c r="AO423" s="201"/>
    </row>
    <row r="424">
      <c r="A424" s="197"/>
      <c r="B424" s="198"/>
      <c r="C424" s="199"/>
      <c r="D424" s="197"/>
      <c r="E424" s="197"/>
      <c r="F424" s="197"/>
      <c r="G424" s="197"/>
      <c r="H424" s="199"/>
      <c r="I424" s="199"/>
      <c r="J424" s="62"/>
      <c r="K424" s="62"/>
      <c r="L424" s="62"/>
      <c r="M424" s="62"/>
      <c r="N424" s="62"/>
      <c r="O424" s="60"/>
      <c r="P424" s="62"/>
      <c r="Q424" s="66"/>
      <c r="R424" s="62"/>
      <c r="S424" s="62"/>
      <c r="T424" s="62"/>
      <c r="U424" s="74"/>
      <c r="V424" s="62"/>
      <c r="W424" s="75"/>
      <c r="X424" s="74"/>
      <c r="Y424" s="61"/>
      <c r="Z424" s="201"/>
      <c r="AA424" s="201"/>
      <c r="AB424" s="201"/>
      <c r="AC424" s="201"/>
      <c r="AD424" s="201"/>
      <c r="AE424" s="201"/>
      <c r="AF424" s="201"/>
      <c r="AG424" s="201"/>
      <c r="AH424" s="201"/>
      <c r="AI424" s="201"/>
      <c r="AJ424" s="201"/>
      <c r="AK424" s="201"/>
      <c r="AL424" s="201"/>
      <c r="AM424" s="201"/>
      <c r="AN424" s="201"/>
      <c r="AO424" s="201"/>
    </row>
    <row r="425">
      <c r="A425" s="197"/>
      <c r="B425" s="198"/>
      <c r="C425" s="199"/>
      <c r="D425" s="197"/>
      <c r="E425" s="197"/>
      <c r="F425" s="197"/>
      <c r="G425" s="197"/>
      <c r="H425" s="199"/>
      <c r="I425" s="199"/>
      <c r="J425" s="62"/>
      <c r="K425" s="62"/>
      <c r="L425" s="62"/>
      <c r="M425" s="62"/>
      <c r="N425" s="62"/>
      <c r="O425" s="60"/>
      <c r="P425" s="62"/>
      <c r="Q425" s="66"/>
      <c r="R425" s="62"/>
      <c r="S425" s="62"/>
      <c r="T425" s="62"/>
      <c r="U425" s="74"/>
      <c r="V425" s="62"/>
      <c r="W425" s="75"/>
      <c r="X425" s="74"/>
      <c r="Y425" s="61"/>
      <c r="Z425" s="201"/>
      <c r="AA425" s="201"/>
      <c r="AB425" s="201"/>
      <c r="AC425" s="201"/>
      <c r="AD425" s="201"/>
      <c r="AE425" s="201"/>
      <c r="AF425" s="201"/>
      <c r="AG425" s="201"/>
      <c r="AH425" s="201"/>
      <c r="AI425" s="201"/>
      <c r="AJ425" s="201"/>
      <c r="AK425" s="201"/>
      <c r="AL425" s="201"/>
      <c r="AM425" s="201"/>
      <c r="AN425" s="201"/>
      <c r="AO425" s="201"/>
    </row>
    <row r="426">
      <c r="A426" s="197"/>
      <c r="B426" s="198"/>
      <c r="C426" s="199"/>
      <c r="D426" s="197"/>
      <c r="E426" s="197"/>
      <c r="F426" s="197"/>
      <c r="G426" s="197"/>
      <c r="H426" s="199"/>
      <c r="I426" s="199"/>
      <c r="J426" s="62"/>
      <c r="K426" s="62"/>
      <c r="L426" s="62"/>
      <c r="M426" s="62"/>
      <c r="N426" s="62"/>
      <c r="O426" s="60"/>
      <c r="P426" s="62"/>
      <c r="Q426" s="66"/>
      <c r="R426" s="62"/>
      <c r="S426" s="62"/>
      <c r="T426" s="62"/>
      <c r="U426" s="74"/>
      <c r="V426" s="62"/>
      <c r="W426" s="75"/>
      <c r="X426" s="74"/>
      <c r="Y426" s="61"/>
      <c r="Z426" s="201"/>
      <c r="AA426" s="201"/>
      <c r="AB426" s="201"/>
      <c r="AC426" s="201"/>
      <c r="AD426" s="201"/>
      <c r="AE426" s="201"/>
      <c r="AF426" s="201"/>
      <c r="AG426" s="201"/>
      <c r="AH426" s="201"/>
      <c r="AI426" s="201"/>
      <c r="AJ426" s="201"/>
      <c r="AK426" s="201"/>
      <c r="AL426" s="201"/>
      <c r="AM426" s="201"/>
      <c r="AN426" s="201"/>
      <c r="AO426" s="201"/>
    </row>
    <row r="427">
      <c r="A427" s="197"/>
      <c r="B427" s="198"/>
      <c r="C427" s="199"/>
      <c r="D427" s="197"/>
      <c r="E427" s="197"/>
      <c r="F427" s="197"/>
      <c r="G427" s="197"/>
      <c r="H427" s="199"/>
      <c r="I427" s="199"/>
      <c r="J427" s="62"/>
      <c r="K427" s="62"/>
      <c r="L427" s="62"/>
      <c r="M427" s="62"/>
      <c r="N427" s="62"/>
      <c r="O427" s="60"/>
      <c r="P427" s="62"/>
      <c r="Q427" s="66"/>
      <c r="R427" s="62"/>
      <c r="S427" s="62"/>
      <c r="T427" s="62"/>
      <c r="U427" s="74"/>
      <c r="V427" s="62"/>
      <c r="W427" s="75"/>
      <c r="X427" s="74"/>
      <c r="Y427" s="61"/>
      <c r="Z427" s="201"/>
      <c r="AA427" s="201"/>
      <c r="AB427" s="201"/>
      <c r="AC427" s="201"/>
      <c r="AD427" s="201"/>
      <c r="AE427" s="201"/>
      <c r="AF427" s="201"/>
      <c r="AG427" s="201"/>
      <c r="AH427" s="201"/>
      <c r="AI427" s="201"/>
      <c r="AJ427" s="201"/>
      <c r="AK427" s="201"/>
      <c r="AL427" s="201"/>
      <c r="AM427" s="201"/>
      <c r="AN427" s="201"/>
      <c r="AO427" s="201"/>
    </row>
    <row r="428">
      <c r="A428" s="197"/>
      <c r="B428" s="198"/>
      <c r="C428" s="199"/>
      <c r="D428" s="197"/>
      <c r="E428" s="197"/>
      <c r="F428" s="197"/>
      <c r="G428" s="197"/>
      <c r="H428" s="199"/>
      <c r="I428" s="199"/>
      <c r="J428" s="62"/>
      <c r="K428" s="62"/>
      <c r="L428" s="62"/>
      <c r="M428" s="62"/>
      <c r="N428" s="62"/>
      <c r="O428" s="60"/>
      <c r="P428" s="62"/>
      <c r="Q428" s="66"/>
      <c r="R428" s="62"/>
      <c r="S428" s="62"/>
      <c r="T428" s="62"/>
      <c r="U428" s="74"/>
      <c r="V428" s="62"/>
      <c r="W428" s="75"/>
      <c r="X428" s="74"/>
      <c r="Y428" s="61"/>
      <c r="Z428" s="201"/>
      <c r="AA428" s="201"/>
      <c r="AB428" s="201"/>
      <c r="AC428" s="201"/>
      <c r="AD428" s="201"/>
      <c r="AE428" s="201"/>
      <c r="AF428" s="201"/>
      <c r="AG428" s="201"/>
      <c r="AH428" s="201"/>
      <c r="AI428" s="201"/>
      <c r="AJ428" s="201"/>
      <c r="AK428" s="201"/>
      <c r="AL428" s="201"/>
      <c r="AM428" s="201"/>
      <c r="AN428" s="201"/>
      <c r="AO428" s="201"/>
    </row>
    <row r="429">
      <c r="A429" s="197"/>
      <c r="B429" s="198"/>
      <c r="C429" s="199"/>
      <c r="D429" s="197"/>
      <c r="E429" s="197"/>
      <c r="F429" s="197"/>
      <c r="G429" s="197"/>
      <c r="H429" s="199"/>
      <c r="I429" s="199"/>
      <c r="J429" s="62"/>
      <c r="K429" s="62"/>
      <c r="L429" s="62"/>
      <c r="M429" s="62"/>
      <c r="N429" s="62"/>
      <c r="O429" s="60"/>
      <c r="P429" s="62"/>
      <c r="Q429" s="66"/>
      <c r="R429" s="62"/>
      <c r="S429" s="62"/>
      <c r="T429" s="62"/>
      <c r="U429" s="74"/>
      <c r="V429" s="62"/>
      <c r="W429" s="75"/>
      <c r="X429" s="74"/>
      <c r="Y429" s="61"/>
      <c r="Z429" s="201"/>
      <c r="AA429" s="201"/>
      <c r="AB429" s="201"/>
      <c r="AC429" s="201"/>
      <c r="AD429" s="201"/>
      <c r="AE429" s="201"/>
      <c r="AF429" s="201"/>
      <c r="AG429" s="201"/>
      <c r="AH429" s="201"/>
      <c r="AI429" s="201"/>
      <c r="AJ429" s="201"/>
      <c r="AK429" s="201"/>
      <c r="AL429" s="201"/>
      <c r="AM429" s="201"/>
      <c r="AN429" s="201"/>
      <c r="AO429" s="201"/>
    </row>
    <row r="430">
      <c r="A430" s="197"/>
      <c r="B430" s="198"/>
      <c r="C430" s="199"/>
      <c r="D430" s="197"/>
      <c r="E430" s="197"/>
      <c r="F430" s="197"/>
      <c r="G430" s="197"/>
      <c r="H430" s="199"/>
      <c r="I430" s="199"/>
      <c r="J430" s="62"/>
      <c r="K430" s="62"/>
      <c r="L430" s="62"/>
      <c r="M430" s="62"/>
      <c r="N430" s="62"/>
      <c r="O430" s="60"/>
      <c r="P430" s="62"/>
      <c r="Q430" s="66"/>
      <c r="R430" s="62"/>
      <c r="S430" s="62"/>
      <c r="T430" s="62"/>
      <c r="U430" s="74"/>
      <c r="V430" s="62"/>
      <c r="W430" s="75"/>
      <c r="X430" s="74"/>
      <c r="Y430" s="61"/>
      <c r="Z430" s="201"/>
      <c r="AA430" s="201"/>
      <c r="AB430" s="201"/>
      <c r="AC430" s="201"/>
      <c r="AD430" s="201"/>
      <c r="AE430" s="201"/>
      <c r="AF430" s="201"/>
      <c r="AG430" s="201"/>
      <c r="AH430" s="201"/>
      <c r="AI430" s="201"/>
      <c r="AJ430" s="201"/>
      <c r="AK430" s="201"/>
      <c r="AL430" s="201"/>
      <c r="AM430" s="201"/>
      <c r="AN430" s="201"/>
      <c r="AO430" s="201"/>
    </row>
    <row r="431">
      <c r="A431" s="197"/>
      <c r="B431" s="198"/>
      <c r="C431" s="199"/>
      <c r="D431" s="197"/>
      <c r="E431" s="197"/>
      <c r="F431" s="197"/>
      <c r="G431" s="197"/>
      <c r="H431" s="199"/>
      <c r="I431" s="199"/>
      <c r="J431" s="62"/>
      <c r="K431" s="62"/>
      <c r="L431" s="62"/>
      <c r="M431" s="62"/>
      <c r="N431" s="62"/>
      <c r="O431" s="60"/>
      <c r="P431" s="62"/>
      <c r="Q431" s="66"/>
      <c r="R431" s="62"/>
      <c r="S431" s="62"/>
      <c r="T431" s="62"/>
      <c r="U431" s="74"/>
      <c r="V431" s="62"/>
      <c r="W431" s="75"/>
      <c r="X431" s="74"/>
      <c r="Y431" s="61"/>
      <c r="Z431" s="201"/>
      <c r="AA431" s="201"/>
      <c r="AB431" s="201"/>
      <c r="AC431" s="201"/>
      <c r="AD431" s="201"/>
      <c r="AE431" s="201"/>
      <c r="AF431" s="201"/>
      <c r="AG431" s="201"/>
      <c r="AH431" s="201"/>
      <c r="AI431" s="201"/>
      <c r="AJ431" s="201"/>
      <c r="AK431" s="201"/>
      <c r="AL431" s="201"/>
      <c r="AM431" s="201"/>
      <c r="AN431" s="201"/>
      <c r="AO431" s="201"/>
    </row>
    <row r="432">
      <c r="A432" s="197"/>
      <c r="B432" s="198"/>
      <c r="C432" s="199"/>
      <c r="D432" s="197"/>
      <c r="E432" s="197"/>
      <c r="F432" s="197"/>
      <c r="G432" s="197"/>
      <c r="H432" s="199"/>
      <c r="I432" s="199"/>
      <c r="J432" s="62"/>
      <c r="K432" s="62"/>
      <c r="L432" s="62"/>
      <c r="M432" s="62"/>
      <c r="N432" s="62"/>
      <c r="O432" s="60"/>
      <c r="P432" s="62"/>
      <c r="Q432" s="66"/>
      <c r="R432" s="62"/>
      <c r="S432" s="62"/>
      <c r="T432" s="62"/>
      <c r="U432" s="74"/>
      <c r="V432" s="62"/>
      <c r="W432" s="75"/>
      <c r="X432" s="74"/>
      <c r="Y432" s="61"/>
      <c r="Z432" s="201"/>
      <c r="AA432" s="201"/>
      <c r="AB432" s="201"/>
      <c r="AC432" s="201"/>
      <c r="AD432" s="201"/>
      <c r="AE432" s="201"/>
      <c r="AF432" s="201"/>
      <c r="AG432" s="201"/>
      <c r="AH432" s="201"/>
      <c r="AI432" s="201"/>
      <c r="AJ432" s="201"/>
      <c r="AK432" s="201"/>
      <c r="AL432" s="201"/>
      <c r="AM432" s="201"/>
      <c r="AN432" s="201"/>
      <c r="AO432" s="201"/>
    </row>
    <row r="433">
      <c r="A433" s="197"/>
      <c r="B433" s="198"/>
      <c r="C433" s="199"/>
      <c r="D433" s="197"/>
      <c r="E433" s="197"/>
      <c r="F433" s="197"/>
      <c r="G433" s="197"/>
      <c r="H433" s="199"/>
      <c r="I433" s="199"/>
      <c r="J433" s="62"/>
      <c r="K433" s="62"/>
      <c r="L433" s="62"/>
      <c r="M433" s="62"/>
      <c r="N433" s="62"/>
      <c r="O433" s="60"/>
      <c r="P433" s="62"/>
      <c r="Q433" s="66"/>
      <c r="R433" s="62"/>
      <c r="S433" s="62"/>
      <c r="T433" s="62"/>
      <c r="U433" s="74"/>
      <c r="V433" s="62"/>
      <c r="W433" s="75"/>
      <c r="X433" s="74"/>
      <c r="Y433" s="61"/>
      <c r="Z433" s="201"/>
      <c r="AA433" s="201"/>
      <c r="AB433" s="201"/>
      <c r="AC433" s="201"/>
      <c r="AD433" s="201"/>
      <c r="AE433" s="201"/>
      <c r="AF433" s="201"/>
      <c r="AG433" s="201"/>
      <c r="AH433" s="201"/>
      <c r="AI433" s="201"/>
      <c r="AJ433" s="201"/>
      <c r="AK433" s="201"/>
      <c r="AL433" s="201"/>
      <c r="AM433" s="201"/>
      <c r="AN433" s="201"/>
      <c r="AO433" s="201"/>
    </row>
    <row r="434">
      <c r="A434" s="197"/>
      <c r="B434" s="198"/>
      <c r="C434" s="199"/>
      <c r="D434" s="197"/>
      <c r="E434" s="197"/>
      <c r="F434" s="197"/>
      <c r="G434" s="197"/>
      <c r="H434" s="199"/>
      <c r="I434" s="199"/>
      <c r="J434" s="62"/>
      <c r="K434" s="62"/>
      <c r="L434" s="62"/>
      <c r="M434" s="62"/>
      <c r="N434" s="62"/>
      <c r="O434" s="60"/>
      <c r="P434" s="62"/>
      <c r="Q434" s="66"/>
      <c r="R434" s="62"/>
      <c r="S434" s="62"/>
      <c r="T434" s="62"/>
      <c r="U434" s="74"/>
      <c r="V434" s="62"/>
      <c r="W434" s="75"/>
      <c r="X434" s="74"/>
      <c r="Y434" s="61"/>
      <c r="Z434" s="201"/>
      <c r="AA434" s="201"/>
      <c r="AB434" s="201"/>
      <c r="AC434" s="201"/>
      <c r="AD434" s="201"/>
      <c r="AE434" s="201"/>
      <c r="AF434" s="201"/>
      <c r="AG434" s="201"/>
      <c r="AH434" s="201"/>
      <c r="AI434" s="201"/>
      <c r="AJ434" s="201"/>
      <c r="AK434" s="201"/>
      <c r="AL434" s="201"/>
      <c r="AM434" s="201"/>
      <c r="AN434" s="201"/>
      <c r="AO434" s="201"/>
    </row>
    <row r="435">
      <c r="A435" s="197"/>
      <c r="B435" s="198"/>
      <c r="C435" s="199"/>
      <c r="D435" s="197"/>
      <c r="E435" s="197"/>
      <c r="F435" s="197"/>
      <c r="G435" s="197"/>
      <c r="H435" s="199"/>
      <c r="I435" s="199"/>
      <c r="J435" s="62"/>
      <c r="K435" s="62"/>
      <c r="L435" s="62"/>
      <c r="M435" s="62"/>
      <c r="N435" s="62"/>
      <c r="O435" s="60"/>
      <c r="P435" s="62"/>
      <c r="Q435" s="66"/>
      <c r="R435" s="62"/>
      <c r="S435" s="62"/>
      <c r="T435" s="62"/>
      <c r="U435" s="74"/>
      <c r="V435" s="62"/>
      <c r="W435" s="75"/>
      <c r="X435" s="74"/>
      <c r="Y435" s="61"/>
      <c r="Z435" s="201"/>
      <c r="AA435" s="201"/>
      <c r="AB435" s="201"/>
      <c r="AC435" s="201"/>
      <c r="AD435" s="201"/>
      <c r="AE435" s="201"/>
      <c r="AF435" s="201"/>
      <c r="AG435" s="201"/>
      <c r="AH435" s="201"/>
      <c r="AI435" s="201"/>
      <c r="AJ435" s="201"/>
      <c r="AK435" s="201"/>
      <c r="AL435" s="201"/>
      <c r="AM435" s="201"/>
      <c r="AN435" s="201"/>
      <c r="AO435" s="201"/>
    </row>
    <row r="436">
      <c r="A436" s="197"/>
      <c r="B436" s="198"/>
      <c r="C436" s="199"/>
      <c r="D436" s="197"/>
      <c r="E436" s="197"/>
      <c r="F436" s="197"/>
      <c r="G436" s="197"/>
      <c r="H436" s="199"/>
      <c r="I436" s="199"/>
      <c r="J436" s="62"/>
      <c r="K436" s="62"/>
      <c r="L436" s="62"/>
      <c r="M436" s="62"/>
      <c r="N436" s="62"/>
      <c r="O436" s="60"/>
      <c r="P436" s="62"/>
      <c r="Q436" s="66"/>
      <c r="R436" s="62"/>
      <c r="S436" s="62"/>
      <c r="T436" s="62"/>
      <c r="U436" s="74"/>
      <c r="V436" s="62"/>
      <c r="W436" s="75"/>
      <c r="X436" s="74"/>
      <c r="Y436" s="61"/>
      <c r="Z436" s="201"/>
      <c r="AA436" s="201"/>
      <c r="AB436" s="201"/>
      <c r="AC436" s="201"/>
      <c r="AD436" s="201"/>
      <c r="AE436" s="201"/>
      <c r="AF436" s="201"/>
      <c r="AG436" s="201"/>
      <c r="AH436" s="201"/>
      <c r="AI436" s="201"/>
      <c r="AJ436" s="201"/>
      <c r="AK436" s="201"/>
      <c r="AL436" s="201"/>
      <c r="AM436" s="201"/>
      <c r="AN436" s="201"/>
      <c r="AO436" s="201"/>
    </row>
    <row r="437">
      <c r="A437" s="197"/>
      <c r="B437" s="198"/>
      <c r="C437" s="199"/>
      <c r="D437" s="197"/>
      <c r="E437" s="197"/>
      <c r="F437" s="197"/>
      <c r="G437" s="197"/>
      <c r="H437" s="199"/>
      <c r="I437" s="199"/>
      <c r="J437" s="62"/>
      <c r="K437" s="62"/>
      <c r="L437" s="62"/>
      <c r="M437" s="62"/>
      <c r="N437" s="62"/>
      <c r="O437" s="60"/>
      <c r="P437" s="62"/>
      <c r="Q437" s="66"/>
      <c r="R437" s="62"/>
      <c r="S437" s="62"/>
      <c r="T437" s="62"/>
      <c r="U437" s="74"/>
      <c r="V437" s="62"/>
      <c r="W437" s="75"/>
      <c r="X437" s="74"/>
      <c r="Y437" s="61"/>
      <c r="Z437" s="201"/>
      <c r="AA437" s="201"/>
      <c r="AB437" s="201"/>
      <c r="AC437" s="201"/>
      <c r="AD437" s="201"/>
      <c r="AE437" s="201"/>
      <c r="AF437" s="201"/>
      <c r="AG437" s="201"/>
      <c r="AH437" s="201"/>
      <c r="AI437" s="201"/>
      <c r="AJ437" s="201"/>
      <c r="AK437" s="201"/>
      <c r="AL437" s="201"/>
      <c r="AM437" s="201"/>
      <c r="AN437" s="201"/>
      <c r="AO437" s="201"/>
    </row>
    <row r="438">
      <c r="A438" s="197"/>
      <c r="B438" s="198"/>
      <c r="C438" s="199"/>
      <c r="D438" s="197"/>
      <c r="E438" s="197"/>
      <c r="F438" s="197"/>
      <c r="G438" s="197"/>
      <c r="H438" s="199"/>
      <c r="I438" s="199"/>
      <c r="J438" s="62"/>
      <c r="K438" s="62"/>
      <c r="L438" s="62"/>
      <c r="M438" s="62"/>
      <c r="N438" s="62"/>
      <c r="O438" s="60"/>
      <c r="P438" s="62"/>
      <c r="Q438" s="66"/>
      <c r="R438" s="62"/>
      <c r="S438" s="62"/>
      <c r="T438" s="62"/>
      <c r="U438" s="74"/>
      <c r="V438" s="62"/>
      <c r="W438" s="75"/>
      <c r="X438" s="74"/>
      <c r="Y438" s="61"/>
      <c r="Z438" s="201"/>
      <c r="AA438" s="201"/>
      <c r="AB438" s="201"/>
      <c r="AC438" s="201"/>
      <c r="AD438" s="201"/>
      <c r="AE438" s="201"/>
      <c r="AF438" s="201"/>
      <c r="AG438" s="201"/>
      <c r="AH438" s="201"/>
      <c r="AI438" s="201"/>
      <c r="AJ438" s="201"/>
      <c r="AK438" s="201"/>
      <c r="AL438" s="201"/>
      <c r="AM438" s="201"/>
      <c r="AN438" s="201"/>
      <c r="AO438" s="201"/>
    </row>
    <row r="439">
      <c r="A439" s="197"/>
      <c r="B439" s="198"/>
      <c r="C439" s="199"/>
      <c r="D439" s="197"/>
      <c r="E439" s="197"/>
      <c r="F439" s="197"/>
      <c r="G439" s="197"/>
      <c r="H439" s="199"/>
      <c r="I439" s="199"/>
      <c r="J439" s="62"/>
      <c r="K439" s="62"/>
      <c r="L439" s="62"/>
      <c r="M439" s="62"/>
      <c r="N439" s="62"/>
      <c r="O439" s="60"/>
      <c r="P439" s="62"/>
      <c r="Q439" s="66"/>
      <c r="R439" s="62"/>
      <c r="S439" s="62"/>
      <c r="T439" s="62"/>
      <c r="U439" s="74"/>
      <c r="V439" s="62"/>
      <c r="W439" s="75"/>
      <c r="X439" s="74"/>
      <c r="Y439" s="61"/>
      <c r="Z439" s="201"/>
      <c r="AA439" s="201"/>
      <c r="AB439" s="201"/>
      <c r="AC439" s="201"/>
      <c r="AD439" s="201"/>
      <c r="AE439" s="201"/>
      <c r="AF439" s="201"/>
      <c r="AG439" s="201"/>
      <c r="AH439" s="201"/>
      <c r="AI439" s="201"/>
      <c r="AJ439" s="201"/>
      <c r="AK439" s="201"/>
      <c r="AL439" s="201"/>
      <c r="AM439" s="201"/>
      <c r="AN439" s="201"/>
      <c r="AO439" s="201"/>
    </row>
    <row r="440">
      <c r="A440" s="197"/>
      <c r="B440" s="198"/>
      <c r="C440" s="199"/>
      <c r="D440" s="197"/>
      <c r="E440" s="197"/>
      <c r="F440" s="197"/>
      <c r="G440" s="197"/>
      <c r="H440" s="199"/>
      <c r="I440" s="199"/>
      <c r="J440" s="62"/>
      <c r="K440" s="62"/>
      <c r="L440" s="62"/>
      <c r="M440" s="62"/>
      <c r="N440" s="62"/>
      <c r="O440" s="60"/>
      <c r="P440" s="62"/>
      <c r="Q440" s="66"/>
      <c r="R440" s="62"/>
      <c r="S440" s="62"/>
      <c r="T440" s="62"/>
      <c r="U440" s="74"/>
      <c r="V440" s="62"/>
      <c r="W440" s="75"/>
      <c r="X440" s="74"/>
      <c r="Y440" s="61"/>
      <c r="Z440" s="201"/>
      <c r="AA440" s="201"/>
      <c r="AB440" s="201"/>
      <c r="AC440" s="201"/>
      <c r="AD440" s="201"/>
      <c r="AE440" s="201"/>
      <c r="AF440" s="201"/>
      <c r="AG440" s="201"/>
      <c r="AH440" s="201"/>
      <c r="AI440" s="201"/>
      <c r="AJ440" s="201"/>
      <c r="AK440" s="201"/>
      <c r="AL440" s="201"/>
      <c r="AM440" s="201"/>
      <c r="AN440" s="201"/>
      <c r="AO440" s="201"/>
    </row>
    <row r="441">
      <c r="A441" s="197"/>
      <c r="B441" s="198"/>
      <c r="C441" s="199"/>
      <c r="D441" s="197"/>
      <c r="E441" s="197"/>
      <c r="F441" s="197"/>
      <c r="G441" s="197"/>
      <c r="H441" s="199"/>
      <c r="I441" s="199"/>
      <c r="J441" s="62"/>
      <c r="K441" s="62"/>
      <c r="L441" s="62"/>
      <c r="M441" s="62"/>
      <c r="N441" s="62"/>
      <c r="O441" s="60"/>
      <c r="P441" s="62"/>
      <c r="Q441" s="66"/>
      <c r="R441" s="62"/>
      <c r="S441" s="62"/>
      <c r="T441" s="62"/>
      <c r="U441" s="74"/>
      <c r="V441" s="62"/>
      <c r="W441" s="75"/>
      <c r="X441" s="74"/>
      <c r="Y441" s="61"/>
      <c r="Z441" s="201"/>
      <c r="AA441" s="201"/>
      <c r="AB441" s="201"/>
      <c r="AC441" s="201"/>
      <c r="AD441" s="201"/>
      <c r="AE441" s="201"/>
      <c r="AF441" s="201"/>
      <c r="AG441" s="201"/>
      <c r="AH441" s="201"/>
      <c r="AI441" s="201"/>
      <c r="AJ441" s="201"/>
      <c r="AK441" s="201"/>
      <c r="AL441" s="201"/>
      <c r="AM441" s="201"/>
      <c r="AN441" s="201"/>
      <c r="AO441" s="201"/>
    </row>
    <row r="442">
      <c r="A442" s="197"/>
      <c r="B442" s="198"/>
      <c r="C442" s="199"/>
      <c r="D442" s="197"/>
      <c r="E442" s="197"/>
      <c r="F442" s="197"/>
      <c r="G442" s="197"/>
      <c r="H442" s="199"/>
      <c r="I442" s="199"/>
      <c r="J442" s="62"/>
      <c r="K442" s="62"/>
      <c r="L442" s="62"/>
      <c r="M442" s="62"/>
      <c r="N442" s="62"/>
      <c r="O442" s="60"/>
      <c r="P442" s="62"/>
      <c r="Q442" s="66"/>
      <c r="R442" s="62"/>
      <c r="S442" s="62"/>
      <c r="T442" s="62"/>
      <c r="U442" s="74"/>
      <c r="V442" s="62"/>
      <c r="W442" s="75"/>
      <c r="X442" s="74"/>
      <c r="Y442" s="61"/>
      <c r="Z442" s="201"/>
      <c r="AA442" s="201"/>
      <c r="AB442" s="201"/>
      <c r="AC442" s="201"/>
      <c r="AD442" s="201"/>
      <c r="AE442" s="201"/>
      <c r="AF442" s="201"/>
      <c r="AG442" s="201"/>
      <c r="AH442" s="201"/>
      <c r="AI442" s="201"/>
      <c r="AJ442" s="201"/>
      <c r="AK442" s="201"/>
      <c r="AL442" s="201"/>
      <c r="AM442" s="201"/>
      <c r="AN442" s="201"/>
      <c r="AO442" s="201"/>
    </row>
    <row r="443">
      <c r="A443" s="197"/>
      <c r="B443" s="198"/>
      <c r="C443" s="199"/>
      <c r="D443" s="197"/>
      <c r="E443" s="197"/>
      <c r="F443" s="197"/>
      <c r="G443" s="197"/>
      <c r="H443" s="199"/>
      <c r="I443" s="199"/>
      <c r="J443" s="62"/>
      <c r="K443" s="62"/>
      <c r="L443" s="62"/>
      <c r="M443" s="62"/>
      <c r="N443" s="62"/>
      <c r="O443" s="60"/>
      <c r="P443" s="62"/>
      <c r="Q443" s="66"/>
      <c r="R443" s="62"/>
      <c r="S443" s="62"/>
      <c r="T443" s="62"/>
      <c r="U443" s="74"/>
      <c r="V443" s="62"/>
      <c r="W443" s="75"/>
      <c r="X443" s="74"/>
      <c r="Y443" s="61"/>
      <c r="Z443" s="201"/>
      <c r="AA443" s="201"/>
      <c r="AB443" s="201"/>
      <c r="AC443" s="201"/>
      <c r="AD443" s="201"/>
      <c r="AE443" s="201"/>
      <c r="AF443" s="201"/>
      <c r="AG443" s="201"/>
      <c r="AH443" s="201"/>
      <c r="AI443" s="201"/>
      <c r="AJ443" s="201"/>
      <c r="AK443" s="201"/>
      <c r="AL443" s="201"/>
      <c r="AM443" s="201"/>
      <c r="AN443" s="201"/>
      <c r="AO443" s="201"/>
    </row>
    <row r="444">
      <c r="A444" s="197"/>
      <c r="B444" s="198"/>
      <c r="C444" s="199"/>
      <c r="D444" s="197"/>
      <c r="E444" s="197"/>
      <c r="F444" s="197"/>
      <c r="G444" s="197"/>
      <c r="H444" s="199"/>
      <c r="I444" s="199"/>
      <c r="J444" s="62"/>
      <c r="K444" s="62"/>
      <c r="L444" s="62"/>
      <c r="M444" s="62"/>
      <c r="N444" s="62"/>
      <c r="O444" s="60"/>
      <c r="P444" s="62"/>
      <c r="Q444" s="66"/>
      <c r="R444" s="62"/>
      <c r="S444" s="62"/>
      <c r="T444" s="62"/>
      <c r="U444" s="74"/>
      <c r="V444" s="62"/>
      <c r="W444" s="75"/>
      <c r="X444" s="74"/>
      <c r="Y444" s="61"/>
      <c r="Z444" s="201"/>
      <c r="AA444" s="201"/>
      <c r="AB444" s="201"/>
      <c r="AC444" s="201"/>
      <c r="AD444" s="201"/>
      <c r="AE444" s="201"/>
      <c r="AF444" s="201"/>
      <c r="AG444" s="201"/>
      <c r="AH444" s="201"/>
      <c r="AI444" s="201"/>
      <c r="AJ444" s="201"/>
      <c r="AK444" s="201"/>
      <c r="AL444" s="201"/>
      <c r="AM444" s="201"/>
      <c r="AN444" s="201"/>
      <c r="AO444" s="201"/>
    </row>
    <row r="445">
      <c r="A445" s="197"/>
      <c r="B445" s="198"/>
      <c r="C445" s="199"/>
      <c r="D445" s="197"/>
      <c r="E445" s="197"/>
      <c r="F445" s="197"/>
      <c r="G445" s="197"/>
      <c r="H445" s="199"/>
      <c r="I445" s="199"/>
      <c r="J445" s="62"/>
      <c r="K445" s="62"/>
      <c r="L445" s="62"/>
      <c r="M445" s="62"/>
      <c r="N445" s="62"/>
      <c r="O445" s="60"/>
      <c r="P445" s="62"/>
      <c r="Q445" s="66"/>
      <c r="R445" s="62"/>
      <c r="S445" s="62"/>
      <c r="T445" s="62"/>
      <c r="U445" s="74"/>
      <c r="V445" s="62"/>
      <c r="W445" s="75"/>
      <c r="X445" s="74"/>
      <c r="Y445" s="61"/>
      <c r="Z445" s="201"/>
      <c r="AA445" s="201"/>
      <c r="AB445" s="201"/>
      <c r="AC445" s="201"/>
      <c r="AD445" s="201"/>
      <c r="AE445" s="201"/>
      <c r="AF445" s="201"/>
      <c r="AG445" s="201"/>
      <c r="AH445" s="201"/>
      <c r="AI445" s="201"/>
      <c r="AJ445" s="201"/>
      <c r="AK445" s="201"/>
      <c r="AL445" s="201"/>
      <c r="AM445" s="201"/>
      <c r="AN445" s="201"/>
      <c r="AO445" s="201"/>
    </row>
    <row r="446">
      <c r="A446" s="197"/>
      <c r="B446" s="198"/>
      <c r="C446" s="199"/>
      <c r="D446" s="197"/>
      <c r="E446" s="197"/>
      <c r="F446" s="197"/>
      <c r="G446" s="197"/>
      <c r="H446" s="199"/>
      <c r="I446" s="199"/>
      <c r="J446" s="62"/>
      <c r="K446" s="62"/>
      <c r="L446" s="62"/>
      <c r="M446" s="62"/>
      <c r="N446" s="62"/>
      <c r="O446" s="60"/>
      <c r="P446" s="62"/>
      <c r="Q446" s="66"/>
      <c r="R446" s="62"/>
      <c r="S446" s="62"/>
      <c r="T446" s="62"/>
      <c r="U446" s="74"/>
      <c r="V446" s="62"/>
      <c r="W446" s="75"/>
      <c r="X446" s="74"/>
      <c r="Y446" s="61"/>
      <c r="Z446" s="201"/>
      <c r="AA446" s="201"/>
      <c r="AB446" s="201"/>
      <c r="AC446" s="201"/>
      <c r="AD446" s="201"/>
      <c r="AE446" s="201"/>
      <c r="AF446" s="201"/>
      <c r="AG446" s="201"/>
      <c r="AH446" s="201"/>
      <c r="AI446" s="201"/>
      <c r="AJ446" s="201"/>
      <c r="AK446" s="201"/>
      <c r="AL446" s="201"/>
      <c r="AM446" s="201"/>
      <c r="AN446" s="201"/>
      <c r="AO446" s="201"/>
    </row>
    <row r="447">
      <c r="A447" s="197"/>
      <c r="B447" s="198"/>
      <c r="C447" s="199"/>
      <c r="D447" s="197"/>
      <c r="E447" s="197"/>
      <c r="F447" s="197"/>
      <c r="G447" s="197"/>
      <c r="H447" s="199"/>
      <c r="I447" s="199"/>
      <c r="J447" s="62"/>
      <c r="K447" s="62"/>
      <c r="L447" s="62"/>
      <c r="M447" s="62"/>
      <c r="N447" s="62"/>
      <c r="O447" s="60"/>
      <c r="P447" s="62"/>
      <c r="Q447" s="66"/>
      <c r="R447" s="62"/>
      <c r="S447" s="62"/>
      <c r="T447" s="62"/>
      <c r="U447" s="74"/>
      <c r="V447" s="62"/>
      <c r="W447" s="75"/>
      <c r="X447" s="74"/>
      <c r="Y447" s="61"/>
      <c r="Z447" s="201"/>
      <c r="AA447" s="201"/>
      <c r="AB447" s="201"/>
      <c r="AC447" s="201"/>
      <c r="AD447" s="201"/>
      <c r="AE447" s="201"/>
      <c r="AF447" s="201"/>
      <c r="AG447" s="201"/>
      <c r="AH447" s="201"/>
      <c r="AI447" s="201"/>
      <c r="AJ447" s="201"/>
      <c r="AK447" s="201"/>
      <c r="AL447" s="201"/>
      <c r="AM447" s="201"/>
      <c r="AN447" s="201"/>
      <c r="AO447" s="201"/>
    </row>
    <row r="448">
      <c r="A448" s="197"/>
      <c r="B448" s="198"/>
      <c r="C448" s="199"/>
      <c r="D448" s="197"/>
      <c r="E448" s="197"/>
      <c r="F448" s="197"/>
      <c r="G448" s="197"/>
      <c r="H448" s="199"/>
      <c r="I448" s="199"/>
      <c r="J448" s="62"/>
      <c r="K448" s="62"/>
      <c r="L448" s="62"/>
      <c r="M448" s="62"/>
      <c r="N448" s="62"/>
      <c r="O448" s="60"/>
      <c r="P448" s="62"/>
      <c r="Q448" s="66"/>
      <c r="R448" s="62"/>
      <c r="S448" s="62"/>
      <c r="T448" s="62"/>
      <c r="U448" s="74"/>
      <c r="V448" s="62"/>
      <c r="W448" s="75"/>
      <c r="X448" s="74"/>
      <c r="Y448" s="61"/>
      <c r="Z448" s="201"/>
      <c r="AA448" s="201"/>
      <c r="AB448" s="201"/>
      <c r="AC448" s="201"/>
      <c r="AD448" s="201"/>
      <c r="AE448" s="201"/>
      <c r="AF448" s="201"/>
      <c r="AG448" s="201"/>
      <c r="AH448" s="201"/>
      <c r="AI448" s="201"/>
      <c r="AJ448" s="201"/>
      <c r="AK448" s="201"/>
      <c r="AL448" s="201"/>
      <c r="AM448" s="201"/>
      <c r="AN448" s="201"/>
      <c r="AO448" s="201"/>
    </row>
    <row r="449">
      <c r="A449" s="197"/>
      <c r="B449" s="198"/>
      <c r="C449" s="199"/>
      <c r="D449" s="197"/>
      <c r="E449" s="197"/>
      <c r="F449" s="197"/>
      <c r="G449" s="197"/>
      <c r="H449" s="199"/>
      <c r="I449" s="199"/>
      <c r="J449" s="62"/>
      <c r="K449" s="62"/>
      <c r="L449" s="62"/>
      <c r="M449" s="62"/>
      <c r="N449" s="62"/>
      <c r="O449" s="60"/>
      <c r="P449" s="62"/>
      <c r="Q449" s="66"/>
      <c r="R449" s="62"/>
      <c r="S449" s="62"/>
      <c r="T449" s="62"/>
      <c r="U449" s="74"/>
      <c r="V449" s="62"/>
      <c r="W449" s="75"/>
      <c r="X449" s="74"/>
      <c r="Y449" s="61"/>
      <c r="Z449" s="201"/>
      <c r="AA449" s="201"/>
      <c r="AB449" s="201"/>
      <c r="AC449" s="201"/>
      <c r="AD449" s="201"/>
      <c r="AE449" s="201"/>
      <c r="AF449" s="201"/>
      <c r="AG449" s="201"/>
      <c r="AH449" s="201"/>
      <c r="AI449" s="201"/>
      <c r="AJ449" s="201"/>
      <c r="AK449" s="201"/>
      <c r="AL449" s="201"/>
      <c r="AM449" s="201"/>
      <c r="AN449" s="201"/>
      <c r="AO449" s="201"/>
    </row>
    <row r="450">
      <c r="A450" s="197"/>
      <c r="B450" s="198"/>
      <c r="C450" s="199"/>
      <c r="D450" s="197"/>
      <c r="E450" s="197"/>
      <c r="F450" s="197"/>
      <c r="G450" s="197"/>
      <c r="H450" s="199"/>
      <c r="I450" s="199"/>
      <c r="J450" s="62"/>
      <c r="K450" s="62"/>
      <c r="L450" s="62"/>
      <c r="M450" s="62"/>
      <c r="N450" s="62"/>
      <c r="O450" s="60"/>
      <c r="P450" s="62"/>
      <c r="Q450" s="66"/>
      <c r="R450" s="62"/>
      <c r="S450" s="62"/>
      <c r="T450" s="62"/>
      <c r="U450" s="74"/>
      <c r="V450" s="62"/>
      <c r="W450" s="75"/>
      <c r="X450" s="74"/>
      <c r="Y450" s="61"/>
      <c r="Z450" s="201"/>
      <c r="AA450" s="201"/>
      <c r="AB450" s="201"/>
      <c r="AC450" s="201"/>
      <c r="AD450" s="201"/>
      <c r="AE450" s="201"/>
      <c r="AF450" s="201"/>
      <c r="AG450" s="201"/>
      <c r="AH450" s="201"/>
      <c r="AI450" s="201"/>
      <c r="AJ450" s="201"/>
      <c r="AK450" s="201"/>
      <c r="AL450" s="201"/>
      <c r="AM450" s="201"/>
      <c r="AN450" s="201"/>
      <c r="AO450" s="201"/>
    </row>
    <row r="451">
      <c r="A451" s="197"/>
      <c r="B451" s="198"/>
      <c r="C451" s="199"/>
      <c r="D451" s="197"/>
      <c r="E451" s="197"/>
      <c r="F451" s="197"/>
      <c r="G451" s="197"/>
      <c r="H451" s="199"/>
      <c r="I451" s="199"/>
      <c r="J451" s="62"/>
      <c r="K451" s="62"/>
      <c r="L451" s="62"/>
      <c r="M451" s="62"/>
      <c r="N451" s="62"/>
      <c r="O451" s="60"/>
      <c r="P451" s="62"/>
      <c r="Q451" s="66"/>
      <c r="R451" s="62"/>
      <c r="S451" s="62"/>
      <c r="T451" s="62"/>
      <c r="U451" s="74"/>
      <c r="V451" s="62"/>
      <c r="W451" s="75"/>
      <c r="X451" s="74"/>
      <c r="Y451" s="61"/>
      <c r="Z451" s="201"/>
      <c r="AA451" s="201"/>
      <c r="AB451" s="201"/>
      <c r="AC451" s="201"/>
      <c r="AD451" s="201"/>
      <c r="AE451" s="201"/>
      <c r="AF451" s="201"/>
      <c r="AG451" s="201"/>
      <c r="AH451" s="201"/>
      <c r="AI451" s="201"/>
      <c r="AJ451" s="201"/>
      <c r="AK451" s="201"/>
      <c r="AL451" s="201"/>
      <c r="AM451" s="201"/>
      <c r="AN451" s="201"/>
      <c r="AO451" s="201"/>
    </row>
    <row r="452">
      <c r="A452" s="197"/>
      <c r="B452" s="198"/>
      <c r="C452" s="199"/>
      <c r="D452" s="197"/>
      <c r="E452" s="197"/>
      <c r="F452" s="197"/>
      <c r="G452" s="197"/>
      <c r="H452" s="199"/>
      <c r="I452" s="199"/>
      <c r="J452" s="62"/>
      <c r="K452" s="62"/>
      <c r="L452" s="62"/>
      <c r="M452" s="62"/>
      <c r="N452" s="62"/>
      <c r="O452" s="60"/>
      <c r="P452" s="62"/>
      <c r="Q452" s="66"/>
      <c r="R452" s="62"/>
      <c r="S452" s="62"/>
      <c r="T452" s="62"/>
      <c r="U452" s="74"/>
      <c r="V452" s="62"/>
      <c r="W452" s="75"/>
      <c r="X452" s="74"/>
      <c r="Y452" s="61"/>
      <c r="Z452" s="201"/>
      <c r="AA452" s="201"/>
      <c r="AB452" s="201"/>
      <c r="AC452" s="201"/>
      <c r="AD452" s="201"/>
      <c r="AE452" s="201"/>
      <c r="AF452" s="201"/>
      <c r="AG452" s="201"/>
      <c r="AH452" s="201"/>
      <c r="AI452" s="201"/>
      <c r="AJ452" s="201"/>
      <c r="AK452" s="201"/>
      <c r="AL452" s="201"/>
      <c r="AM452" s="201"/>
      <c r="AN452" s="201"/>
      <c r="AO452" s="201"/>
    </row>
    <row r="453">
      <c r="A453" s="197"/>
      <c r="B453" s="198"/>
      <c r="C453" s="199"/>
      <c r="D453" s="197"/>
      <c r="E453" s="197"/>
      <c r="F453" s="197"/>
      <c r="G453" s="197"/>
      <c r="H453" s="199"/>
      <c r="I453" s="199"/>
      <c r="J453" s="62"/>
      <c r="K453" s="62"/>
      <c r="L453" s="62"/>
      <c r="M453" s="62"/>
      <c r="N453" s="62"/>
      <c r="O453" s="60"/>
      <c r="P453" s="62"/>
      <c r="Q453" s="66"/>
      <c r="R453" s="62"/>
      <c r="S453" s="62"/>
      <c r="T453" s="62"/>
      <c r="U453" s="74"/>
      <c r="V453" s="62"/>
      <c r="W453" s="75"/>
      <c r="X453" s="74"/>
      <c r="Y453" s="61"/>
      <c r="Z453" s="201"/>
      <c r="AA453" s="201"/>
      <c r="AB453" s="201"/>
      <c r="AC453" s="201"/>
      <c r="AD453" s="201"/>
      <c r="AE453" s="201"/>
      <c r="AF453" s="201"/>
      <c r="AG453" s="201"/>
      <c r="AH453" s="201"/>
      <c r="AI453" s="201"/>
      <c r="AJ453" s="201"/>
      <c r="AK453" s="201"/>
      <c r="AL453" s="201"/>
      <c r="AM453" s="201"/>
      <c r="AN453" s="201"/>
      <c r="AO453" s="201"/>
    </row>
    <row r="454">
      <c r="A454" s="197"/>
      <c r="B454" s="198"/>
      <c r="C454" s="199"/>
      <c r="D454" s="197"/>
      <c r="E454" s="197"/>
      <c r="F454" s="197"/>
      <c r="G454" s="197"/>
      <c r="H454" s="199"/>
      <c r="I454" s="199"/>
      <c r="J454" s="62"/>
      <c r="K454" s="62"/>
      <c r="L454" s="62"/>
      <c r="M454" s="62"/>
      <c r="N454" s="62"/>
      <c r="O454" s="60"/>
      <c r="P454" s="62"/>
      <c r="Q454" s="66"/>
      <c r="R454" s="62"/>
      <c r="S454" s="62"/>
      <c r="T454" s="62"/>
      <c r="U454" s="74"/>
      <c r="V454" s="62"/>
      <c r="W454" s="75"/>
      <c r="X454" s="74"/>
      <c r="Y454" s="61"/>
      <c r="Z454" s="201"/>
      <c r="AA454" s="201"/>
      <c r="AB454" s="201"/>
      <c r="AC454" s="201"/>
      <c r="AD454" s="201"/>
      <c r="AE454" s="201"/>
      <c r="AF454" s="201"/>
      <c r="AG454" s="201"/>
      <c r="AH454" s="201"/>
      <c r="AI454" s="201"/>
      <c r="AJ454" s="201"/>
      <c r="AK454" s="201"/>
      <c r="AL454" s="201"/>
      <c r="AM454" s="201"/>
      <c r="AN454" s="201"/>
      <c r="AO454" s="201"/>
    </row>
    <row r="455">
      <c r="A455" s="197"/>
      <c r="B455" s="198"/>
      <c r="C455" s="199"/>
      <c r="D455" s="197"/>
      <c r="E455" s="197"/>
      <c r="F455" s="197"/>
      <c r="G455" s="197"/>
      <c r="H455" s="199"/>
      <c r="I455" s="199"/>
      <c r="J455" s="62"/>
      <c r="K455" s="62"/>
      <c r="L455" s="62"/>
      <c r="M455" s="62"/>
      <c r="N455" s="62"/>
      <c r="O455" s="60"/>
      <c r="P455" s="62"/>
      <c r="Q455" s="66"/>
      <c r="R455" s="62"/>
      <c r="S455" s="62"/>
      <c r="T455" s="62"/>
      <c r="U455" s="74"/>
      <c r="V455" s="62"/>
      <c r="W455" s="75"/>
      <c r="X455" s="74"/>
      <c r="Y455" s="61"/>
      <c r="Z455" s="201"/>
      <c r="AA455" s="201"/>
      <c r="AB455" s="201"/>
      <c r="AC455" s="201"/>
      <c r="AD455" s="201"/>
      <c r="AE455" s="201"/>
      <c r="AF455" s="201"/>
      <c r="AG455" s="201"/>
      <c r="AH455" s="201"/>
      <c r="AI455" s="201"/>
      <c r="AJ455" s="201"/>
      <c r="AK455" s="201"/>
      <c r="AL455" s="201"/>
      <c r="AM455" s="201"/>
      <c r="AN455" s="201"/>
      <c r="AO455" s="201"/>
    </row>
    <row r="456">
      <c r="A456" s="197"/>
      <c r="B456" s="198"/>
      <c r="C456" s="199"/>
      <c r="D456" s="197"/>
      <c r="E456" s="197"/>
      <c r="F456" s="197"/>
      <c r="G456" s="197"/>
      <c r="H456" s="199"/>
      <c r="I456" s="199"/>
      <c r="J456" s="62"/>
      <c r="K456" s="62"/>
      <c r="L456" s="62"/>
      <c r="M456" s="62"/>
      <c r="N456" s="62"/>
      <c r="O456" s="60"/>
      <c r="P456" s="62"/>
      <c r="Q456" s="66"/>
      <c r="R456" s="62"/>
      <c r="S456" s="62"/>
      <c r="T456" s="62"/>
      <c r="U456" s="74"/>
      <c r="V456" s="62"/>
      <c r="W456" s="75"/>
      <c r="X456" s="74"/>
      <c r="Y456" s="61"/>
      <c r="Z456" s="201"/>
      <c r="AA456" s="201"/>
      <c r="AB456" s="201"/>
      <c r="AC456" s="201"/>
      <c r="AD456" s="201"/>
      <c r="AE456" s="201"/>
      <c r="AF456" s="201"/>
      <c r="AG456" s="201"/>
      <c r="AH456" s="201"/>
      <c r="AI456" s="201"/>
      <c r="AJ456" s="201"/>
      <c r="AK456" s="201"/>
      <c r="AL456" s="201"/>
      <c r="AM456" s="201"/>
      <c r="AN456" s="201"/>
      <c r="AO456" s="201"/>
    </row>
    <row r="457">
      <c r="A457" s="197"/>
      <c r="B457" s="198"/>
      <c r="C457" s="199"/>
      <c r="D457" s="197"/>
      <c r="E457" s="197"/>
      <c r="F457" s="197"/>
      <c r="G457" s="197"/>
      <c r="H457" s="199"/>
      <c r="I457" s="199"/>
      <c r="J457" s="62"/>
      <c r="K457" s="62"/>
      <c r="L457" s="62"/>
      <c r="M457" s="62"/>
      <c r="N457" s="62"/>
      <c r="O457" s="60"/>
      <c r="P457" s="62"/>
      <c r="Q457" s="66"/>
      <c r="R457" s="62"/>
      <c r="S457" s="62"/>
      <c r="T457" s="62"/>
      <c r="U457" s="74"/>
      <c r="V457" s="62"/>
      <c r="W457" s="75"/>
      <c r="X457" s="74"/>
      <c r="Y457" s="61"/>
      <c r="Z457" s="201"/>
      <c r="AA457" s="201"/>
      <c r="AB457" s="201"/>
      <c r="AC457" s="201"/>
      <c r="AD457" s="201"/>
      <c r="AE457" s="201"/>
      <c r="AF457" s="201"/>
      <c r="AG457" s="201"/>
      <c r="AH457" s="201"/>
      <c r="AI457" s="201"/>
      <c r="AJ457" s="201"/>
      <c r="AK457" s="201"/>
      <c r="AL457" s="201"/>
      <c r="AM457" s="201"/>
      <c r="AN457" s="201"/>
      <c r="AO457" s="201"/>
    </row>
    <row r="458">
      <c r="A458" s="197"/>
      <c r="B458" s="198"/>
      <c r="C458" s="199"/>
      <c r="D458" s="197"/>
      <c r="E458" s="197"/>
      <c r="F458" s="197"/>
      <c r="G458" s="197"/>
      <c r="H458" s="199"/>
      <c r="I458" s="199"/>
      <c r="J458" s="62"/>
      <c r="K458" s="62"/>
      <c r="L458" s="62"/>
      <c r="M458" s="62"/>
      <c r="N458" s="62"/>
      <c r="O458" s="60"/>
      <c r="P458" s="62"/>
      <c r="Q458" s="66"/>
      <c r="R458" s="62"/>
      <c r="S458" s="62"/>
      <c r="T458" s="62"/>
      <c r="U458" s="74"/>
      <c r="V458" s="62"/>
      <c r="W458" s="75"/>
      <c r="X458" s="74"/>
      <c r="Y458" s="61"/>
      <c r="Z458" s="201"/>
      <c r="AA458" s="201"/>
      <c r="AB458" s="201"/>
      <c r="AC458" s="201"/>
      <c r="AD458" s="201"/>
      <c r="AE458" s="201"/>
      <c r="AF458" s="201"/>
      <c r="AG458" s="201"/>
      <c r="AH458" s="201"/>
      <c r="AI458" s="201"/>
      <c r="AJ458" s="201"/>
      <c r="AK458" s="201"/>
      <c r="AL458" s="201"/>
      <c r="AM458" s="201"/>
      <c r="AN458" s="201"/>
      <c r="AO458" s="201"/>
    </row>
    <row r="459">
      <c r="A459" s="197"/>
      <c r="B459" s="198"/>
      <c r="C459" s="199"/>
      <c r="D459" s="197"/>
      <c r="E459" s="197"/>
      <c r="F459" s="197"/>
      <c r="G459" s="197"/>
      <c r="H459" s="199"/>
      <c r="I459" s="199"/>
      <c r="J459" s="62"/>
      <c r="K459" s="62"/>
      <c r="L459" s="62"/>
      <c r="M459" s="62"/>
      <c r="N459" s="62"/>
      <c r="O459" s="60"/>
      <c r="P459" s="62"/>
      <c r="Q459" s="66"/>
      <c r="R459" s="62"/>
      <c r="S459" s="62"/>
      <c r="T459" s="62"/>
      <c r="U459" s="74"/>
      <c r="V459" s="62"/>
      <c r="W459" s="75"/>
      <c r="X459" s="74"/>
      <c r="Y459" s="61"/>
      <c r="Z459" s="201"/>
      <c r="AA459" s="201"/>
      <c r="AB459" s="201"/>
      <c r="AC459" s="201"/>
      <c r="AD459" s="201"/>
      <c r="AE459" s="201"/>
      <c r="AF459" s="201"/>
      <c r="AG459" s="201"/>
      <c r="AH459" s="201"/>
      <c r="AI459" s="201"/>
      <c r="AJ459" s="201"/>
      <c r="AK459" s="201"/>
      <c r="AL459" s="201"/>
      <c r="AM459" s="201"/>
      <c r="AN459" s="201"/>
      <c r="AO459" s="201"/>
    </row>
    <row r="460">
      <c r="A460" s="197"/>
      <c r="B460" s="198"/>
      <c r="C460" s="199"/>
      <c r="D460" s="197"/>
      <c r="E460" s="197"/>
      <c r="F460" s="197"/>
      <c r="G460" s="197"/>
      <c r="H460" s="199"/>
      <c r="I460" s="199"/>
      <c r="J460" s="62"/>
      <c r="K460" s="62"/>
      <c r="L460" s="62"/>
      <c r="M460" s="62"/>
      <c r="N460" s="62"/>
      <c r="O460" s="60"/>
      <c r="P460" s="62"/>
      <c r="Q460" s="66"/>
      <c r="R460" s="62"/>
      <c r="S460" s="62"/>
      <c r="T460" s="62"/>
      <c r="U460" s="74"/>
      <c r="V460" s="62"/>
      <c r="W460" s="75"/>
      <c r="X460" s="74"/>
      <c r="Y460" s="61"/>
      <c r="Z460" s="201"/>
      <c r="AA460" s="201"/>
      <c r="AB460" s="201"/>
      <c r="AC460" s="201"/>
      <c r="AD460" s="201"/>
      <c r="AE460" s="201"/>
      <c r="AF460" s="201"/>
      <c r="AG460" s="201"/>
      <c r="AH460" s="201"/>
      <c r="AI460" s="201"/>
      <c r="AJ460" s="201"/>
      <c r="AK460" s="201"/>
      <c r="AL460" s="201"/>
      <c r="AM460" s="201"/>
      <c r="AN460" s="201"/>
      <c r="AO460" s="201"/>
    </row>
    <row r="461">
      <c r="A461" s="197"/>
      <c r="B461" s="198"/>
      <c r="C461" s="199"/>
      <c r="D461" s="197"/>
      <c r="E461" s="197"/>
      <c r="F461" s="197"/>
      <c r="G461" s="197"/>
      <c r="H461" s="199"/>
      <c r="I461" s="199"/>
      <c r="J461" s="62"/>
      <c r="K461" s="62"/>
      <c r="L461" s="62"/>
      <c r="M461" s="62"/>
      <c r="N461" s="62"/>
      <c r="O461" s="60"/>
      <c r="P461" s="62"/>
      <c r="Q461" s="66"/>
      <c r="R461" s="62"/>
      <c r="S461" s="62"/>
      <c r="T461" s="62"/>
      <c r="U461" s="74"/>
      <c r="V461" s="62"/>
      <c r="W461" s="75"/>
      <c r="X461" s="74"/>
      <c r="Y461" s="61"/>
      <c r="Z461" s="201"/>
      <c r="AA461" s="201"/>
      <c r="AB461" s="201"/>
      <c r="AC461" s="201"/>
      <c r="AD461" s="201"/>
      <c r="AE461" s="201"/>
      <c r="AF461" s="201"/>
      <c r="AG461" s="201"/>
      <c r="AH461" s="201"/>
      <c r="AI461" s="201"/>
      <c r="AJ461" s="201"/>
      <c r="AK461" s="201"/>
      <c r="AL461" s="201"/>
      <c r="AM461" s="201"/>
      <c r="AN461" s="201"/>
      <c r="AO461" s="201"/>
    </row>
    <row r="462">
      <c r="A462" s="197"/>
      <c r="B462" s="198"/>
      <c r="C462" s="199"/>
      <c r="D462" s="197"/>
      <c r="E462" s="197"/>
      <c r="F462" s="197"/>
      <c r="G462" s="197"/>
      <c r="H462" s="199"/>
      <c r="I462" s="199"/>
      <c r="J462" s="62"/>
      <c r="K462" s="62"/>
      <c r="L462" s="62"/>
      <c r="M462" s="62"/>
      <c r="N462" s="62"/>
      <c r="O462" s="60"/>
      <c r="P462" s="62"/>
      <c r="Q462" s="66"/>
      <c r="R462" s="62"/>
      <c r="S462" s="62"/>
      <c r="T462" s="62"/>
      <c r="U462" s="74"/>
      <c r="V462" s="62"/>
      <c r="W462" s="75"/>
      <c r="X462" s="74"/>
      <c r="Y462" s="61"/>
      <c r="Z462" s="201"/>
      <c r="AA462" s="201"/>
      <c r="AB462" s="201"/>
      <c r="AC462" s="201"/>
      <c r="AD462" s="201"/>
      <c r="AE462" s="201"/>
      <c r="AF462" s="201"/>
      <c r="AG462" s="201"/>
      <c r="AH462" s="201"/>
      <c r="AI462" s="201"/>
      <c r="AJ462" s="201"/>
      <c r="AK462" s="201"/>
      <c r="AL462" s="201"/>
      <c r="AM462" s="201"/>
      <c r="AN462" s="201"/>
      <c r="AO462" s="201"/>
    </row>
    <row r="463">
      <c r="A463" s="197"/>
      <c r="B463" s="198"/>
      <c r="C463" s="199"/>
      <c r="D463" s="197"/>
      <c r="E463" s="197"/>
      <c r="F463" s="197"/>
      <c r="G463" s="197"/>
      <c r="H463" s="199"/>
      <c r="I463" s="199"/>
      <c r="J463" s="62"/>
      <c r="K463" s="62"/>
      <c r="L463" s="62"/>
      <c r="M463" s="62"/>
      <c r="N463" s="62"/>
      <c r="O463" s="60"/>
      <c r="P463" s="62"/>
      <c r="Q463" s="66"/>
      <c r="R463" s="62"/>
      <c r="S463" s="62"/>
      <c r="T463" s="62"/>
      <c r="U463" s="74"/>
      <c r="V463" s="62"/>
      <c r="W463" s="75"/>
      <c r="X463" s="74"/>
      <c r="Y463" s="61"/>
      <c r="Z463" s="201"/>
      <c r="AA463" s="201"/>
      <c r="AB463" s="201"/>
      <c r="AC463" s="201"/>
      <c r="AD463" s="201"/>
      <c r="AE463" s="201"/>
      <c r="AF463" s="201"/>
      <c r="AG463" s="201"/>
      <c r="AH463" s="201"/>
      <c r="AI463" s="201"/>
      <c r="AJ463" s="201"/>
      <c r="AK463" s="201"/>
      <c r="AL463" s="201"/>
      <c r="AM463" s="201"/>
      <c r="AN463" s="201"/>
      <c r="AO463" s="201"/>
    </row>
    <row r="464">
      <c r="A464" s="197"/>
      <c r="B464" s="198"/>
      <c r="C464" s="199"/>
      <c r="D464" s="197"/>
      <c r="E464" s="197"/>
      <c r="F464" s="197"/>
      <c r="G464" s="197"/>
      <c r="H464" s="199"/>
      <c r="I464" s="199"/>
      <c r="J464" s="62"/>
      <c r="K464" s="62"/>
      <c r="L464" s="62"/>
      <c r="M464" s="62"/>
      <c r="N464" s="62"/>
      <c r="O464" s="60"/>
      <c r="P464" s="62"/>
      <c r="Q464" s="66"/>
      <c r="R464" s="62"/>
      <c r="S464" s="62"/>
      <c r="T464" s="62"/>
      <c r="U464" s="74"/>
      <c r="V464" s="62"/>
      <c r="W464" s="75"/>
      <c r="X464" s="74"/>
      <c r="Y464" s="61"/>
      <c r="Z464" s="201"/>
      <c r="AA464" s="201"/>
      <c r="AB464" s="201"/>
      <c r="AC464" s="201"/>
      <c r="AD464" s="201"/>
      <c r="AE464" s="201"/>
      <c r="AF464" s="201"/>
      <c r="AG464" s="201"/>
      <c r="AH464" s="201"/>
      <c r="AI464" s="201"/>
      <c r="AJ464" s="201"/>
      <c r="AK464" s="201"/>
      <c r="AL464" s="201"/>
      <c r="AM464" s="201"/>
      <c r="AN464" s="201"/>
      <c r="AO464" s="201"/>
    </row>
    <row r="465">
      <c r="A465" s="197"/>
      <c r="B465" s="198"/>
      <c r="C465" s="199"/>
      <c r="D465" s="197"/>
      <c r="E465" s="197"/>
      <c r="F465" s="197"/>
      <c r="G465" s="197"/>
      <c r="H465" s="199"/>
      <c r="I465" s="199"/>
      <c r="J465" s="62"/>
      <c r="K465" s="62"/>
      <c r="L465" s="62"/>
      <c r="M465" s="62"/>
      <c r="N465" s="62"/>
      <c r="O465" s="60"/>
      <c r="P465" s="62"/>
      <c r="Q465" s="66"/>
      <c r="R465" s="62"/>
      <c r="S465" s="62"/>
      <c r="T465" s="62"/>
      <c r="U465" s="74"/>
      <c r="V465" s="62"/>
      <c r="W465" s="75"/>
      <c r="X465" s="74"/>
      <c r="Y465" s="61"/>
      <c r="Z465" s="201"/>
      <c r="AA465" s="201"/>
      <c r="AB465" s="201"/>
      <c r="AC465" s="201"/>
      <c r="AD465" s="201"/>
      <c r="AE465" s="201"/>
      <c r="AF465" s="201"/>
      <c r="AG465" s="201"/>
      <c r="AH465" s="201"/>
      <c r="AI465" s="201"/>
      <c r="AJ465" s="201"/>
      <c r="AK465" s="201"/>
      <c r="AL465" s="201"/>
      <c r="AM465" s="201"/>
      <c r="AN465" s="201"/>
      <c r="AO465" s="201"/>
    </row>
    <row r="466">
      <c r="A466" s="197"/>
      <c r="B466" s="198"/>
      <c r="C466" s="199"/>
      <c r="D466" s="197"/>
      <c r="E466" s="197"/>
      <c r="F466" s="197"/>
      <c r="G466" s="197"/>
      <c r="H466" s="199"/>
      <c r="I466" s="199"/>
      <c r="J466" s="62"/>
      <c r="K466" s="62"/>
      <c r="L466" s="62"/>
      <c r="M466" s="62"/>
      <c r="N466" s="62"/>
      <c r="O466" s="60"/>
      <c r="P466" s="62"/>
      <c r="Q466" s="66"/>
      <c r="R466" s="62"/>
      <c r="S466" s="62"/>
      <c r="T466" s="62"/>
      <c r="U466" s="74"/>
      <c r="V466" s="62"/>
      <c r="W466" s="75"/>
      <c r="X466" s="74"/>
      <c r="Y466" s="61"/>
      <c r="Z466" s="201"/>
      <c r="AA466" s="201"/>
      <c r="AB466" s="201"/>
      <c r="AC466" s="201"/>
      <c r="AD466" s="201"/>
      <c r="AE466" s="201"/>
      <c r="AF466" s="201"/>
      <c r="AG466" s="201"/>
      <c r="AH466" s="201"/>
      <c r="AI466" s="201"/>
      <c r="AJ466" s="201"/>
      <c r="AK466" s="201"/>
      <c r="AL466" s="201"/>
      <c r="AM466" s="201"/>
      <c r="AN466" s="201"/>
      <c r="AO466" s="201"/>
    </row>
    <row r="467">
      <c r="A467" s="197"/>
      <c r="B467" s="198"/>
      <c r="C467" s="199"/>
      <c r="D467" s="197"/>
      <c r="E467" s="197"/>
      <c r="F467" s="197"/>
      <c r="G467" s="197"/>
      <c r="H467" s="199"/>
      <c r="I467" s="199"/>
      <c r="J467" s="62"/>
      <c r="K467" s="62"/>
      <c r="L467" s="62"/>
      <c r="M467" s="62"/>
      <c r="N467" s="62"/>
      <c r="O467" s="60"/>
      <c r="P467" s="62"/>
      <c r="Q467" s="66"/>
      <c r="R467" s="62"/>
      <c r="S467" s="62"/>
      <c r="T467" s="62"/>
      <c r="U467" s="74"/>
      <c r="V467" s="62"/>
      <c r="W467" s="75"/>
      <c r="X467" s="74"/>
      <c r="Y467" s="61"/>
      <c r="Z467" s="201"/>
      <c r="AA467" s="201"/>
      <c r="AB467" s="201"/>
      <c r="AC467" s="201"/>
      <c r="AD467" s="201"/>
      <c r="AE467" s="201"/>
      <c r="AF467" s="201"/>
      <c r="AG467" s="201"/>
      <c r="AH467" s="201"/>
      <c r="AI467" s="201"/>
      <c r="AJ467" s="201"/>
      <c r="AK467" s="201"/>
      <c r="AL467" s="201"/>
      <c r="AM467" s="201"/>
      <c r="AN467" s="201"/>
      <c r="AO467" s="201"/>
    </row>
    <row r="468">
      <c r="A468" s="197"/>
      <c r="B468" s="198"/>
      <c r="C468" s="199"/>
      <c r="D468" s="197"/>
      <c r="E468" s="197"/>
      <c r="F468" s="197"/>
      <c r="G468" s="197"/>
      <c r="H468" s="199"/>
      <c r="I468" s="199"/>
      <c r="J468" s="62"/>
      <c r="K468" s="62"/>
      <c r="L468" s="62"/>
      <c r="M468" s="62"/>
      <c r="N468" s="62"/>
      <c r="O468" s="60"/>
      <c r="P468" s="62"/>
      <c r="Q468" s="66"/>
      <c r="R468" s="62"/>
      <c r="S468" s="62"/>
      <c r="T468" s="62"/>
      <c r="U468" s="74"/>
      <c r="V468" s="62"/>
      <c r="W468" s="75"/>
      <c r="X468" s="74"/>
      <c r="Y468" s="61"/>
      <c r="Z468" s="201"/>
      <c r="AA468" s="201"/>
      <c r="AB468" s="201"/>
      <c r="AC468" s="201"/>
      <c r="AD468" s="201"/>
      <c r="AE468" s="201"/>
      <c r="AF468" s="201"/>
      <c r="AG468" s="201"/>
      <c r="AH468" s="201"/>
      <c r="AI468" s="201"/>
      <c r="AJ468" s="201"/>
      <c r="AK468" s="201"/>
      <c r="AL468" s="201"/>
      <c r="AM468" s="201"/>
      <c r="AN468" s="201"/>
      <c r="AO468" s="201"/>
    </row>
    <row r="469">
      <c r="A469" s="197"/>
      <c r="B469" s="198"/>
      <c r="C469" s="199"/>
      <c r="D469" s="197"/>
      <c r="E469" s="197"/>
      <c r="F469" s="197"/>
      <c r="G469" s="197"/>
      <c r="H469" s="199"/>
      <c r="I469" s="199"/>
      <c r="J469" s="62"/>
      <c r="K469" s="62"/>
      <c r="L469" s="62"/>
      <c r="M469" s="62"/>
      <c r="N469" s="62"/>
      <c r="O469" s="60"/>
      <c r="P469" s="62"/>
      <c r="Q469" s="66"/>
      <c r="R469" s="62"/>
      <c r="S469" s="62"/>
      <c r="T469" s="62"/>
      <c r="U469" s="74"/>
      <c r="V469" s="62"/>
      <c r="W469" s="75"/>
      <c r="X469" s="74"/>
      <c r="Y469" s="61"/>
      <c r="Z469" s="201"/>
      <c r="AA469" s="201"/>
      <c r="AB469" s="201"/>
      <c r="AC469" s="201"/>
      <c r="AD469" s="201"/>
      <c r="AE469" s="201"/>
      <c r="AF469" s="201"/>
      <c r="AG469" s="201"/>
      <c r="AH469" s="201"/>
      <c r="AI469" s="201"/>
      <c r="AJ469" s="201"/>
      <c r="AK469" s="201"/>
      <c r="AL469" s="201"/>
      <c r="AM469" s="201"/>
      <c r="AN469" s="201"/>
      <c r="AO469" s="201"/>
    </row>
    <row r="470">
      <c r="A470" s="197"/>
      <c r="B470" s="198"/>
      <c r="C470" s="199"/>
      <c r="D470" s="197"/>
      <c r="E470" s="197"/>
      <c r="F470" s="197"/>
      <c r="G470" s="197"/>
      <c r="H470" s="199"/>
      <c r="I470" s="199"/>
      <c r="J470" s="62"/>
      <c r="K470" s="62"/>
      <c r="L470" s="62"/>
      <c r="M470" s="62"/>
      <c r="N470" s="62"/>
      <c r="O470" s="60"/>
      <c r="P470" s="62"/>
      <c r="Q470" s="66"/>
      <c r="R470" s="62"/>
      <c r="S470" s="62"/>
      <c r="T470" s="62"/>
      <c r="U470" s="74"/>
      <c r="V470" s="62"/>
      <c r="W470" s="75"/>
      <c r="X470" s="74"/>
      <c r="Y470" s="61"/>
      <c r="Z470" s="201"/>
      <c r="AA470" s="201"/>
      <c r="AB470" s="201"/>
      <c r="AC470" s="201"/>
      <c r="AD470" s="201"/>
      <c r="AE470" s="201"/>
      <c r="AF470" s="201"/>
      <c r="AG470" s="201"/>
      <c r="AH470" s="201"/>
      <c r="AI470" s="201"/>
      <c r="AJ470" s="201"/>
      <c r="AK470" s="201"/>
      <c r="AL470" s="201"/>
      <c r="AM470" s="201"/>
      <c r="AN470" s="201"/>
      <c r="AO470" s="201"/>
    </row>
    <row r="471">
      <c r="A471" s="197"/>
      <c r="B471" s="198"/>
      <c r="C471" s="199"/>
      <c r="D471" s="197"/>
      <c r="E471" s="197"/>
      <c r="F471" s="197"/>
      <c r="G471" s="197"/>
      <c r="H471" s="199"/>
      <c r="I471" s="199"/>
      <c r="J471" s="62"/>
      <c r="K471" s="62"/>
      <c r="L471" s="62"/>
      <c r="M471" s="62"/>
      <c r="N471" s="62"/>
      <c r="O471" s="60"/>
      <c r="P471" s="62"/>
      <c r="Q471" s="66"/>
      <c r="R471" s="62"/>
      <c r="S471" s="62"/>
      <c r="T471" s="62"/>
      <c r="U471" s="74"/>
      <c r="V471" s="62"/>
      <c r="W471" s="75"/>
      <c r="X471" s="74"/>
      <c r="Y471" s="61"/>
      <c r="Z471" s="201"/>
      <c r="AA471" s="201"/>
      <c r="AB471" s="201"/>
      <c r="AC471" s="201"/>
      <c r="AD471" s="201"/>
      <c r="AE471" s="201"/>
      <c r="AF471" s="201"/>
      <c r="AG471" s="201"/>
      <c r="AH471" s="201"/>
      <c r="AI471" s="201"/>
      <c r="AJ471" s="201"/>
      <c r="AK471" s="201"/>
      <c r="AL471" s="201"/>
      <c r="AM471" s="201"/>
      <c r="AN471" s="201"/>
      <c r="AO471" s="201"/>
    </row>
    <row r="472">
      <c r="A472" s="197"/>
      <c r="B472" s="198"/>
      <c r="C472" s="199"/>
      <c r="D472" s="197"/>
      <c r="E472" s="197"/>
      <c r="F472" s="197"/>
      <c r="G472" s="197"/>
      <c r="H472" s="199"/>
      <c r="I472" s="199"/>
      <c r="J472" s="62"/>
      <c r="K472" s="62"/>
      <c r="L472" s="62"/>
      <c r="M472" s="62"/>
      <c r="N472" s="62"/>
      <c r="O472" s="60"/>
      <c r="P472" s="62"/>
      <c r="Q472" s="66"/>
      <c r="R472" s="62"/>
      <c r="S472" s="62"/>
      <c r="T472" s="62"/>
      <c r="U472" s="74"/>
      <c r="V472" s="62"/>
      <c r="W472" s="75"/>
      <c r="X472" s="74"/>
      <c r="Y472" s="61"/>
      <c r="Z472" s="201"/>
      <c r="AA472" s="201"/>
      <c r="AB472" s="201"/>
      <c r="AC472" s="201"/>
      <c r="AD472" s="201"/>
      <c r="AE472" s="201"/>
      <c r="AF472" s="201"/>
      <c r="AG472" s="201"/>
      <c r="AH472" s="201"/>
      <c r="AI472" s="201"/>
      <c r="AJ472" s="201"/>
      <c r="AK472" s="201"/>
      <c r="AL472" s="201"/>
      <c r="AM472" s="201"/>
      <c r="AN472" s="201"/>
      <c r="AO472" s="201"/>
    </row>
    <row r="473">
      <c r="A473" s="197"/>
      <c r="B473" s="198"/>
      <c r="C473" s="199"/>
      <c r="D473" s="197"/>
      <c r="E473" s="197"/>
      <c r="F473" s="197"/>
      <c r="G473" s="197"/>
      <c r="H473" s="199"/>
      <c r="I473" s="199"/>
      <c r="J473" s="62"/>
      <c r="K473" s="62"/>
      <c r="L473" s="62"/>
      <c r="M473" s="62"/>
      <c r="N473" s="62"/>
      <c r="O473" s="60"/>
      <c r="P473" s="62"/>
      <c r="Q473" s="66"/>
      <c r="R473" s="62"/>
      <c r="S473" s="62"/>
      <c r="T473" s="62"/>
      <c r="U473" s="74"/>
      <c r="V473" s="62"/>
      <c r="W473" s="75"/>
      <c r="X473" s="74"/>
      <c r="Y473" s="61"/>
      <c r="Z473" s="201"/>
      <c r="AA473" s="201"/>
      <c r="AB473" s="201"/>
      <c r="AC473" s="201"/>
      <c r="AD473" s="201"/>
      <c r="AE473" s="201"/>
      <c r="AF473" s="201"/>
      <c r="AG473" s="201"/>
      <c r="AH473" s="201"/>
      <c r="AI473" s="201"/>
      <c r="AJ473" s="201"/>
      <c r="AK473" s="201"/>
      <c r="AL473" s="201"/>
      <c r="AM473" s="201"/>
      <c r="AN473" s="201"/>
      <c r="AO473" s="201"/>
    </row>
    <row r="474">
      <c r="A474" s="197"/>
      <c r="B474" s="198"/>
      <c r="C474" s="199"/>
      <c r="D474" s="197"/>
      <c r="E474" s="197"/>
      <c r="F474" s="197"/>
      <c r="G474" s="197"/>
      <c r="H474" s="199"/>
      <c r="I474" s="199"/>
      <c r="J474" s="62"/>
      <c r="K474" s="62"/>
      <c r="L474" s="62"/>
      <c r="M474" s="62"/>
      <c r="N474" s="62"/>
      <c r="O474" s="60"/>
      <c r="P474" s="62"/>
      <c r="Q474" s="66"/>
      <c r="R474" s="62"/>
      <c r="S474" s="62"/>
      <c r="T474" s="62"/>
      <c r="U474" s="74"/>
      <c r="V474" s="62"/>
      <c r="W474" s="75"/>
      <c r="X474" s="74"/>
      <c r="Y474" s="61"/>
      <c r="Z474" s="201"/>
      <c r="AA474" s="201"/>
      <c r="AB474" s="201"/>
      <c r="AC474" s="201"/>
      <c r="AD474" s="201"/>
      <c r="AE474" s="201"/>
      <c r="AF474" s="201"/>
      <c r="AG474" s="201"/>
      <c r="AH474" s="201"/>
      <c r="AI474" s="201"/>
      <c r="AJ474" s="201"/>
      <c r="AK474" s="201"/>
      <c r="AL474" s="201"/>
      <c r="AM474" s="201"/>
      <c r="AN474" s="201"/>
      <c r="AO474" s="201"/>
    </row>
    <row r="475">
      <c r="A475" s="197"/>
      <c r="B475" s="198"/>
      <c r="C475" s="199"/>
      <c r="D475" s="197"/>
      <c r="E475" s="197"/>
      <c r="F475" s="197"/>
      <c r="G475" s="197"/>
      <c r="H475" s="199"/>
      <c r="I475" s="199"/>
      <c r="J475" s="62"/>
      <c r="K475" s="62"/>
      <c r="L475" s="62"/>
      <c r="M475" s="62"/>
      <c r="N475" s="62"/>
      <c r="O475" s="60"/>
      <c r="P475" s="62"/>
      <c r="Q475" s="66"/>
      <c r="R475" s="62"/>
      <c r="S475" s="62"/>
      <c r="T475" s="62"/>
      <c r="U475" s="74"/>
      <c r="V475" s="62"/>
      <c r="W475" s="75"/>
      <c r="X475" s="74"/>
      <c r="Y475" s="61"/>
      <c r="Z475" s="201"/>
      <c r="AA475" s="201"/>
      <c r="AB475" s="201"/>
      <c r="AC475" s="201"/>
      <c r="AD475" s="201"/>
      <c r="AE475" s="201"/>
      <c r="AF475" s="201"/>
      <c r="AG475" s="201"/>
      <c r="AH475" s="201"/>
      <c r="AI475" s="201"/>
      <c r="AJ475" s="201"/>
      <c r="AK475" s="201"/>
      <c r="AL475" s="201"/>
      <c r="AM475" s="201"/>
      <c r="AN475" s="201"/>
      <c r="AO475" s="201"/>
    </row>
    <row r="476">
      <c r="A476" s="197"/>
      <c r="B476" s="198"/>
      <c r="C476" s="199"/>
      <c r="D476" s="197"/>
      <c r="E476" s="197"/>
      <c r="F476" s="197"/>
      <c r="G476" s="197"/>
      <c r="H476" s="199"/>
      <c r="I476" s="199"/>
      <c r="J476" s="62"/>
      <c r="K476" s="62"/>
      <c r="L476" s="62"/>
      <c r="M476" s="62"/>
      <c r="N476" s="62"/>
      <c r="O476" s="60"/>
      <c r="P476" s="62"/>
      <c r="Q476" s="66"/>
      <c r="R476" s="62"/>
      <c r="S476" s="62"/>
      <c r="T476" s="62"/>
      <c r="U476" s="74"/>
      <c r="V476" s="62"/>
      <c r="W476" s="75"/>
      <c r="X476" s="74"/>
      <c r="Y476" s="61"/>
      <c r="Z476" s="201"/>
      <c r="AA476" s="201"/>
      <c r="AB476" s="201"/>
      <c r="AC476" s="201"/>
      <c r="AD476" s="201"/>
      <c r="AE476" s="201"/>
      <c r="AF476" s="201"/>
      <c r="AG476" s="201"/>
      <c r="AH476" s="201"/>
      <c r="AI476" s="201"/>
      <c r="AJ476" s="201"/>
      <c r="AK476" s="201"/>
      <c r="AL476" s="201"/>
      <c r="AM476" s="201"/>
      <c r="AN476" s="201"/>
      <c r="AO476" s="201"/>
    </row>
    <row r="477">
      <c r="A477" s="197"/>
      <c r="B477" s="198"/>
      <c r="C477" s="199"/>
      <c r="D477" s="197"/>
      <c r="E477" s="197"/>
      <c r="F477" s="197"/>
      <c r="G477" s="197"/>
      <c r="H477" s="199"/>
      <c r="I477" s="199"/>
      <c r="J477" s="62"/>
      <c r="K477" s="62"/>
      <c r="L477" s="62"/>
      <c r="M477" s="62"/>
      <c r="N477" s="62"/>
      <c r="O477" s="60"/>
      <c r="P477" s="62"/>
      <c r="Q477" s="66"/>
      <c r="R477" s="62"/>
      <c r="S477" s="62"/>
      <c r="T477" s="62"/>
      <c r="U477" s="74"/>
      <c r="V477" s="62"/>
      <c r="W477" s="75"/>
      <c r="X477" s="74"/>
      <c r="Y477" s="61"/>
      <c r="Z477" s="201"/>
      <c r="AA477" s="201"/>
      <c r="AB477" s="201"/>
      <c r="AC477" s="201"/>
      <c r="AD477" s="201"/>
      <c r="AE477" s="201"/>
      <c r="AF477" s="201"/>
      <c r="AG477" s="201"/>
      <c r="AH477" s="201"/>
      <c r="AI477" s="201"/>
      <c r="AJ477" s="201"/>
      <c r="AK477" s="201"/>
      <c r="AL477" s="201"/>
      <c r="AM477" s="201"/>
      <c r="AN477" s="201"/>
      <c r="AO477" s="201"/>
    </row>
    <row r="478">
      <c r="A478" s="197"/>
      <c r="B478" s="198"/>
      <c r="C478" s="199"/>
      <c r="D478" s="197"/>
      <c r="E478" s="197"/>
      <c r="F478" s="197"/>
      <c r="G478" s="197"/>
      <c r="H478" s="199"/>
      <c r="I478" s="199"/>
      <c r="J478" s="62"/>
      <c r="K478" s="62"/>
      <c r="L478" s="62"/>
      <c r="M478" s="62"/>
      <c r="N478" s="62"/>
      <c r="O478" s="60"/>
      <c r="P478" s="62"/>
      <c r="Q478" s="66"/>
      <c r="R478" s="62"/>
      <c r="S478" s="62"/>
      <c r="T478" s="62"/>
      <c r="U478" s="74"/>
      <c r="V478" s="62"/>
      <c r="W478" s="75"/>
      <c r="X478" s="74"/>
      <c r="Y478" s="61"/>
      <c r="Z478" s="201"/>
      <c r="AA478" s="201"/>
      <c r="AB478" s="201"/>
      <c r="AC478" s="201"/>
      <c r="AD478" s="201"/>
      <c r="AE478" s="201"/>
      <c r="AF478" s="201"/>
      <c r="AG478" s="201"/>
      <c r="AH478" s="201"/>
      <c r="AI478" s="201"/>
      <c r="AJ478" s="201"/>
      <c r="AK478" s="201"/>
      <c r="AL478" s="201"/>
      <c r="AM478" s="201"/>
      <c r="AN478" s="201"/>
      <c r="AO478" s="201"/>
    </row>
    <row r="479">
      <c r="A479" s="197"/>
      <c r="B479" s="198"/>
      <c r="C479" s="199"/>
      <c r="D479" s="197"/>
      <c r="E479" s="197"/>
      <c r="F479" s="197"/>
      <c r="G479" s="197"/>
      <c r="H479" s="199"/>
      <c r="I479" s="199"/>
      <c r="J479" s="62"/>
      <c r="K479" s="62"/>
      <c r="L479" s="62"/>
      <c r="M479" s="62"/>
      <c r="N479" s="62"/>
      <c r="O479" s="60"/>
      <c r="P479" s="62"/>
      <c r="Q479" s="66"/>
      <c r="R479" s="62"/>
      <c r="S479" s="62"/>
      <c r="T479" s="62"/>
      <c r="U479" s="74"/>
      <c r="V479" s="62"/>
      <c r="W479" s="75"/>
      <c r="X479" s="74"/>
      <c r="Y479" s="61"/>
      <c r="Z479" s="201"/>
      <c r="AA479" s="201"/>
      <c r="AB479" s="201"/>
      <c r="AC479" s="201"/>
      <c r="AD479" s="201"/>
      <c r="AE479" s="201"/>
      <c r="AF479" s="201"/>
      <c r="AG479" s="201"/>
      <c r="AH479" s="201"/>
      <c r="AI479" s="201"/>
      <c r="AJ479" s="201"/>
      <c r="AK479" s="201"/>
      <c r="AL479" s="201"/>
      <c r="AM479" s="201"/>
      <c r="AN479" s="201"/>
      <c r="AO479" s="201"/>
    </row>
    <row r="480">
      <c r="A480" s="197"/>
      <c r="B480" s="198"/>
      <c r="C480" s="199"/>
      <c r="D480" s="197"/>
      <c r="E480" s="197"/>
      <c r="F480" s="197"/>
      <c r="G480" s="197"/>
      <c r="H480" s="199"/>
      <c r="I480" s="199"/>
      <c r="J480" s="62"/>
      <c r="K480" s="62"/>
      <c r="L480" s="62"/>
      <c r="M480" s="62"/>
      <c r="N480" s="62"/>
      <c r="O480" s="60"/>
      <c r="P480" s="62"/>
      <c r="Q480" s="66"/>
      <c r="R480" s="62"/>
      <c r="S480" s="62"/>
      <c r="T480" s="62"/>
      <c r="U480" s="74"/>
      <c r="V480" s="62"/>
      <c r="W480" s="75"/>
      <c r="X480" s="74"/>
      <c r="Y480" s="61"/>
      <c r="Z480" s="201"/>
      <c r="AA480" s="201"/>
      <c r="AB480" s="201"/>
      <c r="AC480" s="201"/>
      <c r="AD480" s="201"/>
      <c r="AE480" s="201"/>
      <c r="AF480" s="201"/>
      <c r="AG480" s="201"/>
      <c r="AH480" s="201"/>
      <c r="AI480" s="201"/>
      <c r="AJ480" s="201"/>
      <c r="AK480" s="201"/>
      <c r="AL480" s="201"/>
      <c r="AM480" s="201"/>
      <c r="AN480" s="201"/>
      <c r="AO480" s="201"/>
    </row>
    <row r="481">
      <c r="A481" s="197"/>
      <c r="B481" s="198"/>
      <c r="C481" s="199"/>
      <c r="D481" s="197"/>
      <c r="E481" s="197"/>
      <c r="F481" s="197"/>
      <c r="G481" s="197"/>
      <c r="H481" s="199"/>
      <c r="I481" s="199"/>
      <c r="J481" s="62"/>
      <c r="K481" s="62"/>
      <c r="L481" s="62"/>
      <c r="M481" s="62"/>
      <c r="N481" s="62"/>
      <c r="O481" s="60"/>
      <c r="P481" s="62"/>
      <c r="Q481" s="66"/>
      <c r="R481" s="62"/>
      <c r="S481" s="62"/>
      <c r="T481" s="62"/>
      <c r="U481" s="74"/>
      <c r="V481" s="62"/>
      <c r="W481" s="75"/>
      <c r="X481" s="74"/>
      <c r="Y481" s="61"/>
      <c r="Z481" s="201"/>
      <c r="AA481" s="201"/>
      <c r="AB481" s="201"/>
      <c r="AC481" s="201"/>
      <c r="AD481" s="201"/>
      <c r="AE481" s="201"/>
      <c r="AF481" s="201"/>
      <c r="AG481" s="201"/>
      <c r="AH481" s="201"/>
      <c r="AI481" s="201"/>
      <c r="AJ481" s="201"/>
      <c r="AK481" s="201"/>
      <c r="AL481" s="201"/>
      <c r="AM481" s="201"/>
      <c r="AN481" s="201"/>
      <c r="AO481" s="201"/>
    </row>
    <row r="482">
      <c r="A482" s="197"/>
      <c r="B482" s="198"/>
      <c r="C482" s="199"/>
      <c r="D482" s="197"/>
      <c r="E482" s="197"/>
      <c r="F482" s="197"/>
      <c r="G482" s="197"/>
      <c r="H482" s="199"/>
      <c r="I482" s="199"/>
      <c r="J482" s="62"/>
      <c r="K482" s="62"/>
      <c r="L482" s="62"/>
      <c r="M482" s="62"/>
      <c r="N482" s="62"/>
      <c r="O482" s="60"/>
      <c r="P482" s="62"/>
      <c r="Q482" s="66"/>
      <c r="R482" s="62"/>
      <c r="S482" s="62"/>
      <c r="T482" s="62"/>
      <c r="U482" s="74"/>
      <c r="V482" s="62"/>
      <c r="W482" s="75"/>
      <c r="X482" s="74"/>
      <c r="Y482" s="61"/>
      <c r="Z482" s="201"/>
      <c r="AA482" s="201"/>
      <c r="AB482" s="201"/>
      <c r="AC482" s="201"/>
      <c r="AD482" s="201"/>
      <c r="AE482" s="201"/>
      <c r="AF482" s="201"/>
      <c r="AG482" s="201"/>
      <c r="AH482" s="201"/>
      <c r="AI482" s="201"/>
      <c r="AJ482" s="201"/>
      <c r="AK482" s="201"/>
      <c r="AL482" s="201"/>
      <c r="AM482" s="201"/>
      <c r="AN482" s="201"/>
      <c r="AO482" s="201"/>
    </row>
    <row r="483">
      <c r="A483" s="197"/>
      <c r="B483" s="198"/>
      <c r="C483" s="199"/>
      <c r="D483" s="197"/>
      <c r="E483" s="197"/>
      <c r="F483" s="197"/>
      <c r="G483" s="197"/>
      <c r="H483" s="199"/>
      <c r="I483" s="199"/>
      <c r="J483" s="62"/>
      <c r="K483" s="62"/>
      <c r="L483" s="62"/>
      <c r="M483" s="62"/>
      <c r="N483" s="62"/>
      <c r="O483" s="60"/>
      <c r="P483" s="62"/>
      <c r="Q483" s="66"/>
      <c r="R483" s="62"/>
      <c r="S483" s="62"/>
      <c r="T483" s="62"/>
      <c r="U483" s="74"/>
      <c r="V483" s="62"/>
      <c r="W483" s="75"/>
      <c r="X483" s="74"/>
      <c r="Y483" s="61"/>
      <c r="Z483" s="201"/>
      <c r="AA483" s="201"/>
      <c r="AB483" s="201"/>
      <c r="AC483" s="201"/>
      <c r="AD483" s="201"/>
      <c r="AE483" s="201"/>
      <c r="AF483" s="201"/>
      <c r="AG483" s="201"/>
      <c r="AH483" s="201"/>
      <c r="AI483" s="201"/>
      <c r="AJ483" s="201"/>
      <c r="AK483" s="201"/>
      <c r="AL483" s="201"/>
      <c r="AM483" s="201"/>
      <c r="AN483" s="201"/>
      <c r="AO483" s="201"/>
    </row>
    <row r="484">
      <c r="A484" s="197"/>
      <c r="B484" s="198"/>
      <c r="C484" s="199"/>
      <c r="D484" s="197"/>
      <c r="E484" s="197"/>
      <c r="F484" s="197"/>
      <c r="G484" s="197"/>
      <c r="H484" s="199"/>
      <c r="I484" s="199"/>
      <c r="J484" s="62"/>
      <c r="K484" s="62"/>
      <c r="L484" s="62"/>
      <c r="M484" s="62"/>
      <c r="N484" s="62"/>
      <c r="O484" s="60"/>
      <c r="P484" s="62"/>
      <c r="Q484" s="66"/>
      <c r="R484" s="62"/>
      <c r="S484" s="62"/>
      <c r="T484" s="62"/>
      <c r="U484" s="74"/>
      <c r="V484" s="62"/>
      <c r="W484" s="75"/>
      <c r="X484" s="74"/>
      <c r="Y484" s="61"/>
      <c r="Z484" s="201"/>
      <c r="AA484" s="201"/>
      <c r="AB484" s="201"/>
      <c r="AC484" s="201"/>
      <c r="AD484" s="201"/>
      <c r="AE484" s="201"/>
      <c r="AF484" s="201"/>
      <c r="AG484" s="201"/>
      <c r="AH484" s="201"/>
      <c r="AI484" s="201"/>
      <c r="AJ484" s="201"/>
      <c r="AK484" s="201"/>
      <c r="AL484" s="201"/>
      <c r="AM484" s="201"/>
      <c r="AN484" s="201"/>
      <c r="AO484" s="201"/>
    </row>
    <row r="485">
      <c r="A485" s="197"/>
      <c r="B485" s="198"/>
      <c r="C485" s="199"/>
      <c r="D485" s="197"/>
      <c r="E485" s="197"/>
      <c r="F485" s="197"/>
      <c r="G485" s="197"/>
      <c r="H485" s="199"/>
      <c r="I485" s="199"/>
      <c r="J485" s="62"/>
      <c r="K485" s="62"/>
      <c r="L485" s="62"/>
      <c r="M485" s="62"/>
      <c r="N485" s="62"/>
      <c r="O485" s="60"/>
      <c r="P485" s="62"/>
      <c r="Q485" s="66"/>
      <c r="R485" s="62"/>
      <c r="S485" s="62"/>
      <c r="T485" s="62"/>
      <c r="U485" s="74"/>
      <c r="V485" s="62"/>
      <c r="W485" s="75"/>
      <c r="X485" s="74"/>
      <c r="Y485" s="61"/>
      <c r="Z485" s="201"/>
      <c r="AA485" s="201"/>
      <c r="AB485" s="201"/>
      <c r="AC485" s="201"/>
      <c r="AD485" s="201"/>
      <c r="AE485" s="201"/>
      <c r="AF485" s="201"/>
      <c r="AG485" s="201"/>
      <c r="AH485" s="201"/>
      <c r="AI485" s="201"/>
      <c r="AJ485" s="201"/>
      <c r="AK485" s="201"/>
      <c r="AL485" s="201"/>
      <c r="AM485" s="201"/>
      <c r="AN485" s="201"/>
      <c r="AO485" s="201"/>
    </row>
    <row r="486">
      <c r="A486" s="197"/>
      <c r="B486" s="198"/>
      <c r="C486" s="199"/>
      <c r="D486" s="197"/>
      <c r="E486" s="197"/>
      <c r="F486" s="197"/>
      <c r="G486" s="197"/>
      <c r="H486" s="199"/>
      <c r="I486" s="199"/>
      <c r="J486" s="62"/>
      <c r="K486" s="62"/>
      <c r="L486" s="62"/>
      <c r="M486" s="62"/>
      <c r="N486" s="62"/>
      <c r="O486" s="60"/>
      <c r="P486" s="62"/>
      <c r="Q486" s="66"/>
      <c r="R486" s="62"/>
      <c r="S486" s="62"/>
      <c r="T486" s="62"/>
      <c r="U486" s="74"/>
      <c r="V486" s="62"/>
      <c r="W486" s="75"/>
      <c r="X486" s="74"/>
      <c r="Y486" s="61"/>
      <c r="Z486" s="201"/>
      <c r="AA486" s="201"/>
      <c r="AB486" s="201"/>
      <c r="AC486" s="201"/>
      <c r="AD486" s="201"/>
      <c r="AE486" s="201"/>
      <c r="AF486" s="201"/>
      <c r="AG486" s="201"/>
      <c r="AH486" s="201"/>
      <c r="AI486" s="201"/>
      <c r="AJ486" s="201"/>
      <c r="AK486" s="201"/>
      <c r="AL486" s="201"/>
      <c r="AM486" s="201"/>
      <c r="AN486" s="201"/>
      <c r="AO486" s="201"/>
    </row>
    <row r="487">
      <c r="A487" s="197"/>
      <c r="B487" s="198"/>
      <c r="C487" s="199"/>
      <c r="D487" s="197"/>
      <c r="E487" s="197"/>
      <c r="F487" s="197"/>
      <c r="G487" s="197"/>
      <c r="H487" s="199"/>
      <c r="I487" s="199"/>
      <c r="J487" s="62"/>
      <c r="K487" s="62"/>
      <c r="L487" s="62"/>
      <c r="M487" s="62"/>
      <c r="N487" s="62"/>
      <c r="O487" s="60"/>
      <c r="P487" s="62"/>
      <c r="Q487" s="66"/>
      <c r="R487" s="62"/>
      <c r="S487" s="62"/>
      <c r="T487" s="62"/>
      <c r="U487" s="74"/>
      <c r="V487" s="62"/>
      <c r="W487" s="75"/>
      <c r="X487" s="74"/>
      <c r="Y487" s="61"/>
      <c r="Z487" s="201"/>
      <c r="AA487" s="201"/>
      <c r="AB487" s="201"/>
      <c r="AC487" s="201"/>
      <c r="AD487" s="201"/>
      <c r="AE487" s="201"/>
      <c r="AF487" s="201"/>
      <c r="AG487" s="201"/>
      <c r="AH487" s="201"/>
      <c r="AI487" s="201"/>
      <c r="AJ487" s="201"/>
      <c r="AK487" s="201"/>
      <c r="AL487" s="201"/>
      <c r="AM487" s="201"/>
      <c r="AN487" s="201"/>
      <c r="AO487" s="201"/>
    </row>
    <row r="488">
      <c r="A488" s="197"/>
      <c r="B488" s="198"/>
      <c r="C488" s="199"/>
      <c r="D488" s="197"/>
      <c r="E488" s="197"/>
      <c r="F488" s="197"/>
      <c r="G488" s="197"/>
      <c r="H488" s="199"/>
      <c r="I488" s="199"/>
      <c r="J488" s="62"/>
      <c r="K488" s="62"/>
      <c r="L488" s="62"/>
      <c r="M488" s="62"/>
      <c r="N488" s="62"/>
      <c r="O488" s="60"/>
      <c r="P488" s="62"/>
      <c r="Q488" s="66"/>
      <c r="R488" s="62"/>
      <c r="S488" s="62"/>
      <c r="T488" s="62"/>
      <c r="U488" s="74"/>
      <c r="V488" s="62"/>
      <c r="W488" s="75"/>
      <c r="X488" s="74"/>
      <c r="Y488" s="61"/>
      <c r="Z488" s="201"/>
      <c r="AA488" s="201"/>
      <c r="AB488" s="201"/>
      <c r="AC488" s="201"/>
      <c r="AD488" s="201"/>
      <c r="AE488" s="201"/>
      <c r="AF488" s="201"/>
      <c r="AG488" s="201"/>
      <c r="AH488" s="201"/>
      <c r="AI488" s="201"/>
      <c r="AJ488" s="201"/>
      <c r="AK488" s="201"/>
      <c r="AL488" s="201"/>
      <c r="AM488" s="201"/>
      <c r="AN488" s="201"/>
      <c r="AO488" s="201"/>
    </row>
    <row r="489">
      <c r="A489" s="197"/>
      <c r="B489" s="198"/>
      <c r="C489" s="199"/>
      <c r="D489" s="197"/>
      <c r="E489" s="197"/>
      <c r="F489" s="197"/>
      <c r="G489" s="197"/>
      <c r="H489" s="199"/>
      <c r="I489" s="199"/>
      <c r="J489" s="62"/>
      <c r="K489" s="62"/>
      <c r="L489" s="62"/>
      <c r="M489" s="62"/>
      <c r="N489" s="62"/>
      <c r="O489" s="60"/>
      <c r="P489" s="62"/>
      <c r="Q489" s="66"/>
      <c r="R489" s="62"/>
      <c r="S489" s="62"/>
      <c r="T489" s="62"/>
      <c r="U489" s="74"/>
      <c r="V489" s="62"/>
      <c r="W489" s="75"/>
      <c r="X489" s="74"/>
      <c r="Y489" s="61"/>
      <c r="Z489" s="201"/>
      <c r="AA489" s="201"/>
      <c r="AB489" s="201"/>
      <c r="AC489" s="201"/>
      <c r="AD489" s="201"/>
      <c r="AE489" s="201"/>
      <c r="AF489" s="201"/>
      <c r="AG489" s="201"/>
      <c r="AH489" s="201"/>
      <c r="AI489" s="201"/>
      <c r="AJ489" s="201"/>
      <c r="AK489" s="201"/>
      <c r="AL489" s="201"/>
      <c r="AM489" s="201"/>
      <c r="AN489" s="201"/>
      <c r="AO489" s="201"/>
    </row>
    <row r="490">
      <c r="A490" s="197"/>
      <c r="B490" s="198"/>
      <c r="C490" s="199"/>
      <c r="D490" s="197"/>
      <c r="E490" s="197"/>
      <c r="F490" s="197"/>
      <c r="G490" s="197"/>
      <c r="H490" s="199"/>
      <c r="I490" s="199"/>
      <c r="J490" s="62"/>
      <c r="K490" s="62"/>
      <c r="L490" s="62"/>
      <c r="M490" s="62"/>
      <c r="N490" s="62"/>
      <c r="O490" s="60"/>
      <c r="P490" s="62"/>
      <c r="Q490" s="66"/>
      <c r="R490" s="62"/>
      <c r="S490" s="62"/>
      <c r="T490" s="62"/>
      <c r="U490" s="74"/>
      <c r="V490" s="62"/>
      <c r="W490" s="75"/>
      <c r="X490" s="74"/>
      <c r="Y490" s="61"/>
      <c r="Z490" s="201"/>
      <c r="AA490" s="201"/>
      <c r="AB490" s="201"/>
      <c r="AC490" s="201"/>
      <c r="AD490" s="201"/>
      <c r="AE490" s="201"/>
      <c r="AF490" s="201"/>
      <c r="AG490" s="201"/>
      <c r="AH490" s="201"/>
      <c r="AI490" s="201"/>
      <c r="AJ490" s="201"/>
      <c r="AK490" s="201"/>
      <c r="AL490" s="201"/>
      <c r="AM490" s="201"/>
      <c r="AN490" s="201"/>
      <c r="AO490" s="201"/>
    </row>
    <row r="491">
      <c r="A491" s="197"/>
      <c r="B491" s="198"/>
      <c r="C491" s="199"/>
      <c r="D491" s="197"/>
      <c r="E491" s="197"/>
      <c r="F491" s="197"/>
      <c r="G491" s="197"/>
      <c r="H491" s="199"/>
      <c r="I491" s="199"/>
      <c r="J491" s="62"/>
      <c r="K491" s="62"/>
      <c r="L491" s="62"/>
      <c r="M491" s="62"/>
      <c r="N491" s="62"/>
      <c r="O491" s="60"/>
      <c r="P491" s="62"/>
      <c r="Q491" s="66"/>
      <c r="R491" s="62"/>
      <c r="S491" s="62"/>
      <c r="T491" s="62"/>
      <c r="U491" s="74"/>
      <c r="V491" s="62"/>
      <c r="W491" s="75"/>
      <c r="X491" s="74"/>
      <c r="Y491" s="61"/>
      <c r="Z491" s="201"/>
      <c r="AA491" s="201"/>
      <c r="AB491" s="201"/>
      <c r="AC491" s="201"/>
      <c r="AD491" s="201"/>
      <c r="AE491" s="201"/>
      <c r="AF491" s="201"/>
      <c r="AG491" s="201"/>
      <c r="AH491" s="201"/>
      <c r="AI491" s="201"/>
      <c r="AJ491" s="201"/>
      <c r="AK491" s="201"/>
      <c r="AL491" s="201"/>
      <c r="AM491" s="201"/>
      <c r="AN491" s="201"/>
      <c r="AO491" s="201"/>
    </row>
    <row r="492">
      <c r="A492" s="197"/>
      <c r="B492" s="198"/>
      <c r="C492" s="199"/>
      <c r="D492" s="197"/>
      <c r="E492" s="197"/>
      <c r="F492" s="197"/>
      <c r="G492" s="197"/>
      <c r="H492" s="199"/>
      <c r="I492" s="199"/>
      <c r="J492" s="62"/>
      <c r="K492" s="62"/>
      <c r="L492" s="62"/>
      <c r="M492" s="62"/>
      <c r="N492" s="62"/>
      <c r="O492" s="60"/>
      <c r="P492" s="62"/>
      <c r="Q492" s="66"/>
      <c r="R492" s="62"/>
      <c r="S492" s="62"/>
      <c r="T492" s="62"/>
      <c r="U492" s="74"/>
      <c r="V492" s="62"/>
      <c r="W492" s="75"/>
      <c r="X492" s="74"/>
      <c r="Y492" s="61"/>
      <c r="Z492" s="201"/>
      <c r="AA492" s="201"/>
      <c r="AB492" s="201"/>
      <c r="AC492" s="201"/>
      <c r="AD492" s="201"/>
      <c r="AE492" s="201"/>
      <c r="AF492" s="201"/>
      <c r="AG492" s="201"/>
      <c r="AH492" s="201"/>
      <c r="AI492" s="201"/>
      <c r="AJ492" s="201"/>
      <c r="AK492" s="201"/>
      <c r="AL492" s="201"/>
      <c r="AM492" s="201"/>
      <c r="AN492" s="201"/>
      <c r="AO492" s="201"/>
    </row>
    <row r="493">
      <c r="A493" s="197"/>
      <c r="B493" s="198"/>
      <c r="C493" s="199"/>
      <c r="D493" s="197"/>
      <c r="E493" s="197"/>
      <c r="F493" s="197"/>
      <c r="G493" s="197"/>
      <c r="H493" s="199"/>
      <c r="I493" s="199"/>
      <c r="J493" s="62"/>
      <c r="K493" s="62"/>
      <c r="L493" s="62"/>
      <c r="M493" s="62"/>
      <c r="N493" s="62"/>
      <c r="O493" s="60"/>
      <c r="P493" s="62"/>
      <c r="Q493" s="66"/>
      <c r="R493" s="62"/>
      <c r="S493" s="62"/>
      <c r="T493" s="62"/>
      <c r="U493" s="74"/>
      <c r="V493" s="62"/>
      <c r="W493" s="75"/>
      <c r="X493" s="74"/>
      <c r="Y493" s="61"/>
      <c r="Z493" s="201"/>
      <c r="AA493" s="201"/>
      <c r="AB493" s="201"/>
      <c r="AC493" s="201"/>
      <c r="AD493" s="201"/>
      <c r="AE493" s="201"/>
      <c r="AF493" s="201"/>
      <c r="AG493" s="201"/>
      <c r="AH493" s="201"/>
      <c r="AI493" s="201"/>
      <c r="AJ493" s="201"/>
      <c r="AK493" s="201"/>
      <c r="AL493" s="201"/>
      <c r="AM493" s="201"/>
      <c r="AN493" s="201"/>
      <c r="AO493" s="201"/>
    </row>
    <row r="494">
      <c r="A494" s="197"/>
      <c r="B494" s="198"/>
      <c r="C494" s="199"/>
      <c r="D494" s="197"/>
      <c r="E494" s="197"/>
      <c r="F494" s="197"/>
      <c r="G494" s="197"/>
      <c r="H494" s="199"/>
      <c r="I494" s="199"/>
      <c r="J494" s="62"/>
      <c r="K494" s="62"/>
      <c r="L494" s="62"/>
      <c r="M494" s="62"/>
      <c r="N494" s="62"/>
      <c r="O494" s="60"/>
      <c r="P494" s="62"/>
      <c r="Q494" s="66"/>
      <c r="R494" s="62"/>
      <c r="S494" s="62"/>
      <c r="T494" s="62"/>
      <c r="U494" s="74"/>
      <c r="V494" s="62"/>
      <c r="W494" s="75"/>
      <c r="X494" s="74"/>
      <c r="Y494" s="61"/>
      <c r="Z494" s="201"/>
      <c r="AA494" s="201"/>
      <c r="AB494" s="201"/>
      <c r="AC494" s="201"/>
      <c r="AD494" s="201"/>
      <c r="AE494" s="201"/>
      <c r="AF494" s="201"/>
      <c r="AG494" s="201"/>
      <c r="AH494" s="201"/>
      <c r="AI494" s="201"/>
      <c r="AJ494" s="201"/>
      <c r="AK494" s="201"/>
      <c r="AL494" s="201"/>
      <c r="AM494" s="201"/>
      <c r="AN494" s="201"/>
      <c r="AO494" s="201"/>
    </row>
    <row r="495">
      <c r="A495" s="197"/>
      <c r="B495" s="198"/>
      <c r="C495" s="199"/>
      <c r="D495" s="197"/>
      <c r="E495" s="197"/>
      <c r="F495" s="197"/>
      <c r="G495" s="197"/>
      <c r="H495" s="199"/>
      <c r="I495" s="199"/>
      <c r="J495" s="62"/>
      <c r="K495" s="62"/>
      <c r="L495" s="62"/>
      <c r="M495" s="62"/>
      <c r="N495" s="62"/>
      <c r="O495" s="60"/>
      <c r="P495" s="62"/>
      <c r="Q495" s="66"/>
      <c r="R495" s="62"/>
      <c r="S495" s="62"/>
      <c r="T495" s="62"/>
      <c r="U495" s="74"/>
      <c r="V495" s="62"/>
      <c r="W495" s="75"/>
      <c r="X495" s="74"/>
      <c r="Y495" s="61"/>
      <c r="Z495" s="201"/>
      <c r="AA495" s="201"/>
      <c r="AB495" s="201"/>
      <c r="AC495" s="201"/>
      <c r="AD495" s="201"/>
      <c r="AE495" s="201"/>
      <c r="AF495" s="201"/>
      <c r="AG495" s="201"/>
      <c r="AH495" s="201"/>
      <c r="AI495" s="201"/>
      <c r="AJ495" s="201"/>
      <c r="AK495" s="201"/>
      <c r="AL495" s="201"/>
      <c r="AM495" s="201"/>
      <c r="AN495" s="201"/>
      <c r="AO495" s="201"/>
    </row>
    <row r="496">
      <c r="A496" s="197"/>
      <c r="B496" s="198"/>
      <c r="C496" s="199"/>
      <c r="D496" s="197"/>
      <c r="E496" s="197"/>
      <c r="F496" s="197"/>
      <c r="G496" s="197"/>
      <c r="H496" s="199"/>
      <c r="I496" s="199"/>
      <c r="J496" s="62"/>
      <c r="K496" s="62"/>
      <c r="L496" s="62"/>
      <c r="M496" s="62"/>
      <c r="N496" s="62"/>
      <c r="O496" s="60"/>
      <c r="P496" s="62"/>
      <c r="Q496" s="66"/>
      <c r="R496" s="62"/>
      <c r="S496" s="62"/>
      <c r="T496" s="62"/>
      <c r="U496" s="74"/>
      <c r="V496" s="62"/>
      <c r="W496" s="75"/>
      <c r="X496" s="74"/>
      <c r="Y496" s="61"/>
      <c r="Z496" s="201"/>
      <c r="AA496" s="201"/>
      <c r="AB496" s="201"/>
      <c r="AC496" s="201"/>
      <c r="AD496" s="201"/>
      <c r="AE496" s="201"/>
      <c r="AF496" s="201"/>
      <c r="AG496" s="201"/>
      <c r="AH496" s="201"/>
      <c r="AI496" s="201"/>
      <c r="AJ496" s="201"/>
      <c r="AK496" s="201"/>
      <c r="AL496" s="201"/>
      <c r="AM496" s="201"/>
      <c r="AN496" s="201"/>
      <c r="AO496" s="201"/>
    </row>
    <row r="497">
      <c r="A497" s="197"/>
      <c r="B497" s="198"/>
      <c r="C497" s="199"/>
      <c r="D497" s="197"/>
      <c r="E497" s="197"/>
      <c r="F497" s="197"/>
      <c r="G497" s="197"/>
      <c r="H497" s="199"/>
      <c r="I497" s="199"/>
      <c r="J497" s="62"/>
      <c r="K497" s="62"/>
      <c r="L497" s="62"/>
      <c r="M497" s="62"/>
      <c r="N497" s="62"/>
      <c r="O497" s="60"/>
      <c r="P497" s="62"/>
      <c r="Q497" s="66"/>
      <c r="R497" s="62"/>
      <c r="S497" s="62"/>
      <c r="T497" s="62"/>
      <c r="U497" s="74"/>
      <c r="V497" s="62"/>
      <c r="W497" s="75"/>
      <c r="X497" s="74"/>
      <c r="Y497" s="61"/>
      <c r="Z497" s="201"/>
      <c r="AA497" s="201"/>
      <c r="AB497" s="201"/>
      <c r="AC497" s="201"/>
      <c r="AD497" s="201"/>
      <c r="AE497" s="201"/>
      <c r="AF497" s="201"/>
      <c r="AG497" s="201"/>
      <c r="AH497" s="201"/>
      <c r="AI497" s="201"/>
      <c r="AJ497" s="201"/>
      <c r="AK497" s="201"/>
      <c r="AL497" s="201"/>
      <c r="AM497" s="201"/>
      <c r="AN497" s="201"/>
      <c r="AO497" s="201"/>
    </row>
    <row r="498">
      <c r="A498" s="197"/>
      <c r="B498" s="198"/>
      <c r="C498" s="199"/>
      <c r="D498" s="197"/>
      <c r="E498" s="197"/>
      <c r="F498" s="197"/>
      <c r="G498" s="197"/>
      <c r="H498" s="199"/>
      <c r="I498" s="199"/>
      <c r="J498" s="62"/>
      <c r="K498" s="62"/>
      <c r="L498" s="62"/>
      <c r="M498" s="62"/>
      <c r="N498" s="62"/>
      <c r="O498" s="60"/>
      <c r="P498" s="62"/>
      <c r="Q498" s="66"/>
      <c r="R498" s="62"/>
      <c r="S498" s="62"/>
      <c r="T498" s="62"/>
      <c r="U498" s="74"/>
      <c r="V498" s="62"/>
      <c r="W498" s="75"/>
      <c r="X498" s="74"/>
      <c r="Y498" s="61"/>
      <c r="Z498" s="201"/>
      <c r="AA498" s="201"/>
      <c r="AB498" s="201"/>
      <c r="AC498" s="201"/>
      <c r="AD498" s="201"/>
      <c r="AE498" s="201"/>
      <c r="AF498" s="201"/>
      <c r="AG498" s="201"/>
      <c r="AH498" s="201"/>
      <c r="AI498" s="201"/>
      <c r="AJ498" s="201"/>
      <c r="AK498" s="201"/>
      <c r="AL498" s="201"/>
      <c r="AM498" s="201"/>
      <c r="AN498" s="201"/>
      <c r="AO498" s="201"/>
    </row>
    <row r="499">
      <c r="A499" s="197"/>
      <c r="B499" s="198"/>
      <c r="C499" s="199"/>
      <c r="D499" s="197"/>
      <c r="E499" s="197"/>
      <c r="F499" s="197"/>
      <c r="G499" s="197"/>
      <c r="H499" s="199"/>
      <c r="I499" s="199"/>
      <c r="J499" s="62"/>
      <c r="K499" s="62"/>
      <c r="L499" s="62"/>
      <c r="M499" s="62"/>
      <c r="N499" s="62"/>
      <c r="O499" s="60"/>
      <c r="P499" s="62"/>
      <c r="Q499" s="66"/>
      <c r="R499" s="62"/>
      <c r="S499" s="62"/>
      <c r="T499" s="62"/>
      <c r="U499" s="74"/>
      <c r="V499" s="62"/>
      <c r="W499" s="75"/>
      <c r="X499" s="74"/>
      <c r="Y499" s="61"/>
      <c r="Z499" s="201"/>
      <c r="AA499" s="201"/>
      <c r="AB499" s="201"/>
      <c r="AC499" s="201"/>
      <c r="AD499" s="201"/>
      <c r="AE499" s="201"/>
      <c r="AF499" s="201"/>
      <c r="AG499" s="201"/>
      <c r="AH499" s="201"/>
      <c r="AI499" s="201"/>
      <c r="AJ499" s="201"/>
      <c r="AK499" s="201"/>
      <c r="AL499" s="201"/>
      <c r="AM499" s="201"/>
      <c r="AN499" s="201"/>
      <c r="AO499" s="201"/>
    </row>
    <row r="500">
      <c r="A500" s="197"/>
      <c r="B500" s="198"/>
      <c r="C500" s="199"/>
      <c r="D500" s="197"/>
      <c r="E500" s="197"/>
      <c r="F500" s="197"/>
      <c r="G500" s="197"/>
      <c r="H500" s="199"/>
      <c r="I500" s="199"/>
      <c r="J500" s="62"/>
      <c r="K500" s="62"/>
      <c r="L500" s="62"/>
      <c r="M500" s="62"/>
      <c r="N500" s="62"/>
      <c r="O500" s="60"/>
      <c r="P500" s="62"/>
      <c r="Q500" s="66"/>
      <c r="R500" s="62"/>
      <c r="S500" s="62"/>
      <c r="T500" s="62"/>
      <c r="U500" s="74"/>
      <c r="V500" s="62"/>
      <c r="W500" s="75"/>
      <c r="X500" s="74"/>
      <c r="Y500" s="61"/>
      <c r="Z500" s="201"/>
      <c r="AA500" s="201"/>
      <c r="AB500" s="201"/>
      <c r="AC500" s="201"/>
      <c r="AD500" s="201"/>
      <c r="AE500" s="201"/>
      <c r="AF500" s="201"/>
      <c r="AG500" s="201"/>
      <c r="AH500" s="201"/>
      <c r="AI500" s="201"/>
      <c r="AJ500" s="201"/>
      <c r="AK500" s="201"/>
      <c r="AL500" s="201"/>
      <c r="AM500" s="201"/>
      <c r="AN500" s="201"/>
      <c r="AO500" s="201"/>
    </row>
    <row r="501">
      <c r="A501" s="197"/>
      <c r="B501" s="198"/>
      <c r="C501" s="199"/>
      <c r="D501" s="197"/>
      <c r="E501" s="197"/>
      <c r="F501" s="197"/>
      <c r="G501" s="197"/>
      <c r="H501" s="199"/>
      <c r="I501" s="199"/>
      <c r="J501" s="62"/>
      <c r="K501" s="62"/>
      <c r="L501" s="62"/>
      <c r="M501" s="62"/>
      <c r="N501" s="62"/>
      <c r="O501" s="60"/>
      <c r="P501" s="62"/>
      <c r="Q501" s="66"/>
      <c r="R501" s="62"/>
      <c r="S501" s="62"/>
      <c r="T501" s="62"/>
      <c r="U501" s="74"/>
      <c r="V501" s="62"/>
      <c r="W501" s="75"/>
      <c r="X501" s="74"/>
      <c r="Y501" s="61"/>
      <c r="Z501" s="201"/>
      <c r="AA501" s="201"/>
      <c r="AB501" s="201"/>
      <c r="AC501" s="201"/>
      <c r="AD501" s="201"/>
      <c r="AE501" s="201"/>
      <c r="AF501" s="201"/>
      <c r="AG501" s="201"/>
      <c r="AH501" s="201"/>
      <c r="AI501" s="201"/>
      <c r="AJ501" s="201"/>
      <c r="AK501" s="201"/>
      <c r="AL501" s="201"/>
      <c r="AM501" s="201"/>
      <c r="AN501" s="201"/>
      <c r="AO501" s="201"/>
    </row>
    <row r="502">
      <c r="A502" s="197"/>
      <c r="B502" s="198"/>
      <c r="C502" s="199"/>
      <c r="D502" s="197"/>
      <c r="E502" s="197"/>
      <c r="F502" s="197"/>
      <c r="G502" s="197"/>
      <c r="H502" s="199"/>
      <c r="I502" s="199"/>
      <c r="J502" s="62"/>
      <c r="K502" s="62"/>
      <c r="L502" s="62"/>
      <c r="M502" s="62"/>
      <c r="N502" s="62"/>
      <c r="O502" s="60"/>
      <c r="P502" s="62"/>
      <c r="Q502" s="66"/>
      <c r="R502" s="62"/>
      <c r="S502" s="62"/>
      <c r="T502" s="62"/>
      <c r="U502" s="74"/>
      <c r="V502" s="62"/>
      <c r="W502" s="75"/>
      <c r="X502" s="74"/>
      <c r="Y502" s="61"/>
      <c r="Z502" s="201"/>
      <c r="AA502" s="201"/>
      <c r="AB502" s="201"/>
      <c r="AC502" s="201"/>
      <c r="AD502" s="201"/>
      <c r="AE502" s="201"/>
      <c r="AF502" s="201"/>
      <c r="AG502" s="201"/>
      <c r="AH502" s="201"/>
      <c r="AI502" s="201"/>
      <c r="AJ502" s="201"/>
      <c r="AK502" s="201"/>
      <c r="AL502" s="201"/>
      <c r="AM502" s="201"/>
      <c r="AN502" s="201"/>
      <c r="AO502" s="201"/>
    </row>
    <row r="503">
      <c r="A503" s="197"/>
      <c r="B503" s="198"/>
      <c r="C503" s="199"/>
      <c r="D503" s="197"/>
      <c r="E503" s="197"/>
      <c r="F503" s="197"/>
      <c r="G503" s="197"/>
      <c r="H503" s="199"/>
      <c r="I503" s="199"/>
      <c r="J503" s="62"/>
      <c r="K503" s="62"/>
      <c r="L503" s="62"/>
      <c r="M503" s="62"/>
      <c r="N503" s="62"/>
      <c r="O503" s="60"/>
      <c r="P503" s="62"/>
      <c r="Q503" s="66"/>
      <c r="R503" s="62"/>
      <c r="S503" s="62"/>
      <c r="T503" s="62"/>
      <c r="U503" s="74"/>
      <c r="V503" s="62"/>
      <c r="W503" s="75"/>
      <c r="X503" s="74"/>
      <c r="Y503" s="61"/>
      <c r="Z503" s="201"/>
      <c r="AA503" s="201"/>
      <c r="AB503" s="201"/>
      <c r="AC503" s="201"/>
      <c r="AD503" s="201"/>
      <c r="AE503" s="201"/>
      <c r="AF503" s="201"/>
      <c r="AG503" s="201"/>
      <c r="AH503" s="201"/>
      <c r="AI503" s="201"/>
      <c r="AJ503" s="201"/>
      <c r="AK503" s="201"/>
      <c r="AL503" s="201"/>
      <c r="AM503" s="201"/>
      <c r="AN503" s="201"/>
      <c r="AO503" s="201"/>
    </row>
    <row r="504">
      <c r="A504" s="197"/>
      <c r="B504" s="198"/>
      <c r="C504" s="199"/>
      <c r="D504" s="197"/>
      <c r="E504" s="197"/>
      <c r="F504" s="197"/>
      <c r="G504" s="197"/>
      <c r="H504" s="199"/>
      <c r="I504" s="199"/>
      <c r="J504" s="62"/>
      <c r="K504" s="62"/>
      <c r="L504" s="62"/>
      <c r="M504" s="62"/>
      <c r="N504" s="62"/>
      <c r="O504" s="60"/>
      <c r="P504" s="62"/>
      <c r="Q504" s="66"/>
      <c r="R504" s="62"/>
      <c r="S504" s="62"/>
      <c r="T504" s="62"/>
      <c r="U504" s="74"/>
      <c r="V504" s="62"/>
      <c r="W504" s="75"/>
      <c r="X504" s="62"/>
      <c r="Y504" s="61"/>
      <c r="Z504" s="201"/>
      <c r="AA504" s="201"/>
      <c r="AB504" s="201"/>
      <c r="AC504" s="201"/>
      <c r="AD504" s="201"/>
      <c r="AE504" s="201"/>
      <c r="AF504" s="201"/>
      <c r="AG504" s="201"/>
      <c r="AH504" s="201"/>
      <c r="AI504" s="201"/>
      <c r="AJ504" s="201"/>
      <c r="AK504" s="201"/>
      <c r="AL504" s="201"/>
      <c r="AM504" s="201"/>
      <c r="AN504" s="201"/>
      <c r="AO504" s="201"/>
    </row>
    <row r="505">
      <c r="A505" s="197"/>
      <c r="B505" s="198"/>
      <c r="C505" s="199"/>
      <c r="D505" s="197"/>
      <c r="E505" s="197"/>
      <c r="F505" s="197"/>
      <c r="G505" s="197"/>
      <c r="H505" s="199"/>
      <c r="I505" s="199"/>
      <c r="J505" s="62"/>
      <c r="K505" s="62"/>
      <c r="L505" s="62"/>
      <c r="M505" s="62"/>
      <c r="N505" s="62"/>
      <c r="O505" s="60"/>
      <c r="P505" s="62"/>
      <c r="Q505" s="66"/>
      <c r="R505" s="62"/>
      <c r="S505" s="62"/>
      <c r="T505" s="62"/>
      <c r="U505" s="74"/>
      <c r="V505" s="62"/>
      <c r="W505" s="75"/>
      <c r="X505" s="62"/>
      <c r="Y505" s="61"/>
      <c r="Z505" s="201"/>
      <c r="AA505" s="201"/>
      <c r="AB505" s="201"/>
      <c r="AC505" s="201"/>
      <c r="AD505" s="201"/>
      <c r="AE505" s="201"/>
      <c r="AF505" s="201"/>
      <c r="AG505" s="201"/>
      <c r="AH505" s="201"/>
      <c r="AI505" s="201"/>
      <c r="AJ505" s="201"/>
      <c r="AK505" s="201"/>
      <c r="AL505" s="201"/>
      <c r="AM505" s="201"/>
      <c r="AN505" s="201"/>
      <c r="AO505" s="201"/>
    </row>
    <row r="506">
      <c r="A506" s="197"/>
      <c r="B506" s="198"/>
      <c r="C506" s="199"/>
      <c r="D506" s="197"/>
      <c r="E506" s="197"/>
      <c r="F506" s="197"/>
      <c r="G506" s="197"/>
      <c r="H506" s="199"/>
      <c r="I506" s="199"/>
      <c r="J506" s="62"/>
      <c r="K506" s="62"/>
      <c r="L506" s="62"/>
      <c r="M506" s="62"/>
      <c r="N506" s="62"/>
      <c r="O506" s="60"/>
      <c r="P506" s="62"/>
      <c r="Q506" s="66"/>
      <c r="R506" s="62"/>
      <c r="S506" s="62"/>
      <c r="T506" s="62"/>
      <c r="U506" s="74"/>
      <c r="V506" s="62"/>
      <c r="W506" s="75"/>
      <c r="X506" s="62"/>
      <c r="Y506" s="61"/>
      <c r="Z506" s="201"/>
      <c r="AA506" s="201"/>
      <c r="AB506" s="201"/>
      <c r="AC506" s="201"/>
      <c r="AD506" s="201"/>
      <c r="AE506" s="201"/>
      <c r="AF506" s="201"/>
      <c r="AG506" s="201"/>
      <c r="AH506" s="201"/>
      <c r="AI506" s="201"/>
      <c r="AJ506" s="201"/>
      <c r="AK506" s="201"/>
      <c r="AL506" s="201"/>
      <c r="AM506" s="201"/>
      <c r="AN506" s="201"/>
      <c r="AO506" s="201"/>
    </row>
    <row r="507">
      <c r="A507" s="197"/>
      <c r="B507" s="198"/>
      <c r="C507" s="199"/>
      <c r="D507" s="197"/>
      <c r="E507" s="197"/>
      <c r="F507" s="197"/>
      <c r="G507" s="197"/>
      <c r="H507" s="199"/>
      <c r="I507" s="199"/>
      <c r="J507" s="62"/>
      <c r="K507" s="62"/>
      <c r="L507" s="62"/>
      <c r="M507" s="62"/>
      <c r="N507" s="62"/>
      <c r="O507" s="60"/>
      <c r="P507" s="62"/>
      <c r="Q507" s="66"/>
      <c r="R507" s="62"/>
      <c r="S507" s="62"/>
      <c r="T507" s="62"/>
      <c r="U507" s="74"/>
      <c r="V507" s="62"/>
      <c r="W507" s="75"/>
      <c r="X507" s="62"/>
      <c r="Y507" s="61"/>
      <c r="Z507" s="201"/>
      <c r="AA507" s="201"/>
      <c r="AB507" s="201"/>
      <c r="AC507" s="201"/>
      <c r="AD507" s="201"/>
      <c r="AE507" s="201"/>
      <c r="AF507" s="201"/>
      <c r="AG507" s="201"/>
      <c r="AH507" s="201"/>
      <c r="AI507" s="201"/>
      <c r="AJ507" s="201"/>
      <c r="AK507" s="201"/>
      <c r="AL507" s="201"/>
      <c r="AM507" s="201"/>
      <c r="AN507" s="201"/>
      <c r="AO507" s="201"/>
    </row>
    <row r="508">
      <c r="A508" s="197"/>
      <c r="B508" s="198"/>
      <c r="C508" s="199"/>
      <c r="D508" s="197"/>
      <c r="E508" s="197"/>
      <c r="F508" s="197"/>
      <c r="G508" s="197"/>
      <c r="H508" s="199"/>
      <c r="I508" s="199"/>
      <c r="J508" s="62"/>
      <c r="K508" s="62"/>
      <c r="L508" s="62"/>
      <c r="M508" s="62"/>
      <c r="N508" s="62"/>
      <c r="O508" s="60"/>
      <c r="P508" s="62"/>
      <c r="Q508" s="66"/>
      <c r="R508" s="62"/>
      <c r="S508" s="62"/>
      <c r="T508" s="62"/>
      <c r="U508" s="74"/>
      <c r="V508" s="62"/>
      <c r="W508" s="75"/>
      <c r="X508" s="62"/>
      <c r="Y508" s="61"/>
      <c r="Z508" s="201"/>
      <c r="AA508" s="201"/>
      <c r="AB508" s="201"/>
      <c r="AC508" s="201"/>
      <c r="AD508" s="201"/>
      <c r="AE508" s="201"/>
      <c r="AF508" s="201"/>
      <c r="AG508" s="201"/>
      <c r="AH508" s="201"/>
      <c r="AI508" s="201"/>
      <c r="AJ508" s="201"/>
      <c r="AK508" s="201"/>
      <c r="AL508" s="201"/>
      <c r="AM508" s="201"/>
      <c r="AN508" s="201"/>
      <c r="AO508" s="201"/>
    </row>
    <row r="509">
      <c r="A509" s="197"/>
      <c r="B509" s="198"/>
      <c r="C509" s="199"/>
      <c r="D509" s="197"/>
      <c r="E509" s="197"/>
      <c r="F509" s="197"/>
      <c r="G509" s="197"/>
      <c r="H509" s="199"/>
      <c r="I509" s="199"/>
      <c r="J509" s="62"/>
      <c r="K509" s="62"/>
      <c r="L509" s="62"/>
      <c r="M509" s="62"/>
      <c r="N509" s="62"/>
      <c r="O509" s="60"/>
      <c r="P509" s="62"/>
      <c r="Q509" s="66"/>
      <c r="R509" s="62"/>
      <c r="S509" s="62"/>
      <c r="T509" s="62"/>
      <c r="U509" s="74"/>
      <c r="V509" s="62"/>
      <c r="W509" s="75"/>
      <c r="X509" s="62"/>
      <c r="Y509" s="61"/>
      <c r="Z509" s="201"/>
      <c r="AA509" s="201"/>
      <c r="AB509" s="201"/>
      <c r="AC509" s="201"/>
      <c r="AD509" s="201"/>
      <c r="AE509" s="201"/>
      <c r="AF509" s="201"/>
      <c r="AG509" s="201"/>
      <c r="AH509" s="201"/>
      <c r="AI509" s="201"/>
      <c r="AJ509" s="201"/>
      <c r="AK509" s="201"/>
      <c r="AL509" s="201"/>
      <c r="AM509" s="201"/>
      <c r="AN509" s="201"/>
      <c r="AO509" s="201"/>
    </row>
    <row r="510">
      <c r="A510" s="197"/>
      <c r="B510" s="198"/>
      <c r="C510" s="199"/>
      <c r="D510" s="197"/>
      <c r="E510" s="197"/>
      <c r="F510" s="197"/>
      <c r="G510" s="197"/>
      <c r="H510" s="199"/>
      <c r="I510" s="199"/>
      <c r="J510" s="62"/>
      <c r="K510" s="62"/>
      <c r="L510" s="62"/>
      <c r="M510" s="62"/>
      <c r="N510" s="62"/>
      <c r="O510" s="60"/>
      <c r="P510" s="62"/>
      <c r="Q510" s="66"/>
      <c r="R510" s="62"/>
      <c r="S510" s="62"/>
      <c r="T510" s="62"/>
      <c r="U510" s="74"/>
      <c r="V510" s="62"/>
      <c r="W510" s="75"/>
      <c r="X510" s="62"/>
      <c r="Y510" s="61"/>
      <c r="Z510" s="201"/>
      <c r="AA510" s="201"/>
      <c r="AB510" s="201"/>
      <c r="AC510" s="201"/>
      <c r="AD510" s="201"/>
      <c r="AE510" s="201"/>
      <c r="AF510" s="201"/>
      <c r="AG510" s="201"/>
      <c r="AH510" s="201"/>
      <c r="AI510" s="201"/>
      <c r="AJ510" s="201"/>
      <c r="AK510" s="201"/>
      <c r="AL510" s="201"/>
      <c r="AM510" s="201"/>
      <c r="AN510" s="201"/>
      <c r="AO510" s="201"/>
    </row>
    <row r="511">
      <c r="A511" s="197"/>
      <c r="B511" s="198"/>
      <c r="C511" s="199"/>
      <c r="D511" s="197"/>
      <c r="E511" s="197"/>
      <c r="F511" s="197"/>
      <c r="G511" s="197"/>
      <c r="H511" s="199"/>
      <c r="I511" s="199"/>
      <c r="J511" s="62"/>
      <c r="K511" s="62"/>
      <c r="L511" s="62"/>
      <c r="M511" s="62"/>
      <c r="N511" s="62"/>
      <c r="O511" s="60"/>
      <c r="P511" s="62"/>
      <c r="Q511" s="66"/>
      <c r="R511" s="62"/>
      <c r="S511" s="62"/>
      <c r="T511" s="62"/>
      <c r="U511" s="74"/>
      <c r="V511" s="62"/>
      <c r="W511" s="75"/>
      <c r="X511" s="62"/>
      <c r="Y511" s="61"/>
      <c r="Z511" s="201"/>
      <c r="AA511" s="201"/>
      <c r="AB511" s="201"/>
      <c r="AC511" s="201"/>
      <c r="AD511" s="201"/>
      <c r="AE511" s="201"/>
      <c r="AF511" s="201"/>
      <c r="AG511" s="201"/>
      <c r="AH511" s="201"/>
      <c r="AI511" s="201"/>
      <c r="AJ511" s="201"/>
      <c r="AK511" s="201"/>
      <c r="AL511" s="201"/>
      <c r="AM511" s="201"/>
      <c r="AN511" s="201"/>
      <c r="AO511" s="201"/>
    </row>
    <row r="512">
      <c r="A512" s="197"/>
      <c r="B512" s="198"/>
      <c r="C512" s="199"/>
      <c r="D512" s="197"/>
      <c r="E512" s="197"/>
      <c r="F512" s="197"/>
      <c r="G512" s="197"/>
      <c r="H512" s="199"/>
      <c r="I512" s="199"/>
      <c r="J512" s="62"/>
      <c r="K512" s="62"/>
      <c r="L512" s="62"/>
      <c r="M512" s="62"/>
      <c r="N512" s="62"/>
      <c r="O512" s="60"/>
      <c r="P512" s="62"/>
      <c r="Q512" s="66"/>
      <c r="R512" s="62"/>
      <c r="S512" s="62"/>
      <c r="T512" s="62"/>
      <c r="U512" s="74"/>
      <c r="V512" s="62"/>
      <c r="W512" s="75"/>
      <c r="X512" s="62"/>
      <c r="Y512" s="61"/>
      <c r="Z512" s="201"/>
      <c r="AA512" s="201"/>
      <c r="AB512" s="201"/>
      <c r="AC512" s="201"/>
      <c r="AD512" s="201"/>
      <c r="AE512" s="201"/>
      <c r="AF512" s="201"/>
      <c r="AG512" s="201"/>
      <c r="AH512" s="201"/>
      <c r="AI512" s="201"/>
      <c r="AJ512" s="201"/>
      <c r="AK512" s="201"/>
      <c r="AL512" s="201"/>
      <c r="AM512" s="201"/>
      <c r="AN512" s="201"/>
      <c r="AO512" s="201"/>
    </row>
    <row r="513">
      <c r="A513" s="197"/>
      <c r="B513" s="198"/>
      <c r="C513" s="199"/>
      <c r="D513" s="197"/>
      <c r="E513" s="197"/>
      <c r="F513" s="197"/>
      <c r="G513" s="197"/>
      <c r="H513" s="199"/>
      <c r="I513" s="199"/>
      <c r="J513" s="62"/>
      <c r="K513" s="62"/>
      <c r="L513" s="62"/>
      <c r="M513" s="62"/>
      <c r="N513" s="62"/>
      <c r="O513" s="60"/>
      <c r="P513" s="62"/>
      <c r="Q513" s="66"/>
      <c r="R513" s="62"/>
      <c r="S513" s="62"/>
      <c r="T513" s="62"/>
      <c r="U513" s="74"/>
      <c r="V513" s="62"/>
      <c r="W513" s="75"/>
      <c r="X513" s="62"/>
      <c r="Y513" s="61"/>
      <c r="Z513" s="201"/>
      <c r="AA513" s="201"/>
      <c r="AB513" s="201"/>
      <c r="AC513" s="201"/>
      <c r="AD513" s="201"/>
      <c r="AE513" s="201"/>
      <c r="AF513" s="201"/>
      <c r="AG513" s="201"/>
      <c r="AH513" s="201"/>
      <c r="AI513" s="201"/>
      <c r="AJ513" s="201"/>
      <c r="AK513" s="201"/>
      <c r="AL513" s="201"/>
      <c r="AM513" s="201"/>
      <c r="AN513" s="201"/>
      <c r="AO513" s="201"/>
    </row>
    <row r="514">
      <c r="A514" s="197"/>
      <c r="B514" s="198"/>
      <c r="C514" s="199"/>
      <c r="D514" s="197"/>
      <c r="E514" s="197"/>
      <c r="F514" s="197"/>
      <c r="G514" s="197"/>
      <c r="H514" s="199"/>
      <c r="I514" s="199"/>
      <c r="J514" s="62"/>
      <c r="K514" s="62"/>
      <c r="L514" s="62"/>
      <c r="M514" s="62"/>
      <c r="N514" s="62"/>
      <c r="O514" s="60"/>
      <c r="P514" s="62"/>
      <c r="Q514" s="66"/>
      <c r="R514" s="62"/>
      <c r="S514" s="62"/>
      <c r="T514" s="62"/>
      <c r="U514" s="74"/>
      <c r="V514" s="62"/>
      <c r="W514" s="75"/>
      <c r="X514" s="62"/>
      <c r="Y514" s="61"/>
      <c r="Z514" s="201"/>
      <c r="AA514" s="201"/>
      <c r="AB514" s="201"/>
      <c r="AC514" s="201"/>
      <c r="AD514" s="201"/>
      <c r="AE514" s="201"/>
      <c r="AF514" s="201"/>
      <c r="AG514" s="201"/>
      <c r="AH514" s="201"/>
      <c r="AI514" s="201"/>
      <c r="AJ514" s="201"/>
      <c r="AK514" s="201"/>
      <c r="AL514" s="201"/>
      <c r="AM514" s="201"/>
      <c r="AN514" s="201"/>
      <c r="AO514" s="201"/>
    </row>
    <row r="515">
      <c r="A515" s="197"/>
      <c r="B515" s="198"/>
      <c r="C515" s="199"/>
      <c r="D515" s="197"/>
      <c r="E515" s="197"/>
      <c r="F515" s="197"/>
      <c r="G515" s="197"/>
      <c r="H515" s="199"/>
      <c r="I515" s="199"/>
      <c r="J515" s="62"/>
      <c r="K515" s="62"/>
      <c r="L515" s="62"/>
      <c r="M515" s="62"/>
      <c r="N515" s="62"/>
      <c r="O515" s="60"/>
      <c r="P515" s="62"/>
      <c r="Q515" s="66"/>
      <c r="R515" s="62"/>
      <c r="S515" s="62"/>
      <c r="T515" s="62"/>
      <c r="U515" s="74"/>
      <c r="V515" s="62"/>
      <c r="W515" s="75"/>
      <c r="X515" s="62"/>
      <c r="Y515" s="61"/>
      <c r="Z515" s="201"/>
      <c r="AA515" s="201"/>
      <c r="AB515" s="201"/>
      <c r="AC515" s="201"/>
      <c r="AD515" s="201"/>
      <c r="AE515" s="201"/>
      <c r="AF515" s="201"/>
      <c r="AG515" s="201"/>
      <c r="AH515" s="201"/>
      <c r="AI515" s="201"/>
      <c r="AJ515" s="201"/>
      <c r="AK515" s="201"/>
      <c r="AL515" s="201"/>
      <c r="AM515" s="201"/>
      <c r="AN515" s="201"/>
      <c r="AO515" s="201"/>
    </row>
    <row r="516">
      <c r="A516" s="197"/>
      <c r="B516" s="198"/>
      <c r="C516" s="199"/>
      <c r="D516" s="197"/>
      <c r="E516" s="197"/>
      <c r="F516" s="197"/>
      <c r="G516" s="197"/>
      <c r="H516" s="199"/>
      <c r="I516" s="199"/>
      <c r="J516" s="62"/>
      <c r="K516" s="62"/>
      <c r="L516" s="62"/>
      <c r="M516" s="62"/>
      <c r="N516" s="62"/>
      <c r="O516" s="60"/>
      <c r="P516" s="62"/>
      <c r="Q516" s="66"/>
      <c r="R516" s="62"/>
      <c r="S516" s="62"/>
      <c r="T516" s="62"/>
      <c r="U516" s="74"/>
      <c r="V516" s="62"/>
      <c r="W516" s="75"/>
      <c r="X516" s="62"/>
      <c r="Y516" s="61"/>
      <c r="Z516" s="201"/>
      <c r="AA516" s="201"/>
      <c r="AB516" s="201"/>
      <c r="AC516" s="201"/>
      <c r="AD516" s="201"/>
      <c r="AE516" s="201"/>
      <c r="AF516" s="201"/>
      <c r="AG516" s="201"/>
      <c r="AH516" s="201"/>
      <c r="AI516" s="201"/>
      <c r="AJ516" s="201"/>
      <c r="AK516" s="201"/>
      <c r="AL516" s="201"/>
      <c r="AM516" s="201"/>
      <c r="AN516" s="201"/>
      <c r="AO516" s="201"/>
    </row>
    <row r="517">
      <c r="A517" s="197"/>
      <c r="B517" s="198"/>
      <c r="C517" s="199"/>
      <c r="D517" s="197"/>
      <c r="E517" s="197"/>
      <c r="F517" s="197"/>
      <c r="G517" s="197"/>
      <c r="H517" s="199"/>
      <c r="I517" s="199"/>
      <c r="J517" s="62"/>
      <c r="K517" s="62"/>
      <c r="L517" s="62"/>
      <c r="M517" s="62"/>
      <c r="N517" s="62"/>
      <c r="O517" s="60"/>
      <c r="P517" s="62"/>
      <c r="Q517" s="66"/>
      <c r="R517" s="62"/>
      <c r="S517" s="62"/>
      <c r="T517" s="62"/>
      <c r="U517" s="74"/>
      <c r="V517" s="62"/>
      <c r="W517" s="75"/>
      <c r="X517" s="62"/>
      <c r="Y517" s="61"/>
      <c r="Z517" s="201"/>
      <c r="AA517" s="201"/>
      <c r="AB517" s="201"/>
      <c r="AC517" s="201"/>
      <c r="AD517" s="201"/>
      <c r="AE517" s="201"/>
      <c r="AF517" s="201"/>
      <c r="AG517" s="201"/>
      <c r="AH517" s="201"/>
      <c r="AI517" s="201"/>
      <c r="AJ517" s="201"/>
      <c r="AK517" s="201"/>
      <c r="AL517" s="201"/>
      <c r="AM517" s="201"/>
      <c r="AN517" s="201"/>
      <c r="AO517" s="201"/>
    </row>
    <row r="518">
      <c r="A518" s="197"/>
      <c r="B518" s="198"/>
      <c r="C518" s="199"/>
      <c r="D518" s="197"/>
      <c r="E518" s="197"/>
      <c r="F518" s="197"/>
      <c r="G518" s="197"/>
      <c r="H518" s="199"/>
      <c r="I518" s="199"/>
      <c r="J518" s="62"/>
      <c r="K518" s="62"/>
      <c r="L518" s="62"/>
      <c r="M518" s="62"/>
      <c r="N518" s="62"/>
      <c r="O518" s="60"/>
      <c r="P518" s="62"/>
      <c r="Q518" s="66"/>
      <c r="R518" s="62"/>
      <c r="S518" s="62"/>
      <c r="T518" s="62"/>
      <c r="U518" s="74"/>
      <c r="V518" s="62"/>
      <c r="W518" s="75"/>
      <c r="X518" s="62"/>
      <c r="Y518" s="61"/>
      <c r="Z518" s="201"/>
      <c r="AA518" s="201"/>
      <c r="AB518" s="201"/>
      <c r="AC518" s="201"/>
      <c r="AD518" s="201"/>
      <c r="AE518" s="201"/>
      <c r="AF518" s="201"/>
      <c r="AG518" s="201"/>
      <c r="AH518" s="201"/>
      <c r="AI518" s="201"/>
      <c r="AJ518" s="201"/>
      <c r="AK518" s="201"/>
      <c r="AL518" s="201"/>
      <c r="AM518" s="201"/>
      <c r="AN518" s="201"/>
      <c r="AO518" s="201"/>
    </row>
    <row r="519">
      <c r="A519" s="197"/>
      <c r="B519" s="198"/>
      <c r="C519" s="199"/>
      <c r="D519" s="197"/>
      <c r="E519" s="197"/>
      <c r="F519" s="197"/>
      <c r="G519" s="197"/>
      <c r="H519" s="199"/>
      <c r="I519" s="199"/>
      <c r="J519" s="62"/>
      <c r="K519" s="62"/>
      <c r="L519" s="62"/>
      <c r="M519" s="62"/>
      <c r="N519" s="62"/>
      <c r="O519" s="60"/>
      <c r="P519" s="62"/>
      <c r="Q519" s="66"/>
      <c r="R519" s="62"/>
      <c r="S519" s="62"/>
      <c r="T519" s="62"/>
      <c r="U519" s="74"/>
      <c r="V519" s="62"/>
      <c r="W519" s="75"/>
      <c r="X519" s="62"/>
      <c r="Y519" s="61"/>
      <c r="Z519" s="201"/>
      <c r="AA519" s="201"/>
      <c r="AB519" s="201"/>
      <c r="AC519" s="201"/>
      <c r="AD519" s="201"/>
      <c r="AE519" s="201"/>
      <c r="AF519" s="201"/>
      <c r="AG519" s="201"/>
      <c r="AH519" s="201"/>
      <c r="AI519" s="201"/>
      <c r="AJ519" s="201"/>
      <c r="AK519" s="201"/>
      <c r="AL519" s="201"/>
      <c r="AM519" s="201"/>
      <c r="AN519" s="201"/>
      <c r="AO519" s="201"/>
    </row>
    <row r="520">
      <c r="A520" s="197"/>
      <c r="B520" s="198"/>
      <c r="C520" s="199"/>
      <c r="D520" s="197"/>
      <c r="E520" s="197"/>
      <c r="F520" s="197"/>
      <c r="G520" s="197"/>
      <c r="H520" s="199"/>
      <c r="I520" s="199"/>
      <c r="J520" s="62"/>
      <c r="K520" s="62"/>
      <c r="L520" s="62"/>
      <c r="M520" s="62"/>
      <c r="N520" s="62"/>
      <c r="O520" s="60"/>
      <c r="P520" s="62"/>
      <c r="Q520" s="66"/>
      <c r="R520" s="62"/>
      <c r="S520" s="62"/>
      <c r="T520" s="62"/>
      <c r="U520" s="74"/>
      <c r="V520" s="62"/>
      <c r="W520" s="75"/>
      <c r="X520" s="62"/>
      <c r="Y520" s="61"/>
      <c r="Z520" s="201"/>
      <c r="AA520" s="201"/>
      <c r="AB520" s="201"/>
      <c r="AC520" s="201"/>
      <c r="AD520" s="201"/>
      <c r="AE520" s="201"/>
      <c r="AF520" s="201"/>
      <c r="AG520" s="201"/>
      <c r="AH520" s="201"/>
      <c r="AI520" s="201"/>
      <c r="AJ520" s="201"/>
      <c r="AK520" s="201"/>
      <c r="AL520" s="201"/>
      <c r="AM520" s="201"/>
      <c r="AN520" s="201"/>
      <c r="AO520" s="201"/>
    </row>
    <row r="521">
      <c r="A521" s="197"/>
      <c r="B521" s="198"/>
      <c r="C521" s="199"/>
      <c r="D521" s="197"/>
      <c r="E521" s="197"/>
      <c r="F521" s="197"/>
      <c r="G521" s="197"/>
      <c r="H521" s="199"/>
      <c r="I521" s="199"/>
      <c r="J521" s="62"/>
      <c r="K521" s="62"/>
      <c r="L521" s="62"/>
      <c r="M521" s="62"/>
      <c r="N521" s="62"/>
      <c r="O521" s="60"/>
      <c r="P521" s="62"/>
      <c r="Q521" s="66"/>
      <c r="R521" s="62"/>
      <c r="S521" s="62"/>
      <c r="T521" s="62"/>
      <c r="U521" s="74"/>
      <c r="V521" s="62"/>
      <c r="W521" s="75"/>
      <c r="X521" s="62"/>
      <c r="Y521" s="61"/>
      <c r="Z521" s="201"/>
      <c r="AA521" s="201"/>
      <c r="AB521" s="201"/>
      <c r="AC521" s="201"/>
      <c r="AD521" s="201"/>
      <c r="AE521" s="201"/>
      <c r="AF521" s="201"/>
      <c r="AG521" s="201"/>
      <c r="AH521" s="201"/>
      <c r="AI521" s="201"/>
      <c r="AJ521" s="201"/>
      <c r="AK521" s="201"/>
      <c r="AL521" s="201"/>
      <c r="AM521" s="201"/>
      <c r="AN521" s="201"/>
      <c r="AO521" s="201"/>
    </row>
    <row r="522">
      <c r="A522" s="197"/>
      <c r="B522" s="198"/>
      <c r="C522" s="199"/>
      <c r="D522" s="197"/>
      <c r="E522" s="197"/>
      <c r="F522" s="197"/>
      <c r="G522" s="197"/>
      <c r="H522" s="199"/>
      <c r="I522" s="199"/>
      <c r="J522" s="62"/>
      <c r="K522" s="62"/>
      <c r="L522" s="62"/>
      <c r="M522" s="62"/>
      <c r="N522" s="62"/>
      <c r="O522" s="60"/>
      <c r="P522" s="62"/>
      <c r="Q522" s="66"/>
      <c r="R522" s="62"/>
      <c r="S522" s="62"/>
      <c r="T522" s="62"/>
      <c r="U522" s="74"/>
      <c r="V522" s="62"/>
      <c r="W522" s="75"/>
      <c r="X522" s="62"/>
      <c r="Y522" s="61"/>
      <c r="Z522" s="201"/>
      <c r="AA522" s="201"/>
      <c r="AB522" s="201"/>
      <c r="AC522" s="201"/>
      <c r="AD522" s="201"/>
      <c r="AE522" s="201"/>
      <c r="AF522" s="201"/>
      <c r="AG522" s="201"/>
      <c r="AH522" s="201"/>
      <c r="AI522" s="201"/>
      <c r="AJ522" s="201"/>
      <c r="AK522" s="201"/>
      <c r="AL522" s="201"/>
      <c r="AM522" s="201"/>
      <c r="AN522" s="201"/>
      <c r="AO522" s="201"/>
    </row>
    <row r="523">
      <c r="A523" s="197"/>
      <c r="B523" s="198"/>
      <c r="C523" s="199"/>
      <c r="D523" s="197"/>
      <c r="E523" s="197"/>
      <c r="F523" s="197"/>
      <c r="G523" s="197"/>
      <c r="H523" s="199"/>
      <c r="I523" s="199"/>
      <c r="J523" s="62"/>
      <c r="K523" s="62"/>
      <c r="L523" s="62"/>
      <c r="M523" s="62"/>
      <c r="N523" s="62"/>
      <c r="O523" s="60"/>
      <c r="P523" s="62"/>
      <c r="Q523" s="66"/>
      <c r="R523" s="62"/>
      <c r="S523" s="62"/>
      <c r="T523" s="62"/>
      <c r="U523" s="74"/>
      <c r="V523" s="62"/>
      <c r="W523" s="75"/>
      <c r="X523" s="62"/>
      <c r="Y523" s="61"/>
      <c r="Z523" s="201"/>
      <c r="AA523" s="201"/>
      <c r="AB523" s="201"/>
      <c r="AC523" s="201"/>
      <c r="AD523" s="201"/>
      <c r="AE523" s="201"/>
      <c r="AF523" s="201"/>
      <c r="AG523" s="201"/>
      <c r="AH523" s="201"/>
      <c r="AI523" s="201"/>
      <c r="AJ523" s="201"/>
      <c r="AK523" s="201"/>
      <c r="AL523" s="201"/>
      <c r="AM523" s="201"/>
      <c r="AN523" s="201"/>
      <c r="AO523" s="201"/>
    </row>
    <row r="524">
      <c r="A524" s="197"/>
      <c r="B524" s="198"/>
      <c r="C524" s="199"/>
      <c r="D524" s="197"/>
      <c r="E524" s="197"/>
      <c r="F524" s="197"/>
      <c r="G524" s="197"/>
      <c r="H524" s="199"/>
      <c r="I524" s="199"/>
      <c r="J524" s="62"/>
      <c r="K524" s="62"/>
      <c r="L524" s="62"/>
      <c r="M524" s="62"/>
      <c r="N524" s="62"/>
      <c r="O524" s="60"/>
      <c r="P524" s="62"/>
      <c r="Q524" s="66"/>
      <c r="R524" s="62"/>
      <c r="S524" s="62"/>
      <c r="T524" s="62"/>
      <c r="U524" s="74"/>
      <c r="V524" s="62"/>
      <c r="W524" s="75"/>
      <c r="X524" s="62"/>
      <c r="Y524" s="61"/>
      <c r="Z524" s="201"/>
      <c r="AA524" s="201"/>
      <c r="AB524" s="201"/>
      <c r="AC524" s="201"/>
      <c r="AD524" s="201"/>
      <c r="AE524" s="201"/>
      <c r="AF524" s="201"/>
      <c r="AG524" s="201"/>
      <c r="AH524" s="201"/>
      <c r="AI524" s="201"/>
      <c r="AJ524" s="201"/>
      <c r="AK524" s="201"/>
      <c r="AL524" s="201"/>
      <c r="AM524" s="201"/>
      <c r="AN524" s="201"/>
      <c r="AO524" s="201"/>
    </row>
    <row r="525">
      <c r="A525" s="197"/>
      <c r="B525" s="198"/>
      <c r="C525" s="199"/>
      <c r="D525" s="197"/>
      <c r="E525" s="197"/>
      <c r="F525" s="197"/>
      <c r="G525" s="197"/>
      <c r="H525" s="199"/>
      <c r="I525" s="199"/>
      <c r="J525" s="62"/>
      <c r="K525" s="62"/>
      <c r="L525" s="62"/>
      <c r="M525" s="62"/>
      <c r="N525" s="62"/>
      <c r="O525" s="60"/>
      <c r="P525" s="62"/>
      <c r="Q525" s="66"/>
      <c r="R525" s="62"/>
      <c r="S525" s="62"/>
      <c r="T525" s="62"/>
      <c r="U525" s="74"/>
      <c r="V525" s="62"/>
      <c r="W525" s="75"/>
      <c r="X525" s="62"/>
      <c r="Y525" s="61"/>
      <c r="Z525" s="201"/>
      <c r="AA525" s="201"/>
      <c r="AB525" s="201"/>
      <c r="AC525" s="201"/>
      <c r="AD525" s="201"/>
      <c r="AE525" s="201"/>
      <c r="AF525" s="201"/>
      <c r="AG525" s="201"/>
      <c r="AH525" s="201"/>
      <c r="AI525" s="201"/>
      <c r="AJ525" s="201"/>
      <c r="AK525" s="201"/>
      <c r="AL525" s="201"/>
      <c r="AM525" s="201"/>
      <c r="AN525" s="201"/>
      <c r="AO525" s="201"/>
    </row>
    <row r="526">
      <c r="A526" s="197"/>
      <c r="B526" s="198"/>
      <c r="C526" s="199"/>
      <c r="D526" s="197"/>
      <c r="E526" s="197"/>
      <c r="F526" s="197"/>
      <c r="G526" s="197"/>
      <c r="H526" s="199"/>
      <c r="I526" s="199"/>
      <c r="J526" s="62"/>
      <c r="K526" s="62"/>
      <c r="L526" s="62"/>
      <c r="M526" s="62"/>
      <c r="N526" s="62"/>
      <c r="O526" s="60"/>
      <c r="P526" s="62"/>
      <c r="Q526" s="66"/>
      <c r="R526" s="62"/>
      <c r="S526" s="62"/>
      <c r="T526" s="62"/>
      <c r="U526" s="74"/>
      <c r="V526" s="62"/>
      <c r="W526" s="75"/>
      <c r="X526" s="62"/>
      <c r="Y526" s="61"/>
      <c r="Z526" s="201"/>
      <c r="AA526" s="201"/>
      <c r="AB526" s="201"/>
      <c r="AC526" s="201"/>
      <c r="AD526" s="201"/>
      <c r="AE526" s="201"/>
      <c r="AF526" s="201"/>
      <c r="AG526" s="201"/>
      <c r="AH526" s="201"/>
      <c r="AI526" s="201"/>
      <c r="AJ526" s="201"/>
      <c r="AK526" s="201"/>
      <c r="AL526" s="201"/>
      <c r="AM526" s="201"/>
      <c r="AN526" s="201"/>
      <c r="AO526" s="201"/>
    </row>
    <row r="527">
      <c r="A527" s="197"/>
      <c r="B527" s="198"/>
      <c r="C527" s="199"/>
      <c r="D527" s="197"/>
      <c r="E527" s="197"/>
      <c r="F527" s="197"/>
      <c r="G527" s="197"/>
      <c r="H527" s="199"/>
      <c r="I527" s="199"/>
      <c r="J527" s="62"/>
      <c r="K527" s="62"/>
      <c r="L527" s="62"/>
      <c r="M527" s="62"/>
      <c r="N527" s="62"/>
      <c r="O527" s="60"/>
      <c r="P527" s="62"/>
      <c r="Q527" s="66"/>
      <c r="R527" s="62"/>
      <c r="S527" s="62"/>
      <c r="T527" s="62"/>
      <c r="U527" s="74"/>
      <c r="V527" s="62"/>
      <c r="W527" s="75"/>
      <c r="X527" s="62"/>
      <c r="Y527" s="61"/>
      <c r="Z527" s="201"/>
      <c r="AA527" s="201"/>
      <c r="AB527" s="201"/>
      <c r="AC527" s="201"/>
      <c r="AD527" s="201"/>
      <c r="AE527" s="201"/>
      <c r="AF527" s="201"/>
      <c r="AG527" s="201"/>
      <c r="AH527" s="201"/>
      <c r="AI527" s="201"/>
      <c r="AJ527" s="201"/>
      <c r="AK527" s="201"/>
      <c r="AL527" s="201"/>
      <c r="AM527" s="201"/>
      <c r="AN527" s="201"/>
      <c r="AO527" s="201"/>
    </row>
    <row r="528">
      <c r="A528" s="197"/>
      <c r="B528" s="198"/>
      <c r="C528" s="199"/>
      <c r="D528" s="197"/>
      <c r="E528" s="197"/>
      <c r="F528" s="197"/>
      <c r="G528" s="197"/>
      <c r="H528" s="199"/>
      <c r="I528" s="199"/>
      <c r="J528" s="62"/>
      <c r="K528" s="62"/>
      <c r="L528" s="62"/>
      <c r="M528" s="62"/>
      <c r="N528" s="62"/>
      <c r="O528" s="60"/>
      <c r="P528" s="62"/>
      <c r="Q528" s="66"/>
      <c r="R528" s="62"/>
      <c r="S528" s="62"/>
      <c r="T528" s="62"/>
      <c r="U528" s="74"/>
      <c r="V528" s="62"/>
      <c r="W528" s="75"/>
      <c r="X528" s="62"/>
      <c r="Y528" s="61"/>
      <c r="Z528" s="201"/>
      <c r="AA528" s="201"/>
      <c r="AB528" s="201"/>
      <c r="AC528" s="201"/>
      <c r="AD528" s="201"/>
      <c r="AE528" s="201"/>
      <c r="AF528" s="201"/>
      <c r="AG528" s="201"/>
      <c r="AH528" s="201"/>
      <c r="AI528" s="201"/>
      <c r="AJ528" s="201"/>
      <c r="AK528" s="201"/>
      <c r="AL528" s="201"/>
      <c r="AM528" s="201"/>
      <c r="AN528" s="201"/>
      <c r="AO528" s="201"/>
    </row>
    <row r="529">
      <c r="A529" s="197"/>
      <c r="B529" s="198"/>
      <c r="C529" s="199"/>
      <c r="D529" s="197"/>
      <c r="E529" s="197"/>
      <c r="F529" s="197"/>
      <c r="G529" s="197"/>
      <c r="H529" s="199"/>
      <c r="I529" s="199"/>
      <c r="J529" s="62"/>
      <c r="K529" s="62"/>
      <c r="L529" s="62"/>
      <c r="M529" s="62"/>
      <c r="N529" s="62"/>
      <c r="O529" s="60"/>
      <c r="P529" s="62"/>
      <c r="Q529" s="66"/>
      <c r="R529" s="62"/>
      <c r="S529" s="62"/>
      <c r="T529" s="62"/>
      <c r="U529" s="74"/>
      <c r="V529" s="62"/>
      <c r="W529" s="75"/>
      <c r="X529" s="62"/>
      <c r="Y529" s="61"/>
      <c r="Z529" s="201"/>
      <c r="AA529" s="201"/>
      <c r="AB529" s="201"/>
      <c r="AC529" s="201"/>
      <c r="AD529" s="201"/>
      <c r="AE529" s="201"/>
      <c r="AF529" s="201"/>
      <c r="AG529" s="201"/>
      <c r="AH529" s="201"/>
      <c r="AI529" s="201"/>
      <c r="AJ529" s="201"/>
      <c r="AK529" s="201"/>
      <c r="AL529" s="201"/>
      <c r="AM529" s="201"/>
      <c r="AN529" s="201"/>
      <c r="AO529" s="201"/>
    </row>
    <row r="530">
      <c r="A530" s="197"/>
      <c r="B530" s="198"/>
      <c r="C530" s="199"/>
      <c r="D530" s="197"/>
      <c r="E530" s="197"/>
      <c r="F530" s="197"/>
      <c r="G530" s="197"/>
      <c r="H530" s="199"/>
      <c r="I530" s="199"/>
      <c r="J530" s="62"/>
      <c r="K530" s="62"/>
      <c r="L530" s="62"/>
      <c r="M530" s="62"/>
      <c r="N530" s="62"/>
      <c r="O530" s="60"/>
      <c r="P530" s="62"/>
      <c r="Q530" s="66"/>
      <c r="R530" s="62"/>
      <c r="S530" s="62"/>
      <c r="T530" s="62"/>
      <c r="U530" s="74"/>
      <c r="V530" s="62"/>
      <c r="W530" s="75"/>
      <c r="X530" s="62"/>
      <c r="Y530" s="61"/>
      <c r="Z530" s="201"/>
      <c r="AA530" s="201"/>
      <c r="AB530" s="201"/>
      <c r="AC530" s="201"/>
      <c r="AD530" s="201"/>
      <c r="AE530" s="201"/>
      <c r="AF530" s="201"/>
      <c r="AG530" s="201"/>
      <c r="AH530" s="201"/>
      <c r="AI530" s="201"/>
      <c r="AJ530" s="201"/>
      <c r="AK530" s="201"/>
      <c r="AL530" s="201"/>
      <c r="AM530" s="201"/>
      <c r="AN530" s="201"/>
      <c r="AO530" s="201"/>
    </row>
    <row r="531">
      <c r="A531" s="197"/>
      <c r="B531" s="198"/>
      <c r="C531" s="199"/>
      <c r="D531" s="197"/>
      <c r="E531" s="197"/>
      <c r="F531" s="197"/>
      <c r="G531" s="197"/>
      <c r="H531" s="199"/>
      <c r="I531" s="199"/>
      <c r="J531" s="62"/>
      <c r="K531" s="62"/>
      <c r="L531" s="62"/>
      <c r="M531" s="62"/>
      <c r="N531" s="62"/>
      <c r="O531" s="60"/>
      <c r="P531" s="62"/>
      <c r="Q531" s="66"/>
      <c r="R531" s="62"/>
      <c r="S531" s="62"/>
      <c r="T531" s="62"/>
      <c r="U531" s="74"/>
      <c r="V531" s="62"/>
      <c r="W531" s="75"/>
      <c r="X531" s="62"/>
      <c r="Y531" s="61"/>
      <c r="Z531" s="201"/>
      <c r="AA531" s="201"/>
      <c r="AB531" s="201"/>
      <c r="AC531" s="201"/>
      <c r="AD531" s="201"/>
      <c r="AE531" s="201"/>
      <c r="AF531" s="201"/>
      <c r="AG531" s="201"/>
      <c r="AH531" s="201"/>
      <c r="AI531" s="201"/>
      <c r="AJ531" s="201"/>
      <c r="AK531" s="201"/>
      <c r="AL531" s="201"/>
      <c r="AM531" s="201"/>
      <c r="AN531" s="201"/>
      <c r="AO531" s="201"/>
    </row>
    <row r="532">
      <c r="A532" s="197"/>
      <c r="B532" s="198"/>
      <c r="C532" s="199"/>
      <c r="D532" s="197"/>
      <c r="E532" s="197"/>
      <c r="F532" s="197"/>
      <c r="G532" s="197"/>
      <c r="H532" s="199"/>
      <c r="I532" s="199"/>
      <c r="J532" s="62"/>
      <c r="K532" s="62"/>
      <c r="L532" s="62"/>
      <c r="M532" s="62"/>
      <c r="N532" s="62"/>
      <c r="O532" s="60"/>
      <c r="P532" s="62"/>
      <c r="Q532" s="66"/>
      <c r="R532" s="62"/>
      <c r="S532" s="62"/>
      <c r="T532" s="62"/>
      <c r="U532" s="74"/>
      <c r="V532" s="62"/>
      <c r="W532" s="75"/>
      <c r="X532" s="62"/>
      <c r="Y532" s="61"/>
      <c r="Z532" s="201"/>
      <c r="AA532" s="201"/>
      <c r="AB532" s="201"/>
      <c r="AC532" s="201"/>
      <c r="AD532" s="201"/>
      <c r="AE532" s="201"/>
      <c r="AF532" s="201"/>
      <c r="AG532" s="201"/>
      <c r="AH532" s="201"/>
      <c r="AI532" s="201"/>
      <c r="AJ532" s="201"/>
      <c r="AK532" s="201"/>
      <c r="AL532" s="201"/>
      <c r="AM532" s="201"/>
      <c r="AN532" s="201"/>
      <c r="AO532" s="201"/>
    </row>
    <row r="533">
      <c r="A533" s="197"/>
      <c r="B533" s="198"/>
      <c r="C533" s="199"/>
      <c r="D533" s="197"/>
      <c r="E533" s="197"/>
      <c r="F533" s="197"/>
      <c r="G533" s="197"/>
      <c r="H533" s="199"/>
      <c r="I533" s="199"/>
      <c r="J533" s="62"/>
      <c r="K533" s="62"/>
      <c r="L533" s="62"/>
      <c r="M533" s="62"/>
      <c r="N533" s="62"/>
      <c r="O533" s="60"/>
      <c r="P533" s="62"/>
      <c r="Q533" s="66"/>
      <c r="R533" s="62"/>
      <c r="S533" s="62"/>
      <c r="T533" s="62"/>
      <c r="U533" s="74"/>
      <c r="V533" s="62"/>
      <c r="W533" s="75"/>
      <c r="X533" s="62"/>
      <c r="Y533" s="61"/>
      <c r="Z533" s="201"/>
      <c r="AA533" s="201"/>
      <c r="AB533" s="201"/>
      <c r="AC533" s="201"/>
      <c r="AD533" s="201"/>
      <c r="AE533" s="201"/>
      <c r="AF533" s="201"/>
      <c r="AG533" s="201"/>
      <c r="AH533" s="201"/>
      <c r="AI533" s="201"/>
      <c r="AJ533" s="201"/>
      <c r="AK533" s="201"/>
      <c r="AL533" s="201"/>
      <c r="AM533" s="201"/>
      <c r="AN533" s="201"/>
      <c r="AO533" s="201"/>
    </row>
    <row r="534">
      <c r="A534" s="197"/>
      <c r="B534" s="198"/>
      <c r="C534" s="199"/>
      <c r="D534" s="197"/>
      <c r="E534" s="197"/>
      <c r="F534" s="197"/>
      <c r="G534" s="197"/>
      <c r="H534" s="199"/>
      <c r="I534" s="199"/>
      <c r="J534" s="62"/>
      <c r="K534" s="62"/>
      <c r="L534" s="62"/>
      <c r="M534" s="62"/>
      <c r="N534" s="62"/>
      <c r="O534" s="60"/>
      <c r="P534" s="62"/>
      <c r="Q534" s="66"/>
      <c r="R534" s="62"/>
      <c r="S534" s="62"/>
      <c r="T534" s="62"/>
      <c r="U534" s="74"/>
      <c r="V534" s="62"/>
      <c r="W534" s="75"/>
      <c r="X534" s="62"/>
      <c r="Y534" s="61"/>
      <c r="Z534" s="201"/>
      <c r="AA534" s="201"/>
      <c r="AB534" s="201"/>
      <c r="AC534" s="201"/>
      <c r="AD534" s="201"/>
      <c r="AE534" s="201"/>
      <c r="AF534" s="201"/>
      <c r="AG534" s="201"/>
      <c r="AH534" s="201"/>
      <c r="AI534" s="201"/>
      <c r="AJ534" s="201"/>
      <c r="AK534" s="201"/>
      <c r="AL534" s="201"/>
      <c r="AM534" s="201"/>
      <c r="AN534" s="201"/>
      <c r="AO534" s="201"/>
    </row>
    <row r="535">
      <c r="A535" s="197"/>
      <c r="B535" s="197"/>
      <c r="C535" s="199"/>
      <c r="D535" s="197"/>
      <c r="E535" s="197"/>
      <c r="F535" s="197"/>
      <c r="G535" s="197"/>
      <c r="H535" s="199"/>
      <c r="I535" s="199"/>
      <c r="J535" s="62"/>
      <c r="K535" s="62"/>
      <c r="L535" s="62"/>
      <c r="M535" s="62"/>
      <c r="N535" s="62"/>
      <c r="O535" s="60"/>
      <c r="P535" s="62"/>
      <c r="Q535" s="66"/>
      <c r="R535" s="62"/>
      <c r="S535" s="62"/>
      <c r="T535" s="62"/>
      <c r="U535" s="74"/>
      <c r="V535" s="62"/>
      <c r="W535" s="75"/>
      <c r="X535" s="62"/>
      <c r="Y535" s="61"/>
      <c r="Z535" s="201"/>
      <c r="AA535" s="201"/>
      <c r="AB535" s="201"/>
      <c r="AC535" s="201"/>
      <c r="AD535" s="201"/>
      <c r="AE535" s="201"/>
      <c r="AF535" s="201"/>
      <c r="AG535" s="201"/>
      <c r="AH535" s="201"/>
      <c r="AI535" s="201"/>
      <c r="AJ535" s="201"/>
      <c r="AK535" s="201"/>
      <c r="AL535" s="201"/>
      <c r="AM535" s="201"/>
      <c r="AN535" s="201"/>
      <c r="AO535" s="201"/>
    </row>
    <row r="536">
      <c r="A536" s="197"/>
      <c r="B536" s="197"/>
      <c r="C536" s="199"/>
      <c r="D536" s="197"/>
      <c r="E536" s="197"/>
      <c r="F536" s="197"/>
      <c r="G536" s="197"/>
      <c r="H536" s="199"/>
      <c r="I536" s="199"/>
      <c r="J536" s="62"/>
      <c r="K536" s="62"/>
      <c r="L536" s="62"/>
      <c r="M536" s="62"/>
      <c r="N536" s="62"/>
      <c r="O536" s="60"/>
      <c r="P536" s="62"/>
      <c r="Q536" s="66"/>
      <c r="R536" s="62"/>
      <c r="S536" s="62"/>
      <c r="T536" s="62"/>
      <c r="U536" s="74"/>
      <c r="V536" s="62"/>
      <c r="W536" s="75"/>
      <c r="X536" s="62"/>
      <c r="Y536" s="61"/>
      <c r="Z536" s="201"/>
      <c r="AA536" s="201"/>
      <c r="AB536" s="201"/>
      <c r="AC536" s="201"/>
      <c r="AD536" s="201"/>
      <c r="AE536" s="201"/>
      <c r="AF536" s="201"/>
      <c r="AG536" s="201"/>
      <c r="AH536" s="201"/>
      <c r="AI536" s="201"/>
      <c r="AJ536" s="201"/>
      <c r="AK536" s="201"/>
      <c r="AL536" s="201"/>
      <c r="AM536" s="201"/>
      <c r="AN536" s="201"/>
      <c r="AO536" s="201"/>
    </row>
    <row r="537">
      <c r="A537" s="197"/>
      <c r="B537" s="197"/>
      <c r="C537" s="199"/>
      <c r="D537" s="197"/>
      <c r="E537" s="197"/>
      <c r="F537" s="197"/>
      <c r="G537" s="197"/>
      <c r="H537" s="199"/>
      <c r="I537" s="199"/>
      <c r="J537" s="62"/>
      <c r="K537" s="62"/>
      <c r="L537" s="62"/>
      <c r="M537" s="62"/>
      <c r="N537" s="62"/>
      <c r="O537" s="60"/>
      <c r="P537" s="62"/>
      <c r="Q537" s="66"/>
      <c r="R537" s="62"/>
      <c r="S537" s="62"/>
      <c r="T537" s="62"/>
      <c r="U537" s="74"/>
      <c r="V537" s="62"/>
      <c r="W537" s="75"/>
      <c r="X537" s="62"/>
      <c r="Y537" s="61"/>
      <c r="Z537" s="201"/>
      <c r="AA537" s="201"/>
      <c r="AB537" s="201"/>
      <c r="AC537" s="201"/>
      <c r="AD537" s="201"/>
      <c r="AE537" s="201"/>
      <c r="AF537" s="201"/>
      <c r="AG537" s="201"/>
      <c r="AH537" s="201"/>
      <c r="AI537" s="201"/>
      <c r="AJ537" s="201"/>
      <c r="AK537" s="201"/>
      <c r="AL537" s="201"/>
      <c r="AM537" s="201"/>
      <c r="AN537" s="201"/>
      <c r="AO537" s="201"/>
    </row>
    <row r="538">
      <c r="A538" s="197"/>
      <c r="B538" s="197"/>
      <c r="C538" s="199"/>
      <c r="D538" s="197"/>
      <c r="E538" s="197"/>
      <c r="F538" s="197"/>
      <c r="G538" s="197"/>
      <c r="H538" s="199"/>
      <c r="I538" s="199"/>
      <c r="J538" s="62"/>
      <c r="K538" s="62"/>
      <c r="L538" s="62"/>
      <c r="M538" s="62"/>
      <c r="N538" s="62"/>
      <c r="O538" s="60"/>
      <c r="P538" s="62"/>
      <c r="Q538" s="66"/>
      <c r="R538" s="62"/>
      <c r="S538" s="62"/>
      <c r="T538" s="62"/>
      <c r="U538" s="74"/>
      <c r="V538" s="62"/>
      <c r="W538" s="75"/>
      <c r="X538" s="62"/>
      <c r="Y538" s="61"/>
      <c r="Z538" s="201"/>
      <c r="AA538" s="201"/>
      <c r="AB538" s="201"/>
      <c r="AC538" s="201"/>
      <c r="AD538" s="201"/>
      <c r="AE538" s="201"/>
      <c r="AF538" s="201"/>
      <c r="AG538" s="201"/>
      <c r="AH538" s="201"/>
      <c r="AI538" s="201"/>
      <c r="AJ538" s="201"/>
      <c r="AK538" s="201"/>
      <c r="AL538" s="201"/>
      <c r="AM538" s="201"/>
      <c r="AN538" s="201"/>
      <c r="AO538" s="201"/>
    </row>
    <row r="539">
      <c r="A539" s="197"/>
      <c r="B539" s="197"/>
      <c r="C539" s="199"/>
      <c r="D539" s="197"/>
      <c r="E539" s="197"/>
      <c r="F539" s="197"/>
      <c r="G539" s="197"/>
      <c r="H539" s="199"/>
      <c r="I539" s="199"/>
      <c r="J539" s="62"/>
      <c r="K539" s="62"/>
      <c r="L539" s="62"/>
      <c r="M539" s="62"/>
      <c r="N539" s="62"/>
      <c r="O539" s="60"/>
      <c r="P539" s="62"/>
      <c r="Q539" s="66"/>
      <c r="R539" s="62"/>
      <c r="S539" s="62"/>
      <c r="T539" s="62"/>
      <c r="U539" s="74"/>
      <c r="V539" s="62"/>
      <c r="W539" s="75"/>
      <c r="X539" s="62"/>
      <c r="Y539" s="61"/>
      <c r="Z539" s="201"/>
      <c r="AA539" s="201"/>
      <c r="AB539" s="201"/>
      <c r="AC539" s="201"/>
      <c r="AD539" s="201"/>
      <c r="AE539" s="201"/>
      <c r="AF539" s="201"/>
      <c r="AG539" s="201"/>
      <c r="AH539" s="201"/>
      <c r="AI539" s="201"/>
      <c r="AJ539" s="201"/>
      <c r="AK539" s="201"/>
      <c r="AL539" s="201"/>
      <c r="AM539" s="201"/>
      <c r="AN539" s="201"/>
      <c r="AO539" s="201"/>
    </row>
    <row r="540">
      <c r="A540" s="197"/>
      <c r="B540" s="197"/>
      <c r="C540" s="199"/>
      <c r="D540" s="197"/>
      <c r="E540" s="197"/>
      <c r="F540" s="197"/>
      <c r="G540" s="197"/>
      <c r="H540" s="199"/>
      <c r="I540" s="199"/>
      <c r="J540" s="62"/>
      <c r="K540" s="62"/>
      <c r="L540" s="62"/>
      <c r="M540" s="62"/>
      <c r="N540" s="62"/>
      <c r="O540" s="60"/>
      <c r="P540" s="62"/>
      <c r="Q540" s="66"/>
      <c r="R540" s="62"/>
      <c r="S540" s="62"/>
      <c r="T540" s="62"/>
      <c r="U540" s="74"/>
      <c r="V540" s="62"/>
      <c r="W540" s="75"/>
      <c r="X540" s="62"/>
      <c r="Y540" s="61"/>
      <c r="Z540" s="201"/>
      <c r="AA540" s="201"/>
      <c r="AB540" s="201"/>
      <c r="AC540" s="201"/>
      <c r="AD540" s="201"/>
      <c r="AE540" s="201"/>
      <c r="AF540" s="201"/>
      <c r="AG540" s="201"/>
      <c r="AH540" s="201"/>
      <c r="AI540" s="201"/>
      <c r="AJ540" s="201"/>
      <c r="AK540" s="201"/>
      <c r="AL540" s="201"/>
      <c r="AM540" s="201"/>
      <c r="AN540" s="201"/>
      <c r="AO540" s="201"/>
    </row>
    <row r="541">
      <c r="A541" s="197"/>
      <c r="B541" s="197"/>
      <c r="C541" s="199"/>
      <c r="D541" s="197"/>
      <c r="E541" s="197"/>
      <c r="F541" s="197"/>
      <c r="G541" s="197"/>
      <c r="H541" s="199"/>
      <c r="I541" s="199"/>
      <c r="J541" s="62"/>
      <c r="K541" s="62"/>
      <c r="L541" s="62"/>
      <c r="M541" s="62"/>
      <c r="N541" s="62"/>
      <c r="O541" s="60"/>
      <c r="P541" s="62"/>
      <c r="Q541" s="66"/>
      <c r="R541" s="62"/>
      <c r="S541" s="62"/>
      <c r="T541" s="62"/>
      <c r="U541" s="74"/>
      <c r="V541" s="62"/>
      <c r="W541" s="75"/>
      <c r="X541" s="62"/>
      <c r="Y541" s="61"/>
      <c r="Z541" s="201"/>
      <c r="AA541" s="201"/>
      <c r="AB541" s="201"/>
      <c r="AC541" s="201"/>
      <c r="AD541" s="201"/>
      <c r="AE541" s="201"/>
      <c r="AF541" s="201"/>
      <c r="AG541" s="201"/>
      <c r="AH541" s="201"/>
      <c r="AI541" s="201"/>
      <c r="AJ541" s="201"/>
      <c r="AK541" s="201"/>
      <c r="AL541" s="201"/>
      <c r="AM541" s="201"/>
      <c r="AN541" s="201"/>
      <c r="AO541" s="201"/>
    </row>
    <row r="542">
      <c r="A542" s="197"/>
      <c r="B542" s="197"/>
      <c r="C542" s="199"/>
      <c r="D542" s="197"/>
      <c r="E542" s="197"/>
      <c r="F542" s="197"/>
      <c r="G542" s="197"/>
      <c r="H542" s="199"/>
      <c r="I542" s="199"/>
      <c r="J542" s="62"/>
      <c r="K542" s="62"/>
      <c r="L542" s="62"/>
      <c r="M542" s="62"/>
      <c r="N542" s="62"/>
      <c r="O542" s="60"/>
      <c r="P542" s="62"/>
      <c r="Q542" s="66"/>
      <c r="R542" s="62"/>
      <c r="S542" s="62"/>
      <c r="T542" s="62"/>
      <c r="U542" s="74"/>
      <c r="V542" s="62"/>
      <c r="W542" s="75"/>
      <c r="X542" s="62"/>
      <c r="Y542" s="61"/>
      <c r="Z542" s="201"/>
      <c r="AA542" s="201"/>
      <c r="AB542" s="201"/>
      <c r="AC542" s="201"/>
      <c r="AD542" s="201"/>
      <c r="AE542" s="201"/>
      <c r="AF542" s="201"/>
      <c r="AG542" s="201"/>
      <c r="AH542" s="201"/>
      <c r="AI542" s="201"/>
      <c r="AJ542" s="201"/>
      <c r="AK542" s="201"/>
      <c r="AL542" s="201"/>
      <c r="AM542" s="201"/>
      <c r="AN542" s="201"/>
      <c r="AO542" s="201"/>
    </row>
    <row r="543">
      <c r="A543" s="197"/>
      <c r="B543" s="197"/>
      <c r="C543" s="199"/>
      <c r="D543" s="197"/>
      <c r="E543" s="197"/>
      <c r="F543" s="197"/>
      <c r="G543" s="197"/>
      <c r="H543" s="199"/>
      <c r="I543" s="199"/>
      <c r="J543" s="62"/>
      <c r="K543" s="62"/>
      <c r="L543" s="62"/>
      <c r="M543" s="62"/>
      <c r="N543" s="62"/>
      <c r="O543" s="60"/>
      <c r="P543" s="62"/>
      <c r="Q543" s="66"/>
      <c r="R543" s="62"/>
      <c r="S543" s="62"/>
      <c r="T543" s="62"/>
      <c r="U543" s="74"/>
      <c r="V543" s="62"/>
      <c r="W543" s="75"/>
      <c r="X543" s="62"/>
      <c r="Y543" s="61"/>
      <c r="Z543" s="201"/>
      <c r="AA543" s="201"/>
      <c r="AB543" s="201"/>
      <c r="AC543" s="201"/>
      <c r="AD543" s="201"/>
      <c r="AE543" s="201"/>
      <c r="AF543" s="201"/>
      <c r="AG543" s="201"/>
      <c r="AH543" s="201"/>
      <c r="AI543" s="201"/>
      <c r="AJ543" s="201"/>
      <c r="AK543" s="201"/>
      <c r="AL543" s="201"/>
      <c r="AM543" s="201"/>
      <c r="AN543" s="201"/>
      <c r="AO543" s="201"/>
    </row>
    <row r="544">
      <c r="A544" s="197"/>
      <c r="B544" s="197"/>
      <c r="C544" s="199"/>
      <c r="D544" s="197"/>
      <c r="E544" s="197"/>
      <c r="F544" s="197"/>
      <c r="G544" s="197"/>
      <c r="H544" s="199"/>
      <c r="I544" s="199"/>
      <c r="J544" s="62"/>
      <c r="K544" s="62"/>
      <c r="L544" s="62"/>
      <c r="M544" s="62"/>
      <c r="N544" s="62"/>
      <c r="O544" s="60"/>
      <c r="P544" s="62"/>
      <c r="Q544" s="66"/>
      <c r="R544" s="62"/>
      <c r="S544" s="62"/>
      <c r="T544" s="62"/>
      <c r="U544" s="74"/>
      <c r="V544" s="62"/>
      <c r="W544" s="75"/>
      <c r="X544" s="62"/>
      <c r="Y544" s="61"/>
      <c r="Z544" s="201"/>
      <c r="AA544" s="201"/>
      <c r="AB544" s="201"/>
      <c r="AC544" s="201"/>
      <c r="AD544" s="201"/>
      <c r="AE544" s="201"/>
      <c r="AF544" s="201"/>
      <c r="AG544" s="201"/>
      <c r="AH544" s="201"/>
      <c r="AI544" s="201"/>
      <c r="AJ544" s="201"/>
      <c r="AK544" s="201"/>
      <c r="AL544" s="201"/>
      <c r="AM544" s="201"/>
      <c r="AN544" s="201"/>
      <c r="AO544" s="201"/>
    </row>
    <row r="545">
      <c r="A545" s="197"/>
      <c r="B545" s="197"/>
      <c r="C545" s="199"/>
      <c r="D545" s="197"/>
      <c r="E545" s="197"/>
      <c r="F545" s="197"/>
      <c r="G545" s="197"/>
      <c r="H545" s="199"/>
      <c r="I545" s="199"/>
      <c r="J545" s="62"/>
      <c r="K545" s="62"/>
      <c r="L545" s="62"/>
      <c r="M545" s="62"/>
      <c r="N545" s="62"/>
      <c r="O545" s="60"/>
      <c r="P545" s="62"/>
      <c r="Q545" s="66"/>
      <c r="R545" s="62"/>
      <c r="S545" s="62"/>
      <c r="T545" s="62"/>
      <c r="U545" s="74"/>
      <c r="V545" s="62"/>
      <c r="W545" s="75"/>
      <c r="X545" s="62"/>
      <c r="Y545" s="61"/>
      <c r="Z545" s="201"/>
      <c r="AA545" s="201"/>
      <c r="AB545" s="201"/>
      <c r="AC545" s="201"/>
      <c r="AD545" s="201"/>
      <c r="AE545" s="201"/>
      <c r="AF545" s="201"/>
      <c r="AG545" s="201"/>
      <c r="AH545" s="201"/>
      <c r="AI545" s="201"/>
      <c r="AJ545" s="201"/>
      <c r="AK545" s="201"/>
      <c r="AL545" s="201"/>
      <c r="AM545" s="201"/>
      <c r="AN545" s="201"/>
      <c r="AO545" s="201"/>
    </row>
    <row r="546">
      <c r="A546" s="197"/>
      <c r="B546" s="197"/>
      <c r="C546" s="199"/>
      <c r="D546" s="197"/>
      <c r="E546" s="197"/>
      <c r="F546" s="197"/>
      <c r="G546" s="197"/>
      <c r="H546" s="199"/>
      <c r="I546" s="199"/>
      <c r="J546" s="62"/>
      <c r="K546" s="62"/>
      <c r="L546" s="62"/>
      <c r="M546" s="62"/>
      <c r="N546" s="62"/>
      <c r="O546" s="60"/>
      <c r="P546" s="62"/>
      <c r="Q546" s="66"/>
      <c r="R546" s="62"/>
      <c r="S546" s="62"/>
      <c r="T546" s="62"/>
      <c r="U546" s="74"/>
      <c r="V546" s="62"/>
      <c r="W546" s="75"/>
      <c r="X546" s="62"/>
      <c r="Y546" s="61"/>
      <c r="Z546" s="201"/>
      <c r="AA546" s="201"/>
      <c r="AB546" s="201"/>
      <c r="AC546" s="201"/>
      <c r="AD546" s="201"/>
      <c r="AE546" s="201"/>
      <c r="AF546" s="201"/>
      <c r="AG546" s="201"/>
      <c r="AH546" s="201"/>
      <c r="AI546" s="201"/>
      <c r="AJ546" s="201"/>
      <c r="AK546" s="201"/>
      <c r="AL546" s="201"/>
      <c r="AM546" s="201"/>
      <c r="AN546" s="201"/>
      <c r="AO546" s="201"/>
    </row>
    <row r="547">
      <c r="A547" s="197"/>
      <c r="B547" s="197"/>
      <c r="C547" s="199"/>
      <c r="D547" s="197"/>
      <c r="E547" s="197"/>
      <c r="F547" s="197"/>
      <c r="G547" s="197"/>
      <c r="H547" s="199"/>
      <c r="I547" s="199"/>
      <c r="J547" s="62"/>
      <c r="K547" s="62"/>
      <c r="L547" s="62"/>
      <c r="M547" s="62"/>
      <c r="N547" s="62"/>
      <c r="O547" s="60"/>
      <c r="P547" s="62"/>
      <c r="Q547" s="66"/>
      <c r="R547" s="62"/>
      <c r="S547" s="62"/>
      <c r="T547" s="62"/>
      <c r="U547" s="74"/>
      <c r="V547" s="62"/>
      <c r="W547" s="75"/>
      <c r="X547" s="62"/>
      <c r="Y547" s="61"/>
      <c r="Z547" s="201"/>
      <c r="AA547" s="201"/>
      <c r="AB547" s="201"/>
      <c r="AC547" s="201"/>
      <c r="AD547" s="201"/>
      <c r="AE547" s="201"/>
      <c r="AF547" s="201"/>
      <c r="AG547" s="201"/>
      <c r="AH547" s="201"/>
      <c r="AI547" s="201"/>
      <c r="AJ547" s="201"/>
      <c r="AK547" s="201"/>
      <c r="AL547" s="201"/>
      <c r="AM547" s="201"/>
      <c r="AN547" s="201"/>
      <c r="AO547" s="201"/>
    </row>
    <row r="548">
      <c r="A548" s="197"/>
      <c r="B548" s="197"/>
      <c r="C548" s="199"/>
      <c r="D548" s="197"/>
      <c r="E548" s="197"/>
      <c r="F548" s="197"/>
      <c r="G548" s="197"/>
      <c r="H548" s="199"/>
      <c r="I548" s="199"/>
      <c r="J548" s="62"/>
      <c r="K548" s="62"/>
      <c r="L548" s="62"/>
      <c r="M548" s="62"/>
      <c r="N548" s="62"/>
      <c r="O548" s="60"/>
      <c r="P548" s="62"/>
      <c r="Q548" s="66"/>
      <c r="R548" s="62"/>
      <c r="S548" s="62"/>
      <c r="T548" s="62"/>
      <c r="U548" s="74"/>
      <c r="V548" s="62"/>
      <c r="W548" s="75"/>
      <c r="X548" s="62"/>
      <c r="Y548" s="61"/>
      <c r="Z548" s="201"/>
      <c r="AA548" s="201"/>
      <c r="AB548" s="201"/>
      <c r="AC548" s="201"/>
      <c r="AD548" s="201"/>
      <c r="AE548" s="201"/>
      <c r="AF548" s="201"/>
      <c r="AG548" s="201"/>
      <c r="AH548" s="201"/>
      <c r="AI548" s="201"/>
      <c r="AJ548" s="201"/>
      <c r="AK548" s="201"/>
      <c r="AL548" s="201"/>
      <c r="AM548" s="201"/>
      <c r="AN548" s="201"/>
      <c r="AO548" s="201"/>
    </row>
    <row r="549">
      <c r="A549" s="197"/>
      <c r="B549" s="197"/>
      <c r="C549" s="199"/>
      <c r="D549" s="197"/>
      <c r="E549" s="197"/>
      <c r="F549" s="197"/>
      <c r="G549" s="197"/>
      <c r="H549" s="199"/>
      <c r="I549" s="199"/>
      <c r="J549" s="62"/>
      <c r="K549" s="62"/>
      <c r="L549" s="62"/>
      <c r="M549" s="62"/>
      <c r="N549" s="62"/>
      <c r="O549" s="60"/>
      <c r="P549" s="62"/>
      <c r="Q549" s="66"/>
      <c r="R549" s="62"/>
      <c r="S549" s="62"/>
      <c r="T549" s="62"/>
      <c r="U549" s="74"/>
      <c r="V549" s="62"/>
      <c r="W549" s="75"/>
      <c r="X549" s="62"/>
      <c r="Y549" s="61"/>
      <c r="Z549" s="201"/>
      <c r="AA549" s="201"/>
      <c r="AB549" s="201"/>
      <c r="AC549" s="201"/>
      <c r="AD549" s="201"/>
      <c r="AE549" s="201"/>
      <c r="AF549" s="201"/>
      <c r="AG549" s="201"/>
      <c r="AH549" s="201"/>
      <c r="AI549" s="201"/>
      <c r="AJ549" s="201"/>
      <c r="AK549" s="201"/>
      <c r="AL549" s="201"/>
      <c r="AM549" s="201"/>
      <c r="AN549" s="201"/>
      <c r="AO549" s="201"/>
    </row>
    <row r="550">
      <c r="A550" s="197"/>
      <c r="B550" s="197"/>
      <c r="C550" s="199"/>
      <c r="D550" s="197"/>
      <c r="E550" s="197"/>
      <c r="F550" s="197"/>
      <c r="G550" s="197"/>
      <c r="H550" s="199"/>
      <c r="I550" s="199"/>
      <c r="J550" s="62"/>
      <c r="K550" s="62"/>
      <c r="L550" s="62"/>
      <c r="M550" s="62"/>
      <c r="N550" s="62"/>
      <c r="O550" s="60"/>
      <c r="P550" s="62"/>
      <c r="Q550" s="66"/>
      <c r="R550" s="62"/>
      <c r="S550" s="62"/>
      <c r="T550" s="62"/>
      <c r="U550" s="74"/>
      <c r="V550" s="62"/>
      <c r="W550" s="75"/>
      <c r="X550" s="62"/>
      <c r="Y550" s="61"/>
      <c r="Z550" s="201"/>
      <c r="AA550" s="201"/>
      <c r="AB550" s="201"/>
      <c r="AC550" s="201"/>
      <c r="AD550" s="201"/>
      <c r="AE550" s="201"/>
      <c r="AF550" s="201"/>
      <c r="AG550" s="201"/>
      <c r="AH550" s="201"/>
      <c r="AI550" s="201"/>
      <c r="AJ550" s="201"/>
      <c r="AK550" s="201"/>
      <c r="AL550" s="201"/>
      <c r="AM550" s="201"/>
      <c r="AN550" s="201"/>
      <c r="AO550" s="201"/>
    </row>
    <row r="551">
      <c r="A551" s="197"/>
      <c r="B551" s="197"/>
      <c r="C551" s="199"/>
      <c r="D551" s="197"/>
      <c r="E551" s="197"/>
      <c r="F551" s="197"/>
      <c r="G551" s="197"/>
      <c r="H551" s="199"/>
      <c r="I551" s="199"/>
      <c r="J551" s="62"/>
      <c r="K551" s="62"/>
      <c r="L551" s="62"/>
      <c r="M551" s="62"/>
      <c r="N551" s="62"/>
      <c r="O551" s="60"/>
      <c r="P551" s="62"/>
      <c r="Q551" s="66"/>
      <c r="R551" s="62"/>
      <c r="S551" s="62"/>
      <c r="T551" s="62"/>
      <c r="U551" s="74"/>
      <c r="V551" s="62"/>
      <c r="W551" s="75"/>
      <c r="X551" s="62"/>
      <c r="Y551" s="61"/>
      <c r="Z551" s="201"/>
      <c r="AA551" s="201"/>
      <c r="AB551" s="201"/>
      <c r="AC551" s="201"/>
      <c r="AD551" s="201"/>
      <c r="AE551" s="201"/>
      <c r="AF551" s="201"/>
      <c r="AG551" s="201"/>
      <c r="AH551" s="201"/>
      <c r="AI551" s="201"/>
      <c r="AJ551" s="201"/>
      <c r="AK551" s="201"/>
      <c r="AL551" s="201"/>
      <c r="AM551" s="201"/>
      <c r="AN551" s="201"/>
      <c r="AO551" s="201"/>
    </row>
    <row r="552">
      <c r="A552" s="197"/>
      <c r="B552" s="197"/>
      <c r="C552" s="199"/>
      <c r="D552" s="197"/>
      <c r="E552" s="197"/>
      <c r="F552" s="197"/>
      <c r="G552" s="197"/>
      <c r="H552" s="199"/>
      <c r="I552" s="199"/>
      <c r="J552" s="62"/>
      <c r="K552" s="62"/>
      <c r="L552" s="62"/>
      <c r="M552" s="62"/>
      <c r="N552" s="62"/>
      <c r="O552" s="60"/>
      <c r="P552" s="62"/>
      <c r="Q552" s="66"/>
      <c r="R552" s="62"/>
      <c r="S552" s="62"/>
      <c r="T552" s="62"/>
      <c r="U552" s="74"/>
      <c r="V552" s="62"/>
      <c r="W552" s="75"/>
      <c r="X552" s="62"/>
      <c r="Y552" s="61"/>
      <c r="Z552" s="201"/>
      <c r="AA552" s="201"/>
      <c r="AB552" s="201"/>
      <c r="AC552" s="201"/>
      <c r="AD552" s="201"/>
      <c r="AE552" s="201"/>
      <c r="AF552" s="201"/>
      <c r="AG552" s="201"/>
      <c r="AH552" s="201"/>
      <c r="AI552" s="201"/>
      <c r="AJ552" s="201"/>
      <c r="AK552" s="201"/>
      <c r="AL552" s="201"/>
      <c r="AM552" s="201"/>
      <c r="AN552" s="201"/>
      <c r="AO552" s="201"/>
    </row>
    <row r="553">
      <c r="A553" s="197"/>
      <c r="B553" s="197"/>
      <c r="C553" s="199"/>
      <c r="D553" s="197"/>
      <c r="E553" s="197"/>
      <c r="F553" s="197"/>
      <c r="G553" s="197"/>
      <c r="H553" s="199"/>
      <c r="I553" s="199"/>
      <c r="J553" s="62"/>
      <c r="K553" s="62"/>
      <c r="L553" s="62"/>
      <c r="M553" s="62"/>
      <c r="N553" s="62"/>
      <c r="O553" s="60"/>
      <c r="P553" s="62"/>
      <c r="Q553" s="66"/>
      <c r="R553" s="62"/>
      <c r="S553" s="62"/>
      <c r="T553" s="62"/>
      <c r="U553" s="74"/>
      <c r="V553" s="62"/>
      <c r="W553" s="75"/>
      <c r="X553" s="62"/>
      <c r="Y553" s="61"/>
      <c r="Z553" s="201"/>
      <c r="AA553" s="201"/>
      <c r="AB553" s="201"/>
      <c r="AC553" s="201"/>
      <c r="AD553" s="201"/>
      <c r="AE553" s="201"/>
      <c r="AF553" s="201"/>
      <c r="AG553" s="201"/>
      <c r="AH553" s="201"/>
      <c r="AI553" s="201"/>
      <c r="AJ553" s="201"/>
      <c r="AK553" s="201"/>
      <c r="AL553" s="201"/>
      <c r="AM553" s="201"/>
      <c r="AN553" s="201"/>
      <c r="AO553" s="201"/>
    </row>
    <row r="554">
      <c r="A554" s="197"/>
      <c r="B554" s="197"/>
      <c r="C554" s="199"/>
      <c r="D554" s="197"/>
      <c r="E554" s="197"/>
      <c r="F554" s="197"/>
      <c r="G554" s="197"/>
      <c r="H554" s="199"/>
      <c r="I554" s="199"/>
      <c r="J554" s="62"/>
      <c r="K554" s="62"/>
      <c r="L554" s="62"/>
      <c r="M554" s="62"/>
      <c r="N554" s="62"/>
      <c r="O554" s="60"/>
      <c r="P554" s="62"/>
      <c r="Q554" s="66"/>
      <c r="R554" s="62"/>
      <c r="S554" s="62"/>
      <c r="T554" s="62"/>
      <c r="U554" s="74"/>
      <c r="V554" s="62"/>
      <c r="W554" s="75"/>
      <c r="X554" s="62"/>
      <c r="Y554" s="61"/>
      <c r="Z554" s="201"/>
      <c r="AA554" s="201"/>
      <c r="AB554" s="201"/>
      <c r="AC554" s="201"/>
      <c r="AD554" s="201"/>
      <c r="AE554" s="201"/>
      <c r="AF554" s="201"/>
      <c r="AG554" s="201"/>
      <c r="AH554" s="201"/>
      <c r="AI554" s="201"/>
      <c r="AJ554" s="201"/>
      <c r="AK554" s="201"/>
      <c r="AL554" s="201"/>
      <c r="AM554" s="201"/>
      <c r="AN554" s="201"/>
      <c r="AO554" s="201"/>
    </row>
    <row r="555">
      <c r="A555" s="197"/>
      <c r="B555" s="197"/>
      <c r="C555" s="199"/>
      <c r="D555" s="197"/>
      <c r="E555" s="197"/>
      <c r="F555" s="197"/>
      <c r="G555" s="197"/>
      <c r="H555" s="199"/>
      <c r="I555" s="199"/>
      <c r="J555" s="62"/>
      <c r="K555" s="62"/>
      <c r="L555" s="62"/>
      <c r="M555" s="62"/>
      <c r="N555" s="62"/>
      <c r="O555" s="60"/>
      <c r="P555" s="62"/>
      <c r="Q555" s="66"/>
      <c r="R555" s="62"/>
      <c r="S555" s="62"/>
      <c r="T555" s="62"/>
      <c r="U555" s="74"/>
      <c r="V555" s="62"/>
      <c r="W555" s="75"/>
      <c r="X555" s="62"/>
      <c r="Y555" s="61"/>
      <c r="Z555" s="201"/>
      <c r="AA555" s="201"/>
      <c r="AB555" s="201"/>
      <c r="AC555" s="201"/>
      <c r="AD555" s="201"/>
      <c r="AE555" s="201"/>
      <c r="AF555" s="201"/>
      <c r="AG555" s="201"/>
      <c r="AH555" s="201"/>
      <c r="AI555" s="201"/>
      <c r="AJ555" s="201"/>
      <c r="AK555" s="201"/>
      <c r="AL555" s="201"/>
      <c r="AM555" s="201"/>
      <c r="AN555" s="201"/>
      <c r="AO555" s="201"/>
    </row>
    <row r="556">
      <c r="A556" s="197"/>
      <c r="B556" s="197"/>
      <c r="C556" s="199"/>
      <c r="D556" s="197"/>
      <c r="E556" s="197"/>
      <c r="F556" s="197"/>
      <c r="G556" s="197"/>
      <c r="H556" s="199"/>
      <c r="I556" s="199"/>
      <c r="J556" s="62"/>
      <c r="K556" s="62"/>
      <c r="L556" s="62"/>
      <c r="M556" s="62"/>
      <c r="N556" s="62"/>
      <c r="O556" s="62"/>
      <c r="P556" s="62"/>
      <c r="Q556" s="66"/>
      <c r="R556" s="62"/>
      <c r="S556" s="62"/>
      <c r="T556" s="62"/>
      <c r="U556" s="74"/>
      <c r="V556" s="62"/>
      <c r="W556" s="75"/>
      <c r="X556" s="62"/>
      <c r="Y556" s="61"/>
      <c r="Z556" s="201"/>
      <c r="AA556" s="201"/>
      <c r="AB556" s="201"/>
      <c r="AC556" s="201"/>
      <c r="AD556" s="201"/>
      <c r="AE556" s="201"/>
      <c r="AF556" s="201"/>
      <c r="AG556" s="201"/>
      <c r="AH556" s="201"/>
      <c r="AI556" s="201"/>
      <c r="AJ556" s="201"/>
      <c r="AK556" s="201"/>
      <c r="AL556" s="201"/>
      <c r="AM556" s="201"/>
      <c r="AN556" s="201"/>
      <c r="AO556" s="201"/>
    </row>
    <row r="557">
      <c r="A557" s="197"/>
      <c r="B557" s="197"/>
      <c r="C557" s="199"/>
      <c r="D557" s="197"/>
      <c r="E557" s="197"/>
      <c r="F557" s="197"/>
      <c r="G557" s="197"/>
      <c r="H557" s="199"/>
      <c r="I557" s="199"/>
      <c r="J557" s="62"/>
      <c r="K557" s="62"/>
      <c r="L557" s="62"/>
      <c r="M557" s="62"/>
      <c r="N557" s="62"/>
      <c r="O557" s="62"/>
      <c r="P557" s="62"/>
      <c r="Q557" s="66"/>
      <c r="R557" s="62"/>
      <c r="S557" s="62"/>
      <c r="T557" s="62"/>
      <c r="U557" s="74"/>
      <c r="V557" s="62"/>
      <c r="W557" s="75"/>
      <c r="X557" s="62"/>
      <c r="Y557" s="61"/>
      <c r="Z557" s="201"/>
      <c r="AA557" s="201"/>
      <c r="AB557" s="201"/>
      <c r="AC557" s="201"/>
      <c r="AD557" s="201"/>
      <c r="AE557" s="201"/>
      <c r="AF557" s="201"/>
      <c r="AG557" s="201"/>
      <c r="AH557" s="201"/>
      <c r="AI557" s="201"/>
      <c r="AJ557" s="201"/>
      <c r="AK557" s="201"/>
      <c r="AL557" s="201"/>
      <c r="AM557" s="201"/>
      <c r="AN557" s="201"/>
      <c r="AO557" s="201"/>
    </row>
    <row r="558">
      <c r="A558" s="197"/>
      <c r="B558" s="197"/>
      <c r="C558" s="199"/>
      <c r="D558" s="197"/>
      <c r="E558" s="197"/>
      <c r="F558" s="197"/>
      <c r="G558" s="197"/>
      <c r="H558" s="199"/>
      <c r="I558" s="199"/>
      <c r="J558" s="62"/>
      <c r="K558" s="62"/>
      <c r="L558" s="62"/>
      <c r="M558" s="62"/>
      <c r="N558" s="62"/>
      <c r="O558" s="62"/>
      <c r="P558" s="62"/>
      <c r="Q558" s="66"/>
      <c r="R558" s="62"/>
      <c r="S558" s="62"/>
      <c r="T558" s="62"/>
      <c r="U558" s="74"/>
      <c r="V558" s="62"/>
      <c r="W558" s="75"/>
      <c r="X558" s="62"/>
      <c r="Y558" s="61"/>
      <c r="Z558" s="201"/>
      <c r="AA558" s="201"/>
      <c r="AB558" s="201"/>
      <c r="AC558" s="201"/>
      <c r="AD558" s="201"/>
      <c r="AE558" s="201"/>
      <c r="AF558" s="201"/>
      <c r="AG558" s="201"/>
      <c r="AH558" s="201"/>
      <c r="AI558" s="201"/>
      <c r="AJ558" s="201"/>
      <c r="AK558" s="201"/>
      <c r="AL558" s="201"/>
      <c r="AM558" s="201"/>
      <c r="AN558" s="201"/>
      <c r="AO558" s="201"/>
    </row>
    <row r="559">
      <c r="A559" s="197"/>
      <c r="B559" s="197"/>
      <c r="C559" s="199"/>
      <c r="D559" s="197"/>
      <c r="E559" s="197"/>
      <c r="F559" s="197"/>
      <c r="G559" s="197"/>
      <c r="H559" s="199"/>
      <c r="I559" s="199"/>
      <c r="J559" s="62"/>
      <c r="K559" s="62"/>
      <c r="L559" s="62"/>
      <c r="M559" s="62"/>
      <c r="N559" s="62"/>
      <c r="O559" s="62"/>
      <c r="P559" s="62"/>
      <c r="Q559" s="66"/>
      <c r="R559" s="62"/>
      <c r="S559" s="62"/>
      <c r="T559" s="62"/>
      <c r="U559" s="74"/>
      <c r="V559" s="62"/>
      <c r="W559" s="75"/>
      <c r="X559" s="62"/>
      <c r="Y559" s="61"/>
      <c r="Z559" s="201"/>
      <c r="AA559" s="201"/>
      <c r="AB559" s="201"/>
      <c r="AC559" s="201"/>
      <c r="AD559" s="201"/>
      <c r="AE559" s="201"/>
      <c r="AF559" s="201"/>
      <c r="AG559" s="201"/>
      <c r="AH559" s="201"/>
      <c r="AI559" s="201"/>
      <c r="AJ559" s="201"/>
      <c r="AK559" s="201"/>
      <c r="AL559" s="201"/>
      <c r="AM559" s="201"/>
      <c r="AN559" s="201"/>
      <c r="AO559" s="201"/>
    </row>
    <row r="560">
      <c r="A560" s="197"/>
      <c r="B560" s="197"/>
      <c r="C560" s="199"/>
      <c r="D560" s="197"/>
      <c r="E560" s="197"/>
      <c r="F560" s="197"/>
      <c r="G560" s="197"/>
      <c r="H560" s="199"/>
      <c r="I560" s="199"/>
      <c r="J560" s="62"/>
      <c r="K560" s="62"/>
      <c r="L560" s="62"/>
      <c r="M560" s="62"/>
      <c r="N560" s="62"/>
      <c r="O560" s="62"/>
      <c r="P560" s="62"/>
      <c r="Q560" s="66"/>
      <c r="R560" s="62"/>
      <c r="S560" s="62"/>
      <c r="T560" s="62"/>
      <c r="U560" s="74"/>
      <c r="V560" s="62"/>
      <c r="W560" s="75"/>
      <c r="X560" s="62"/>
      <c r="Y560" s="61"/>
      <c r="Z560" s="201"/>
      <c r="AA560" s="201"/>
      <c r="AB560" s="201"/>
      <c r="AC560" s="201"/>
      <c r="AD560" s="201"/>
      <c r="AE560" s="201"/>
      <c r="AF560" s="201"/>
      <c r="AG560" s="201"/>
      <c r="AH560" s="201"/>
      <c r="AI560" s="201"/>
      <c r="AJ560" s="201"/>
      <c r="AK560" s="201"/>
      <c r="AL560" s="201"/>
      <c r="AM560" s="201"/>
      <c r="AN560" s="201"/>
      <c r="AO560" s="201"/>
    </row>
    <row r="561">
      <c r="A561" s="197"/>
      <c r="B561" s="197"/>
      <c r="C561" s="199"/>
      <c r="D561" s="197"/>
      <c r="E561" s="197"/>
      <c r="F561" s="197"/>
      <c r="G561" s="197"/>
      <c r="H561" s="199"/>
      <c r="I561" s="199"/>
      <c r="J561" s="62"/>
      <c r="K561" s="62"/>
      <c r="L561" s="62"/>
      <c r="M561" s="62"/>
      <c r="N561" s="62"/>
      <c r="O561" s="62"/>
      <c r="P561" s="62"/>
      <c r="Q561" s="66"/>
      <c r="R561" s="62"/>
      <c r="S561" s="62"/>
      <c r="T561" s="62"/>
      <c r="U561" s="74"/>
      <c r="V561" s="62"/>
      <c r="W561" s="75"/>
      <c r="X561" s="62"/>
      <c r="Y561" s="61"/>
      <c r="Z561" s="201"/>
      <c r="AA561" s="201"/>
      <c r="AB561" s="201"/>
      <c r="AC561" s="201"/>
      <c r="AD561" s="201"/>
      <c r="AE561" s="201"/>
      <c r="AF561" s="201"/>
      <c r="AG561" s="201"/>
      <c r="AH561" s="201"/>
      <c r="AI561" s="201"/>
      <c r="AJ561" s="201"/>
      <c r="AK561" s="201"/>
      <c r="AL561" s="201"/>
      <c r="AM561" s="201"/>
      <c r="AN561" s="201"/>
      <c r="AO561" s="201"/>
    </row>
    <row r="562">
      <c r="A562" s="197"/>
      <c r="B562" s="197"/>
      <c r="C562" s="199"/>
      <c r="D562" s="197"/>
      <c r="E562" s="197"/>
      <c r="F562" s="197"/>
      <c r="G562" s="197"/>
      <c r="H562" s="199"/>
      <c r="I562" s="199"/>
      <c r="J562" s="62"/>
      <c r="K562" s="62"/>
      <c r="L562" s="62"/>
      <c r="M562" s="62"/>
      <c r="N562" s="62"/>
      <c r="O562" s="62"/>
      <c r="P562" s="62"/>
      <c r="Q562" s="66"/>
      <c r="R562" s="62"/>
      <c r="S562" s="62"/>
      <c r="T562" s="62"/>
      <c r="U562" s="74"/>
      <c r="V562" s="62"/>
      <c r="W562" s="75"/>
      <c r="X562" s="62"/>
      <c r="Y562" s="61"/>
      <c r="Z562" s="201"/>
      <c r="AA562" s="201"/>
      <c r="AB562" s="201"/>
      <c r="AC562" s="201"/>
      <c r="AD562" s="201"/>
      <c r="AE562" s="201"/>
      <c r="AF562" s="201"/>
      <c r="AG562" s="201"/>
      <c r="AH562" s="201"/>
      <c r="AI562" s="201"/>
      <c r="AJ562" s="201"/>
      <c r="AK562" s="201"/>
      <c r="AL562" s="201"/>
      <c r="AM562" s="201"/>
      <c r="AN562" s="201"/>
      <c r="AO562" s="201"/>
    </row>
    <row r="563">
      <c r="A563" s="197"/>
      <c r="B563" s="197"/>
      <c r="C563" s="199"/>
      <c r="D563" s="197"/>
      <c r="E563" s="197"/>
      <c r="F563" s="197"/>
      <c r="G563" s="197"/>
      <c r="H563" s="199"/>
      <c r="I563" s="199"/>
      <c r="J563" s="62"/>
      <c r="K563" s="62"/>
      <c r="L563" s="62"/>
      <c r="M563" s="62"/>
      <c r="N563" s="62"/>
      <c r="O563" s="62"/>
      <c r="P563" s="62"/>
      <c r="Q563" s="66"/>
      <c r="R563" s="62"/>
      <c r="S563" s="62"/>
      <c r="T563" s="62"/>
      <c r="U563" s="74"/>
      <c r="V563" s="62"/>
      <c r="W563" s="75"/>
      <c r="X563" s="62"/>
      <c r="Y563" s="61"/>
      <c r="Z563" s="201"/>
      <c r="AA563" s="201"/>
      <c r="AB563" s="201"/>
      <c r="AC563" s="201"/>
      <c r="AD563" s="201"/>
      <c r="AE563" s="201"/>
      <c r="AF563" s="201"/>
      <c r="AG563" s="201"/>
      <c r="AH563" s="201"/>
      <c r="AI563" s="201"/>
      <c r="AJ563" s="201"/>
      <c r="AK563" s="201"/>
      <c r="AL563" s="201"/>
      <c r="AM563" s="201"/>
      <c r="AN563" s="201"/>
      <c r="AO563" s="201"/>
    </row>
    <row r="564">
      <c r="A564" s="197"/>
      <c r="B564" s="197"/>
      <c r="C564" s="199"/>
      <c r="D564" s="197"/>
      <c r="E564" s="197"/>
      <c r="F564" s="197"/>
      <c r="G564" s="197"/>
      <c r="H564" s="199"/>
      <c r="I564" s="199"/>
      <c r="J564" s="62"/>
      <c r="K564" s="62"/>
      <c r="L564" s="62"/>
      <c r="M564" s="62"/>
      <c r="N564" s="62"/>
      <c r="O564" s="62"/>
      <c r="P564" s="62"/>
      <c r="Q564" s="66"/>
      <c r="R564" s="62"/>
      <c r="S564" s="62"/>
      <c r="T564" s="62"/>
      <c r="U564" s="74"/>
      <c r="V564" s="62"/>
      <c r="W564" s="75"/>
      <c r="X564" s="62"/>
      <c r="Y564" s="61"/>
      <c r="Z564" s="201"/>
      <c r="AA564" s="201"/>
      <c r="AB564" s="201"/>
      <c r="AC564" s="201"/>
      <c r="AD564" s="201"/>
      <c r="AE564" s="201"/>
      <c r="AF564" s="201"/>
      <c r="AG564" s="201"/>
      <c r="AH564" s="201"/>
      <c r="AI564" s="201"/>
      <c r="AJ564" s="201"/>
      <c r="AK564" s="201"/>
      <c r="AL564" s="201"/>
      <c r="AM564" s="201"/>
      <c r="AN564" s="201"/>
      <c r="AO564" s="201"/>
    </row>
    <row r="565">
      <c r="A565" s="197"/>
      <c r="B565" s="197"/>
      <c r="C565" s="199"/>
      <c r="D565" s="197"/>
      <c r="E565" s="197"/>
      <c r="F565" s="197"/>
      <c r="G565" s="197"/>
      <c r="H565" s="199"/>
      <c r="I565" s="199"/>
      <c r="J565" s="62"/>
      <c r="K565" s="62"/>
      <c r="L565" s="62"/>
      <c r="M565" s="62"/>
      <c r="N565" s="62"/>
      <c r="O565" s="62"/>
      <c r="P565" s="62"/>
      <c r="Q565" s="66"/>
      <c r="R565" s="62"/>
      <c r="S565" s="62"/>
      <c r="T565" s="62"/>
      <c r="U565" s="74"/>
      <c r="V565" s="62"/>
      <c r="W565" s="75"/>
      <c r="X565" s="62"/>
      <c r="Y565" s="61"/>
      <c r="Z565" s="201"/>
      <c r="AA565" s="201"/>
      <c r="AB565" s="201"/>
      <c r="AC565" s="201"/>
      <c r="AD565" s="201"/>
      <c r="AE565" s="201"/>
      <c r="AF565" s="201"/>
      <c r="AG565" s="201"/>
      <c r="AH565" s="201"/>
      <c r="AI565" s="201"/>
      <c r="AJ565" s="201"/>
      <c r="AK565" s="201"/>
      <c r="AL565" s="201"/>
      <c r="AM565" s="201"/>
      <c r="AN565" s="201"/>
      <c r="AO565" s="201"/>
    </row>
    <row r="566">
      <c r="A566" s="197"/>
      <c r="B566" s="197"/>
      <c r="C566" s="199"/>
      <c r="D566" s="197"/>
      <c r="E566" s="197"/>
      <c r="F566" s="197"/>
      <c r="G566" s="197"/>
      <c r="H566" s="199"/>
      <c r="I566" s="199"/>
      <c r="J566" s="62"/>
      <c r="K566" s="62"/>
      <c r="L566" s="62"/>
      <c r="M566" s="62"/>
      <c r="N566" s="62"/>
      <c r="O566" s="62"/>
      <c r="P566" s="62"/>
      <c r="Q566" s="66"/>
      <c r="R566" s="62"/>
      <c r="S566" s="62"/>
      <c r="T566" s="62"/>
      <c r="U566" s="74"/>
      <c r="V566" s="62"/>
      <c r="W566" s="75"/>
      <c r="X566" s="62"/>
      <c r="Y566" s="61"/>
      <c r="Z566" s="201"/>
      <c r="AA566" s="201"/>
      <c r="AB566" s="201"/>
      <c r="AC566" s="201"/>
      <c r="AD566" s="201"/>
      <c r="AE566" s="201"/>
      <c r="AF566" s="201"/>
      <c r="AG566" s="201"/>
      <c r="AH566" s="201"/>
      <c r="AI566" s="201"/>
      <c r="AJ566" s="201"/>
      <c r="AK566" s="201"/>
      <c r="AL566" s="201"/>
      <c r="AM566" s="201"/>
      <c r="AN566" s="201"/>
      <c r="AO566" s="201"/>
    </row>
    <row r="567">
      <c r="A567" s="197"/>
      <c r="B567" s="197"/>
      <c r="C567" s="199"/>
      <c r="D567" s="197"/>
      <c r="E567" s="197"/>
      <c r="F567" s="197"/>
      <c r="G567" s="197"/>
      <c r="H567" s="199"/>
      <c r="I567" s="199"/>
      <c r="J567" s="62"/>
      <c r="K567" s="62"/>
      <c r="L567" s="62"/>
      <c r="M567" s="62"/>
      <c r="N567" s="62"/>
      <c r="O567" s="62"/>
      <c r="P567" s="62"/>
      <c r="Q567" s="66"/>
      <c r="R567" s="62"/>
      <c r="S567" s="62"/>
      <c r="T567" s="62"/>
      <c r="U567" s="74"/>
      <c r="V567" s="62"/>
      <c r="W567" s="75"/>
      <c r="X567" s="62"/>
      <c r="Y567" s="61"/>
      <c r="Z567" s="201"/>
      <c r="AA567" s="201"/>
      <c r="AB567" s="201"/>
      <c r="AC567" s="201"/>
      <c r="AD567" s="201"/>
      <c r="AE567" s="201"/>
      <c r="AF567" s="201"/>
      <c r="AG567" s="201"/>
      <c r="AH567" s="201"/>
      <c r="AI567" s="201"/>
      <c r="AJ567" s="201"/>
      <c r="AK567" s="201"/>
      <c r="AL567" s="201"/>
      <c r="AM567" s="201"/>
      <c r="AN567" s="201"/>
      <c r="AO567" s="201"/>
    </row>
    <row r="568">
      <c r="A568" s="197"/>
      <c r="B568" s="197"/>
      <c r="C568" s="199"/>
      <c r="D568" s="197"/>
      <c r="E568" s="197"/>
      <c r="F568" s="197"/>
      <c r="G568" s="197"/>
      <c r="H568" s="199"/>
      <c r="I568" s="199"/>
      <c r="J568" s="62"/>
      <c r="K568" s="62"/>
      <c r="L568" s="62"/>
      <c r="M568" s="62"/>
      <c r="N568" s="62"/>
      <c r="O568" s="62"/>
      <c r="P568" s="62"/>
      <c r="Q568" s="66"/>
      <c r="R568" s="62"/>
      <c r="S568" s="62"/>
      <c r="T568" s="62"/>
      <c r="U568" s="74"/>
      <c r="V568" s="62"/>
      <c r="W568" s="75"/>
      <c r="X568" s="62"/>
      <c r="Y568" s="61"/>
      <c r="Z568" s="201"/>
      <c r="AA568" s="201"/>
      <c r="AB568" s="201"/>
      <c r="AC568" s="201"/>
      <c r="AD568" s="201"/>
      <c r="AE568" s="201"/>
      <c r="AF568" s="201"/>
      <c r="AG568" s="201"/>
      <c r="AH568" s="201"/>
      <c r="AI568" s="201"/>
      <c r="AJ568" s="201"/>
      <c r="AK568" s="201"/>
      <c r="AL568" s="201"/>
      <c r="AM568" s="201"/>
      <c r="AN568" s="201"/>
      <c r="AO568" s="201"/>
    </row>
    <row r="569">
      <c r="A569" s="197"/>
      <c r="B569" s="197"/>
      <c r="C569" s="199"/>
      <c r="D569" s="197"/>
      <c r="E569" s="197"/>
      <c r="F569" s="197"/>
      <c r="G569" s="197"/>
      <c r="H569" s="199"/>
      <c r="I569" s="199"/>
      <c r="J569" s="62"/>
      <c r="K569" s="62"/>
      <c r="L569" s="62"/>
      <c r="M569" s="62"/>
      <c r="N569" s="62"/>
      <c r="O569" s="62"/>
      <c r="P569" s="62"/>
      <c r="Q569" s="66"/>
      <c r="R569" s="62"/>
      <c r="S569" s="62"/>
      <c r="T569" s="62"/>
      <c r="U569" s="74"/>
      <c r="V569" s="62"/>
      <c r="W569" s="75"/>
      <c r="X569" s="62"/>
      <c r="Y569" s="61"/>
      <c r="Z569" s="201"/>
      <c r="AA569" s="201"/>
      <c r="AB569" s="201"/>
      <c r="AC569" s="201"/>
      <c r="AD569" s="201"/>
      <c r="AE569" s="201"/>
      <c r="AF569" s="201"/>
      <c r="AG569" s="201"/>
      <c r="AH569" s="201"/>
      <c r="AI569" s="201"/>
      <c r="AJ569" s="201"/>
      <c r="AK569" s="201"/>
      <c r="AL569" s="201"/>
      <c r="AM569" s="201"/>
      <c r="AN569" s="201"/>
      <c r="AO569" s="201"/>
    </row>
    <row r="570">
      <c r="A570" s="197"/>
      <c r="B570" s="197"/>
      <c r="C570" s="199"/>
      <c r="D570" s="197"/>
      <c r="E570" s="197"/>
      <c r="F570" s="197"/>
      <c r="G570" s="197"/>
      <c r="H570" s="199"/>
      <c r="I570" s="199"/>
      <c r="J570" s="62"/>
      <c r="K570" s="62"/>
      <c r="L570" s="62"/>
      <c r="M570" s="62"/>
      <c r="N570" s="62"/>
      <c r="O570" s="62"/>
      <c r="P570" s="62"/>
      <c r="Q570" s="66"/>
      <c r="R570" s="62"/>
      <c r="S570" s="62"/>
      <c r="T570" s="62"/>
      <c r="U570" s="74"/>
      <c r="V570" s="62"/>
      <c r="W570" s="75"/>
      <c r="X570" s="62"/>
      <c r="Y570" s="61"/>
      <c r="Z570" s="201"/>
      <c r="AA570" s="201"/>
      <c r="AB570" s="201"/>
      <c r="AC570" s="201"/>
      <c r="AD570" s="201"/>
      <c r="AE570" s="201"/>
      <c r="AF570" s="201"/>
      <c r="AG570" s="201"/>
      <c r="AH570" s="201"/>
      <c r="AI570" s="201"/>
      <c r="AJ570" s="201"/>
      <c r="AK570" s="201"/>
      <c r="AL570" s="201"/>
      <c r="AM570" s="201"/>
      <c r="AN570" s="201"/>
      <c r="AO570" s="201"/>
    </row>
    <row r="571">
      <c r="A571" s="197"/>
      <c r="B571" s="197"/>
      <c r="C571" s="199"/>
      <c r="D571" s="197"/>
      <c r="E571" s="197"/>
      <c r="F571" s="197"/>
      <c r="G571" s="197"/>
      <c r="H571" s="199"/>
      <c r="I571" s="199"/>
      <c r="J571" s="62"/>
      <c r="K571" s="62"/>
      <c r="L571" s="62"/>
      <c r="M571" s="62"/>
      <c r="N571" s="62"/>
      <c r="O571" s="62"/>
      <c r="P571" s="62"/>
      <c r="Q571" s="66"/>
      <c r="R571" s="62"/>
      <c r="S571" s="62"/>
      <c r="T571" s="62"/>
      <c r="U571" s="74"/>
      <c r="V571" s="62"/>
      <c r="W571" s="75"/>
      <c r="X571" s="62"/>
      <c r="Y571" s="61"/>
      <c r="Z571" s="201"/>
      <c r="AA571" s="201"/>
      <c r="AB571" s="201"/>
      <c r="AC571" s="201"/>
      <c r="AD571" s="201"/>
      <c r="AE571" s="201"/>
      <c r="AF571" s="201"/>
      <c r="AG571" s="201"/>
      <c r="AH571" s="201"/>
      <c r="AI571" s="201"/>
      <c r="AJ571" s="201"/>
      <c r="AK571" s="201"/>
      <c r="AL571" s="201"/>
      <c r="AM571" s="201"/>
      <c r="AN571" s="201"/>
      <c r="AO571" s="201"/>
    </row>
    <row r="572">
      <c r="A572" s="197"/>
      <c r="B572" s="197"/>
      <c r="C572" s="199"/>
      <c r="D572" s="197"/>
      <c r="E572" s="197"/>
      <c r="F572" s="197"/>
      <c r="G572" s="197"/>
      <c r="H572" s="199"/>
      <c r="I572" s="199"/>
      <c r="J572" s="62"/>
      <c r="K572" s="62"/>
      <c r="L572" s="62"/>
      <c r="M572" s="62"/>
      <c r="N572" s="62"/>
      <c r="O572" s="62"/>
      <c r="P572" s="62"/>
      <c r="Q572" s="66"/>
      <c r="R572" s="62"/>
      <c r="S572" s="62"/>
      <c r="T572" s="62"/>
      <c r="U572" s="74"/>
      <c r="V572" s="62"/>
      <c r="W572" s="75"/>
      <c r="X572" s="62"/>
      <c r="Y572" s="61"/>
      <c r="Z572" s="201"/>
      <c r="AA572" s="201"/>
      <c r="AB572" s="201"/>
      <c r="AC572" s="201"/>
      <c r="AD572" s="201"/>
      <c r="AE572" s="201"/>
      <c r="AF572" s="201"/>
      <c r="AG572" s="201"/>
      <c r="AH572" s="201"/>
      <c r="AI572" s="201"/>
      <c r="AJ572" s="201"/>
      <c r="AK572" s="201"/>
      <c r="AL572" s="201"/>
      <c r="AM572" s="201"/>
      <c r="AN572" s="201"/>
      <c r="AO572" s="201"/>
    </row>
    <row r="573">
      <c r="A573" s="197"/>
      <c r="B573" s="197"/>
      <c r="C573" s="199"/>
      <c r="D573" s="197"/>
      <c r="E573" s="197"/>
      <c r="F573" s="197"/>
      <c r="G573" s="197"/>
      <c r="H573" s="199"/>
      <c r="I573" s="199"/>
      <c r="J573" s="62"/>
      <c r="K573" s="62"/>
      <c r="L573" s="62"/>
      <c r="M573" s="62"/>
      <c r="N573" s="62"/>
      <c r="O573" s="62"/>
      <c r="P573" s="62"/>
      <c r="Q573" s="66"/>
      <c r="R573" s="62"/>
      <c r="S573" s="62"/>
      <c r="T573" s="62"/>
      <c r="U573" s="74"/>
      <c r="V573" s="62"/>
      <c r="W573" s="75"/>
      <c r="X573" s="62"/>
      <c r="Y573" s="61"/>
      <c r="Z573" s="201"/>
      <c r="AA573" s="201"/>
      <c r="AB573" s="201"/>
      <c r="AC573" s="201"/>
      <c r="AD573" s="201"/>
      <c r="AE573" s="201"/>
      <c r="AF573" s="201"/>
      <c r="AG573" s="201"/>
      <c r="AH573" s="201"/>
      <c r="AI573" s="201"/>
      <c r="AJ573" s="201"/>
      <c r="AK573" s="201"/>
      <c r="AL573" s="201"/>
      <c r="AM573" s="201"/>
      <c r="AN573" s="201"/>
      <c r="AO573" s="201"/>
    </row>
    <row r="574">
      <c r="A574" s="197"/>
      <c r="B574" s="197"/>
      <c r="C574" s="199"/>
      <c r="D574" s="197"/>
      <c r="E574" s="197"/>
      <c r="F574" s="197"/>
      <c r="G574" s="197"/>
      <c r="H574" s="199"/>
      <c r="I574" s="199"/>
      <c r="J574" s="62"/>
      <c r="K574" s="62"/>
      <c r="L574" s="62"/>
      <c r="M574" s="62"/>
      <c r="N574" s="62"/>
      <c r="O574" s="62"/>
      <c r="P574" s="62"/>
      <c r="Q574" s="66"/>
      <c r="R574" s="62"/>
      <c r="S574" s="62"/>
      <c r="T574" s="62"/>
      <c r="U574" s="74"/>
      <c r="V574" s="62"/>
      <c r="W574" s="75"/>
      <c r="X574" s="62"/>
      <c r="Y574" s="61"/>
      <c r="Z574" s="201"/>
      <c r="AA574" s="201"/>
      <c r="AB574" s="201"/>
      <c r="AC574" s="201"/>
      <c r="AD574" s="201"/>
      <c r="AE574" s="201"/>
      <c r="AF574" s="201"/>
      <c r="AG574" s="201"/>
      <c r="AH574" s="201"/>
      <c r="AI574" s="201"/>
      <c r="AJ574" s="201"/>
      <c r="AK574" s="201"/>
      <c r="AL574" s="201"/>
      <c r="AM574" s="201"/>
      <c r="AN574" s="201"/>
      <c r="AO574" s="201"/>
    </row>
    <row r="575">
      <c r="A575" s="197"/>
      <c r="B575" s="197"/>
      <c r="C575" s="199"/>
      <c r="D575" s="197"/>
      <c r="E575" s="197"/>
      <c r="F575" s="197"/>
      <c r="G575" s="197"/>
      <c r="H575" s="199"/>
      <c r="I575" s="199"/>
      <c r="J575" s="62"/>
      <c r="K575" s="62"/>
      <c r="L575" s="62"/>
      <c r="M575" s="62"/>
      <c r="N575" s="62"/>
      <c r="O575" s="62"/>
      <c r="P575" s="62"/>
      <c r="Q575" s="66"/>
      <c r="R575" s="62"/>
      <c r="S575" s="62"/>
      <c r="T575" s="62"/>
      <c r="U575" s="74"/>
      <c r="V575" s="62"/>
      <c r="W575" s="75"/>
      <c r="X575" s="62"/>
      <c r="Y575" s="61"/>
      <c r="Z575" s="201"/>
      <c r="AA575" s="201"/>
      <c r="AB575" s="201"/>
      <c r="AC575" s="201"/>
      <c r="AD575" s="201"/>
      <c r="AE575" s="201"/>
      <c r="AF575" s="201"/>
      <c r="AG575" s="201"/>
      <c r="AH575" s="201"/>
      <c r="AI575" s="201"/>
      <c r="AJ575" s="201"/>
      <c r="AK575" s="201"/>
      <c r="AL575" s="201"/>
      <c r="AM575" s="201"/>
      <c r="AN575" s="201"/>
      <c r="AO575" s="201"/>
    </row>
    <row r="576">
      <c r="A576" s="197"/>
      <c r="B576" s="197"/>
      <c r="C576" s="199"/>
      <c r="D576" s="197"/>
      <c r="E576" s="197"/>
      <c r="F576" s="197"/>
      <c r="G576" s="197"/>
      <c r="H576" s="199"/>
      <c r="I576" s="199"/>
      <c r="J576" s="62"/>
      <c r="K576" s="62"/>
      <c r="L576" s="62"/>
      <c r="M576" s="62"/>
      <c r="N576" s="62"/>
      <c r="O576" s="62"/>
      <c r="P576" s="62"/>
      <c r="Q576" s="66"/>
      <c r="R576" s="62"/>
      <c r="S576" s="62"/>
      <c r="T576" s="62"/>
      <c r="U576" s="74"/>
      <c r="V576" s="62"/>
      <c r="W576" s="75"/>
      <c r="X576" s="62"/>
      <c r="Y576" s="61"/>
      <c r="Z576" s="201"/>
      <c r="AA576" s="201"/>
      <c r="AB576" s="201"/>
      <c r="AC576" s="201"/>
      <c r="AD576" s="201"/>
      <c r="AE576" s="201"/>
      <c r="AF576" s="201"/>
      <c r="AG576" s="201"/>
      <c r="AH576" s="201"/>
      <c r="AI576" s="201"/>
      <c r="AJ576" s="201"/>
      <c r="AK576" s="201"/>
      <c r="AL576" s="201"/>
      <c r="AM576" s="201"/>
      <c r="AN576" s="201"/>
      <c r="AO576" s="201"/>
    </row>
    <row r="577">
      <c r="A577" s="197"/>
      <c r="B577" s="197"/>
      <c r="C577" s="199"/>
      <c r="D577" s="197"/>
      <c r="E577" s="197"/>
      <c r="F577" s="197"/>
      <c r="G577" s="197"/>
      <c r="H577" s="199"/>
      <c r="I577" s="199"/>
      <c r="J577" s="62"/>
      <c r="K577" s="62"/>
      <c r="L577" s="62"/>
      <c r="M577" s="62"/>
      <c r="N577" s="62"/>
      <c r="O577" s="62"/>
      <c r="P577" s="62"/>
      <c r="Q577" s="66"/>
      <c r="R577" s="62"/>
      <c r="S577" s="62"/>
      <c r="T577" s="62"/>
      <c r="U577" s="74"/>
      <c r="V577" s="62"/>
      <c r="W577" s="75"/>
      <c r="X577" s="62"/>
      <c r="Y577" s="61"/>
      <c r="Z577" s="201"/>
      <c r="AA577" s="201"/>
      <c r="AB577" s="201"/>
      <c r="AC577" s="201"/>
      <c r="AD577" s="201"/>
      <c r="AE577" s="201"/>
      <c r="AF577" s="201"/>
      <c r="AG577" s="201"/>
      <c r="AH577" s="201"/>
      <c r="AI577" s="201"/>
      <c r="AJ577" s="201"/>
      <c r="AK577" s="201"/>
      <c r="AL577" s="201"/>
      <c r="AM577" s="201"/>
      <c r="AN577" s="201"/>
      <c r="AO577" s="201"/>
    </row>
    <row r="578">
      <c r="A578" s="197"/>
      <c r="B578" s="197"/>
      <c r="C578" s="199"/>
      <c r="D578" s="197"/>
      <c r="E578" s="197"/>
      <c r="F578" s="197"/>
      <c r="G578" s="197"/>
      <c r="H578" s="199"/>
      <c r="I578" s="199"/>
      <c r="J578" s="62"/>
      <c r="K578" s="62"/>
      <c r="L578" s="62"/>
      <c r="M578" s="62"/>
      <c r="N578" s="62"/>
      <c r="O578" s="62"/>
      <c r="P578" s="62"/>
      <c r="Q578" s="66"/>
      <c r="R578" s="62"/>
      <c r="S578" s="62"/>
      <c r="T578" s="62"/>
      <c r="U578" s="74"/>
      <c r="V578" s="62"/>
      <c r="W578" s="75"/>
      <c r="X578" s="62"/>
      <c r="Y578" s="61"/>
      <c r="Z578" s="201"/>
      <c r="AA578" s="201"/>
      <c r="AB578" s="201"/>
      <c r="AC578" s="201"/>
      <c r="AD578" s="201"/>
      <c r="AE578" s="201"/>
      <c r="AF578" s="201"/>
      <c r="AG578" s="201"/>
      <c r="AH578" s="201"/>
      <c r="AI578" s="201"/>
      <c r="AJ578" s="201"/>
      <c r="AK578" s="201"/>
      <c r="AL578" s="201"/>
      <c r="AM578" s="201"/>
      <c r="AN578" s="201"/>
      <c r="AO578" s="201"/>
    </row>
    <row r="579">
      <c r="A579" s="197"/>
      <c r="B579" s="197"/>
      <c r="C579" s="199"/>
      <c r="D579" s="197"/>
      <c r="E579" s="197"/>
      <c r="F579" s="197"/>
      <c r="G579" s="197"/>
      <c r="H579" s="199"/>
      <c r="I579" s="199"/>
      <c r="J579" s="62"/>
      <c r="K579" s="62"/>
      <c r="L579" s="62"/>
      <c r="M579" s="62"/>
      <c r="N579" s="62"/>
      <c r="O579" s="62"/>
      <c r="P579" s="62"/>
      <c r="Q579" s="66"/>
      <c r="R579" s="62"/>
      <c r="S579" s="62"/>
      <c r="T579" s="62"/>
      <c r="U579" s="74"/>
      <c r="V579" s="62"/>
      <c r="W579" s="75"/>
      <c r="X579" s="62"/>
      <c r="Y579" s="61"/>
      <c r="Z579" s="201"/>
      <c r="AA579" s="201"/>
      <c r="AB579" s="201"/>
      <c r="AC579" s="201"/>
      <c r="AD579" s="201"/>
      <c r="AE579" s="201"/>
      <c r="AF579" s="201"/>
      <c r="AG579" s="201"/>
      <c r="AH579" s="201"/>
      <c r="AI579" s="201"/>
      <c r="AJ579" s="201"/>
      <c r="AK579" s="201"/>
      <c r="AL579" s="201"/>
      <c r="AM579" s="201"/>
      <c r="AN579" s="201"/>
      <c r="AO579" s="201"/>
    </row>
    <row r="580">
      <c r="A580" s="197"/>
      <c r="B580" s="197"/>
      <c r="C580" s="199"/>
      <c r="D580" s="197"/>
      <c r="E580" s="197"/>
      <c r="F580" s="197"/>
      <c r="G580" s="197"/>
      <c r="H580" s="199"/>
      <c r="I580" s="199"/>
      <c r="J580" s="62"/>
      <c r="K580" s="62"/>
      <c r="L580" s="62"/>
      <c r="M580" s="62"/>
      <c r="N580" s="62"/>
      <c r="O580" s="62"/>
      <c r="P580" s="62"/>
      <c r="Q580" s="66"/>
      <c r="R580" s="62"/>
      <c r="S580" s="62"/>
      <c r="T580" s="62"/>
      <c r="U580" s="74"/>
      <c r="V580" s="62"/>
      <c r="W580" s="75"/>
      <c r="X580" s="62"/>
      <c r="Y580" s="61"/>
      <c r="Z580" s="201"/>
      <c r="AA580" s="201"/>
      <c r="AB580" s="201"/>
      <c r="AC580" s="201"/>
      <c r="AD580" s="201"/>
      <c r="AE580" s="201"/>
      <c r="AF580" s="201"/>
      <c r="AG580" s="201"/>
      <c r="AH580" s="201"/>
      <c r="AI580" s="201"/>
      <c r="AJ580" s="201"/>
      <c r="AK580" s="201"/>
      <c r="AL580" s="201"/>
      <c r="AM580" s="201"/>
      <c r="AN580" s="201"/>
      <c r="AO580" s="201"/>
    </row>
    <row r="581">
      <c r="A581" s="197"/>
      <c r="B581" s="197"/>
      <c r="C581" s="199"/>
      <c r="D581" s="197"/>
      <c r="E581" s="197"/>
      <c r="F581" s="197"/>
      <c r="G581" s="197"/>
      <c r="H581" s="199"/>
      <c r="I581" s="199"/>
      <c r="J581" s="62"/>
      <c r="K581" s="62"/>
      <c r="L581" s="62"/>
      <c r="M581" s="62"/>
      <c r="N581" s="62"/>
      <c r="O581" s="62"/>
      <c r="P581" s="62"/>
      <c r="Q581" s="66"/>
      <c r="R581" s="62"/>
      <c r="S581" s="62"/>
      <c r="T581" s="62"/>
      <c r="U581" s="74"/>
      <c r="V581" s="62"/>
      <c r="W581" s="75"/>
      <c r="X581" s="62"/>
      <c r="Y581" s="61"/>
      <c r="Z581" s="201"/>
      <c r="AA581" s="201"/>
      <c r="AB581" s="201"/>
      <c r="AC581" s="201"/>
      <c r="AD581" s="201"/>
      <c r="AE581" s="201"/>
      <c r="AF581" s="201"/>
      <c r="AG581" s="201"/>
      <c r="AH581" s="201"/>
      <c r="AI581" s="201"/>
      <c r="AJ581" s="201"/>
      <c r="AK581" s="201"/>
      <c r="AL581" s="201"/>
      <c r="AM581" s="201"/>
      <c r="AN581" s="201"/>
      <c r="AO581" s="201"/>
    </row>
    <row r="582">
      <c r="A582" s="197"/>
      <c r="B582" s="197"/>
      <c r="C582" s="199"/>
      <c r="D582" s="197"/>
      <c r="E582" s="197"/>
      <c r="F582" s="197"/>
      <c r="G582" s="197"/>
      <c r="H582" s="199"/>
      <c r="I582" s="199"/>
      <c r="J582" s="62"/>
      <c r="K582" s="62"/>
      <c r="L582" s="62"/>
      <c r="M582" s="62"/>
      <c r="N582" s="62"/>
      <c r="O582" s="62"/>
      <c r="P582" s="62"/>
      <c r="Q582" s="66"/>
      <c r="R582" s="62"/>
      <c r="S582" s="62"/>
      <c r="T582" s="62"/>
      <c r="U582" s="74"/>
      <c r="V582" s="62"/>
      <c r="W582" s="75"/>
      <c r="X582" s="62"/>
      <c r="Y582" s="61"/>
      <c r="Z582" s="201"/>
      <c r="AA582" s="201"/>
      <c r="AB582" s="201"/>
      <c r="AC582" s="201"/>
      <c r="AD582" s="201"/>
      <c r="AE582" s="201"/>
      <c r="AF582" s="201"/>
      <c r="AG582" s="201"/>
      <c r="AH582" s="201"/>
      <c r="AI582" s="201"/>
      <c r="AJ582" s="201"/>
      <c r="AK582" s="201"/>
      <c r="AL582" s="201"/>
      <c r="AM582" s="201"/>
      <c r="AN582" s="201"/>
      <c r="AO582" s="201"/>
    </row>
    <row r="583">
      <c r="A583" s="197"/>
      <c r="B583" s="197"/>
      <c r="C583" s="199"/>
      <c r="D583" s="197"/>
      <c r="E583" s="197"/>
      <c r="F583" s="197"/>
      <c r="G583" s="197"/>
      <c r="H583" s="199"/>
      <c r="I583" s="199"/>
      <c r="J583" s="62"/>
      <c r="K583" s="62"/>
      <c r="L583" s="62"/>
      <c r="M583" s="62"/>
      <c r="N583" s="62"/>
      <c r="O583" s="62"/>
      <c r="P583" s="62"/>
      <c r="Q583" s="66"/>
      <c r="R583" s="62"/>
      <c r="S583" s="62"/>
      <c r="T583" s="62"/>
      <c r="U583" s="74"/>
      <c r="V583" s="62"/>
      <c r="W583" s="75"/>
      <c r="X583" s="62"/>
      <c r="Y583" s="61"/>
      <c r="Z583" s="201"/>
      <c r="AA583" s="201"/>
      <c r="AB583" s="201"/>
      <c r="AC583" s="201"/>
      <c r="AD583" s="201"/>
      <c r="AE583" s="201"/>
      <c r="AF583" s="201"/>
      <c r="AG583" s="201"/>
      <c r="AH583" s="201"/>
      <c r="AI583" s="201"/>
      <c r="AJ583" s="201"/>
      <c r="AK583" s="201"/>
      <c r="AL583" s="201"/>
      <c r="AM583" s="201"/>
      <c r="AN583" s="201"/>
      <c r="AO583" s="201"/>
    </row>
    <row r="584">
      <c r="A584" s="197"/>
      <c r="B584" s="197"/>
      <c r="C584" s="199"/>
      <c r="D584" s="197"/>
      <c r="E584" s="197"/>
      <c r="F584" s="197"/>
      <c r="G584" s="197"/>
      <c r="H584" s="199"/>
      <c r="I584" s="199"/>
      <c r="J584" s="62"/>
      <c r="K584" s="62"/>
      <c r="L584" s="62"/>
      <c r="M584" s="62"/>
      <c r="N584" s="62"/>
      <c r="O584" s="62"/>
      <c r="P584" s="62"/>
      <c r="Q584" s="66"/>
      <c r="R584" s="62"/>
      <c r="S584" s="62"/>
      <c r="T584" s="62"/>
      <c r="U584" s="74"/>
      <c r="V584" s="62"/>
      <c r="W584" s="75"/>
      <c r="X584" s="62"/>
      <c r="Y584" s="61"/>
      <c r="Z584" s="201"/>
      <c r="AA584" s="201"/>
      <c r="AB584" s="201"/>
      <c r="AC584" s="201"/>
      <c r="AD584" s="201"/>
      <c r="AE584" s="201"/>
      <c r="AF584" s="201"/>
      <c r="AG584" s="201"/>
      <c r="AH584" s="201"/>
      <c r="AI584" s="201"/>
      <c r="AJ584" s="201"/>
      <c r="AK584" s="201"/>
      <c r="AL584" s="201"/>
      <c r="AM584" s="201"/>
      <c r="AN584" s="201"/>
      <c r="AO584" s="201"/>
    </row>
    <row r="585">
      <c r="A585" s="197"/>
      <c r="B585" s="197"/>
      <c r="C585" s="199"/>
      <c r="D585" s="197"/>
      <c r="E585" s="197"/>
      <c r="F585" s="197"/>
      <c r="G585" s="197"/>
      <c r="H585" s="199"/>
      <c r="I585" s="199"/>
      <c r="J585" s="62"/>
      <c r="K585" s="62"/>
      <c r="L585" s="62"/>
      <c r="M585" s="62"/>
      <c r="N585" s="62"/>
      <c r="O585" s="62"/>
      <c r="P585" s="62"/>
      <c r="Q585" s="66"/>
      <c r="R585" s="62"/>
      <c r="S585" s="62"/>
      <c r="T585" s="62"/>
      <c r="U585" s="74"/>
      <c r="V585" s="62"/>
      <c r="W585" s="75"/>
      <c r="X585" s="62"/>
      <c r="Y585" s="61"/>
      <c r="Z585" s="201"/>
      <c r="AA585" s="201"/>
      <c r="AB585" s="201"/>
      <c r="AC585" s="201"/>
      <c r="AD585" s="201"/>
      <c r="AE585" s="201"/>
      <c r="AF585" s="201"/>
      <c r="AG585" s="201"/>
      <c r="AH585" s="201"/>
      <c r="AI585" s="201"/>
      <c r="AJ585" s="201"/>
      <c r="AK585" s="201"/>
      <c r="AL585" s="201"/>
      <c r="AM585" s="201"/>
      <c r="AN585" s="201"/>
      <c r="AO585" s="201"/>
    </row>
    <row r="586">
      <c r="A586" s="197"/>
      <c r="B586" s="197"/>
      <c r="C586" s="199"/>
      <c r="D586" s="197"/>
      <c r="E586" s="197"/>
      <c r="F586" s="197"/>
      <c r="G586" s="197"/>
      <c r="H586" s="199"/>
      <c r="I586" s="199"/>
      <c r="J586" s="62"/>
      <c r="K586" s="62"/>
      <c r="L586" s="62"/>
      <c r="M586" s="62"/>
      <c r="N586" s="62"/>
      <c r="O586" s="62"/>
      <c r="P586" s="62"/>
      <c r="Q586" s="66"/>
      <c r="R586" s="62"/>
      <c r="S586" s="62"/>
      <c r="T586" s="62"/>
      <c r="U586" s="74"/>
      <c r="V586" s="62"/>
      <c r="W586" s="75"/>
      <c r="X586" s="62"/>
      <c r="Y586" s="61"/>
      <c r="Z586" s="201"/>
      <c r="AA586" s="201"/>
      <c r="AB586" s="201"/>
      <c r="AC586" s="201"/>
      <c r="AD586" s="201"/>
      <c r="AE586" s="201"/>
      <c r="AF586" s="201"/>
      <c r="AG586" s="201"/>
      <c r="AH586" s="201"/>
      <c r="AI586" s="201"/>
      <c r="AJ586" s="201"/>
      <c r="AK586" s="201"/>
      <c r="AL586" s="201"/>
      <c r="AM586" s="201"/>
      <c r="AN586" s="201"/>
      <c r="AO586" s="201"/>
    </row>
    <row r="587">
      <c r="A587" s="197"/>
      <c r="B587" s="197"/>
      <c r="C587" s="199"/>
      <c r="D587" s="197"/>
      <c r="E587" s="197"/>
      <c r="F587" s="197"/>
      <c r="G587" s="197"/>
      <c r="H587" s="199"/>
      <c r="I587" s="199"/>
      <c r="J587" s="62"/>
      <c r="K587" s="62"/>
      <c r="L587" s="62"/>
      <c r="M587" s="62"/>
      <c r="N587" s="62"/>
      <c r="O587" s="62"/>
      <c r="P587" s="62"/>
      <c r="Q587" s="66"/>
      <c r="R587" s="62"/>
      <c r="S587" s="62"/>
      <c r="T587" s="62"/>
      <c r="U587" s="74"/>
      <c r="V587" s="62"/>
      <c r="W587" s="75"/>
      <c r="X587" s="62"/>
      <c r="Y587" s="61"/>
      <c r="Z587" s="201"/>
      <c r="AA587" s="201"/>
      <c r="AB587" s="201"/>
      <c r="AC587" s="201"/>
      <c r="AD587" s="201"/>
      <c r="AE587" s="201"/>
      <c r="AF587" s="201"/>
      <c r="AG587" s="201"/>
      <c r="AH587" s="201"/>
      <c r="AI587" s="201"/>
      <c r="AJ587" s="201"/>
      <c r="AK587" s="201"/>
      <c r="AL587" s="201"/>
      <c r="AM587" s="201"/>
      <c r="AN587" s="201"/>
      <c r="AO587" s="201"/>
    </row>
    <row r="588">
      <c r="A588" s="197"/>
      <c r="B588" s="197"/>
      <c r="C588" s="199"/>
      <c r="D588" s="197"/>
      <c r="E588" s="197"/>
      <c r="F588" s="197"/>
      <c r="G588" s="197"/>
      <c r="H588" s="199"/>
      <c r="I588" s="199"/>
      <c r="J588" s="62"/>
      <c r="K588" s="62"/>
      <c r="L588" s="62"/>
      <c r="M588" s="62"/>
      <c r="N588" s="62"/>
      <c r="O588" s="62"/>
      <c r="P588" s="62"/>
      <c r="Q588" s="66"/>
      <c r="R588" s="62"/>
      <c r="S588" s="62"/>
      <c r="T588" s="62"/>
      <c r="U588" s="74"/>
      <c r="V588" s="62"/>
      <c r="W588" s="75"/>
      <c r="X588" s="62"/>
      <c r="Y588" s="61"/>
      <c r="Z588" s="201"/>
      <c r="AA588" s="201"/>
      <c r="AB588" s="201"/>
      <c r="AC588" s="201"/>
      <c r="AD588" s="201"/>
      <c r="AE588" s="201"/>
      <c r="AF588" s="201"/>
      <c r="AG588" s="201"/>
      <c r="AH588" s="201"/>
      <c r="AI588" s="201"/>
      <c r="AJ588" s="201"/>
      <c r="AK588" s="201"/>
      <c r="AL588" s="201"/>
      <c r="AM588" s="201"/>
      <c r="AN588" s="201"/>
      <c r="AO588" s="201"/>
    </row>
    <row r="589">
      <c r="A589" s="197"/>
      <c r="B589" s="197"/>
      <c r="C589" s="199"/>
      <c r="D589" s="197"/>
      <c r="E589" s="197"/>
      <c r="F589" s="197"/>
      <c r="G589" s="197"/>
      <c r="H589" s="199"/>
      <c r="I589" s="199"/>
      <c r="J589" s="62"/>
      <c r="K589" s="62"/>
      <c r="L589" s="62"/>
      <c r="M589" s="62"/>
      <c r="N589" s="62"/>
      <c r="O589" s="62"/>
      <c r="P589" s="62"/>
      <c r="Q589" s="66"/>
      <c r="R589" s="62"/>
      <c r="S589" s="62"/>
      <c r="T589" s="62"/>
      <c r="U589" s="74"/>
      <c r="V589" s="62"/>
      <c r="W589" s="75"/>
      <c r="X589" s="62"/>
      <c r="Y589" s="61"/>
      <c r="Z589" s="201"/>
      <c r="AA589" s="201"/>
      <c r="AB589" s="201"/>
      <c r="AC589" s="201"/>
      <c r="AD589" s="201"/>
      <c r="AE589" s="201"/>
      <c r="AF589" s="201"/>
      <c r="AG589" s="201"/>
      <c r="AH589" s="201"/>
      <c r="AI589" s="201"/>
      <c r="AJ589" s="201"/>
      <c r="AK589" s="201"/>
      <c r="AL589" s="201"/>
      <c r="AM589" s="201"/>
      <c r="AN589" s="201"/>
      <c r="AO589" s="201"/>
    </row>
    <row r="590">
      <c r="A590" s="197"/>
      <c r="B590" s="197"/>
      <c r="C590" s="199"/>
      <c r="D590" s="197"/>
      <c r="E590" s="197"/>
      <c r="F590" s="197"/>
      <c r="G590" s="197"/>
      <c r="H590" s="199"/>
      <c r="I590" s="199"/>
      <c r="J590" s="62"/>
      <c r="K590" s="62"/>
      <c r="L590" s="62"/>
      <c r="M590" s="62"/>
      <c r="N590" s="62"/>
      <c r="O590" s="62"/>
      <c r="P590" s="62"/>
      <c r="Q590" s="66"/>
      <c r="R590" s="62"/>
      <c r="S590" s="62"/>
      <c r="T590" s="62"/>
      <c r="U590" s="74"/>
      <c r="V590" s="62"/>
      <c r="W590" s="75"/>
      <c r="X590" s="62"/>
      <c r="Y590" s="61"/>
      <c r="Z590" s="201"/>
      <c r="AA590" s="201"/>
      <c r="AB590" s="201"/>
      <c r="AC590" s="201"/>
      <c r="AD590" s="201"/>
      <c r="AE590" s="201"/>
      <c r="AF590" s="201"/>
      <c r="AG590" s="201"/>
      <c r="AH590" s="201"/>
      <c r="AI590" s="201"/>
      <c r="AJ590" s="201"/>
      <c r="AK590" s="201"/>
      <c r="AL590" s="201"/>
      <c r="AM590" s="201"/>
      <c r="AN590" s="201"/>
      <c r="AO590" s="201"/>
    </row>
    <row r="591">
      <c r="A591" s="197"/>
      <c r="B591" s="197"/>
      <c r="C591" s="199"/>
      <c r="D591" s="197"/>
      <c r="E591" s="197"/>
      <c r="F591" s="197"/>
      <c r="G591" s="197"/>
      <c r="H591" s="199"/>
      <c r="I591" s="199"/>
      <c r="J591" s="62"/>
      <c r="K591" s="62"/>
      <c r="L591" s="62"/>
      <c r="M591" s="62"/>
      <c r="N591" s="62"/>
      <c r="O591" s="62"/>
      <c r="P591" s="62"/>
      <c r="Q591" s="66"/>
      <c r="R591" s="62"/>
      <c r="S591" s="62"/>
      <c r="T591" s="62"/>
      <c r="U591" s="74"/>
      <c r="V591" s="62"/>
      <c r="W591" s="75"/>
      <c r="X591" s="62"/>
      <c r="Y591" s="61"/>
      <c r="Z591" s="201"/>
      <c r="AA591" s="201"/>
      <c r="AB591" s="201"/>
      <c r="AC591" s="201"/>
      <c r="AD591" s="201"/>
      <c r="AE591" s="201"/>
      <c r="AF591" s="201"/>
      <c r="AG591" s="201"/>
      <c r="AH591" s="201"/>
      <c r="AI591" s="201"/>
      <c r="AJ591" s="201"/>
      <c r="AK591" s="201"/>
      <c r="AL591" s="201"/>
      <c r="AM591" s="201"/>
      <c r="AN591" s="201"/>
      <c r="AO591" s="201"/>
    </row>
    <row r="592">
      <c r="A592" s="197"/>
      <c r="B592" s="197"/>
      <c r="C592" s="199"/>
      <c r="D592" s="197"/>
      <c r="E592" s="197"/>
      <c r="F592" s="197"/>
      <c r="G592" s="197"/>
      <c r="H592" s="199"/>
      <c r="I592" s="199"/>
      <c r="J592" s="62"/>
      <c r="K592" s="62"/>
      <c r="L592" s="62"/>
      <c r="M592" s="62"/>
      <c r="N592" s="62"/>
      <c r="O592" s="62"/>
      <c r="P592" s="62"/>
      <c r="Q592" s="66"/>
      <c r="R592" s="62"/>
      <c r="S592" s="62"/>
      <c r="T592" s="62"/>
      <c r="U592" s="74"/>
      <c r="V592" s="62"/>
      <c r="W592" s="75"/>
      <c r="X592" s="62"/>
      <c r="Y592" s="61"/>
      <c r="Z592" s="201"/>
      <c r="AA592" s="201"/>
      <c r="AB592" s="201"/>
      <c r="AC592" s="201"/>
      <c r="AD592" s="201"/>
      <c r="AE592" s="201"/>
      <c r="AF592" s="201"/>
      <c r="AG592" s="201"/>
      <c r="AH592" s="201"/>
      <c r="AI592" s="201"/>
      <c r="AJ592" s="201"/>
      <c r="AK592" s="201"/>
      <c r="AL592" s="201"/>
      <c r="AM592" s="201"/>
      <c r="AN592" s="201"/>
      <c r="AO592" s="201"/>
    </row>
    <row r="593">
      <c r="A593" s="197"/>
      <c r="B593" s="197"/>
      <c r="C593" s="199"/>
      <c r="D593" s="197"/>
      <c r="E593" s="197"/>
      <c r="F593" s="197"/>
      <c r="G593" s="197"/>
      <c r="H593" s="199"/>
      <c r="I593" s="199"/>
      <c r="J593" s="62"/>
      <c r="K593" s="62"/>
      <c r="L593" s="62"/>
      <c r="M593" s="62"/>
      <c r="N593" s="62"/>
      <c r="O593" s="62"/>
      <c r="P593" s="62"/>
      <c r="Q593" s="66"/>
      <c r="R593" s="62"/>
      <c r="S593" s="62"/>
      <c r="T593" s="62"/>
      <c r="U593" s="74"/>
      <c r="V593" s="62"/>
      <c r="W593" s="75"/>
      <c r="X593" s="62"/>
      <c r="Y593" s="61"/>
      <c r="Z593" s="201"/>
      <c r="AA593" s="201"/>
      <c r="AB593" s="201"/>
      <c r="AC593" s="201"/>
      <c r="AD593" s="201"/>
      <c r="AE593" s="201"/>
      <c r="AF593" s="201"/>
      <c r="AG593" s="201"/>
      <c r="AH593" s="201"/>
      <c r="AI593" s="201"/>
      <c r="AJ593" s="201"/>
      <c r="AK593" s="201"/>
      <c r="AL593" s="201"/>
      <c r="AM593" s="201"/>
      <c r="AN593" s="201"/>
      <c r="AO593" s="201"/>
    </row>
    <row r="594">
      <c r="A594" s="197"/>
      <c r="B594" s="197"/>
      <c r="C594" s="199"/>
      <c r="D594" s="197"/>
      <c r="E594" s="197"/>
      <c r="F594" s="197"/>
      <c r="G594" s="197"/>
      <c r="H594" s="199"/>
      <c r="I594" s="199"/>
      <c r="J594" s="62"/>
      <c r="K594" s="62"/>
      <c r="L594" s="62"/>
      <c r="M594" s="62"/>
      <c r="N594" s="62"/>
      <c r="O594" s="62"/>
      <c r="P594" s="62"/>
      <c r="Q594" s="66"/>
      <c r="R594" s="62"/>
      <c r="S594" s="62"/>
      <c r="T594" s="62"/>
      <c r="U594" s="74"/>
      <c r="V594" s="62"/>
      <c r="W594" s="75"/>
      <c r="X594" s="62"/>
      <c r="Y594" s="61"/>
      <c r="Z594" s="201"/>
      <c r="AA594" s="201"/>
      <c r="AB594" s="201"/>
      <c r="AC594" s="201"/>
      <c r="AD594" s="201"/>
      <c r="AE594" s="201"/>
      <c r="AF594" s="201"/>
      <c r="AG594" s="201"/>
      <c r="AH594" s="201"/>
      <c r="AI594" s="201"/>
      <c r="AJ594" s="201"/>
      <c r="AK594" s="201"/>
      <c r="AL594" s="201"/>
      <c r="AM594" s="201"/>
      <c r="AN594" s="201"/>
      <c r="AO594" s="201"/>
    </row>
    <row r="595">
      <c r="A595" s="197"/>
      <c r="B595" s="197"/>
      <c r="C595" s="199"/>
      <c r="D595" s="197"/>
      <c r="E595" s="197"/>
      <c r="F595" s="197"/>
      <c r="G595" s="197"/>
      <c r="H595" s="199"/>
      <c r="I595" s="199"/>
      <c r="J595" s="62"/>
      <c r="K595" s="62"/>
      <c r="L595" s="62"/>
      <c r="M595" s="62"/>
      <c r="N595" s="62"/>
      <c r="O595" s="62"/>
      <c r="P595" s="62"/>
      <c r="Q595" s="66"/>
      <c r="R595" s="62"/>
      <c r="S595" s="62"/>
      <c r="T595" s="62"/>
      <c r="U595" s="74"/>
      <c r="V595" s="62"/>
      <c r="W595" s="75"/>
      <c r="X595" s="62"/>
      <c r="Y595" s="61"/>
      <c r="Z595" s="201"/>
      <c r="AA595" s="201"/>
      <c r="AB595" s="201"/>
      <c r="AC595" s="201"/>
      <c r="AD595" s="201"/>
      <c r="AE595" s="201"/>
      <c r="AF595" s="201"/>
      <c r="AG595" s="201"/>
      <c r="AH595" s="201"/>
      <c r="AI595" s="201"/>
      <c r="AJ595" s="201"/>
      <c r="AK595" s="201"/>
      <c r="AL595" s="201"/>
      <c r="AM595" s="201"/>
      <c r="AN595" s="201"/>
      <c r="AO595" s="201"/>
    </row>
    <row r="596">
      <c r="A596" s="197"/>
      <c r="B596" s="197"/>
      <c r="C596" s="199"/>
      <c r="D596" s="197"/>
      <c r="E596" s="197"/>
      <c r="F596" s="197"/>
      <c r="G596" s="197"/>
      <c r="H596" s="199"/>
      <c r="I596" s="199"/>
      <c r="J596" s="62"/>
      <c r="K596" s="62"/>
      <c r="L596" s="62"/>
      <c r="M596" s="62"/>
      <c r="N596" s="62"/>
      <c r="O596" s="62"/>
      <c r="P596" s="62"/>
      <c r="Q596" s="66"/>
      <c r="R596" s="62"/>
      <c r="S596" s="62"/>
      <c r="T596" s="62"/>
      <c r="U596" s="74"/>
      <c r="V596" s="62"/>
      <c r="W596" s="75"/>
      <c r="X596" s="62"/>
      <c r="Y596" s="61"/>
      <c r="Z596" s="201"/>
      <c r="AA596" s="201"/>
      <c r="AB596" s="201"/>
      <c r="AC596" s="201"/>
      <c r="AD596" s="201"/>
      <c r="AE596" s="201"/>
      <c r="AF596" s="201"/>
      <c r="AG596" s="201"/>
      <c r="AH596" s="201"/>
      <c r="AI596" s="201"/>
      <c r="AJ596" s="201"/>
      <c r="AK596" s="201"/>
      <c r="AL596" s="201"/>
      <c r="AM596" s="201"/>
      <c r="AN596" s="201"/>
      <c r="AO596" s="201"/>
    </row>
    <row r="597">
      <c r="A597" s="197"/>
      <c r="B597" s="197"/>
      <c r="C597" s="199"/>
      <c r="D597" s="197"/>
      <c r="E597" s="197"/>
      <c r="F597" s="197"/>
      <c r="G597" s="197"/>
      <c r="H597" s="199"/>
      <c r="I597" s="199"/>
      <c r="J597" s="62"/>
      <c r="K597" s="62"/>
      <c r="L597" s="62"/>
      <c r="M597" s="62"/>
      <c r="N597" s="62"/>
      <c r="O597" s="62"/>
      <c r="P597" s="62"/>
      <c r="Q597" s="66"/>
      <c r="R597" s="62"/>
      <c r="S597" s="62"/>
      <c r="T597" s="62"/>
      <c r="U597" s="74"/>
      <c r="V597" s="62"/>
      <c r="W597" s="75"/>
      <c r="X597" s="62"/>
      <c r="Y597" s="61"/>
      <c r="Z597" s="201"/>
      <c r="AA597" s="201"/>
      <c r="AB597" s="201"/>
      <c r="AC597" s="201"/>
      <c r="AD597" s="201"/>
      <c r="AE597" s="201"/>
      <c r="AF597" s="201"/>
      <c r="AG597" s="201"/>
      <c r="AH597" s="201"/>
      <c r="AI597" s="201"/>
      <c r="AJ597" s="201"/>
      <c r="AK597" s="201"/>
      <c r="AL597" s="201"/>
      <c r="AM597" s="201"/>
      <c r="AN597" s="201"/>
      <c r="AO597" s="201"/>
    </row>
    <row r="598">
      <c r="A598" s="197"/>
      <c r="B598" s="197"/>
      <c r="C598" s="199"/>
      <c r="D598" s="197"/>
      <c r="E598" s="197"/>
      <c r="F598" s="197"/>
      <c r="G598" s="197"/>
      <c r="H598" s="199"/>
      <c r="I598" s="199"/>
      <c r="J598" s="62"/>
      <c r="K598" s="62"/>
      <c r="L598" s="62"/>
      <c r="M598" s="62"/>
      <c r="N598" s="62"/>
      <c r="O598" s="62"/>
      <c r="P598" s="62"/>
      <c r="Q598" s="66"/>
      <c r="R598" s="62"/>
      <c r="S598" s="62"/>
      <c r="T598" s="62"/>
      <c r="U598" s="74"/>
      <c r="V598" s="62"/>
      <c r="W598" s="75"/>
      <c r="X598" s="62"/>
      <c r="Y598" s="61"/>
      <c r="Z598" s="201"/>
      <c r="AA598" s="201"/>
      <c r="AB598" s="201"/>
      <c r="AC598" s="201"/>
      <c r="AD598" s="201"/>
      <c r="AE598" s="201"/>
      <c r="AF598" s="201"/>
      <c r="AG598" s="201"/>
      <c r="AH598" s="201"/>
      <c r="AI598" s="201"/>
      <c r="AJ598" s="201"/>
      <c r="AK598" s="201"/>
      <c r="AL598" s="201"/>
      <c r="AM598" s="201"/>
      <c r="AN598" s="201"/>
      <c r="AO598" s="201"/>
    </row>
    <row r="599">
      <c r="A599" s="197"/>
      <c r="B599" s="197"/>
      <c r="C599" s="199"/>
      <c r="D599" s="197"/>
      <c r="E599" s="197"/>
      <c r="F599" s="197"/>
      <c r="G599" s="197"/>
      <c r="H599" s="199"/>
      <c r="I599" s="199"/>
      <c r="J599" s="62"/>
      <c r="K599" s="62"/>
      <c r="L599" s="62"/>
      <c r="M599" s="62"/>
      <c r="N599" s="62"/>
      <c r="O599" s="62"/>
      <c r="P599" s="62"/>
      <c r="Q599" s="66"/>
      <c r="R599" s="62"/>
      <c r="S599" s="62"/>
      <c r="T599" s="62"/>
      <c r="U599" s="74"/>
      <c r="V599" s="62"/>
      <c r="W599" s="75"/>
      <c r="X599" s="62"/>
      <c r="Y599" s="61"/>
      <c r="Z599" s="201"/>
      <c r="AA599" s="201"/>
      <c r="AB599" s="201"/>
      <c r="AC599" s="201"/>
      <c r="AD599" s="201"/>
      <c r="AE599" s="201"/>
      <c r="AF599" s="201"/>
      <c r="AG599" s="201"/>
      <c r="AH599" s="201"/>
      <c r="AI599" s="201"/>
      <c r="AJ599" s="201"/>
      <c r="AK599" s="201"/>
      <c r="AL599" s="201"/>
      <c r="AM599" s="201"/>
      <c r="AN599" s="201"/>
      <c r="AO599" s="201"/>
    </row>
    <row r="600">
      <c r="A600" s="197"/>
      <c r="B600" s="197"/>
      <c r="C600" s="199"/>
      <c r="D600" s="197"/>
      <c r="E600" s="197"/>
      <c r="F600" s="197"/>
      <c r="G600" s="197"/>
      <c r="H600" s="199"/>
      <c r="I600" s="199"/>
      <c r="J600" s="62"/>
      <c r="K600" s="62"/>
      <c r="L600" s="62"/>
      <c r="M600" s="62"/>
      <c r="N600" s="62"/>
      <c r="O600" s="62"/>
      <c r="P600" s="62"/>
      <c r="Q600" s="66"/>
      <c r="R600" s="62"/>
      <c r="S600" s="62"/>
      <c r="T600" s="62"/>
      <c r="U600" s="74"/>
      <c r="V600" s="62"/>
      <c r="W600" s="75"/>
      <c r="X600" s="62"/>
      <c r="Y600" s="61"/>
      <c r="Z600" s="201"/>
      <c r="AA600" s="201"/>
      <c r="AB600" s="201"/>
      <c r="AC600" s="201"/>
      <c r="AD600" s="201"/>
      <c r="AE600" s="201"/>
      <c r="AF600" s="201"/>
      <c r="AG600" s="201"/>
      <c r="AH600" s="201"/>
      <c r="AI600" s="201"/>
      <c r="AJ600" s="201"/>
      <c r="AK600" s="201"/>
      <c r="AL600" s="201"/>
      <c r="AM600" s="201"/>
      <c r="AN600" s="201"/>
      <c r="AO600" s="201"/>
    </row>
    <row r="601">
      <c r="A601" s="197"/>
      <c r="B601" s="197"/>
      <c r="C601" s="199"/>
      <c r="D601" s="197"/>
      <c r="E601" s="197"/>
      <c r="F601" s="197"/>
      <c r="G601" s="197"/>
      <c r="H601" s="199"/>
      <c r="I601" s="199"/>
      <c r="J601" s="62"/>
      <c r="K601" s="62"/>
      <c r="L601" s="62"/>
      <c r="M601" s="62"/>
      <c r="N601" s="62"/>
      <c r="O601" s="62"/>
      <c r="P601" s="62"/>
      <c r="Q601" s="66"/>
      <c r="R601" s="62"/>
      <c r="S601" s="62"/>
      <c r="T601" s="62"/>
      <c r="U601" s="74"/>
      <c r="V601" s="62"/>
      <c r="W601" s="75"/>
      <c r="X601" s="62"/>
      <c r="Y601" s="61"/>
      <c r="Z601" s="201"/>
      <c r="AA601" s="201"/>
      <c r="AB601" s="201"/>
      <c r="AC601" s="201"/>
      <c r="AD601" s="201"/>
      <c r="AE601" s="201"/>
      <c r="AF601" s="201"/>
      <c r="AG601" s="201"/>
      <c r="AH601" s="201"/>
      <c r="AI601" s="201"/>
      <c r="AJ601" s="201"/>
      <c r="AK601" s="201"/>
      <c r="AL601" s="201"/>
      <c r="AM601" s="201"/>
      <c r="AN601" s="201"/>
      <c r="AO601" s="201"/>
    </row>
    <row r="602">
      <c r="A602" s="197"/>
      <c r="B602" s="197"/>
      <c r="C602" s="199"/>
      <c r="D602" s="197"/>
      <c r="E602" s="197"/>
      <c r="F602" s="197"/>
      <c r="G602" s="197"/>
      <c r="H602" s="199"/>
      <c r="I602" s="199"/>
      <c r="J602" s="62"/>
      <c r="K602" s="62"/>
      <c r="L602" s="62"/>
      <c r="M602" s="62"/>
      <c r="N602" s="62"/>
      <c r="O602" s="62"/>
      <c r="P602" s="62"/>
      <c r="Q602" s="66"/>
      <c r="R602" s="62"/>
      <c r="S602" s="62"/>
      <c r="T602" s="62"/>
      <c r="U602" s="74"/>
      <c r="V602" s="62"/>
      <c r="W602" s="75"/>
      <c r="X602" s="62"/>
      <c r="Y602" s="61"/>
      <c r="Z602" s="201"/>
      <c r="AA602" s="201"/>
      <c r="AB602" s="201"/>
      <c r="AC602" s="201"/>
      <c r="AD602" s="201"/>
      <c r="AE602" s="201"/>
      <c r="AF602" s="201"/>
      <c r="AG602" s="201"/>
      <c r="AH602" s="201"/>
      <c r="AI602" s="201"/>
      <c r="AJ602" s="201"/>
      <c r="AK602" s="201"/>
      <c r="AL602" s="201"/>
      <c r="AM602" s="201"/>
      <c r="AN602" s="201"/>
      <c r="AO602" s="201"/>
    </row>
    <row r="603">
      <c r="A603" s="197"/>
      <c r="B603" s="197"/>
      <c r="C603" s="199"/>
      <c r="D603" s="197"/>
      <c r="E603" s="197"/>
      <c r="F603" s="197"/>
      <c r="G603" s="197"/>
      <c r="H603" s="199"/>
      <c r="I603" s="199"/>
      <c r="J603" s="62"/>
      <c r="K603" s="62"/>
      <c r="L603" s="62"/>
      <c r="M603" s="62"/>
      <c r="N603" s="62"/>
      <c r="O603" s="62"/>
      <c r="P603" s="62"/>
      <c r="Q603" s="66"/>
      <c r="R603" s="62"/>
      <c r="S603" s="62"/>
      <c r="T603" s="62"/>
      <c r="U603" s="74"/>
      <c r="V603" s="62"/>
      <c r="W603" s="75"/>
      <c r="X603" s="62"/>
      <c r="Y603" s="61"/>
      <c r="Z603" s="201"/>
      <c r="AA603" s="201"/>
      <c r="AB603" s="201"/>
      <c r="AC603" s="201"/>
      <c r="AD603" s="201"/>
      <c r="AE603" s="201"/>
      <c r="AF603" s="201"/>
      <c r="AG603" s="201"/>
      <c r="AH603" s="201"/>
      <c r="AI603" s="201"/>
      <c r="AJ603" s="201"/>
      <c r="AK603" s="201"/>
      <c r="AL603" s="201"/>
      <c r="AM603" s="201"/>
      <c r="AN603" s="201"/>
      <c r="AO603" s="201"/>
    </row>
    <row r="604">
      <c r="A604" s="197"/>
      <c r="B604" s="197"/>
      <c r="C604" s="199"/>
      <c r="D604" s="197"/>
      <c r="E604" s="197"/>
      <c r="F604" s="197"/>
      <c r="G604" s="197"/>
      <c r="H604" s="199"/>
      <c r="I604" s="199"/>
      <c r="J604" s="62"/>
      <c r="K604" s="62"/>
      <c r="L604" s="62"/>
      <c r="M604" s="62"/>
      <c r="N604" s="62"/>
      <c r="O604" s="62"/>
      <c r="P604" s="62"/>
      <c r="Q604" s="66"/>
      <c r="R604" s="62"/>
      <c r="S604" s="62"/>
      <c r="T604" s="62"/>
      <c r="U604" s="74"/>
      <c r="V604" s="62"/>
      <c r="W604" s="75"/>
      <c r="X604" s="62"/>
      <c r="Y604" s="61"/>
      <c r="Z604" s="201"/>
      <c r="AA604" s="201"/>
      <c r="AB604" s="201"/>
      <c r="AC604" s="201"/>
      <c r="AD604" s="201"/>
      <c r="AE604" s="201"/>
      <c r="AF604" s="201"/>
      <c r="AG604" s="201"/>
      <c r="AH604" s="201"/>
      <c r="AI604" s="201"/>
      <c r="AJ604" s="201"/>
      <c r="AK604" s="201"/>
      <c r="AL604" s="201"/>
      <c r="AM604" s="201"/>
      <c r="AN604" s="201"/>
      <c r="AO604" s="201"/>
    </row>
    <row r="605">
      <c r="A605" s="197"/>
      <c r="B605" s="197"/>
      <c r="C605" s="199"/>
      <c r="D605" s="197"/>
      <c r="E605" s="197"/>
      <c r="F605" s="197"/>
      <c r="G605" s="197"/>
      <c r="H605" s="199"/>
      <c r="I605" s="199"/>
      <c r="J605" s="62"/>
      <c r="K605" s="62"/>
      <c r="L605" s="62"/>
      <c r="M605" s="62"/>
      <c r="N605" s="62"/>
      <c r="O605" s="62"/>
      <c r="P605" s="62"/>
      <c r="Q605" s="66"/>
      <c r="R605" s="62"/>
      <c r="S605" s="62"/>
      <c r="T605" s="62"/>
      <c r="U605" s="74"/>
      <c r="V605" s="62"/>
      <c r="W605" s="75"/>
      <c r="X605" s="62"/>
      <c r="Y605" s="61"/>
      <c r="Z605" s="201"/>
      <c r="AA605" s="201"/>
      <c r="AB605" s="201"/>
      <c r="AC605" s="201"/>
      <c r="AD605" s="201"/>
      <c r="AE605" s="201"/>
      <c r="AF605" s="201"/>
      <c r="AG605" s="201"/>
      <c r="AH605" s="201"/>
      <c r="AI605" s="201"/>
      <c r="AJ605" s="201"/>
      <c r="AK605" s="201"/>
      <c r="AL605" s="201"/>
      <c r="AM605" s="201"/>
      <c r="AN605" s="201"/>
      <c r="AO605" s="201"/>
    </row>
    <row r="606">
      <c r="A606" s="197"/>
      <c r="B606" s="197"/>
      <c r="C606" s="199"/>
      <c r="D606" s="197"/>
      <c r="E606" s="197"/>
      <c r="F606" s="197"/>
      <c r="G606" s="197"/>
      <c r="H606" s="199"/>
      <c r="I606" s="199"/>
      <c r="J606" s="62"/>
      <c r="K606" s="62"/>
      <c r="L606" s="62"/>
      <c r="M606" s="62"/>
      <c r="N606" s="62"/>
      <c r="O606" s="62"/>
      <c r="P606" s="62"/>
      <c r="Q606" s="66"/>
      <c r="R606" s="62"/>
      <c r="S606" s="62"/>
      <c r="T606" s="62"/>
      <c r="U606" s="74"/>
      <c r="V606" s="62"/>
      <c r="W606" s="75"/>
      <c r="X606" s="62"/>
      <c r="Y606" s="61"/>
      <c r="Z606" s="201"/>
      <c r="AA606" s="201"/>
      <c r="AB606" s="201"/>
      <c r="AC606" s="201"/>
      <c r="AD606" s="201"/>
      <c r="AE606" s="201"/>
      <c r="AF606" s="201"/>
      <c r="AG606" s="201"/>
      <c r="AH606" s="201"/>
      <c r="AI606" s="201"/>
      <c r="AJ606" s="201"/>
      <c r="AK606" s="201"/>
      <c r="AL606" s="201"/>
      <c r="AM606" s="201"/>
      <c r="AN606" s="201"/>
      <c r="AO606" s="201"/>
    </row>
    <row r="607">
      <c r="A607" s="197"/>
      <c r="B607" s="197"/>
      <c r="C607" s="199"/>
      <c r="D607" s="197"/>
      <c r="E607" s="197"/>
      <c r="F607" s="197"/>
      <c r="G607" s="197"/>
      <c r="H607" s="199"/>
      <c r="I607" s="199"/>
      <c r="J607" s="62"/>
      <c r="K607" s="62"/>
      <c r="L607" s="62"/>
      <c r="M607" s="62"/>
      <c r="N607" s="62"/>
      <c r="O607" s="62"/>
      <c r="P607" s="62"/>
      <c r="Q607" s="66"/>
      <c r="R607" s="62"/>
      <c r="S607" s="62"/>
      <c r="T607" s="62"/>
      <c r="U607" s="74"/>
      <c r="V607" s="62"/>
      <c r="W607" s="75"/>
      <c r="X607" s="62"/>
      <c r="Y607" s="61"/>
      <c r="Z607" s="201"/>
      <c r="AA607" s="201"/>
      <c r="AB607" s="201"/>
      <c r="AC607" s="201"/>
      <c r="AD607" s="201"/>
      <c r="AE607" s="201"/>
      <c r="AF607" s="201"/>
      <c r="AG607" s="201"/>
      <c r="AH607" s="201"/>
      <c r="AI607" s="201"/>
      <c r="AJ607" s="201"/>
      <c r="AK607" s="201"/>
      <c r="AL607" s="201"/>
      <c r="AM607" s="201"/>
      <c r="AN607" s="201"/>
      <c r="AO607" s="201"/>
    </row>
    <row r="608">
      <c r="A608" s="197"/>
      <c r="B608" s="197"/>
      <c r="C608" s="199"/>
      <c r="D608" s="197"/>
      <c r="E608" s="197"/>
      <c r="F608" s="197"/>
      <c r="G608" s="197"/>
      <c r="H608" s="199"/>
      <c r="I608" s="199"/>
      <c r="J608" s="62"/>
      <c r="K608" s="62"/>
      <c r="L608" s="62"/>
      <c r="M608" s="62"/>
      <c r="N608" s="62"/>
      <c r="O608" s="62"/>
      <c r="P608" s="62"/>
      <c r="Q608" s="66"/>
      <c r="R608" s="62"/>
      <c r="S608" s="62"/>
      <c r="T608" s="62"/>
      <c r="U608" s="74"/>
      <c r="V608" s="62"/>
      <c r="W608" s="75"/>
      <c r="X608" s="62"/>
      <c r="Y608" s="61"/>
      <c r="Z608" s="201"/>
      <c r="AA608" s="201"/>
      <c r="AB608" s="201"/>
      <c r="AC608" s="201"/>
      <c r="AD608" s="201"/>
      <c r="AE608" s="201"/>
      <c r="AF608" s="201"/>
      <c r="AG608" s="201"/>
      <c r="AH608" s="201"/>
      <c r="AI608" s="201"/>
      <c r="AJ608" s="201"/>
      <c r="AK608" s="201"/>
      <c r="AL608" s="201"/>
      <c r="AM608" s="201"/>
      <c r="AN608" s="201"/>
      <c r="AO608" s="201"/>
    </row>
    <row r="609">
      <c r="A609" s="197"/>
      <c r="B609" s="197"/>
      <c r="C609" s="199"/>
      <c r="D609" s="197"/>
      <c r="E609" s="197"/>
      <c r="F609" s="197"/>
      <c r="G609" s="197"/>
      <c r="H609" s="199"/>
      <c r="I609" s="199"/>
      <c r="J609" s="62"/>
      <c r="K609" s="62"/>
      <c r="L609" s="62"/>
      <c r="M609" s="62"/>
      <c r="N609" s="62"/>
      <c r="O609" s="62"/>
      <c r="P609" s="62"/>
      <c r="Q609" s="66"/>
      <c r="R609" s="62"/>
      <c r="S609" s="62"/>
      <c r="T609" s="62"/>
      <c r="U609" s="74"/>
      <c r="V609" s="62"/>
      <c r="W609" s="75"/>
      <c r="X609" s="62"/>
      <c r="Y609" s="61"/>
      <c r="Z609" s="201"/>
      <c r="AA609" s="201"/>
      <c r="AB609" s="201"/>
      <c r="AC609" s="201"/>
      <c r="AD609" s="201"/>
      <c r="AE609" s="201"/>
      <c r="AF609" s="201"/>
      <c r="AG609" s="201"/>
      <c r="AH609" s="201"/>
      <c r="AI609" s="201"/>
      <c r="AJ609" s="201"/>
      <c r="AK609" s="201"/>
      <c r="AL609" s="201"/>
      <c r="AM609" s="201"/>
      <c r="AN609" s="201"/>
      <c r="AO609" s="201"/>
    </row>
    <row r="610">
      <c r="A610" s="197"/>
      <c r="B610" s="197"/>
      <c r="C610" s="199"/>
      <c r="D610" s="197"/>
      <c r="E610" s="197"/>
      <c r="F610" s="197"/>
      <c r="G610" s="197"/>
      <c r="H610" s="199"/>
      <c r="I610" s="199"/>
      <c r="J610" s="62"/>
      <c r="K610" s="62"/>
      <c r="L610" s="62"/>
      <c r="M610" s="62"/>
      <c r="N610" s="62"/>
      <c r="O610" s="62"/>
      <c r="P610" s="62"/>
      <c r="Q610" s="66"/>
      <c r="R610" s="62"/>
      <c r="S610" s="62"/>
      <c r="T610" s="62"/>
      <c r="U610" s="74"/>
      <c r="V610" s="62"/>
      <c r="W610" s="75"/>
      <c r="X610" s="62"/>
      <c r="Y610" s="61"/>
      <c r="Z610" s="201"/>
      <c r="AA610" s="201"/>
      <c r="AB610" s="201"/>
      <c r="AC610" s="201"/>
      <c r="AD610" s="201"/>
      <c r="AE610" s="201"/>
      <c r="AF610" s="201"/>
      <c r="AG610" s="201"/>
      <c r="AH610" s="201"/>
      <c r="AI610" s="201"/>
      <c r="AJ610" s="201"/>
      <c r="AK610" s="201"/>
      <c r="AL610" s="201"/>
      <c r="AM610" s="201"/>
      <c r="AN610" s="201"/>
      <c r="AO610" s="201"/>
    </row>
    <row r="611">
      <c r="A611" s="197"/>
      <c r="B611" s="197"/>
      <c r="C611" s="199"/>
      <c r="D611" s="197"/>
      <c r="E611" s="197"/>
      <c r="F611" s="197"/>
      <c r="G611" s="197"/>
      <c r="H611" s="199"/>
      <c r="I611" s="199"/>
      <c r="J611" s="62"/>
      <c r="K611" s="62"/>
      <c r="L611" s="62"/>
      <c r="M611" s="62"/>
      <c r="N611" s="62"/>
      <c r="O611" s="62"/>
      <c r="P611" s="62"/>
      <c r="Q611" s="62"/>
      <c r="R611" s="62"/>
      <c r="S611" s="62"/>
      <c r="T611" s="62"/>
      <c r="U611" s="74"/>
      <c r="V611" s="62"/>
      <c r="W611" s="75"/>
      <c r="X611" s="62"/>
      <c r="Y611" s="61"/>
      <c r="Z611" s="201"/>
      <c r="AA611" s="201"/>
      <c r="AB611" s="201"/>
      <c r="AC611" s="201"/>
      <c r="AD611" s="201"/>
      <c r="AE611" s="201"/>
      <c r="AF611" s="201"/>
      <c r="AG611" s="201"/>
      <c r="AH611" s="201"/>
      <c r="AI611" s="201"/>
      <c r="AJ611" s="201"/>
      <c r="AK611" s="201"/>
      <c r="AL611" s="201"/>
      <c r="AM611" s="201"/>
      <c r="AN611" s="201"/>
      <c r="AO611" s="201"/>
    </row>
    <row r="612">
      <c r="A612" s="197"/>
      <c r="B612" s="197"/>
      <c r="C612" s="199"/>
      <c r="D612" s="197"/>
      <c r="E612" s="197"/>
      <c r="F612" s="197"/>
      <c r="G612" s="197"/>
      <c r="H612" s="199"/>
      <c r="I612" s="199"/>
      <c r="J612" s="62"/>
      <c r="K612" s="62"/>
      <c r="L612" s="62"/>
      <c r="M612" s="62"/>
      <c r="N612" s="62"/>
      <c r="O612" s="62"/>
      <c r="P612" s="62"/>
      <c r="Q612" s="62"/>
      <c r="R612" s="62"/>
      <c r="S612" s="62"/>
      <c r="T612" s="62"/>
      <c r="U612" s="74"/>
      <c r="V612" s="62"/>
      <c r="W612" s="75"/>
      <c r="X612" s="62"/>
      <c r="Y612" s="61"/>
      <c r="Z612" s="201"/>
      <c r="AA612" s="201"/>
      <c r="AB612" s="201"/>
      <c r="AC612" s="201"/>
      <c r="AD612" s="201"/>
      <c r="AE612" s="201"/>
      <c r="AF612" s="201"/>
      <c r="AG612" s="201"/>
      <c r="AH612" s="201"/>
      <c r="AI612" s="201"/>
      <c r="AJ612" s="201"/>
      <c r="AK612" s="201"/>
      <c r="AL612" s="201"/>
      <c r="AM612" s="201"/>
      <c r="AN612" s="201"/>
      <c r="AO612" s="201"/>
    </row>
    <row r="613">
      <c r="A613" s="197"/>
      <c r="B613" s="197"/>
      <c r="C613" s="199"/>
      <c r="D613" s="197"/>
      <c r="E613" s="197"/>
      <c r="F613" s="197"/>
      <c r="G613" s="197"/>
      <c r="H613" s="199"/>
      <c r="I613" s="199"/>
      <c r="J613" s="62"/>
      <c r="K613" s="62"/>
      <c r="L613" s="62"/>
      <c r="M613" s="62"/>
      <c r="N613" s="62"/>
      <c r="O613" s="62"/>
      <c r="P613" s="62"/>
      <c r="Q613" s="62"/>
      <c r="R613" s="62"/>
      <c r="S613" s="62"/>
      <c r="T613" s="62"/>
      <c r="U613" s="74"/>
      <c r="V613" s="62"/>
      <c r="W613" s="75"/>
      <c r="X613" s="62"/>
      <c r="Y613" s="61"/>
      <c r="Z613" s="201"/>
      <c r="AA613" s="201"/>
      <c r="AB613" s="201"/>
      <c r="AC613" s="201"/>
      <c r="AD613" s="201"/>
      <c r="AE613" s="201"/>
      <c r="AF613" s="201"/>
      <c r="AG613" s="201"/>
      <c r="AH613" s="201"/>
      <c r="AI613" s="201"/>
      <c r="AJ613" s="201"/>
      <c r="AK613" s="201"/>
      <c r="AL613" s="201"/>
      <c r="AM613" s="201"/>
      <c r="AN613" s="201"/>
      <c r="AO613" s="201"/>
    </row>
    <row r="614">
      <c r="A614" s="197"/>
      <c r="B614" s="197"/>
      <c r="C614" s="199"/>
      <c r="D614" s="197"/>
      <c r="E614" s="197"/>
      <c r="F614" s="197"/>
      <c r="G614" s="197"/>
      <c r="H614" s="199"/>
      <c r="I614" s="199"/>
      <c r="J614" s="62"/>
      <c r="K614" s="62"/>
      <c r="L614" s="62"/>
      <c r="M614" s="62"/>
      <c r="N614" s="62"/>
      <c r="O614" s="62"/>
      <c r="P614" s="62"/>
      <c r="Q614" s="62"/>
      <c r="R614" s="62"/>
      <c r="S614" s="62"/>
      <c r="T614" s="62"/>
      <c r="U614" s="74"/>
      <c r="V614" s="62"/>
      <c r="W614" s="75"/>
      <c r="X614" s="62"/>
      <c r="Y614" s="61"/>
      <c r="Z614" s="201"/>
      <c r="AA614" s="201"/>
      <c r="AB614" s="201"/>
      <c r="AC614" s="201"/>
      <c r="AD614" s="201"/>
      <c r="AE614" s="201"/>
      <c r="AF614" s="201"/>
      <c r="AG614" s="201"/>
      <c r="AH614" s="201"/>
      <c r="AI614" s="201"/>
      <c r="AJ614" s="201"/>
      <c r="AK614" s="201"/>
      <c r="AL614" s="201"/>
      <c r="AM614" s="201"/>
      <c r="AN614" s="201"/>
      <c r="AO614" s="201"/>
    </row>
    <row r="615">
      <c r="A615" s="197"/>
      <c r="B615" s="197"/>
      <c r="C615" s="199"/>
      <c r="D615" s="197"/>
      <c r="E615" s="197"/>
      <c r="F615" s="197"/>
      <c r="G615" s="197"/>
      <c r="H615" s="199"/>
      <c r="I615" s="199"/>
      <c r="J615" s="62"/>
      <c r="K615" s="62"/>
      <c r="L615" s="62"/>
      <c r="M615" s="62"/>
      <c r="N615" s="62"/>
      <c r="O615" s="62"/>
      <c r="P615" s="62"/>
      <c r="Q615" s="62"/>
      <c r="R615" s="62"/>
      <c r="S615" s="62"/>
      <c r="T615" s="62"/>
      <c r="U615" s="74"/>
      <c r="V615" s="62"/>
      <c r="W615" s="75"/>
      <c r="X615" s="62"/>
      <c r="Y615" s="61"/>
      <c r="Z615" s="201"/>
      <c r="AA615" s="201"/>
      <c r="AB615" s="201"/>
      <c r="AC615" s="201"/>
      <c r="AD615" s="201"/>
      <c r="AE615" s="201"/>
      <c r="AF615" s="201"/>
      <c r="AG615" s="201"/>
      <c r="AH615" s="201"/>
      <c r="AI615" s="201"/>
      <c r="AJ615" s="201"/>
      <c r="AK615" s="201"/>
      <c r="AL615" s="201"/>
      <c r="AM615" s="201"/>
      <c r="AN615" s="201"/>
      <c r="AO615" s="201"/>
    </row>
    <row r="616">
      <c r="A616" s="197"/>
      <c r="B616" s="197"/>
      <c r="C616" s="199"/>
      <c r="D616" s="197"/>
      <c r="E616" s="197"/>
      <c r="F616" s="197"/>
      <c r="G616" s="197"/>
      <c r="H616" s="199"/>
      <c r="I616" s="199"/>
      <c r="J616" s="62"/>
      <c r="K616" s="62"/>
      <c r="L616" s="62"/>
      <c r="M616" s="62"/>
      <c r="N616" s="62"/>
      <c r="O616" s="62"/>
      <c r="P616" s="62"/>
      <c r="Q616" s="62"/>
      <c r="R616" s="62"/>
      <c r="S616" s="62"/>
      <c r="T616" s="62"/>
      <c r="U616" s="74"/>
      <c r="V616" s="62"/>
      <c r="W616" s="75"/>
      <c r="X616" s="62"/>
      <c r="Y616" s="61"/>
      <c r="Z616" s="201"/>
      <c r="AA616" s="201"/>
      <c r="AB616" s="201"/>
      <c r="AC616" s="201"/>
      <c r="AD616" s="201"/>
      <c r="AE616" s="201"/>
      <c r="AF616" s="201"/>
      <c r="AG616" s="201"/>
      <c r="AH616" s="201"/>
      <c r="AI616" s="201"/>
      <c r="AJ616" s="201"/>
      <c r="AK616" s="201"/>
      <c r="AL616" s="201"/>
      <c r="AM616" s="201"/>
      <c r="AN616" s="201"/>
      <c r="AO616" s="201"/>
    </row>
    <row r="617">
      <c r="A617" s="197"/>
      <c r="B617" s="197"/>
      <c r="C617" s="199"/>
      <c r="D617" s="197"/>
      <c r="E617" s="197"/>
      <c r="F617" s="197"/>
      <c r="G617" s="197"/>
      <c r="H617" s="199"/>
      <c r="I617" s="199"/>
      <c r="J617" s="62"/>
      <c r="K617" s="62"/>
      <c r="L617" s="62"/>
      <c r="M617" s="62"/>
      <c r="N617" s="62"/>
      <c r="O617" s="62"/>
      <c r="P617" s="62"/>
      <c r="Q617" s="62"/>
      <c r="R617" s="62"/>
      <c r="S617" s="62"/>
      <c r="T617" s="62"/>
      <c r="U617" s="74"/>
      <c r="V617" s="62"/>
      <c r="W617" s="75"/>
      <c r="X617" s="62"/>
      <c r="Y617" s="61"/>
      <c r="Z617" s="201"/>
      <c r="AA617" s="201"/>
      <c r="AB617" s="201"/>
      <c r="AC617" s="201"/>
      <c r="AD617" s="201"/>
      <c r="AE617" s="201"/>
      <c r="AF617" s="201"/>
      <c r="AG617" s="201"/>
      <c r="AH617" s="201"/>
      <c r="AI617" s="201"/>
      <c r="AJ617" s="201"/>
      <c r="AK617" s="201"/>
      <c r="AL617" s="201"/>
      <c r="AM617" s="201"/>
      <c r="AN617" s="201"/>
      <c r="AO617" s="201"/>
    </row>
    <row r="618">
      <c r="A618" s="197"/>
      <c r="B618" s="197"/>
      <c r="C618" s="199"/>
      <c r="D618" s="197"/>
      <c r="E618" s="197"/>
      <c r="F618" s="197"/>
      <c r="G618" s="197"/>
      <c r="H618" s="199"/>
      <c r="I618" s="199"/>
      <c r="J618" s="62"/>
      <c r="K618" s="62"/>
      <c r="L618" s="62"/>
      <c r="M618" s="62"/>
      <c r="N618" s="62"/>
      <c r="O618" s="62"/>
      <c r="P618" s="62"/>
      <c r="Q618" s="62"/>
      <c r="R618" s="62"/>
      <c r="S618" s="62"/>
      <c r="T618" s="62"/>
      <c r="U618" s="74"/>
      <c r="V618" s="62"/>
      <c r="W618" s="75"/>
      <c r="X618" s="62"/>
      <c r="Y618" s="61"/>
      <c r="Z618" s="201"/>
      <c r="AA618" s="201"/>
      <c r="AB618" s="201"/>
      <c r="AC618" s="201"/>
      <c r="AD618" s="201"/>
      <c r="AE618" s="201"/>
      <c r="AF618" s="201"/>
      <c r="AG618" s="201"/>
      <c r="AH618" s="201"/>
      <c r="AI618" s="201"/>
      <c r="AJ618" s="201"/>
      <c r="AK618" s="201"/>
      <c r="AL618" s="201"/>
      <c r="AM618" s="201"/>
      <c r="AN618" s="201"/>
      <c r="AO618" s="201"/>
    </row>
    <row r="619">
      <c r="A619" s="197"/>
      <c r="B619" s="197"/>
      <c r="C619" s="199"/>
      <c r="D619" s="197"/>
      <c r="E619" s="197"/>
      <c r="F619" s="197"/>
      <c r="G619" s="197"/>
      <c r="H619" s="199"/>
      <c r="I619" s="199"/>
      <c r="J619" s="62"/>
      <c r="K619" s="62"/>
      <c r="L619" s="62"/>
      <c r="M619" s="62"/>
      <c r="N619" s="62"/>
      <c r="O619" s="62"/>
      <c r="P619" s="62"/>
      <c r="Q619" s="62"/>
      <c r="R619" s="62"/>
      <c r="S619" s="62"/>
      <c r="T619" s="62"/>
      <c r="U619" s="74"/>
      <c r="V619" s="62"/>
      <c r="W619" s="75"/>
      <c r="X619" s="62"/>
      <c r="Y619" s="61"/>
      <c r="Z619" s="201"/>
      <c r="AA619" s="201"/>
      <c r="AB619" s="201"/>
      <c r="AC619" s="201"/>
      <c r="AD619" s="201"/>
      <c r="AE619" s="201"/>
      <c r="AF619" s="201"/>
      <c r="AG619" s="201"/>
      <c r="AH619" s="201"/>
      <c r="AI619" s="201"/>
      <c r="AJ619" s="201"/>
      <c r="AK619" s="201"/>
      <c r="AL619" s="201"/>
      <c r="AM619" s="201"/>
      <c r="AN619" s="201"/>
      <c r="AO619" s="201"/>
    </row>
    <row r="620">
      <c r="A620" s="197"/>
      <c r="B620" s="197"/>
      <c r="C620" s="199"/>
      <c r="D620" s="197"/>
      <c r="E620" s="197"/>
      <c r="F620" s="197"/>
      <c r="G620" s="197"/>
      <c r="H620" s="199"/>
      <c r="I620" s="199"/>
      <c r="J620" s="62"/>
      <c r="K620" s="62"/>
      <c r="L620" s="62"/>
      <c r="M620" s="62"/>
      <c r="N620" s="62"/>
      <c r="O620" s="62"/>
      <c r="P620" s="62"/>
      <c r="Q620" s="62"/>
      <c r="R620" s="62"/>
      <c r="S620" s="62"/>
      <c r="T620" s="62"/>
      <c r="U620" s="74"/>
      <c r="V620" s="62"/>
      <c r="W620" s="74"/>
      <c r="X620" s="62"/>
      <c r="Y620" s="61"/>
      <c r="Z620" s="201"/>
      <c r="AA620" s="201"/>
      <c r="AB620" s="201"/>
      <c r="AC620" s="201"/>
      <c r="AD620" s="201"/>
      <c r="AE620" s="201"/>
      <c r="AF620" s="201"/>
      <c r="AG620" s="201"/>
      <c r="AH620" s="201"/>
      <c r="AI620" s="201"/>
      <c r="AJ620" s="201"/>
      <c r="AK620" s="201"/>
      <c r="AL620" s="201"/>
      <c r="AM620" s="201"/>
      <c r="AN620" s="201"/>
      <c r="AO620" s="201"/>
    </row>
    <row r="621">
      <c r="A621" s="197"/>
      <c r="B621" s="197"/>
      <c r="C621" s="199"/>
      <c r="D621" s="197"/>
      <c r="E621" s="197"/>
      <c r="F621" s="197"/>
      <c r="G621" s="197"/>
      <c r="H621" s="199"/>
      <c r="I621" s="199"/>
      <c r="J621" s="62"/>
      <c r="K621" s="62"/>
      <c r="L621" s="62"/>
      <c r="M621" s="62"/>
      <c r="N621" s="62"/>
      <c r="O621" s="62"/>
      <c r="P621" s="62"/>
      <c r="Q621" s="62"/>
      <c r="R621" s="62"/>
      <c r="S621" s="62"/>
      <c r="T621" s="62"/>
      <c r="U621" s="74"/>
      <c r="V621" s="62"/>
      <c r="W621" s="74"/>
      <c r="X621" s="62"/>
      <c r="Y621" s="61"/>
      <c r="Z621" s="201"/>
      <c r="AA621" s="201"/>
      <c r="AB621" s="201"/>
      <c r="AC621" s="201"/>
      <c r="AD621" s="201"/>
      <c r="AE621" s="201"/>
      <c r="AF621" s="201"/>
      <c r="AG621" s="201"/>
      <c r="AH621" s="201"/>
      <c r="AI621" s="201"/>
      <c r="AJ621" s="201"/>
      <c r="AK621" s="201"/>
      <c r="AL621" s="201"/>
      <c r="AM621" s="201"/>
      <c r="AN621" s="201"/>
      <c r="AO621" s="201"/>
    </row>
    <row r="622">
      <c r="A622" s="197"/>
      <c r="B622" s="197"/>
      <c r="C622" s="199"/>
      <c r="D622" s="197"/>
      <c r="E622" s="197"/>
      <c r="F622" s="197"/>
      <c r="G622" s="197"/>
      <c r="H622" s="199"/>
      <c r="I622" s="199"/>
      <c r="J622" s="62"/>
      <c r="K622" s="62"/>
      <c r="L622" s="62"/>
      <c r="M622" s="62"/>
      <c r="N622" s="62"/>
      <c r="O622" s="62"/>
      <c r="P622" s="62"/>
      <c r="Q622" s="62"/>
      <c r="R622" s="62"/>
      <c r="S622" s="62"/>
      <c r="T622" s="62"/>
      <c r="U622" s="74"/>
      <c r="V622" s="62"/>
      <c r="W622" s="74"/>
      <c r="X622" s="62"/>
      <c r="Y622" s="61"/>
      <c r="Z622" s="201"/>
      <c r="AA622" s="201"/>
      <c r="AB622" s="201"/>
      <c r="AC622" s="201"/>
      <c r="AD622" s="201"/>
      <c r="AE622" s="201"/>
      <c r="AF622" s="201"/>
      <c r="AG622" s="201"/>
      <c r="AH622" s="201"/>
      <c r="AI622" s="201"/>
      <c r="AJ622" s="201"/>
      <c r="AK622" s="201"/>
      <c r="AL622" s="201"/>
      <c r="AM622" s="201"/>
      <c r="AN622" s="201"/>
      <c r="AO622" s="201"/>
    </row>
    <row r="623">
      <c r="A623" s="197"/>
      <c r="B623" s="197"/>
      <c r="C623" s="199"/>
      <c r="D623" s="197"/>
      <c r="E623" s="197"/>
      <c r="F623" s="197"/>
      <c r="G623" s="197"/>
      <c r="H623" s="199"/>
      <c r="I623" s="199"/>
      <c r="J623" s="62"/>
      <c r="K623" s="62"/>
      <c r="L623" s="62"/>
      <c r="M623" s="62"/>
      <c r="N623" s="62"/>
      <c r="O623" s="62"/>
      <c r="P623" s="62"/>
      <c r="Q623" s="62"/>
      <c r="R623" s="62"/>
      <c r="S623" s="62"/>
      <c r="T623" s="62"/>
      <c r="U623" s="74"/>
      <c r="V623" s="62"/>
      <c r="W623" s="74"/>
      <c r="X623" s="62"/>
      <c r="Y623" s="61"/>
      <c r="Z623" s="201"/>
      <c r="AA623" s="201"/>
      <c r="AB623" s="201"/>
      <c r="AC623" s="201"/>
      <c r="AD623" s="201"/>
      <c r="AE623" s="201"/>
      <c r="AF623" s="201"/>
      <c r="AG623" s="201"/>
      <c r="AH623" s="201"/>
      <c r="AI623" s="201"/>
      <c r="AJ623" s="201"/>
      <c r="AK623" s="201"/>
      <c r="AL623" s="201"/>
      <c r="AM623" s="201"/>
      <c r="AN623" s="201"/>
      <c r="AO623" s="201"/>
    </row>
    <row r="624">
      <c r="A624" s="197"/>
      <c r="B624" s="197"/>
      <c r="C624" s="199"/>
      <c r="D624" s="197"/>
      <c r="E624" s="197"/>
      <c r="F624" s="197"/>
      <c r="G624" s="197"/>
      <c r="H624" s="199"/>
      <c r="I624" s="199"/>
      <c r="J624" s="62"/>
      <c r="K624" s="62"/>
      <c r="L624" s="62"/>
      <c r="M624" s="62"/>
      <c r="N624" s="62"/>
      <c r="O624" s="62"/>
      <c r="P624" s="62"/>
      <c r="Q624" s="62"/>
      <c r="R624" s="62"/>
      <c r="S624" s="62"/>
      <c r="T624" s="62"/>
      <c r="U624" s="74"/>
      <c r="V624" s="62"/>
      <c r="W624" s="74"/>
      <c r="X624" s="62"/>
      <c r="Y624" s="61"/>
      <c r="Z624" s="201"/>
      <c r="AA624" s="201"/>
      <c r="AB624" s="201"/>
      <c r="AC624" s="201"/>
      <c r="AD624" s="201"/>
      <c r="AE624" s="201"/>
      <c r="AF624" s="201"/>
      <c r="AG624" s="201"/>
      <c r="AH624" s="201"/>
      <c r="AI624" s="201"/>
      <c r="AJ624" s="201"/>
      <c r="AK624" s="201"/>
      <c r="AL624" s="201"/>
      <c r="AM624" s="201"/>
      <c r="AN624" s="201"/>
      <c r="AO624" s="201"/>
    </row>
    <row r="625">
      <c r="A625" s="197"/>
      <c r="B625" s="197"/>
      <c r="C625" s="199"/>
      <c r="D625" s="197"/>
      <c r="E625" s="197"/>
      <c r="F625" s="197"/>
      <c r="G625" s="197"/>
      <c r="H625" s="199"/>
      <c r="I625" s="199"/>
      <c r="J625" s="62"/>
      <c r="K625" s="62"/>
      <c r="L625" s="62"/>
      <c r="M625" s="62"/>
      <c r="N625" s="62"/>
      <c r="O625" s="62"/>
      <c r="P625" s="62"/>
      <c r="Q625" s="62"/>
      <c r="R625" s="62"/>
      <c r="S625" s="62"/>
      <c r="T625" s="62"/>
      <c r="U625" s="74"/>
      <c r="V625" s="62"/>
      <c r="W625" s="74"/>
      <c r="X625" s="62"/>
      <c r="Y625" s="61"/>
      <c r="Z625" s="201"/>
      <c r="AA625" s="201"/>
      <c r="AB625" s="201"/>
      <c r="AC625" s="201"/>
      <c r="AD625" s="201"/>
      <c r="AE625" s="201"/>
      <c r="AF625" s="201"/>
      <c r="AG625" s="201"/>
      <c r="AH625" s="201"/>
      <c r="AI625" s="201"/>
      <c r="AJ625" s="201"/>
      <c r="AK625" s="201"/>
      <c r="AL625" s="201"/>
      <c r="AM625" s="201"/>
      <c r="AN625" s="201"/>
      <c r="AO625" s="201"/>
    </row>
    <row r="626">
      <c r="A626" s="197"/>
      <c r="B626" s="197"/>
      <c r="C626" s="199"/>
      <c r="D626" s="197"/>
      <c r="E626" s="197"/>
      <c r="F626" s="197"/>
      <c r="G626" s="197"/>
      <c r="H626" s="199"/>
      <c r="I626" s="199"/>
      <c r="J626" s="62"/>
      <c r="K626" s="62"/>
      <c r="L626" s="62"/>
      <c r="M626" s="62"/>
      <c r="N626" s="62"/>
      <c r="O626" s="62"/>
      <c r="P626" s="62"/>
      <c r="Q626" s="62"/>
      <c r="R626" s="62"/>
      <c r="S626" s="62"/>
      <c r="T626" s="62"/>
      <c r="U626" s="74"/>
      <c r="V626" s="62"/>
      <c r="W626" s="74"/>
      <c r="X626" s="62"/>
      <c r="Y626" s="61"/>
      <c r="Z626" s="201"/>
      <c r="AA626" s="201"/>
      <c r="AB626" s="201"/>
      <c r="AC626" s="201"/>
      <c r="AD626" s="201"/>
      <c r="AE626" s="201"/>
      <c r="AF626" s="201"/>
      <c r="AG626" s="201"/>
      <c r="AH626" s="201"/>
      <c r="AI626" s="201"/>
      <c r="AJ626" s="201"/>
      <c r="AK626" s="201"/>
      <c r="AL626" s="201"/>
      <c r="AM626" s="201"/>
      <c r="AN626" s="201"/>
      <c r="AO626" s="201"/>
    </row>
    <row r="627">
      <c r="A627" s="197"/>
      <c r="B627" s="197"/>
      <c r="C627" s="199"/>
      <c r="D627" s="197"/>
      <c r="E627" s="197"/>
      <c r="F627" s="197"/>
      <c r="G627" s="197"/>
      <c r="H627" s="199"/>
      <c r="I627" s="199"/>
      <c r="J627" s="62"/>
      <c r="K627" s="62"/>
      <c r="L627" s="62"/>
      <c r="M627" s="62"/>
      <c r="N627" s="62"/>
      <c r="O627" s="62"/>
      <c r="P627" s="62"/>
      <c r="Q627" s="62"/>
      <c r="R627" s="62"/>
      <c r="S627" s="62"/>
      <c r="T627" s="62"/>
      <c r="U627" s="74"/>
      <c r="V627" s="62"/>
      <c r="W627" s="74"/>
      <c r="X627" s="62"/>
      <c r="Y627" s="61"/>
      <c r="Z627" s="201"/>
      <c r="AA627" s="201"/>
      <c r="AB627" s="201"/>
      <c r="AC627" s="201"/>
      <c r="AD627" s="201"/>
      <c r="AE627" s="201"/>
      <c r="AF627" s="201"/>
      <c r="AG627" s="201"/>
      <c r="AH627" s="201"/>
      <c r="AI627" s="201"/>
      <c r="AJ627" s="201"/>
      <c r="AK627" s="201"/>
      <c r="AL627" s="201"/>
      <c r="AM627" s="201"/>
      <c r="AN627" s="201"/>
      <c r="AO627" s="201"/>
    </row>
    <row r="628">
      <c r="A628" s="197"/>
      <c r="B628" s="197"/>
      <c r="C628" s="199"/>
      <c r="D628" s="197"/>
      <c r="E628" s="197"/>
      <c r="F628" s="197"/>
      <c r="G628" s="197"/>
      <c r="H628" s="199"/>
      <c r="I628" s="199"/>
      <c r="J628" s="62"/>
      <c r="K628" s="62"/>
      <c r="L628" s="62"/>
      <c r="M628" s="62"/>
      <c r="N628" s="62"/>
      <c r="O628" s="62"/>
      <c r="P628" s="62"/>
      <c r="Q628" s="62"/>
      <c r="R628" s="62"/>
      <c r="S628" s="62"/>
      <c r="T628" s="62"/>
      <c r="U628" s="74"/>
      <c r="V628" s="62"/>
      <c r="W628" s="74"/>
      <c r="X628" s="62"/>
      <c r="Y628" s="61"/>
      <c r="Z628" s="201"/>
      <c r="AA628" s="201"/>
      <c r="AB628" s="201"/>
      <c r="AC628" s="201"/>
      <c r="AD628" s="201"/>
      <c r="AE628" s="201"/>
      <c r="AF628" s="201"/>
      <c r="AG628" s="201"/>
      <c r="AH628" s="201"/>
      <c r="AI628" s="201"/>
      <c r="AJ628" s="201"/>
      <c r="AK628" s="201"/>
      <c r="AL628" s="201"/>
      <c r="AM628" s="201"/>
      <c r="AN628" s="201"/>
      <c r="AO628" s="201"/>
    </row>
    <row r="629">
      <c r="A629" s="197"/>
      <c r="B629" s="197"/>
      <c r="C629" s="199"/>
      <c r="D629" s="197"/>
      <c r="E629" s="197"/>
      <c r="F629" s="197"/>
      <c r="G629" s="197"/>
      <c r="H629" s="199"/>
      <c r="I629" s="199"/>
      <c r="J629" s="62"/>
      <c r="K629" s="62"/>
      <c r="L629" s="62"/>
      <c r="M629" s="62"/>
      <c r="N629" s="62"/>
      <c r="O629" s="62"/>
      <c r="P629" s="62"/>
      <c r="Q629" s="62"/>
      <c r="R629" s="62"/>
      <c r="S629" s="62"/>
      <c r="T629" s="62"/>
      <c r="U629" s="74"/>
      <c r="V629" s="62"/>
      <c r="W629" s="74"/>
      <c r="X629" s="62"/>
      <c r="Y629" s="61"/>
      <c r="Z629" s="201"/>
      <c r="AA629" s="201"/>
      <c r="AB629" s="201"/>
      <c r="AC629" s="201"/>
      <c r="AD629" s="201"/>
      <c r="AE629" s="201"/>
      <c r="AF629" s="201"/>
      <c r="AG629" s="201"/>
      <c r="AH629" s="201"/>
      <c r="AI629" s="201"/>
      <c r="AJ629" s="201"/>
      <c r="AK629" s="201"/>
      <c r="AL629" s="201"/>
      <c r="AM629" s="201"/>
      <c r="AN629" s="201"/>
      <c r="AO629" s="201"/>
    </row>
    <row r="630">
      <c r="A630" s="197"/>
      <c r="B630" s="197"/>
      <c r="C630" s="199"/>
      <c r="D630" s="197"/>
      <c r="E630" s="197"/>
      <c r="F630" s="197"/>
      <c r="G630" s="197"/>
      <c r="H630" s="199"/>
      <c r="I630" s="199"/>
      <c r="J630" s="62"/>
      <c r="K630" s="62"/>
      <c r="L630" s="62"/>
      <c r="M630" s="62"/>
      <c r="N630" s="62"/>
      <c r="O630" s="62"/>
      <c r="P630" s="62"/>
      <c r="Q630" s="62"/>
      <c r="R630" s="62"/>
      <c r="S630" s="62"/>
      <c r="T630" s="62"/>
      <c r="U630" s="74"/>
      <c r="V630" s="62"/>
      <c r="W630" s="74"/>
      <c r="X630" s="62"/>
      <c r="Y630" s="61"/>
      <c r="Z630" s="201"/>
      <c r="AA630" s="201"/>
      <c r="AB630" s="201"/>
      <c r="AC630" s="201"/>
      <c r="AD630" s="201"/>
      <c r="AE630" s="201"/>
      <c r="AF630" s="201"/>
      <c r="AG630" s="201"/>
      <c r="AH630" s="201"/>
      <c r="AI630" s="201"/>
      <c r="AJ630" s="201"/>
      <c r="AK630" s="201"/>
      <c r="AL630" s="201"/>
      <c r="AM630" s="201"/>
      <c r="AN630" s="201"/>
      <c r="AO630" s="201"/>
    </row>
    <row r="631">
      <c r="A631" s="197"/>
      <c r="B631" s="197"/>
      <c r="C631" s="199"/>
      <c r="D631" s="197"/>
      <c r="E631" s="197"/>
      <c r="F631" s="197"/>
      <c r="G631" s="197"/>
      <c r="H631" s="199"/>
      <c r="I631" s="199"/>
      <c r="J631" s="62"/>
      <c r="K631" s="62"/>
      <c r="L631" s="62"/>
      <c r="M631" s="62"/>
      <c r="N631" s="62"/>
      <c r="O631" s="62"/>
      <c r="P631" s="62"/>
      <c r="Q631" s="62"/>
      <c r="R631" s="62"/>
      <c r="S631" s="62"/>
      <c r="T631" s="62"/>
      <c r="U631" s="74"/>
      <c r="V631" s="62"/>
      <c r="W631" s="74"/>
      <c r="X631" s="62"/>
      <c r="Y631" s="61"/>
      <c r="Z631" s="201"/>
      <c r="AA631" s="201"/>
      <c r="AB631" s="201"/>
      <c r="AC631" s="201"/>
      <c r="AD631" s="201"/>
      <c r="AE631" s="201"/>
      <c r="AF631" s="201"/>
      <c r="AG631" s="201"/>
      <c r="AH631" s="201"/>
      <c r="AI631" s="201"/>
      <c r="AJ631" s="201"/>
      <c r="AK631" s="201"/>
      <c r="AL631" s="201"/>
      <c r="AM631" s="201"/>
      <c r="AN631" s="201"/>
      <c r="AO631" s="201"/>
    </row>
    <row r="632">
      <c r="A632" s="197"/>
      <c r="B632" s="197"/>
      <c r="C632" s="199"/>
      <c r="D632" s="197"/>
      <c r="E632" s="197"/>
      <c r="F632" s="197"/>
      <c r="G632" s="197"/>
      <c r="H632" s="199"/>
      <c r="I632" s="199"/>
      <c r="J632" s="62"/>
      <c r="K632" s="62"/>
      <c r="L632" s="62"/>
      <c r="M632" s="62"/>
      <c r="N632" s="62"/>
      <c r="O632" s="62"/>
      <c r="P632" s="62"/>
      <c r="Q632" s="62"/>
      <c r="R632" s="62"/>
      <c r="S632" s="62"/>
      <c r="T632" s="62"/>
      <c r="U632" s="74"/>
      <c r="V632" s="62"/>
      <c r="W632" s="74"/>
      <c r="X632" s="62"/>
      <c r="Y632" s="61"/>
      <c r="Z632" s="201"/>
      <c r="AA632" s="201"/>
      <c r="AB632" s="201"/>
      <c r="AC632" s="201"/>
      <c r="AD632" s="201"/>
      <c r="AE632" s="201"/>
      <c r="AF632" s="201"/>
      <c r="AG632" s="201"/>
      <c r="AH632" s="201"/>
      <c r="AI632" s="201"/>
      <c r="AJ632" s="201"/>
      <c r="AK632" s="201"/>
      <c r="AL632" s="201"/>
      <c r="AM632" s="201"/>
      <c r="AN632" s="201"/>
      <c r="AO632" s="201"/>
    </row>
    <row r="633">
      <c r="A633" s="197"/>
      <c r="B633" s="197"/>
      <c r="C633" s="199"/>
      <c r="D633" s="197"/>
      <c r="E633" s="197"/>
      <c r="F633" s="197"/>
      <c r="G633" s="197"/>
      <c r="H633" s="199"/>
      <c r="I633" s="199"/>
      <c r="J633" s="62"/>
      <c r="K633" s="62"/>
      <c r="L633" s="62"/>
      <c r="M633" s="62"/>
      <c r="N633" s="62"/>
      <c r="O633" s="62"/>
      <c r="P633" s="62"/>
      <c r="Q633" s="62"/>
      <c r="R633" s="62"/>
      <c r="S633" s="62"/>
      <c r="T633" s="62"/>
      <c r="U633" s="74"/>
      <c r="V633" s="62"/>
      <c r="W633" s="74"/>
      <c r="X633" s="62"/>
      <c r="Y633" s="61"/>
      <c r="Z633" s="201"/>
      <c r="AA633" s="201"/>
      <c r="AB633" s="201"/>
      <c r="AC633" s="201"/>
      <c r="AD633" s="201"/>
      <c r="AE633" s="201"/>
      <c r="AF633" s="201"/>
      <c r="AG633" s="201"/>
      <c r="AH633" s="201"/>
      <c r="AI633" s="201"/>
      <c r="AJ633" s="201"/>
      <c r="AK633" s="201"/>
      <c r="AL633" s="201"/>
      <c r="AM633" s="201"/>
      <c r="AN633" s="201"/>
      <c r="AO633" s="201"/>
    </row>
    <row r="634">
      <c r="A634" s="197"/>
      <c r="B634" s="197"/>
      <c r="C634" s="199"/>
      <c r="D634" s="197"/>
      <c r="E634" s="197"/>
      <c r="F634" s="197"/>
      <c r="G634" s="197"/>
      <c r="H634" s="199"/>
      <c r="I634" s="199"/>
      <c r="J634" s="62"/>
      <c r="K634" s="62"/>
      <c r="L634" s="62"/>
      <c r="M634" s="62"/>
      <c r="N634" s="62"/>
      <c r="O634" s="62"/>
      <c r="P634" s="62"/>
      <c r="Q634" s="62"/>
      <c r="R634" s="62"/>
      <c r="S634" s="62"/>
      <c r="T634" s="62"/>
      <c r="U634" s="74"/>
      <c r="V634" s="62"/>
      <c r="W634" s="74"/>
      <c r="X634" s="62"/>
      <c r="Y634" s="61"/>
      <c r="Z634" s="201"/>
      <c r="AA634" s="201"/>
      <c r="AB634" s="201"/>
      <c r="AC634" s="201"/>
      <c r="AD634" s="201"/>
      <c r="AE634" s="201"/>
      <c r="AF634" s="201"/>
      <c r="AG634" s="201"/>
      <c r="AH634" s="201"/>
      <c r="AI634" s="201"/>
      <c r="AJ634" s="201"/>
      <c r="AK634" s="201"/>
      <c r="AL634" s="201"/>
      <c r="AM634" s="201"/>
      <c r="AN634" s="201"/>
      <c r="AO634" s="201"/>
    </row>
    <row r="635">
      <c r="A635" s="197"/>
      <c r="B635" s="197"/>
      <c r="C635" s="199"/>
      <c r="D635" s="197"/>
      <c r="E635" s="197"/>
      <c r="F635" s="197"/>
      <c r="G635" s="197"/>
      <c r="H635" s="199"/>
      <c r="I635" s="199"/>
      <c r="J635" s="62"/>
      <c r="K635" s="62"/>
      <c r="L635" s="62"/>
      <c r="M635" s="62"/>
      <c r="N635" s="62"/>
      <c r="O635" s="62"/>
      <c r="P635" s="62"/>
      <c r="Q635" s="62"/>
      <c r="R635" s="62"/>
      <c r="S635" s="62"/>
      <c r="T635" s="62"/>
      <c r="U635" s="74"/>
      <c r="V635" s="62"/>
      <c r="W635" s="74"/>
      <c r="X635" s="62"/>
      <c r="Y635" s="61"/>
      <c r="Z635" s="201"/>
      <c r="AA635" s="201"/>
      <c r="AB635" s="201"/>
      <c r="AC635" s="201"/>
      <c r="AD635" s="201"/>
      <c r="AE635" s="201"/>
      <c r="AF635" s="201"/>
      <c r="AG635" s="201"/>
      <c r="AH635" s="201"/>
      <c r="AI635" s="201"/>
      <c r="AJ635" s="201"/>
      <c r="AK635" s="201"/>
      <c r="AL635" s="201"/>
      <c r="AM635" s="201"/>
      <c r="AN635" s="201"/>
      <c r="AO635" s="201"/>
    </row>
    <row r="636">
      <c r="A636" s="197"/>
      <c r="B636" s="197"/>
      <c r="C636" s="199"/>
      <c r="D636" s="197"/>
      <c r="E636" s="197"/>
      <c r="F636" s="197"/>
      <c r="G636" s="197"/>
      <c r="H636" s="199"/>
      <c r="I636" s="199"/>
      <c r="J636" s="62"/>
      <c r="K636" s="62"/>
      <c r="L636" s="62"/>
      <c r="M636" s="62"/>
      <c r="N636" s="62"/>
      <c r="O636" s="62"/>
      <c r="P636" s="62"/>
      <c r="Q636" s="62"/>
      <c r="R636" s="62"/>
      <c r="S636" s="62"/>
      <c r="T636" s="62"/>
      <c r="U636" s="74"/>
      <c r="V636" s="62"/>
      <c r="W636" s="74"/>
      <c r="X636" s="62"/>
      <c r="Y636" s="61"/>
      <c r="Z636" s="201"/>
      <c r="AA636" s="201"/>
      <c r="AB636" s="201"/>
      <c r="AC636" s="201"/>
      <c r="AD636" s="201"/>
      <c r="AE636" s="201"/>
      <c r="AF636" s="201"/>
      <c r="AG636" s="201"/>
      <c r="AH636" s="201"/>
      <c r="AI636" s="201"/>
      <c r="AJ636" s="201"/>
      <c r="AK636" s="201"/>
      <c r="AL636" s="201"/>
      <c r="AM636" s="201"/>
      <c r="AN636" s="201"/>
      <c r="AO636" s="201"/>
    </row>
    <row r="637">
      <c r="A637" s="197"/>
      <c r="B637" s="197"/>
      <c r="C637" s="199"/>
      <c r="D637" s="197"/>
      <c r="E637" s="197"/>
      <c r="F637" s="197"/>
      <c r="G637" s="197"/>
      <c r="H637" s="199"/>
      <c r="I637" s="199"/>
      <c r="J637" s="62"/>
      <c r="K637" s="62"/>
      <c r="L637" s="62"/>
      <c r="M637" s="62"/>
      <c r="N637" s="62"/>
      <c r="O637" s="62"/>
      <c r="P637" s="62"/>
      <c r="Q637" s="62"/>
      <c r="R637" s="62"/>
      <c r="S637" s="62"/>
      <c r="T637" s="62"/>
      <c r="U637" s="74"/>
      <c r="V637" s="62"/>
      <c r="W637" s="74"/>
      <c r="X637" s="62"/>
      <c r="Y637" s="61"/>
      <c r="Z637" s="201"/>
      <c r="AA637" s="201"/>
      <c r="AB637" s="201"/>
      <c r="AC637" s="201"/>
      <c r="AD637" s="201"/>
      <c r="AE637" s="201"/>
      <c r="AF637" s="201"/>
      <c r="AG637" s="201"/>
      <c r="AH637" s="201"/>
      <c r="AI637" s="201"/>
      <c r="AJ637" s="201"/>
      <c r="AK637" s="201"/>
      <c r="AL637" s="201"/>
      <c r="AM637" s="201"/>
      <c r="AN637" s="201"/>
      <c r="AO637" s="201"/>
    </row>
    <row r="638">
      <c r="A638" s="197"/>
      <c r="B638" s="197"/>
      <c r="C638" s="199"/>
      <c r="D638" s="197"/>
      <c r="E638" s="197"/>
      <c r="F638" s="197"/>
      <c r="G638" s="197"/>
      <c r="H638" s="199"/>
      <c r="I638" s="199"/>
      <c r="J638" s="62"/>
      <c r="K638" s="62"/>
      <c r="L638" s="62"/>
      <c r="M638" s="62"/>
      <c r="N638" s="62"/>
      <c r="O638" s="62"/>
      <c r="P638" s="62"/>
      <c r="Q638" s="62"/>
      <c r="R638" s="62"/>
      <c r="S638" s="62"/>
      <c r="T638" s="62"/>
      <c r="U638" s="74"/>
      <c r="V638" s="62"/>
      <c r="W638" s="74"/>
      <c r="X638" s="62"/>
      <c r="Y638" s="61"/>
      <c r="Z638" s="201"/>
      <c r="AA638" s="201"/>
      <c r="AB638" s="201"/>
      <c r="AC638" s="201"/>
      <c r="AD638" s="201"/>
      <c r="AE638" s="201"/>
      <c r="AF638" s="201"/>
      <c r="AG638" s="201"/>
      <c r="AH638" s="201"/>
      <c r="AI638" s="201"/>
      <c r="AJ638" s="201"/>
      <c r="AK638" s="201"/>
      <c r="AL638" s="201"/>
      <c r="AM638" s="201"/>
      <c r="AN638" s="201"/>
      <c r="AO638" s="201"/>
    </row>
    <row r="639">
      <c r="A639" s="197"/>
      <c r="B639" s="197"/>
      <c r="C639" s="199"/>
      <c r="D639" s="197"/>
      <c r="E639" s="197"/>
      <c r="F639" s="197"/>
      <c r="G639" s="197"/>
      <c r="H639" s="199"/>
      <c r="I639" s="199"/>
      <c r="J639" s="62"/>
      <c r="K639" s="62"/>
      <c r="L639" s="62"/>
      <c r="M639" s="62"/>
      <c r="N639" s="62"/>
      <c r="O639" s="62"/>
      <c r="P639" s="62"/>
      <c r="Q639" s="62"/>
      <c r="R639" s="62"/>
      <c r="S639" s="62"/>
      <c r="T639" s="62"/>
      <c r="U639" s="74"/>
      <c r="V639" s="62"/>
      <c r="W639" s="74"/>
      <c r="X639" s="62"/>
      <c r="Y639" s="61"/>
      <c r="Z639" s="201"/>
      <c r="AA639" s="201"/>
      <c r="AB639" s="201"/>
      <c r="AC639" s="201"/>
      <c r="AD639" s="201"/>
      <c r="AE639" s="201"/>
      <c r="AF639" s="201"/>
      <c r="AG639" s="201"/>
      <c r="AH639" s="201"/>
      <c r="AI639" s="201"/>
      <c r="AJ639" s="201"/>
      <c r="AK639" s="201"/>
      <c r="AL639" s="201"/>
      <c r="AM639" s="201"/>
      <c r="AN639" s="201"/>
      <c r="AO639" s="201"/>
    </row>
    <row r="640">
      <c r="A640" s="197"/>
      <c r="B640" s="197"/>
      <c r="C640" s="199"/>
      <c r="D640" s="197"/>
      <c r="E640" s="197"/>
      <c r="F640" s="197"/>
      <c r="G640" s="197"/>
      <c r="H640" s="199"/>
      <c r="I640" s="199"/>
      <c r="J640" s="62"/>
      <c r="K640" s="62"/>
      <c r="L640" s="62"/>
      <c r="M640" s="62"/>
      <c r="N640" s="62"/>
      <c r="O640" s="62"/>
      <c r="P640" s="62"/>
      <c r="Q640" s="62"/>
      <c r="R640" s="62"/>
      <c r="S640" s="62"/>
      <c r="T640" s="62"/>
      <c r="U640" s="74"/>
      <c r="V640" s="62"/>
      <c r="W640" s="74"/>
      <c r="X640" s="62"/>
      <c r="Y640" s="61"/>
      <c r="Z640" s="201"/>
      <c r="AA640" s="201"/>
      <c r="AB640" s="201"/>
      <c r="AC640" s="201"/>
      <c r="AD640" s="201"/>
      <c r="AE640" s="201"/>
      <c r="AF640" s="201"/>
      <c r="AG640" s="201"/>
      <c r="AH640" s="201"/>
      <c r="AI640" s="201"/>
      <c r="AJ640" s="201"/>
      <c r="AK640" s="201"/>
      <c r="AL640" s="201"/>
      <c r="AM640" s="201"/>
      <c r="AN640" s="201"/>
      <c r="AO640" s="201"/>
    </row>
    <row r="641">
      <c r="A641" s="197"/>
      <c r="B641" s="197"/>
      <c r="C641" s="199"/>
      <c r="D641" s="197"/>
      <c r="E641" s="197"/>
      <c r="F641" s="197"/>
      <c r="G641" s="197"/>
      <c r="H641" s="199"/>
      <c r="I641" s="199"/>
      <c r="J641" s="62"/>
      <c r="K641" s="62"/>
      <c r="L641" s="62"/>
      <c r="M641" s="62"/>
      <c r="N641" s="62"/>
      <c r="O641" s="62"/>
      <c r="P641" s="62"/>
      <c r="Q641" s="62"/>
      <c r="R641" s="62"/>
      <c r="S641" s="62"/>
      <c r="T641" s="62"/>
      <c r="U641" s="74"/>
      <c r="V641" s="62"/>
      <c r="W641" s="74"/>
      <c r="X641" s="62"/>
      <c r="Y641" s="61"/>
      <c r="Z641" s="201"/>
      <c r="AA641" s="201"/>
      <c r="AB641" s="201"/>
      <c r="AC641" s="201"/>
      <c r="AD641" s="201"/>
      <c r="AE641" s="201"/>
      <c r="AF641" s="201"/>
      <c r="AG641" s="201"/>
      <c r="AH641" s="201"/>
      <c r="AI641" s="201"/>
      <c r="AJ641" s="201"/>
      <c r="AK641" s="201"/>
      <c r="AL641" s="201"/>
      <c r="AM641" s="201"/>
      <c r="AN641" s="201"/>
      <c r="AO641" s="201"/>
    </row>
    <row r="642">
      <c r="A642" s="197"/>
      <c r="B642" s="197"/>
      <c r="C642" s="199"/>
      <c r="D642" s="197"/>
      <c r="E642" s="197"/>
      <c r="F642" s="197"/>
      <c r="G642" s="197"/>
      <c r="H642" s="199"/>
      <c r="I642" s="199"/>
      <c r="J642" s="62"/>
      <c r="K642" s="62"/>
      <c r="L642" s="62"/>
      <c r="M642" s="62"/>
      <c r="N642" s="62"/>
      <c r="O642" s="62"/>
      <c r="P642" s="62"/>
      <c r="Q642" s="62"/>
      <c r="R642" s="62"/>
      <c r="S642" s="62"/>
      <c r="T642" s="62"/>
      <c r="U642" s="74"/>
      <c r="V642" s="62"/>
      <c r="W642" s="74"/>
      <c r="X642" s="62"/>
      <c r="Y642" s="61"/>
      <c r="Z642" s="201"/>
      <c r="AA642" s="201"/>
      <c r="AB642" s="201"/>
      <c r="AC642" s="201"/>
      <c r="AD642" s="201"/>
      <c r="AE642" s="201"/>
      <c r="AF642" s="201"/>
      <c r="AG642" s="201"/>
      <c r="AH642" s="201"/>
      <c r="AI642" s="201"/>
      <c r="AJ642" s="201"/>
      <c r="AK642" s="201"/>
      <c r="AL642" s="201"/>
      <c r="AM642" s="201"/>
      <c r="AN642" s="201"/>
      <c r="AO642" s="201"/>
    </row>
    <row r="643">
      <c r="A643" s="197"/>
      <c r="B643" s="197"/>
      <c r="C643" s="199"/>
      <c r="D643" s="197"/>
      <c r="E643" s="197"/>
      <c r="F643" s="197"/>
      <c r="G643" s="197"/>
      <c r="H643" s="199"/>
      <c r="I643" s="199"/>
      <c r="J643" s="62"/>
      <c r="K643" s="62"/>
      <c r="L643" s="62"/>
      <c r="M643" s="62"/>
      <c r="N643" s="62"/>
      <c r="O643" s="62"/>
      <c r="P643" s="62"/>
      <c r="Q643" s="62"/>
      <c r="R643" s="62"/>
      <c r="S643" s="62"/>
      <c r="T643" s="62"/>
      <c r="U643" s="74"/>
      <c r="V643" s="62"/>
      <c r="W643" s="74"/>
      <c r="X643" s="62"/>
      <c r="Y643" s="61"/>
      <c r="Z643" s="201"/>
      <c r="AA643" s="201"/>
      <c r="AB643" s="201"/>
      <c r="AC643" s="201"/>
      <c r="AD643" s="201"/>
      <c r="AE643" s="201"/>
      <c r="AF643" s="201"/>
      <c r="AG643" s="201"/>
      <c r="AH643" s="201"/>
      <c r="AI643" s="201"/>
      <c r="AJ643" s="201"/>
      <c r="AK643" s="201"/>
      <c r="AL643" s="201"/>
      <c r="AM643" s="201"/>
      <c r="AN643" s="201"/>
      <c r="AO643" s="201"/>
    </row>
    <row r="644">
      <c r="A644" s="197"/>
      <c r="B644" s="197"/>
      <c r="C644" s="199"/>
      <c r="D644" s="197"/>
      <c r="E644" s="197"/>
      <c r="F644" s="197"/>
      <c r="G644" s="197"/>
      <c r="H644" s="199"/>
      <c r="I644" s="199"/>
      <c r="J644" s="62"/>
      <c r="K644" s="62"/>
      <c r="L644" s="62"/>
      <c r="M644" s="62"/>
      <c r="N644" s="62"/>
      <c r="O644" s="62"/>
      <c r="P644" s="62"/>
      <c r="Q644" s="62"/>
      <c r="R644" s="62"/>
      <c r="S644" s="62"/>
      <c r="T644" s="62"/>
      <c r="U644" s="74"/>
      <c r="V644" s="62"/>
      <c r="W644" s="74"/>
      <c r="X644" s="62"/>
      <c r="Y644" s="61"/>
      <c r="Z644" s="201"/>
      <c r="AA644" s="201"/>
      <c r="AB644" s="201"/>
      <c r="AC644" s="201"/>
      <c r="AD644" s="201"/>
      <c r="AE644" s="201"/>
      <c r="AF644" s="201"/>
      <c r="AG644" s="201"/>
      <c r="AH644" s="201"/>
      <c r="AI644" s="201"/>
      <c r="AJ644" s="201"/>
      <c r="AK644" s="201"/>
      <c r="AL644" s="201"/>
      <c r="AM644" s="201"/>
      <c r="AN644" s="201"/>
      <c r="AO644" s="201"/>
    </row>
    <row r="645">
      <c r="A645" s="197"/>
      <c r="B645" s="197"/>
      <c r="C645" s="199"/>
      <c r="D645" s="197"/>
      <c r="E645" s="197"/>
      <c r="F645" s="197"/>
      <c r="G645" s="197"/>
      <c r="H645" s="199"/>
      <c r="I645" s="199"/>
      <c r="J645" s="62"/>
      <c r="K645" s="62"/>
      <c r="L645" s="62"/>
      <c r="M645" s="62"/>
      <c r="N645" s="62"/>
      <c r="O645" s="62"/>
      <c r="P645" s="62"/>
      <c r="Q645" s="62"/>
      <c r="R645" s="62"/>
      <c r="S645" s="62"/>
      <c r="T645" s="62"/>
      <c r="U645" s="74"/>
      <c r="V645" s="62"/>
      <c r="W645" s="74"/>
      <c r="X645" s="62"/>
      <c r="Y645" s="61"/>
      <c r="Z645" s="201"/>
      <c r="AA645" s="201"/>
      <c r="AB645" s="201"/>
      <c r="AC645" s="201"/>
      <c r="AD645" s="201"/>
      <c r="AE645" s="201"/>
      <c r="AF645" s="201"/>
      <c r="AG645" s="201"/>
      <c r="AH645" s="201"/>
      <c r="AI645" s="201"/>
      <c r="AJ645" s="201"/>
      <c r="AK645" s="201"/>
      <c r="AL645" s="201"/>
      <c r="AM645" s="201"/>
      <c r="AN645" s="201"/>
      <c r="AO645" s="201"/>
    </row>
    <row r="646">
      <c r="A646" s="197"/>
      <c r="B646" s="197"/>
      <c r="C646" s="199"/>
      <c r="D646" s="197"/>
      <c r="E646" s="197"/>
      <c r="F646" s="197"/>
      <c r="G646" s="197"/>
      <c r="H646" s="199"/>
      <c r="I646" s="199"/>
      <c r="J646" s="62"/>
      <c r="K646" s="62"/>
      <c r="L646" s="62"/>
      <c r="M646" s="62"/>
      <c r="N646" s="62"/>
      <c r="O646" s="62"/>
      <c r="P646" s="62"/>
      <c r="Q646" s="62"/>
      <c r="R646" s="62"/>
      <c r="S646" s="62"/>
      <c r="T646" s="62"/>
      <c r="U646" s="74"/>
      <c r="V646" s="62"/>
      <c r="W646" s="74"/>
      <c r="X646" s="62"/>
      <c r="Y646" s="61"/>
      <c r="Z646" s="201"/>
      <c r="AA646" s="201"/>
      <c r="AB646" s="201"/>
      <c r="AC646" s="201"/>
      <c r="AD646" s="201"/>
      <c r="AE646" s="201"/>
      <c r="AF646" s="201"/>
      <c r="AG646" s="201"/>
      <c r="AH646" s="201"/>
      <c r="AI646" s="201"/>
      <c r="AJ646" s="201"/>
      <c r="AK646" s="201"/>
      <c r="AL646" s="201"/>
      <c r="AM646" s="201"/>
      <c r="AN646" s="201"/>
      <c r="AO646" s="201"/>
    </row>
    <row r="647">
      <c r="A647" s="197"/>
      <c r="B647" s="197"/>
      <c r="C647" s="199"/>
      <c r="D647" s="197"/>
      <c r="E647" s="197"/>
      <c r="F647" s="197"/>
      <c r="G647" s="197"/>
      <c r="H647" s="199"/>
      <c r="I647" s="199"/>
      <c r="J647" s="62"/>
      <c r="K647" s="62"/>
      <c r="L647" s="62"/>
      <c r="M647" s="62"/>
      <c r="N647" s="62"/>
      <c r="O647" s="62"/>
      <c r="P647" s="62"/>
      <c r="Q647" s="62"/>
      <c r="R647" s="62"/>
      <c r="S647" s="62"/>
      <c r="T647" s="62"/>
      <c r="U647" s="74"/>
      <c r="V647" s="62"/>
      <c r="W647" s="74"/>
      <c r="X647" s="62"/>
      <c r="Y647" s="61"/>
      <c r="Z647" s="201"/>
      <c r="AA647" s="201"/>
      <c r="AB647" s="201"/>
      <c r="AC647" s="201"/>
      <c r="AD647" s="201"/>
      <c r="AE647" s="201"/>
      <c r="AF647" s="201"/>
      <c r="AG647" s="201"/>
      <c r="AH647" s="201"/>
      <c r="AI647" s="201"/>
      <c r="AJ647" s="201"/>
      <c r="AK647" s="201"/>
      <c r="AL647" s="201"/>
      <c r="AM647" s="201"/>
      <c r="AN647" s="201"/>
      <c r="AO647" s="201"/>
    </row>
    <row r="648">
      <c r="A648" s="197"/>
      <c r="B648" s="197"/>
      <c r="C648" s="199"/>
      <c r="D648" s="197"/>
      <c r="E648" s="197"/>
      <c r="F648" s="197"/>
      <c r="G648" s="197"/>
      <c r="H648" s="199"/>
      <c r="I648" s="199"/>
      <c r="J648" s="62"/>
      <c r="K648" s="62"/>
      <c r="L648" s="62"/>
      <c r="M648" s="62"/>
      <c r="N648" s="62"/>
      <c r="O648" s="62"/>
      <c r="P648" s="62"/>
      <c r="Q648" s="62"/>
      <c r="R648" s="62"/>
      <c r="S648" s="62"/>
      <c r="T648" s="62"/>
      <c r="U648" s="74"/>
      <c r="V648" s="62"/>
      <c r="W648" s="74"/>
      <c r="X648" s="62"/>
      <c r="Y648" s="61"/>
      <c r="Z648" s="201"/>
      <c r="AA648" s="201"/>
      <c r="AB648" s="201"/>
      <c r="AC648" s="201"/>
      <c r="AD648" s="201"/>
      <c r="AE648" s="201"/>
      <c r="AF648" s="201"/>
      <c r="AG648" s="201"/>
      <c r="AH648" s="201"/>
      <c r="AI648" s="201"/>
      <c r="AJ648" s="201"/>
      <c r="AK648" s="201"/>
      <c r="AL648" s="201"/>
      <c r="AM648" s="201"/>
      <c r="AN648" s="201"/>
      <c r="AO648" s="201"/>
    </row>
    <row r="649">
      <c r="A649" s="197"/>
      <c r="B649" s="197"/>
      <c r="C649" s="199"/>
      <c r="D649" s="197"/>
      <c r="E649" s="197"/>
      <c r="F649" s="197"/>
      <c r="G649" s="197"/>
      <c r="H649" s="199"/>
      <c r="I649" s="199"/>
      <c r="J649" s="62"/>
      <c r="K649" s="62"/>
      <c r="L649" s="62"/>
      <c r="M649" s="62"/>
      <c r="N649" s="62"/>
      <c r="O649" s="62"/>
      <c r="P649" s="62"/>
      <c r="Q649" s="62"/>
      <c r="R649" s="62"/>
      <c r="S649" s="62"/>
      <c r="T649" s="62"/>
      <c r="U649" s="74"/>
      <c r="V649" s="62"/>
      <c r="W649" s="74"/>
      <c r="X649" s="62"/>
      <c r="Y649" s="61"/>
      <c r="Z649" s="201"/>
      <c r="AA649" s="201"/>
      <c r="AB649" s="201"/>
      <c r="AC649" s="201"/>
      <c r="AD649" s="201"/>
      <c r="AE649" s="201"/>
      <c r="AF649" s="201"/>
      <c r="AG649" s="201"/>
      <c r="AH649" s="201"/>
      <c r="AI649" s="201"/>
      <c r="AJ649" s="201"/>
      <c r="AK649" s="201"/>
      <c r="AL649" s="201"/>
      <c r="AM649" s="201"/>
      <c r="AN649" s="201"/>
      <c r="AO649" s="201"/>
    </row>
    <row r="650">
      <c r="A650" s="197"/>
      <c r="B650" s="197"/>
      <c r="C650" s="199"/>
      <c r="D650" s="197"/>
      <c r="E650" s="197"/>
      <c r="F650" s="197"/>
      <c r="G650" s="197"/>
      <c r="H650" s="199"/>
      <c r="I650" s="199"/>
      <c r="J650" s="62"/>
      <c r="K650" s="62"/>
      <c r="L650" s="62"/>
      <c r="M650" s="62"/>
      <c r="N650" s="62"/>
      <c r="O650" s="62"/>
      <c r="P650" s="62"/>
      <c r="Q650" s="62"/>
      <c r="R650" s="62"/>
      <c r="S650" s="62"/>
      <c r="T650" s="62"/>
      <c r="U650" s="74"/>
      <c r="V650" s="62"/>
      <c r="W650" s="74"/>
      <c r="X650" s="62"/>
      <c r="Y650" s="61"/>
      <c r="Z650" s="201"/>
      <c r="AA650" s="201"/>
      <c r="AB650" s="201"/>
      <c r="AC650" s="201"/>
      <c r="AD650" s="201"/>
      <c r="AE650" s="201"/>
      <c r="AF650" s="201"/>
      <c r="AG650" s="201"/>
      <c r="AH650" s="201"/>
      <c r="AI650" s="201"/>
      <c r="AJ650" s="201"/>
      <c r="AK650" s="201"/>
      <c r="AL650" s="201"/>
      <c r="AM650" s="201"/>
      <c r="AN650" s="201"/>
      <c r="AO650" s="201"/>
    </row>
    <row r="651">
      <c r="A651" s="197"/>
      <c r="B651" s="197"/>
      <c r="C651" s="199"/>
      <c r="D651" s="197"/>
      <c r="E651" s="197"/>
      <c r="F651" s="197"/>
      <c r="G651" s="197"/>
      <c r="H651" s="199"/>
      <c r="I651" s="199"/>
      <c r="J651" s="62"/>
      <c r="K651" s="62"/>
      <c r="L651" s="62"/>
      <c r="M651" s="62"/>
      <c r="N651" s="62"/>
      <c r="O651" s="62"/>
      <c r="P651" s="62"/>
      <c r="Q651" s="62"/>
      <c r="R651" s="62"/>
      <c r="S651" s="62"/>
      <c r="T651" s="62"/>
      <c r="U651" s="74"/>
      <c r="V651" s="62"/>
      <c r="W651" s="74"/>
      <c r="X651" s="62"/>
      <c r="Y651" s="61"/>
      <c r="Z651" s="201"/>
      <c r="AA651" s="201"/>
      <c r="AB651" s="201"/>
      <c r="AC651" s="201"/>
      <c r="AD651" s="201"/>
      <c r="AE651" s="201"/>
      <c r="AF651" s="201"/>
      <c r="AG651" s="201"/>
      <c r="AH651" s="201"/>
      <c r="AI651" s="201"/>
      <c r="AJ651" s="201"/>
      <c r="AK651" s="201"/>
      <c r="AL651" s="201"/>
      <c r="AM651" s="201"/>
      <c r="AN651" s="201"/>
      <c r="AO651" s="201"/>
    </row>
    <row r="652">
      <c r="A652" s="197"/>
      <c r="B652" s="197"/>
      <c r="C652" s="199"/>
      <c r="D652" s="197"/>
      <c r="E652" s="197"/>
      <c r="F652" s="197"/>
      <c r="G652" s="197"/>
      <c r="H652" s="199"/>
      <c r="I652" s="199"/>
      <c r="J652" s="62"/>
      <c r="K652" s="62"/>
      <c r="L652" s="62"/>
      <c r="M652" s="62"/>
      <c r="N652" s="62"/>
      <c r="O652" s="62"/>
      <c r="P652" s="62"/>
      <c r="Q652" s="62"/>
      <c r="R652" s="62"/>
      <c r="S652" s="62"/>
      <c r="T652" s="62"/>
      <c r="U652" s="74"/>
      <c r="V652" s="62"/>
      <c r="W652" s="74"/>
      <c r="X652" s="62"/>
      <c r="Y652" s="61"/>
      <c r="Z652" s="201"/>
      <c r="AA652" s="201"/>
      <c r="AB652" s="201"/>
      <c r="AC652" s="201"/>
      <c r="AD652" s="201"/>
      <c r="AE652" s="201"/>
      <c r="AF652" s="201"/>
      <c r="AG652" s="201"/>
      <c r="AH652" s="201"/>
      <c r="AI652" s="201"/>
      <c r="AJ652" s="201"/>
      <c r="AK652" s="201"/>
      <c r="AL652" s="201"/>
      <c r="AM652" s="201"/>
      <c r="AN652" s="201"/>
      <c r="AO652" s="201"/>
    </row>
    <row r="653">
      <c r="A653" s="197"/>
      <c r="B653" s="197"/>
      <c r="C653" s="199"/>
      <c r="D653" s="197"/>
      <c r="E653" s="197"/>
      <c r="F653" s="197"/>
      <c r="G653" s="197"/>
      <c r="H653" s="199"/>
      <c r="I653" s="199"/>
      <c r="J653" s="62"/>
      <c r="K653" s="62"/>
      <c r="L653" s="62"/>
      <c r="M653" s="62"/>
      <c r="N653" s="62"/>
      <c r="O653" s="62"/>
      <c r="P653" s="62"/>
      <c r="Q653" s="62"/>
      <c r="R653" s="62"/>
      <c r="S653" s="62"/>
      <c r="T653" s="62"/>
      <c r="U653" s="74"/>
      <c r="V653" s="62"/>
      <c r="W653" s="74"/>
      <c r="X653" s="62"/>
      <c r="Y653" s="61"/>
      <c r="Z653" s="201"/>
      <c r="AA653" s="201"/>
      <c r="AB653" s="201"/>
      <c r="AC653" s="201"/>
      <c r="AD653" s="201"/>
      <c r="AE653" s="201"/>
      <c r="AF653" s="201"/>
      <c r="AG653" s="201"/>
      <c r="AH653" s="201"/>
      <c r="AI653" s="201"/>
      <c r="AJ653" s="201"/>
      <c r="AK653" s="201"/>
      <c r="AL653" s="201"/>
      <c r="AM653" s="201"/>
      <c r="AN653" s="201"/>
      <c r="AO653" s="201"/>
    </row>
    <row r="654">
      <c r="A654" s="197"/>
      <c r="B654" s="197"/>
      <c r="C654" s="199"/>
      <c r="D654" s="197"/>
      <c r="E654" s="197"/>
      <c r="F654" s="197"/>
      <c r="G654" s="197"/>
      <c r="H654" s="199"/>
      <c r="I654" s="199"/>
      <c r="J654" s="62"/>
      <c r="K654" s="62"/>
      <c r="L654" s="62"/>
      <c r="M654" s="62"/>
      <c r="N654" s="62"/>
      <c r="O654" s="62"/>
      <c r="P654" s="62"/>
      <c r="Q654" s="62"/>
      <c r="R654" s="62"/>
      <c r="S654" s="62"/>
      <c r="T654" s="62"/>
      <c r="U654" s="74"/>
      <c r="V654" s="62"/>
      <c r="W654" s="74"/>
      <c r="X654" s="62"/>
      <c r="Y654" s="61"/>
      <c r="Z654" s="201"/>
      <c r="AA654" s="201"/>
      <c r="AB654" s="201"/>
      <c r="AC654" s="201"/>
      <c r="AD654" s="201"/>
      <c r="AE654" s="201"/>
      <c r="AF654" s="201"/>
      <c r="AG654" s="201"/>
      <c r="AH654" s="201"/>
      <c r="AI654" s="201"/>
      <c r="AJ654" s="201"/>
      <c r="AK654" s="201"/>
      <c r="AL654" s="201"/>
      <c r="AM654" s="201"/>
      <c r="AN654" s="201"/>
      <c r="AO654" s="201"/>
    </row>
    <row r="655">
      <c r="A655" s="197"/>
      <c r="B655" s="197"/>
      <c r="C655" s="199"/>
      <c r="D655" s="197"/>
      <c r="E655" s="197"/>
      <c r="F655" s="197"/>
      <c r="G655" s="197"/>
      <c r="H655" s="199"/>
      <c r="I655" s="199"/>
      <c r="J655" s="62"/>
      <c r="K655" s="62"/>
      <c r="L655" s="62"/>
      <c r="M655" s="62"/>
      <c r="N655" s="62"/>
      <c r="O655" s="62"/>
      <c r="P655" s="62"/>
      <c r="Q655" s="62"/>
      <c r="R655" s="62"/>
      <c r="S655" s="62"/>
      <c r="T655" s="62"/>
      <c r="U655" s="74"/>
      <c r="V655" s="62"/>
      <c r="W655" s="74"/>
      <c r="X655" s="62"/>
      <c r="Y655" s="61"/>
      <c r="Z655" s="201"/>
      <c r="AA655" s="201"/>
      <c r="AB655" s="201"/>
      <c r="AC655" s="201"/>
      <c r="AD655" s="201"/>
      <c r="AE655" s="201"/>
      <c r="AF655" s="201"/>
      <c r="AG655" s="201"/>
      <c r="AH655" s="201"/>
      <c r="AI655" s="201"/>
      <c r="AJ655" s="201"/>
      <c r="AK655" s="201"/>
      <c r="AL655" s="201"/>
      <c r="AM655" s="201"/>
      <c r="AN655" s="201"/>
      <c r="AO655" s="201"/>
    </row>
    <row r="656">
      <c r="A656" s="197"/>
      <c r="B656" s="197"/>
      <c r="C656" s="199"/>
      <c r="D656" s="197"/>
      <c r="E656" s="197"/>
      <c r="F656" s="197"/>
      <c r="G656" s="197"/>
      <c r="H656" s="199"/>
      <c r="I656" s="199"/>
      <c r="J656" s="62"/>
      <c r="K656" s="62"/>
      <c r="L656" s="62"/>
      <c r="M656" s="62"/>
      <c r="N656" s="62"/>
      <c r="O656" s="62"/>
      <c r="P656" s="62"/>
      <c r="Q656" s="62"/>
      <c r="R656" s="62"/>
      <c r="S656" s="62"/>
      <c r="T656" s="62"/>
      <c r="U656" s="74"/>
      <c r="V656" s="62"/>
      <c r="W656" s="74"/>
      <c r="X656" s="62"/>
      <c r="Y656" s="61"/>
      <c r="Z656" s="201"/>
      <c r="AA656" s="201"/>
      <c r="AB656" s="201"/>
      <c r="AC656" s="201"/>
      <c r="AD656" s="201"/>
      <c r="AE656" s="201"/>
      <c r="AF656" s="201"/>
      <c r="AG656" s="201"/>
      <c r="AH656" s="201"/>
      <c r="AI656" s="201"/>
      <c r="AJ656" s="201"/>
      <c r="AK656" s="201"/>
      <c r="AL656" s="201"/>
      <c r="AM656" s="201"/>
      <c r="AN656" s="201"/>
      <c r="AO656" s="201"/>
    </row>
    <row r="657">
      <c r="A657" s="197"/>
      <c r="B657" s="197"/>
      <c r="C657" s="199"/>
      <c r="D657" s="197"/>
      <c r="E657" s="197"/>
      <c r="F657" s="197"/>
      <c r="G657" s="197"/>
      <c r="H657" s="199"/>
      <c r="I657" s="199"/>
      <c r="J657" s="62"/>
      <c r="K657" s="62"/>
      <c r="L657" s="62"/>
      <c r="M657" s="62"/>
      <c r="N657" s="62"/>
      <c r="O657" s="62"/>
      <c r="P657" s="62"/>
      <c r="Q657" s="62"/>
      <c r="R657" s="62"/>
      <c r="S657" s="62"/>
      <c r="T657" s="62"/>
      <c r="U657" s="74"/>
      <c r="V657" s="62"/>
      <c r="W657" s="74"/>
      <c r="X657" s="62"/>
      <c r="Y657" s="61"/>
      <c r="Z657" s="201"/>
      <c r="AA657" s="201"/>
      <c r="AB657" s="201"/>
      <c r="AC657" s="201"/>
      <c r="AD657" s="201"/>
      <c r="AE657" s="201"/>
      <c r="AF657" s="201"/>
      <c r="AG657" s="201"/>
      <c r="AH657" s="201"/>
      <c r="AI657" s="201"/>
      <c r="AJ657" s="201"/>
      <c r="AK657" s="201"/>
      <c r="AL657" s="201"/>
      <c r="AM657" s="201"/>
      <c r="AN657" s="201"/>
      <c r="AO657" s="201"/>
    </row>
    <row r="658">
      <c r="A658" s="197"/>
      <c r="B658" s="197"/>
      <c r="C658" s="199"/>
      <c r="D658" s="197"/>
      <c r="E658" s="197"/>
      <c r="F658" s="197"/>
      <c r="G658" s="197"/>
      <c r="H658" s="199"/>
      <c r="I658" s="199"/>
      <c r="J658" s="62"/>
      <c r="K658" s="62"/>
      <c r="L658" s="62"/>
      <c r="M658" s="62"/>
      <c r="N658" s="62"/>
      <c r="O658" s="62"/>
      <c r="P658" s="62"/>
      <c r="Q658" s="62"/>
      <c r="R658" s="62"/>
      <c r="S658" s="62"/>
      <c r="T658" s="62"/>
      <c r="U658" s="74"/>
      <c r="V658" s="62"/>
      <c r="W658" s="74"/>
      <c r="X658" s="62"/>
      <c r="Y658" s="61"/>
      <c r="Z658" s="201"/>
      <c r="AA658" s="201"/>
      <c r="AB658" s="201"/>
      <c r="AC658" s="201"/>
      <c r="AD658" s="201"/>
      <c r="AE658" s="201"/>
      <c r="AF658" s="201"/>
      <c r="AG658" s="201"/>
      <c r="AH658" s="201"/>
      <c r="AI658" s="201"/>
      <c r="AJ658" s="201"/>
      <c r="AK658" s="201"/>
      <c r="AL658" s="201"/>
      <c r="AM658" s="201"/>
      <c r="AN658" s="201"/>
      <c r="AO658" s="201"/>
    </row>
    <row r="659">
      <c r="A659" s="197"/>
      <c r="B659" s="197"/>
      <c r="C659" s="199"/>
      <c r="D659" s="197"/>
      <c r="E659" s="197"/>
      <c r="F659" s="197"/>
      <c r="G659" s="197"/>
      <c r="H659" s="199"/>
      <c r="I659" s="199"/>
      <c r="J659" s="62"/>
      <c r="K659" s="62"/>
      <c r="L659" s="62"/>
      <c r="M659" s="62"/>
      <c r="N659" s="62"/>
      <c r="O659" s="62"/>
      <c r="P659" s="62"/>
      <c r="Q659" s="62"/>
      <c r="R659" s="62"/>
      <c r="S659" s="62"/>
      <c r="T659" s="62"/>
      <c r="U659" s="74"/>
      <c r="V659" s="62"/>
      <c r="W659" s="74"/>
      <c r="X659" s="62"/>
      <c r="Y659" s="61"/>
      <c r="Z659" s="201"/>
      <c r="AA659" s="201"/>
      <c r="AB659" s="201"/>
      <c r="AC659" s="201"/>
      <c r="AD659" s="201"/>
      <c r="AE659" s="201"/>
      <c r="AF659" s="201"/>
      <c r="AG659" s="201"/>
      <c r="AH659" s="201"/>
      <c r="AI659" s="201"/>
      <c r="AJ659" s="201"/>
      <c r="AK659" s="201"/>
      <c r="AL659" s="201"/>
      <c r="AM659" s="201"/>
      <c r="AN659" s="201"/>
      <c r="AO659" s="201"/>
    </row>
    <row r="660">
      <c r="A660" s="197"/>
      <c r="B660" s="197"/>
      <c r="C660" s="199"/>
      <c r="D660" s="197"/>
      <c r="E660" s="197"/>
      <c r="F660" s="197"/>
      <c r="G660" s="197"/>
      <c r="H660" s="199"/>
      <c r="I660" s="199"/>
      <c r="J660" s="62"/>
      <c r="K660" s="62"/>
      <c r="L660" s="62"/>
      <c r="M660" s="62"/>
      <c r="N660" s="62"/>
      <c r="O660" s="62"/>
      <c r="P660" s="62"/>
      <c r="Q660" s="62"/>
      <c r="R660" s="62"/>
      <c r="S660" s="62"/>
      <c r="T660" s="62"/>
      <c r="U660" s="74"/>
      <c r="V660" s="62"/>
      <c r="W660" s="74"/>
      <c r="X660" s="62"/>
      <c r="Y660" s="61"/>
      <c r="Z660" s="201"/>
      <c r="AA660" s="201"/>
      <c r="AB660" s="201"/>
      <c r="AC660" s="201"/>
      <c r="AD660" s="201"/>
      <c r="AE660" s="201"/>
      <c r="AF660" s="201"/>
      <c r="AG660" s="201"/>
      <c r="AH660" s="201"/>
      <c r="AI660" s="201"/>
      <c r="AJ660" s="201"/>
      <c r="AK660" s="201"/>
      <c r="AL660" s="201"/>
      <c r="AM660" s="201"/>
      <c r="AN660" s="201"/>
      <c r="AO660" s="201"/>
    </row>
    <row r="661">
      <c r="A661" s="197"/>
      <c r="B661" s="197"/>
      <c r="C661" s="199"/>
      <c r="D661" s="197"/>
      <c r="E661" s="197"/>
      <c r="F661" s="197"/>
      <c r="G661" s="197"/>
      <c r="H661" s="199"/>
      <c r="I661" s="199"/>
      <c r="J661" s="62"/>
      <c r="K661" s="62"/>
      <c r="L661" s="62"/>
      <c r="M661" s="62"/>
      <c r="N661" s="62"/>
      <c r="O661" s="62"/>
      <c r="P661" s="62"/>
      <c r="Q661" s="62"/>
      <c r="R661" s="62"/>
      <c r="S661" s="62"/>
      <c r="T661" s="62"/>
      <c r="U661" s="74"/>
      <c r="V661" s="62"/>
      <c r="W661" s="74"/>
      <c r="X661" s="62"/>
      <c r="Y661" s="61"/>
      <c r="Z661" s="201"/>
      <c r="AA661" s="201"/>
      <c r="AB661" s="201"/>
      <c r="AC661" s="201"/>
      <c r="AD661" s="201"/>
      <c r="AE661" s="201"/>
      <c r="AF661" s="201"/>
      <c r="AG661" s="201"/>
      <c r="AH661" s="201"/>
      <c r="AI661" s="201"/>
      <c r="AJ661" s="201"/>
      <c r="AK661" s="201"/>
      <c r="AL661" s="201"/>
      <c r="AM661" s="201"/>
      <c r="AN661" s="201"/>
      <c r="AO661" s="201"/>
    </row>
    <row r="662">
      <c r="A662" s="197"/>
      <c r="B662" s="197"/>
      <c r="C662" s="199"/>
      <c r="D662" s="197"/>
      <c r="E662" s="197"/>
      <c r="F662" s="197"/>
      <c r="G662" s="197"/>
      <c r="H662" s="199"/>
      <c r="I662" s="199"/>
      <c r="J662" s="62"/>
      <c r="K662" s="62"/>
      <c r="L662" s="62"/>
      <c r="M662" s="62"/>
      <c r="N662" s="62"/>
      <c r="O662" s="62"/>
      <c r="P662" s="62"/>
      <c r="Q662" s="62"/>
      <c r="R662" s="62"/>
      <c r="S662" s="62"/>
      <c r="T662" s="62"/>
      <c r="U662" s="74"/>
      <c r="V662" s="62"/>
      <c r="W662" s="74"/>
      <c r="X662" s="62"/>
      <c r="Y662" s="61"/>
      <c r="Z662" s="201"/>
      <c r="AA662" s="201"/>
      <c r="AB662" s="201"/>
      <c r="AC662" s="201"/>
      <c r="AD662" s="201"/>
      <c r="AE662" s="201"/>
      <c r="AF662" s="201"/>
      <c r="AG662" s="201"/>
      <c r="AH662" s="201"/>
      <c r="AI662" s="201"/>
      <c r="AJ662" s="201"/>
      <c r="AK662" s="201"/>
      <c r="AL662" s="201"/>
      <c r="AM662" s="201"/>
      <c r="AN662" s="201"/>
      <c r="AO662" s="201"/>
    </row>
    <row r="663">
      <c r="A663" s="197"/>
      <c r="B663" s="197"/>
      <c r="C663" s="199"/>
      <c r="D663" s="197"/>
      <c r="E663" s="197"/>
      <c r="F663" s="197"/>
      <c r="G663" s="197"/>
      <c r="H663" s="199"/>
      <c r="I663" s="199"/>
      <c r="J663" s="62"/>
      <c r="K663" s="62"/>
      <c r="L663" s="62"/>
      <c r="M663" s="62"/>
      <c r="N663" s="62"/>
      <c r="O663" s="62"/>
      <c r="P663" s="62"/>
      <c r="Q663" s="62"/>
      <c r="R663" s="62"/>
      <c r="S663" s="62"/>
      <c r="T663" s="62"/>
      <c r="U663" s="74"/>
      <c r="V663" s="62"/>
      <c r="W663" s="74"/>
      <c r="X663" s="62"/>
      <c r="Y663" s="61"/>
      <c r="Z663" s="201"/>
      <c r="AA663" s="201"/>
      <c r="AB663" s="201"/>
      <c r="AC663" s="201"/>
      <c r="AD663" s="201"/>
      <c r="AE663" s="201"/>
      <c r="AF663" s="201"/>
      <c r="AG663" s="201"/>
      <c r="AH663" s="201"/>
      <c r="AI663" s="201"/>
      <c r="AJ663" s="201"/>
      <c r="AK663" s="201"/>
      <c r="AL663" s="201"/>
      <c r="AM663" s="201"/>
      <c r="AN663" s="201"/>
      <c r="AO663" s="201"/>
    </row>
    <row r="664">
      <c r="A664" s="197"/>
      <c r="B664" s="197"/>
      <c r="C664" s="199"/>
      <c r="D664" s="197"/>
      <c r="E664" s="197"/>
      <c r="F664" s="197"/>
      <c r="G664" s="197"/>
      <c r="H664" s="199"/>
      <c r="I664" s="199"/>
      <c r="J664" s="62"/>
      <c r="K664" s="62"/>
      <c r="L664" s="62"/>
      <c r="M664" s="62"/>
      <c r="N664" s="62"/>
      <c r="O664" s="62"/>
      <c r="P664" s="62"/>
      <c r="Q664" s="62"/>
      <c r="R664" s="62"/>
      <c r="S664" s="62"/>
      <c r="T664" s="62"/>
      <c r="U664" s="74"/>
      <c r="V664" s="62"/>
      <c r="W664" s="74"/>
      <c r="X664" s="62"/>
      <c r="Y664" s="61"/>
      <c r="Z664" s="201"/>
      <c r="AA664" s="201"/>
      <c r="AB664" s="201"/>
      <c r="AC664" s="201"/>
      <c r="AD664" s="201"/>
      <c r="AE664" s="201"/>
      <c r="AF664" s="201"/>
      <c r="AG664" s="201"/>
      <c r="AH664" s="201"/>
      <c r="AI664" s="201"/>
      <c r="AJ664" s="201"/>
      <c r="AK664" s="201"/>
      <c r="AL664" s="201"/>
      <c r="AM664" s="201"/>
      <c r="AN664" s="201"/>
      <c r="AO664" s="201"/>
    </row>
    <row r="665">
      <c r="A665" s="197"/>
      <c r="B665" s="197"/>
      <c r="C665" s="199"/>
      <c r="D665" s="197"/>
      <c r="E665" s="197"/>
      <c r="F665" s="197"/>
      <c r="G665" s="197"/>
      <c r="H665" s="199"/>
      <c r="I665" s="199"/>
      <c r="J665" s="62"/>
      <c r="K665" s="62"/>
      <c r="L665" s="62"/>
      <c r="M665" s="62"/>
      <c r="N665" s="62"/>
      <c r="O665" s="62"/>
      <c r="P665" s="62"/>
      <c r="Q665" s="62"/>
      <c r="R665" s="62"/>
      <c r="S665" s="62"/>
      <c r="T665" s="62"/>
      <c r="U665" s="74"/>
      <c r="V665" s="62"/>
      <c r="W665" s="74"/>
      <c r="X665" s="62"/>
      <c r="Y665" s="61"/>
      <c r="Z665" s="201"/>
      <c r="AA665" s="201"/>
      <c r="AB665" s="201"/>
      <c r="AC665" s="201"/>
      <c r="AD665" s="201"/>
      <c r="AE665" s="201"/>
      <c r="AF665" s="201"/>
      <c r="AG665" s="201"/>
      <c r="AH665" s="201"/>
      <c r="AI665" s="201"/>
      <c r="AJ665" s="201"/>
      <c r="AK665" s="201"/>
      <c r="AL665" s="201"/>
      <c r="AM665" s="201"/>
      <c r="AN665" s="201"/>
      <c r="AO665" s="201"/>
    </row>
    <row r="666">
      <c r="A666" s="197"/>
      <c r="B666" s="197"/>
      <c r="C666" s="199"/>
      <c r="D666" s="197"/>
      <c r="E666" s="197"/>
      <c r="F666" s="197"/>
      <c r="G666" s="197"/>
      <c r="H666" s="199"/>
      <c r="I666" s="199"/>
      <c r="J666" s="62"/>
      <c r="K666" s="62"/>
      <c r="L666" s="62"/>
      <c r="M666" s="62"/>
      <c r="N666" s="62"/>
      <c r="O666" s="62"/>
      <c r="P666" s="62"/>
      <c r="Q666" s="62"/>
      <c r="R666" s="62"/>
      <c r="S666" s="62"/>
      <c r="T666" s="62"/>
      <c r="U666" s="74"/>
      <c r="V666" s="62"/>
      <c r="W666" s="74"/>
      <c r="X666" s="62"/>
      <c r="Y666" s="61"/>
      <c r="Z666" s="201"/>
      <c r="AA666" s="201"/>
      <c r="AB666" s="201"/>
      <c r="AC666" s="201"/>
      <c r="AD666" s="201"/>
      <c r="AE666" s="201"/>
      <c r="AF666" s="201"/>
      <c r="AG666" s="201"/>
      <c r="AH666" s="201"/>
      <c r="AI666" s="201"/>
      <c r="AJ666" s="201"/>
      <c r="AK666" s="201"/>
      <c r="AL666" s="201"/>
      <c r="AM666" s="201"/>
      <c r="AN666" s="201"/>
      <c r="AO666" s="201"/>
    </row>
    <row r="667">
      <c r="A667" s="197"/>
      <c r="B667" s="197"/>
      <c r="C667" s="199"/>
      <c r="D667" s="197"/>
      <c r="E667" s="197"/>
      <c r="F667" s="197"/>
      <c r="G667" s="197"/>
      <c r="H667" s="199"/>
      <c r="I667" s="199"/>
      <c r="J667" s="62"/>
      <c r="K667" s="62"/>
      <c r="L667" s="62"/>
      <c r="M667" s="62"/>
      <c r="N667" s="62"/>
      <c r="O667" s="62"/>
      <c r="P667" s="62"/>
      <c r="Q667" s="62"/>
      <c r="R667" s="62"/>
      <c r="S667" s="62"/>
      <c r="T667" s="62"/>
      <c r="U667" s="74"/>
      <c r="V667" s="62"/>
      <c r="W667" s="74"/>
      <c r="X667" s="62"/>
      <c r="Y667" s="61"/>
      <c r="Z667" s="201"/>
      <c r="AA667" s="201"/>
      <c r="AB667" s="201"/>
      <c r="AC667" s="201"/>
      <c r="AD667" s="201"/>
      <c r="AE667" s="201"/>
      <c r="AF667" s="201"/>
      <c r="AG667" s="201"/>
      <c r="AH667" s="201"/>
      <c r="AI667" s="201"/>
      <c r="AJ667" s="201"/>
      <c r="AK667" s="201"/>
      <c r="AL667" s="201"/>
      <c r="AM667" s="201"/>
      <c r="AN667" s="201"/>
      <c r="AO667" s="201"/>
    </row>
    <row r="668">
      <c r="A668" s="197"/>
      <c r="B668" s="197"/>
      <c r="C668" s="199"/>
      <c r="D668" s="197"/>
      <c r="E668" s="197"/>
      <c r="F668" s="197"/>
      <c r="G668" s="197"/>
      <c r="H668" s="199"/>
      <c r="I668" s="199"/>
      <c r="J668" s="62"/>
      <c r="K668" s="62"/>
      <c r="L668" s="62"/>
      <c r="M668" s="62"/>
      <c r="N668" s="62"/>
      <c r="O668" s="62"/>
      <c r="P668" s="62"/>
      <c r="Q668" s="62"/>
      <c r="R668" s="62"/>
      <c r="S668" s="62"/>
      <c r="T668" s="62"/>
      <c r="U668" s="74"/>
      <c r="V668" s="62"/>
      <c r="W668" s="74"/>
      <c r="X668" s="62"/>
      <c r="Y668" s="61"/>
      <c r="Z668" s="201"/>
      <c r="AA668" s="201"/>
      <c r="AB668" s="201"/>
      <c r="AC668" s="201"/>
      <c r="AD668" s="201"/>
      <c r="AE668" s="201"/>
      <c r="AF668" s="201"/>
      <c r="AG668" s="201"/>
      <c r="AH668" s="201"/>
      <c r="AI668" s="201"/>
      <c r="AJ668" s="201"/>
      <c r="AK668" s="201"/>
      <c r="AL668" s="201"/>
      <c r="AM668" s="201"/>
      <c r="AN668" s="201"/>
      <c r="AO668" s="201"/>
    </row>
    <row r="669">
      <c r="A669" s="197"/>
      <c r="B669" s="197"/>
      <c r="C669" s="199"/>
      <c r="D669" s="197"/>
      <c r="E669" s="197"/>
      <c r="F669" s="197"/>
      <c r="G669" s="197"/>
      <c r="H669" s="199"/>
      <c r="I669" s="199"/>
      <c r="J669" s="62"/>
      <c r="K669" s="62"/>
      <c r="L669" s="62"/>
      <c r="M669" s="62"/>
      <c r="N669" s="62"/>
      <c r="O669" s="62"/>
      <c r="P669" s="62"/>
      <c r="Q669" s="62"/>
      <c r="R669" s="62"/>
      <c r="S669" s="62"/>
      <c r="T669" s="62"/>
      <c r="U669" s="74"/>
      <c r="V669" s="62"/>
      <c r="W669" s="74"/>
      <c r="X669" s="62"/>
      <c r="Y669" s="61"/>
      <c r="Z669" s="201"/>
      <c r="AA669" s="201"/>
      <c r="AB669" s="201"/>
      <c r="AC669" s="201"/>
      <c r="AD669" s="201"/>
      <c r="AE669" s="201"/>
      <c r="AF669" s="201"/>
      <c r="AG669" s="201"/>
      <c r="AH669" s="201"/>
      <c r="AI669" s="201"/>
      <c r="AJ669" s="201"/>
      <c r="AK669" s="201"/>
      <c r="AL669" s="201"/>
      <c r="AM669" s="201"/>
      <c r="AN669" s="201"/>
      <c r="AO669" s="201"/>
    </row>
    <row r="670">
      <c r="A670" s="197"/>
      <c r="B670" s="197"/>
      <c r="C670" s="199"/>
      <c r="D670" s="197"/>
      <c r="E670" s="197"/>
      <c r="F670" s="197"/>
      <c r="G670" s="197"/>
      <c r="H670" s="199"/>
      <c r="I670" s="199"/>
      <c r="J670" s="62"/>
      <c r="K670" s="62"/>
      <c r="L670" s="62"/>
      <c r="M670" s="62"/>
      <c r="N670" s="62"/>
      <c r="O670" s="62"/>
      <c r="P670" s="62"/>
      <c r="Q670" s="62"/>
      <c r="R670" s="62"/>
      <c r="S670" s="62"/>
      <c r="T670" s="62"/>
      <c r="U670" s="74"/>
      <c r="V670" s="62"/>
      <c r="W670" s="74"/>
      <c r="X670" s="62"/>
      <c r="Y670" s="61"/>
      <c r="Z670" s="201"/>
      <c r="AA670" s="201"/>
      <c r="AB670" s="201"/>
      <c r="AC670" s="201"/>
      <c r="AD670" s="201"/>
      <c r="AE670" s="201"/>
      <c r="AF670" s="201"/>
      <c r="AG670" s="201"/>
      <c r="AH670" s="201"/>
      <c r="AI670" s="201"/>
      <c r="AJ670" s="201"/>
      <c r="AK670" s="201"/>
      <c r="AL670" s="201"/>
      <c r="AM670" s="201"/>
      <c r="AN670" s="201"/>
      <c r="AO670" s="201"/>
    </row>
    <row r="671">
      <c r="A671" s="197"/>
      <c r="B671" s="197"/>
      <c r="C671" s="199"/>
      <c r="D671" s="197"/>
      <c r="E671" s="197"/>
      <c r="F671" s="197"/>
      <c r="G671" s="197"/>
      <c r="H671" s="199"/>
      <c r="I671" s="199"/>
      <c r="J671" s="62"/>
      <c r="K671" s="62"/>
      <c r="L671" s="62"/>
      <c r="M671" s="62"/>
      <c r="N671" s="62"/>
      <c r="O671" s="62"/>
      <c r="P671" s="62"/>
      <c r="Q671" s="62"/>
      <c r="R671" s="62"/>
      <c r="S671" s="62"/>
      <c r="T671" s="62"/>
      <c r="U671" s="74"/>
      <c r="V671" s="62"/>
      <c r="W671" s="74"/>
      <c r="X671" s="62"/>
      <c r="Y671" s="61"/>
      <c r="Z671" s="201"/>
      <c r="AA671" s="201"/>
      <c r="AB671" s="201"/>
      <c r="AC671" s="201"/>
      <c r="AD671" s="201"/>
      <c r="AE671" s="201"/>
      <c r="AF671" s="201"/>
      <c r="AG671" s="201"/>
      <c r="AH671" s="201"/>
      <c r="AI671" s="201"/>
      <c r="AJ671" s="201"/>
      <c r="AK671" s="201"/>
      <c r="AL671" s="201"/>
      <c r="AM671" s="201"/>
      <c r="AN671" s="201"/>
      <c r="AO671" s="201"/>
    </row>
    <row r="672">
      <c r="A672" s="197"/>
      <c r="B672" s="197"/>
      <c r="C672" s="199"/>
      <c r="D672" s="197"/>
      <c r="E672" s="197"/>
      <c r="F672" s="197"/>
      <c r="G672" s="197"/>
      <c r="H672" s="199"/>
      <c r="I672" s="199"/>
      <c r="J672" s="62"/>
      <c r="K672" s="62"/>
      <c r="L672" s="62"/>
      <c r="M672" s="62"/>
      <c r="N672" s="62"/>
      <c r="O672" s="62"/>
      <c r="P672" s="62"/>
      <c r="Q672" s="62"/>
      <c r="R672" s="62"/>
      <c r="S672" s="62"/>
      <c r="T672" s="62"/>
      <c r="U672" s="74"/>
      <c r="V672" s="62"/>
      <c r="W672" s="74"/>
      <c r="X672" s="62"/>
      <c r="Y672" s="61"/>
      <c r="Z672" s="201"/>
      <c r="AA672" s="201"/>
      <c r="AB672" s="201"/>
      <c r="AC672" s="201"/>
      <c r="AD672" s="201"/>
      <c r="AE672" s="201"/>
      <c r="AF672" s="201"/>
      <c r="AG672" s="201"/>
      <c r="AH672" s="201"/>
      <c r="AI672" s="201"/>
      <c r="AJ672" s="201"/>
      <c r="AK672" s="201"/>
      <c r="AL672" s="201"/>
      <c r="AM672" s="201"/>
      <c r="AN672" s="201"/>
      <c r="AO672" s="201"/>
    </row>
    <row r="673">
      <c r="A673" s="197"/>
      <c r="B673" s="197"/>
      <c r="C673" s="199"/>
      <c r="D673" s="197"/>
      <c r="E673" s="197"/>
      <c r="F673" s="197"/>
      <c r="G673" s="197"/>
      <c r="H673" s="199"/>
      <c r="I673" s="199"/>
      <c r="J673" s="62"/>
      <c r="K673" s="62"/>
      <c r="L673" s="62"/>
      <c r="M673" s="62"/>
      <c r="N673" s="62"/>
      <c r="O673" s="62"/>
      <c r="P673" s="62"/>
      <c r="Q673" s="62"/>
      <c r="R673" s="62"/>
      <c r="S673" s="62"/>
      <c r="T673" s="62"/>
      <c r="U673" s="74"/>
      <c r="V673" s="62"/>
      <c r="W673" s="74"/>
      <c r="X673" s="62"/>
      <c r="Y673" s="61"/>
      <c r="Z673" s="201"/>
      <c r="AA673" s="201"/>
      <c r="AB673" s="201"/>
      <c r="AC673" s="201"/>
      <c r="AD673" s="201"/>
      <c r="AE673" s="201"/>
      <c r="AF673" s="201"/>
      <c r="AG673" s="201"/>
      <c r="AH673" s="201"/>
      <c r="AI673" s="201"/>
      <c r="AJ673" s="201"/>
      <c r="AK673" s="201"/>
      <c r="AL673" s="201"/>
      <c r="AM673" s="201"/>
      <c r="AN673" s="201"/>
      <c r="AO673" s="201"/>
    </row>
    <row r="674">
      <c r="A674" s="197"/>
      <c r="B674" s="197"/>
      <c r="C674" s="199"/>
      <c r="D674" s="197"/>
      <c r="E674" s="197"/>
      <c r="F674" s="197"/>
      <c r="G674" s="197"/>
      <c r="H674" s="199"/>
      <c r="I674" s="199"/>
      <c r="J674" s="62"/>
      <c r="K674" s="62"/>
      <c r="L674" s="62"/>
      <c r="M674" s="62"/>
      <c r="N674" s="62"/>
      <c r="O674" s="62"/>
      <c r="P674" s="62"/>
      <c r="Q674" s="62"/>
      <c r="R674" s="62"/>
      <c r="S674" s="62"/>
      <c r="T674" s="62"/>
      <c r="U674" s="74"/>
      <c r="V674" s="62"/>
      <c r="W674" s="74"/>
      <c r="X674" s="62"/>
      <c r="Y674" s="61"/>
      <c r="Z674" s="201"/>
      <c r="AA674" s="201"/>
      <c r="AB674" s="201"/>
      <c r="AC674" s="201"/>
      <c r="AD674" s="201"/>
      <c r="AE674" s="201"/>
      <c r="AF674" s="201"/>
      <c r="AG674" s="201"/>
      <c r="AH674" s="201"/>
      <c r="AI674" s="201"/>
      <c r="AJ674" s="201"/>
      <c r="AK674" s="201"/>
      <c r="AL674" s="201"/>
      <c r="AM674" s="201"/>
      <c r="AN674" s="201"/>
      <c r="AO674" s="201"/>
    </row>
    <row r="675">
      <c r="A675" s="197"/>
      <c r="B675" s="197"/>
      <c r="C675" s="199"/>
      <c r="D675" s="197"/>
      <c r="E675" s="197"/>
      <c r="F675" s="197"/>
      <c r="G675" s="197"/>
      <c r="H675" s="199"/>
      <c r="I675" s="199"/>
      <c r="J675" s="62"/>
      <c r="K675" s="62"/>
      <c r="L675" s="62"/>
      <c r="M675" s="62"/>
      <c r="N675" s="62"/>
      <c r="O675" s="62"/>
      <c r="P675" s="62"/>
      <c r="Q675" s="62"/>
      <c r="R675" s="62"/>
      <c r="S675" s="62"/>
      <c r="T675" s="62"/>
      <c r="U675" s="74"/>
      <c r="V675" s="62"/>
      <c r="W675" s="74"/>
      <c r="X675" s="62"/>
      <c r="Y675" s="61"/>
      <c r="Z675" s="201"/>
      <c r="AA675" s="201"/>
      <c r="AB675" s="201"/>
      <c r="AC675" s="201"/>
      <c r="AD675" s="201"/>
      <c r="AE675" s="201"/>
      <c r="AF675" s="201"/>
      <c r="AG675" s="201"/>
      <c r="AH675" s="201"/>
      <c r="AI675" s="201"/>
      <c r="AJ675" s="201"/>
      <c r="AK675" s="201"/>
      <c r="AL675" s="201"/>
      <c r="AM675" s="201"/>
      <c r="AN675" s="201"/>
      <c r="AO675" s="201"/>
    </row>
    <row r="676">
      <c r="A676" s="197"/>
      <c r="B676" s="197"/>
      <c r="C676" s="199"/>
      <c r="D676" s="197"/>
      <c r="E676" s="197"/>
      <c r="F676" s="197"/>
      <c r="G676" s="197"/>
      <c r="H676" s="199"/>
      <c r="I676" s="199"/>
      <c r="J676" s="62"/>
      <c r="K676" s="62"/>
      <c r="L676" s="62"/>
      <c r="M676" s="62"/>
      <c r="N676" s="62"/>
      <c r="O676" s="62"/>
      <c r="P676" s="62"/>
      <c r="Q676" s="62"/>
      <c r="R676" s="62"/>
      <c r="S676" s="62"/>
      <c r="T676" s="62"/>
      <c r="U676" s="74"/>
      <c r="V676" s="62"/>
      <c r="W676" s="74"/>
      <c r="X676" s="62"/>
      <c r="Y676" s="61"/>
      <c r="Z676" s="201"/>
      <c r="AA676" s="201"/>
      <c r="AB676" s="201"/>
      <c r="AC676" s="201"/>
      <c r="AD676" s="201"/>
      <c r="AE676" s="201"/>
      <c r="AF676" s="201"/>
      <c r="AG676" s="201"/>
      <c r="AH676" s="201"/>
      <c r="AI676" s="201"/>
      <c r="AJ676" s="201"/>
      <c r="AK676" s="201"/>
      <c r="AL676" s="201"/>
      <c r="AM676" s="201"/>
      <c r="AN676" s="201"/>
      <c r="AO676" s="201"/>
    </row>
    <row r="677">
      <c r="A677" s="197"/>
      <c r="B677" s="197"/>
      <c r="C677" s="199"/>
      <c r="D677" s="197"/>
      <c r="E677" s="197"/>
      <c r="F677" s="197"/>
      <c r="G677" s="197"/>
      <c r="H677" s="199"/>
      <c r="I677" s="199"/>
      <c r="J677" s="62"/>
      <c r="K677" s="62"/>
      <c r="L677" s="62"/>
      <c r="M677" s="62"/>
      <c r="N677" s="62"/>
      <c r="O677" s="62"/>
      <c r="P677" s="62"/>
      <c r="Q677" s="62"/>
      <c r="R677" s="62"/>
      <c r="S677" s="62"/>
      <c r="T677" s="62"/>
      <c r="U677" s="74"/>
      <c r="V677" s="62"/>
      <c r="W677" s="74"/>
      <c r="X677" s="62"/>
      <c r="Y677" s="61"/>
      <c r="Z677" s="201"/>
      <c r="AA677" s="201"/>
      <c r="AB677" s="201"/>
      <c r="AC677" s="201"/>
      <c r="AD677" s="201"/>
      <c r="AE677" s="201"/>
      <c r="AF677" s="201"/>
      <c r="AG677" s="201"/>
      <c r="AH677" s="201"/>
      <c r="AI677" s="201"/>
      <c r="AJ677" s="201"/>
      <c r="AK677" s="201"/>
      <c r="AL677" s="201"/>
      <c r="AM677" s="201"/>
      <c r="AN677" s="201"/>
      <c r="AO677" s="201"/>
    </row>
    <row r="678">
      <c r="A678" s="197"/>
      <c r="B678" s="197"/>
      <c r="C678" s="199"/>
      <c r="D678" s="197"/>
      <c r="E678" s="197"/>
      <c r="F678" s="197"/>
      <c r="G678" s="197"/>
      <c r="H678" s="199"/>
      <c r="I678" s="199"/>
      <c r="J678" s="62"/>
      <c r="K678" s="62"/>
      <c r="L678" s="62"/>
      <c r="M678" s="62"/>
      <c r="N678" s="62"/>
      <c r="O678" s="62"/>
      <c r="P678" s="62"/>
      <c r="Q678" s="62"/>
      <c r="R678" s="62"/>
      <c r="S678" s="62"/>
      <c r="T678" s="62"/>
      <c r="U678" s="74"/>
      <c r="V678" s="62"/>
      <c r="W678" s="74"/>
      <c r="X678" s="62"/>
      <c r="Y678" s="61"/>
      <c r="Z678" s="201"/>
      <c r="AA678" s="201"/>
      <c r="AB678" s="201"/>
      <c r="AC678" s="201"/>
      <c r="AD678" s="201"/>
      <c r="AE678" s="201"/>
      <c r="AF678" s="201"/>
      <c r="AG678" s="201"/>
      <c r="AH678" s="201"/>
      <c r="AI678" s="201"/>
      <c r="AJ678" s="201"/>
      <c r="AK678" s="201"/>
      <c r="AL678" s="201"/>
      <c r="AM678" s="201"/>
      <c r="AN678" s="201"/>
      <c r="AO678" s="201"/>
    </row>
    <row r="679">
      <c r="A679" s="197"/>
      <c r="B679" s="197"/>
      <c r="C679" s="199"/>
      <c r="D679" s="197"/>
      <c r="E679" s="197"/>
      <c r="F679" s="197"/>
      <c r="G679" s="197"/>
      <c r="H679" s="199"/>
      <c r="I679" s="199"/>
      <c r="J679" s="62"/>
      <c r="K679" s="62"/>
      <c r="L679" s="62"/>
      <c r="M679" s="62"/>
      <c r="N679" s="62"/>
      <c r="O679" s="62"/>
      <c r="P679" s="62"/>
      <c r="Q679" s="62"/>
      <c r="R679" s="62"/>
      <c r="S679" s="62"/>
      <c r="T679" s="62"/>
      <c r="U679" s="74"/>
      <c r="V679" s="62"/>
      <c r="W679" s="74"/>
      <c r="X679" s="62"/>
      <c r="Y679" s="61"/>
      <c r="Z679" s="201"/>
      <c r="AA679" s="201"/>
      <c r="AB679" s="201"/>
      <c r="AC679" s="201"/>
      <c r="AD679" s="201"/>
      <c r="AE679" s="201"/>
      <c r="AF679" s="201"/>
      <c r="AG679" s="201"/>
      <c r="AH679" s="201"/>
      <c r="AI679" s="201"/>
      <c r="AJ679" s="201"/>
      <c r="AK679" s="201"/>
      <c r="AL679" s="201"/>
      <c r="AM679" s="201"/>
      <c r="AN679" s="201"/>
      <c r="AO679" s="201"/>
    </row>
    <row r="680">
      <c r="A680" s="197"/>
      <c r="B680" s="197"/>
      <c r="C680" s="199"/>
      <c r="D680" s="197"/>
      <c r="E680" s="197"/>
      <c r="F680" s="197"/>
      <c r="G680" s="197"/>
      <c r="H680" s="199"/>
      <c r="I680" s="199"/>
      <c r="J680" s="62"/>
      <c r="K680" s="62"/>
      <c r="L680" s="62"/>
      <c r="M680" s="62"/>
      <c r="N680" s="62"/>
      <c r="O680" s="62"/>
      <c r="P680" s="62"/>
      <c r="Q680" s="62"/>
      <c r="R680" s="62"/>
      <c r="S680" s="62"/>
      <c r="T680" s="62"/>
      <c r="U680" s="74"/>
      <c r="V680" s="62"/>
      <c r="W680" s="74"/>
      <c r="X680" s="62"/>
      <c r="Y680" s="61"/>
      <c r="Z680" s="201"/>
      <c r="AA680" s="201"/>
      <c r="AB680" s="201"/>
      <c r="AC680" s="201"/>
      <c r="AD680" s="201"/>
      <c r="AE680" s="201"/>
      <c r="AF680" s="201"/>
      <c r="AG680" s="201"/>
      <c r="AH680" s="201"/>
      <c r="AI680" s="201"/>
      <c r="AJ680" s="201"/>
      <c r="AK680" s="201"/>
      <c r="AL680" s="201"/>
      <c r="AM680" s="201"/>
      <c r="AN680" s="201"/>
      <c r="AO680" s="201"/>
    </row>
    <row r="681">
      <c r="A681" s="197"/>
      <c r="B681" s="197"/>
      <c r="C681" s="199"/>
      <c r="D681" s="197"/>
      <c r="E681" s="197"/>
      <c r="F681" s="197"/>
      <c r="G681" s="197"/>
      <c r="H681" s="199"/>
      <c r="I681" s="199"/>
      <c r="J681" s="62"/>
      <c r="K681" s="62"/>
      <c r="L681" s="62"/>
      <c r="M681" s="62"/>
      <c r="N681" s="62"/>
      <c r="O681" s="62"/>
      <c r="P681" s="62"/>
      <c r="Q681" s="62"/>
      <c r="R681" s="62"/>
      <c r="S681" s="62"/>
      <c r="T681" s="62"/>
      <c r="U681" s="74"/>
      <c r="V681" s="62"/>
      <c r="W681" s="74"/>
      <c r="X681" s="62"/>
      <c r="Y681" s="61"/>
      <c r="Z681" s="201"/>
      <c r="AA681" s="201"/>
      <c r="AB681" s="201"/>
      <c r="AC681" s="201"/>
      <c r="AD681" s="201"/>
      <c r="AE681" s="201"/>
      <c r="AF681" s="201"/>
      <c r="AG681" s="201"/>
      <c r="AH681" s="201"/>
      <c r="AI681" s="201"/>
      <c r="AJ681" s="201"/>
      <c r="AK681" s="201"/>
      <c r="AL681" s="201"/>
      <c r="AM681" s="201"/>
      <c r="AN681" s="201"/>
      <c r="AO681" s="201"/>
    </row>
    <row r="682">
      <c r="A682" s="197"/>
      <c r="B682" s="197"/>
      <c r="C682" s="199"/>
      <c r="D682" s="197"/>
      <c r="E682" s="197"/>
      <c r="F682" s="197"/>
      <c r="G682" s="197"/>
      <c r="H682" s="199"/>
      <c r="I682" s="199"/>
      <c r="J682" s="62"/>
      <c r="K682" s="62"/>
      <c r="L682" s="62"/>
      <c r="M682" s="62"/>
      <c r="N682" s="62"/>
      <c r="O682" s="62"/>
      <c r="P682" s="62"/>
      <c r="Q682" s="62"/>
      <c r="R682" s="62"/>
      <c r="S682" s="62"/>
      <c r="T682" s="62"/>
      <c r="U682" s="74"/>
      <c r="V682" s="62"/>
      <c r="W682" s="74"/>
      <c r="X682" s="62"/>
      <c r="Y682" s="61"/>
      <c r="Z682" s="201"/>
      <c r="AA682" s="201"/>
      <c r="AB682" s="201"/>
      <c r="AC682" s="201"/>
      <c r="AD682" s="201"/>
      <c r="AE682" s="201"/>
      <c r="AF682" s="201"/>
      <c r="AG682" s="201"/>
      <c r="AH682" s="201"/>
      <c r="AI682" s="201"/>
      <c r="AJ682" s="201"/>
      <c r="AK682" s="201"/>
      <c r="AL682" s="201"/>
      <c r="AM682" s="201"/>
      <c r="AN682" s="201"/>
      <c r="AO682" s="201"/>
    </row>
    <row r="683">
      <c r="A683" s="197"/>
      <c r="B683" s="197"/>
      <c r="C683" s="199"/>
      <c r="D683" s="197"/>
      <c r="E683" s="197"/>
      <c r="F683" s="197"/>
      <c r="G683" s="197"/>
      <c r="H683" s="199"/>
      <c r="I683" s="199"/>
      <c r="J683" s="62"/>
      <c r="K683" s="62"/>
      <c r="L683" s="62"/>
      <c r="M683" s="62"/>
      <c r="N683" s="62"/>
      <c r="O683" s="62"/>
      <c r="P683" s="62"/>
      <c r="Q683" s="62"/>
      <c r="R683" s="62"/>
      <c r="S683" s="62"/>
      <c r="T683" s="62"/>
      <c r="U683" s="74"/>
      <c r="V683" s="62"/>
      <c r="W683" s="74"/>
      <c r="X683" s="62"/>
      <c r="Y683" s="61"/>
      <c r="Z683" s="201"/>
      <c r="AA683" s="201"/>
      <c r="AB683" s="201"/>
      <c r="AC683" s="201"/>
      <c r="AD683" s="201"/>
      <c r="AE683" s="201"/>
      <c r="AF683" s="201"/>
      <c r="AG683" s="201"/>
      <c r="AH683" s="201"/>
      <c r="AI683" s="201"/>
      <c r="AJ683" s="201"/>
      <c r="AK683" s="201"/>
      <c r="AL683" s="201"/>
      <c r="AM683" s="201"/>
      <c r="AN683" s="201"/>
      <c r="AO683" s="201"/>
    </row>
    <row r="684">
      <c r="A684" s="197"/>
      <c r="B684" s="197"/>
      <c r="C684" s="199"/>
      <c r="D684" s="197"/>
      <c r="E684" s="197"/>
      <c r="F684" s="197"/>
      <c r="G684" s="197"/>
      <c r="H684" s="199"/>
      <c r="I684" s="199"/>
      <c r="J684" s="62"/>
      <c r="K684" s="62"/>
      <c r="L684" s="62"/>
      <c r="M684" s="62"/>
      <c r="N684" s="62"/>
      <c r="O684" s="62"/>
      <c r="P684" s="62"/>
      <c r="Q684" s="62"/>
      <c r="R684" s="62"/>
      <c r="S684" s="62"/>
      <c r="T684" s="62"/>
      <c r="U684" s="74"/>
      <c r="V684" s="62"/>
      <c r="W684" s="74"/>
      <c r="X684" s="62"/>
      <c r="Y684" s="61"/>
      <c r="Z684" s="201"/>
      <c r="AA684" s="201"/>
      <c r="AB684" s="201"/>
      <c r="AC684" s="201"/>
      <c r="AD684" s="201"/>
      <c r="AE684" s="201"/>
      <c r="AF684" s="201"/>
      <c r="AG684" s="201"/>
      <c r="AH684" s="201"/>
      <c r="AI684" s="201"/>
      <c r="AJ684" s="201"/>
      <c r="AK684" s="201"/>
      <c r="AL684" s="201"/>
      <c r="AM684" s="201"/>
      <c r="AN684" s="201"/>
      <c r="AO684" s="201"/>
    </row>
    <row r="685">
      <c r="A685" s="197"/>
      <c r="B685" s="197"/>
      <c r="C685" s="199"/>
      <c r="D685" s="197"/>
      <c r="E685" s="197"/>
      <c r="F685" s="197"/>
      <c r="G685" s="197"/>
      <c r="H685" s="199"/>
      <c r="I685" s="199"/>
      <c r="J685" s="62"/>
      <c r="K685" s="62"/>
      <c r="L685" s="62"/>
      <c r="M685" s="62"/>
      <c r="N685" s="62"/>
      <c r="O685" s="62"/>
      <c r="P685" s="62"/>
      <c r="Q685" s="62"/>
      <c r="R685" s="62"/>
      <c r="S685" s="62"/>
      <c r="T685" s="62"/>
      <c r="U685" s="74"/>
      <c r="V685" s="62"/>
      <c r="W685" s="74"/>
      <c r="X685" s="62"/>
      <c r="Y685" s="61"/>
      <c r="Z685" s="201"/>
      <c r="AA685" s="201"/>
      <c r="AB685" s="201"/>
      <c r="AC685" s="201"/>
      <c r="AD685" s="201"/>
      <c r="AE685" s="201"/>
      <c r="AF685" s="201"/>
      <c r="AG685" s="201"/>
      <c r="AH685" s="201"/>
      <c r="AI685" s="201"/>
      <c r="AJ685" s="201"/>
      <c r="AK685" s="201"/>
      <c r="AL685" s="201"/>
      <c r="AM685" s="201"/>
      <c r="AN685" s="201"/>
      <c r="AO685" s="201"/>
    </row>
    <row r="686">
      <c r="A686" s="197"/>
      <c r="B686" s="197"/>
      <c r="C686" s="199"/>
      <c r="D686" s="197"/>
      <c r="E686" s="197"/>
      <c r="F686" s="197"/>
      <c r="G686" s="197"/>
      <c r="H686" s="199"/>
      <c r="I686" s="199"/>
      <c r="J686" s="62"/>
      <c r="K686" s="62"/>
      <c r="L686" s="62"/>
      <c r="M686" s="62"/>
      <c r="N686" s="62"/>
      <c r="O686" s="62"/>
      <c r="P686" s="62"/>
      <c r="Q686" s="62"/>
      <c r="R686" s="62"/>
      <c r="S686" s="62"/>
      <c r="T686" s="62"/>
      <c r="U686" s="74"/>
      <c r="V686" s="62"/>
      <c r="W686" s="74"/>
      <c r="X686" s="62"/>
      <c r="Y686" s="61"/>
      <c r="Z686" s="201"/>
      <c r="AA686" s="201"/>
      <c r="AB686" s="201"/>
      <c r="AC686" s="201"/>
      <c r="AD686" s="201"/>
      <c r="AE686" s="201"/>
      <c r="AF686" s="201"/>
      <c r="AG686" s="201"/>
      <c r="AH686" s="201"/>
      <c r="AI686" s="201"/>
      <c r="AJ686" s="201"/>
      <c r="AK686" s="201"/>
      <c r="AL686" s="201"/>
      <c r="AM686" s="201"/>
      <c r="AN686" s="201"/>
      <c r="AO686" s="201"/>
    </row>
    <row r="687">
      <c r="A687" s="197"/>
      <c r="B687" s="197"/>
      <c r="C687" s="199"/>
      <c r="D687" s="197"/>
      <c r="E687" s="197"/>
      <c r="F687" s="197"/>
      <c r="G687" s="197"/>
      <c r="H687" s="199"/>
      <c r="I687" s="199"/>
      <c r="J687" s="62"/>
      <c r="K687" s="62"/>
      <c r="L687" s="62"/>
      <c r="M687" s="62"/>
      <c r="N687" s="62"/>
      <c r="O687" s="62"/>
      <c r="P687" s="62"/>
      <c r="Q687" s="62"/>
      <c r="R687" s="62"/>
      <c r="S687" s="62"/>
      <c r="T687" s="62"/>
      <c r="U687" s="74"/>
      <c r="V687" s="62"/>
      <c r="W687" s="74"/>
      <c r="X687" s="62"/>
      <c r="Y687" s="61"/>
      <c r="Z687" s="201"/>
      <c r="AA687" s="201"/>
      <c r="AB687" s="201"/>
      <c r="AC687" s="201"/>
      <c r="AD687" s="201"/>
      <c r="AE687" s="201"/>
      <c r="AF687" s="201"/>
      <c r="AG687" s="201"/>
      <c r="AH687" s="201"/>
      <c r="AI687" s="201"/>
      <c r="AJ687" s="201"/>
      <c r="AK687" s="201"/>
      <c r="AL687" s="201"/>
      <c r="AM687" s="201"/>
      <c r="AN687" s="201"/>
      <c r="AO687" s="201"/>
    </row>
    <row r="688">
      <c r="A688" s="197"/>
      <c r="B688" s="197"/>
      <c r="C688" s="199"/>
      <c r="D688" s="197"/>
      <c r="E688" s="197"/>
      <c r="F688" s="197"/>
      <c r="G688" s="197"/>
      <c r="H688" s="199"/>
      <c r="I688" s="199"/>
      <c r="J688" s="62"/>
      <c r="K688" s="62"/>
      <c r="L688" s="62"/>
      <c r="M688" s="62"/>
      <c r="N688" s="62"/>
      <c r="O688" s="62"/>
      <c r="P688" s="62"/>
      <c r="Q688" s="62"/>
      <c r="R688" s="62"/>
      <c r="S688" s="62"/>
      <c r="T688" s="62"/>
      <c r="U688" s="74"/>
      <c r="V688" s="62"/>
      <c r="W688" s="74"/>
      <c r="X688" s="62"/>
      <c r="Y688" s="61"/>
      <c r="Z688" s="201"/>
      <c r="AA688" s="201"/>
      <c r="AB688" s="201"/>
      <c r="AC688" s="201"/>
      <c r="AD688" s="201"/>
      <c r="AE688" s="201"/>
      <c r="AF688" s="201"/>
      <c r="AG688" s="201"/>
      <c r="AH688" s="201"/>
      <c r="AI688" s="201"/>
      <c r="AJ688" s="201"/>
      <c r="AK688" s="201"/>
      <c r="AL688" s="201"/>
      <c r="AM688" s="201"/>
      <c r="AN688" s="201"/>
      <c r="AO688" s="201"/>
    </row>
    <row r="689">
      <c r="A689" s="197"/>
      <c r="B689" s="197"/>
      <c r="C689" s="199"/>
      <c r="D689" s="197"/>
      <c r="E689" s="197"/>
      <c r="F689" s="197"/>
      <c r="G689" s="197"/>
      <c r="H689" s="199"/>
      <c r="I689" s="199"/>
      <c r="J689" s="62"/>
      <c r="K689" s="62"/>
      <c r="L689" s="62"/>
      <c r="M689" s="62"/>
      <c r="N689" s="62"/>
      <c r="O689" s="62"/>
      <c r="P689" s="62"/>
      <c r="Q689" s="62"/>
      <c r="R689" s="62"/>
      <c r="S689" s="62"/>
      <c r="T689" s="62"/>
      <c r="U689" s="74"/>
      <c r="V689" s="62"/>
      <c r="W689" s="74"/>
      <c r="X689" s="62"/>
      <c r="Y689" s="61"/>
      <c r="Z689" s="201"/>
      <c r="AA689" s="201"/>
      <c r="AB689" s="201"/>
      <c r="AC689" s="201"/>
      <c r="AD689" s="201"/>
      <c r="AE689" s="201"/>
      <c r="AF689" s="201"/>
      <c r="AG689" s="201"/>
      <c r="AH689" s="201"/>
      <c r="AI689" s="201"/>
      <c r="AJ689" s="201"/>
      <c r="AK689" s="201"/>
      <c r="AL689" s="201"/>
      <c r="AM689" s="201"/>
      <c r="AN689" s="201"/>
      <c r="AO689" s="201"/>
    </row>
    <row r="690">
      <c r="A690" s="197"/>
      <c r="B690" s="197"/>
      <c r="C690" s="199"/>
      <c r="D690" s="197"/>
      <c r="E690" s="197"/>
      <c r="F690" s="197"/>
      <c r="G690" s="197"/>
      <c r="H690" s="199"/>
      <c r="I690" s="199"/>
      <c r="J690" s="62"/>
      <c r="K690" s="62"/>
      <c r="L690" s="62"/>
      <c r="M690" s="62"/>
      <c r="N690" s="62"/>
      <c r="O690" s="62"/>
      <c r="P690" s="62"/>
      <c r="Q690" s="62"/>
      <c r="R690" s="62"/>
      <c r="S690" s="62"/>
      <c r="T690" s="62"/>
      <c r="U690" s="74"/>
      <c r="V690" s="62"/>
      <c r="W690" s="74"/>
      <c r="X690" s="62"/>
      <c r="Y690" s="61"/>
      <c r="Z690" s="201"/>
      <c r="AA690" s="201"/>
      <c r="AB690" s="201"/>
      <c r="AC690" s="201"/>
      <c r="AD690" s="201"/>
      <c r="AE690" s="201"/>
      <c r="AF690" s="201"/>
      <c r="AG690" s="201"/>
      <c r="AH690" s="201"/>
      <c r="AI690" s="201"/>
      <c r="AJ690" s="201"/>
      <c r="AK690" s="201"/>
      <c r="AL690" s="201"/>
      <c r="AM690" s="201"/>
      <c r="AN690" s="201"/>
      <c r="AO690" s="201"/>
    </row>
    <row r="691">
      <c r="A691" s="197"/>
      <c r="B691" s="197"/>
      <c r="C691" s="199"/>
      <c r="D691" s="197"/>
      <c r="E691" s="197"/>
      <c r="F691" s="197"/>
      <c r="G691" s="197"/>
      <c r="H691" s="199"/>
      <c r="I691" s="199"/>
      <c r="J691" s="62"/>
      <c r="K691" s="62"/>
      <c r="L691" s="62"/>
      <c r="M691" s="62"/>
      <c r="N691" s="62"/>
      <c r="O691" s="62"/>
      <c r="P691" s="62"/>
      <c r="Q691" s="62"/>
      <c r="R691" s="62"/>
      <c r="S691" s="62"/>
      <c r="T691" s="62"/>
      <c r="U691" s="74"/>
      <c r="V691" s="62"/>
      <c r="W691" s="74"/>
      <c r="X691" s="62"/>
      <c r="Y691" s="61"/>
      <c r="Z691" s="201"/>
      <c r="AA691" s="201"/>
      <c r="AB691" s="201"/>
      <c r="AC691" s="201"/>
      <c r="AD691" s="201"/>
      <c r="AE691" s="201"/>
      <c r="AF691" s="201"/>
      <c r="AG691" s="201"/>
      <c r="AH691" s="201"/>
      <c r="AI691" s="201"/>
      <c r="AJ691" s="201"/>
      <c r="AK691" s="201"/>
      <c r="AL691" s="201"/>
      <c r="AM691" s="201"/>
      <c r="AN691" s="201"/>
      <c r="AO691" s="201"/>
    </row>
    <row r="692">
      <c r="A692" s="197"/>
      <c r="B692" s="197"/>
      <c r="C692" s="199"/>
      <c r="D692" s="197"/>
      <c r="E692" s="197"/>
      <c r="F692" s="197"/>
      <c r="G692" s="197"/>
      <c r="H692" s="199"/>
      <c r="I692" s="199"/>
      <c r="J692" s="62"/>
      <c r="K692" s="62"/>
      <c r="L692" s="62"/>
      <c r="M692" s="62"/>
      <c r="N692" s="62"/>
      <c r="O692" s="62"/>
      <c r="P692" s="62"/>
      <c r="Q692" s="62"/>
      <c r="R692" s="62"/>
      <c r="S692" s="62"/>
      <c r="T692" s="62"/>
      <c r="U692" s="74"/>
      <c r="V692" s="62"/>
      <c r="W692" s="74"/>
      <c r="X692" s="62"/>
      <c r="Y692" s="61"/>
      <c r="Z692" s="201"/>
      <c r="AA692" s="201"/>
      <c r="AB692" s="201"/>
      <c r="AC692" s="201"/>
      <c r="AD692" s="201"/>
      <c r="AE692" s="201"/>
      <c r="AF692" s="201"/>
      <c r="AG692" s="201"/>
      <c r="AH692" s="201"/>
      <c r="AI692" s="201"/>
      <c r="AJ692" s="201"/>
      <c r="AK692" s="201"/>
      <c r="AL692" s="201"/>
      <c r="AM692" s="201"/>
      <c r="AN692" s="201"/>
      <c r="AO692" s="201"/>
    </row>
    <row r="693">
      <c r="A693" s="197"/>
      <c r="B693" s="197"/>
      <c r="C693" s="199"/>
      <c r="D693" s="197"/>
      <c r="E693" s="197"/>
      <c r="F693" s="197"/>
      <c r="G693" s="197"/>
      <c r="H693" s="199"/>
      <c r="I693" s="199"/>
      <c r="J693" s="62"/>
      <c r="K693" s="62"/>
      <c r="L693" s="62"/>
      <c r="M693" s="62"/>
      <c r="N693" s="62"/>
      <c r="O693" s="62"/>
      <c r="P693" s="62"/>
      <c r="Q693" s="62"/>
      <c r="R693" s="62"/>
      <c r="S693" s="62"/>
      <c r="T693" s="62"/>
      <c r="U693" s="74"/>
      <c r="V693" s="62"/>
      <c r="W693" s="74"/>
      <c r="X693" s="62"/>
      <c r="Y693" s="61"/>
      <c r="Z693" s="201"/>
      <c r="AA693" s="201"/>
      <c r="AB693" s="201"/>
      <c r="AC693" s="201"/>
      <c r="AD693" s="201"/>
      <c r="AE693" s="201"/>
      <c r="AF693" s="201"/>
      <c r="AG693" s="201"/>
      <c r="AH693" s="201"/>
      <c r="AI693" s="201"/>
      <c r="AJ693" s="201"/>
      <c r="AK693" s="201"/>
      <c r="AL693" s="201"/>
      <c r="AM693" s="201"/>
      <c r="AN693" s="201"/>
      <c r="AO693" s="201"/>
    </row>
    <row r="694">
      <c r="A694" s="197"/>
      <c r="B694" s="197"/>
      <c r="C694" s="199"/>
      <c r="D694" s="197"/>
      <c r="E694" s="197"/>
      <c r="F694" s="197"/>
      <c r="G694" s="197"/>
      <c r="H694" s="199"/>
      <c r="I694" s="199"/>
      <c r="J694" s="62"/>
      <c r="K694" s="62"/>
      <c r="L694" s="62"/>
      <c r="M694" s="62"/>
      <c r="N694" s="62"/>
      <c r="O694" s="62"/>
      <c r="P694" s="62"/>
      <c r="Q694" s="62"/>
      <c r="R694" s="62"/>
      <c r="S694" s="62"/>
      <c r="T694" s="62"/>
      <c r="U694" s="74"/>
      <c r="V694" s="62"/>
      <c r="W694" s="74"/>
      <c r="X694" s="62"/>
      <c r="Y694" s="61"/>
      <c r="Z694" s="201"/>
      <c r="AA694" s="201"/>
      <c r="AB694" s="201"/>
      <c r="AC694" s="201"/>
      <c r="AD694" s="201"/>
      <c r="AE694" s="201"/>
      <c r="AF694" s="201"/>
      <c r="AG694" s="201"/>
      <c r="AH694" s="201"/>
      <c r="AI694" s="201"/>
      <c r="AJ694" s="201"/>
      <c r="AK694" s="201"/>
      <c r="AL694" s="201"/>
      <c r="AM694" s="201"/>
      <c r="AN694" s="201"/>
      <c r="AO694" s="201"/>
    </row>
    <row r="695">
      <c r="A695" s="197"/>
      <c r="B695" s="197"/>
      <c r="C695" s="199"/>
      <c r="D695" s="197"/>
      <c r="E695" s="197"/>
      <c r="F695" s="197"/>
      <c r="G695" s="197"/>
      <c r="H695" s="199"/>
      <c r="I695" s="199"/>
      <c r="J695" s="62"/>
      <c r="K695" s="62"/>
      <c r="L695" s="62"/>
      <c r="M695" s="62"/>
      <c r="N695" s="62"/>
      <c r="O695" s="62"/>
      <c r="P695" s="62"/>
      <c r="Q695" s="62"/>
      <c r="R695" s="62"/>
      <c r="S695" s="62"/>
      <c r="T695" s="62"/>
      <c r="U695" s="74"/>
      <c r="V695" s="62"/>
      <c r="W695" s="74"/>
      <c r="X695" s="62"/>
      <c r="Y695" s="61"/>
      <c r="Z695" s="201"/>
      <c r="AA695" s="201"/>
      <c r="AB695" s="201"/>
      <c r="AC695" s="201"/>
      <c r="AD695" s="201"/>
      <c r="AE695" s="201"/>
      <c r="AF695" s="201"/>
      <c r="AG695" s="201"/>
      <c r="AH695" s="201"/>
      <c r="AI695" s="201"/>
      <c r="AJ695" s="201"/>
      <c r="AK695" s="201"/>
      <c r="AL695" s="201"/>
      <c r="AM695" s="201"/>
      <c r="AN695" s="201"/>
      <c r="AO695" s="201"/>
    </row>
    <row r="696">
      <c r="A696" s="197"/>
      <c r="B696" s="197"/>
      <c r="C696" s="199"/>
      <c r="D696" s="197"/>
      <c r="E696" s="197"/>
      <c r="F696" s="197"/>
      <c r="G696" s="197"/>
      <c r="H696" s="199"/>
      <c r="I696" s="199"/>
      <c r="J696" s="62"/>
      <c r="K696" s="62"/>
      <c r="L696" s="62"/>
      <c r="M696" s="62"/>
      <c r="N696" s="62"/>
      <c r="O696" s="62"/>
      <c r="P696" s="62"/>
      <c r="Q696" s="62"/>
      <c r="R696" s="62"/>
      <c r="S696" s="62"/>
      <c r="T696" s="62"/>
      <c r="U696" s="74"/>
      <c r="V696" s="62"/>
      <c r="W696" s="74"/>
      <c r="X696" s="62"/>
      <c r="Y696" s="61"/>
      <c r="Z696" s="201"/>
      <c r="AA696" s="201"/>
      <c r="AB696" s="201"/>
      <c r="AC696" s="201"/>
      <c r="AD696" s="201"/>
      <c r="AE696" s="201"/>
      <c r="AF696" s="201"/>
      <c r="AG696" s="201"/>
      <c r="AH696" s="201"/>
      <c r="AI696" s="201"/>
      <c r="AJ696" s="201"/>
      <c r="AK696" s="201"/>
      <c r="AL696" s="201"/>
      <c r="AM696" s="201"/>
      <c r="AN696" s="201"/>
      <c r="AO696" s="201"/>
    </row>
    <row r="697">
      <c r="A697" s="197"/>
      <c r="B697" s="197"/>
      <c r="C697" s="199"/>
      <c r="D697" s="197"/>
      <c r="E697" s="197"/>
      <c r="F697" s="197"/>
      <c r="G697" s="197"/>
      <c r="H697" s="199"/>
      <c r="I697" s="199"/>
      <c r="J697" s="62"/>
      <c r="K697" s="62"/>
      <c r="L697" s="62"/>
      <c r="M697" s="62"/>
      <c r="N697" s="62"/>
      <c r="O697" s="62"/>
      <c r="P697" s="62"/>
      <c r="Q697" s="62"/>
      <c r="R697" s="62"/>
      <c r="S697" s="62"/>
      <c r="T697" s="62"/>
      <c r="U697" s="74"/>
      <c r="V697" s="62"/>
      <c r="W697" s="74"/>
      <c r="X697" s="62"/>
      <c r="Y697" s="61"/>
      <c r="Z697" s="201"/>
      <c r="AA697" s="201"/>
      <c r="AB697" s="201"/>
      <c r="AC697" s="201"/>
      <c r="AD697" s="201"/>
      <c r="AE697" s="201"/>
      <c r="AF697" s="201"/>
      <c r="AG697" s="201"/>
      <c r="AH697" s="201"/>
      <c r="AI697" s="201"/>
      <c r="AJ697" s="201"/>
      <c r="AK697" s="201"/>
      <c r="AL697" s="201"/>
      <c r="AM697" s="201"/>
      <c r="AN697" s="201"/>
      <c r="AO697" s="201"/>
    </row>
    <row r="698">
      <c r="A698" s="197"/>
      <c r="B698" s="197"/>
      <c r="C698" s="199"/>
      <c r="D698" s="197"/>
      <c r="E698" s="197"/>
      <c r="F698" s="197"/>
      <c r="G698" s="197"/>
      <c r="H698" s="199"/>
      <c r="I698" s="199"/>
      <c r="J698" s="62"/>
      <c r="K698" s="62"/>
      <c r="L698" s="62"/>
      <c r="M698" s="62"/>
      <c r="N698" s="62"/>
      <c r="O698" s="62"/>
      <c r="P698" s="62"/>
      <c r="Q698" s="62"/>
      <c r="R698" s="62"/>
      <c r="S698" s="62"/>
      <c r="T698" s="62"/>
      <c r="U698" s="74"/>
      <c r="V698" s="62"/>
      <c r="W698" s="74"/>
      <c r="X698" s="62"/>
      <c r="Y698" s="61"/>
      <c r="Z698" s="201"/>
      <c r="AA698" s="201"/>
      <c r="AB698" s="201"/>
      <c r="AC698" s="201"/>
      <c r="AD698" s="201"/>
      <c r="AE698" s="201"/>
      <c r="AF698" s="201"/>
      <c r="AG698" s="201"/>
      <c r="AH698" s="201"/>
      <c r="AI698" s="201"/>
      <c r="AJ698" s="201"/>
      <c r="AK698" s="201"/>
      <c r="AL698" s="201"/>
      <c r="AM698" s="201"/>
      <c r="AN698" s="201"/>
      <c r="AO698" s="201"/>
    </row>
    <row r="699">
      <c r="A699" s="197"/>
      <c r="B699" s="197"/>
      <c r="C699" s="199"/>
      <c r="D699" s="197"/>
      <c r="E699" s="197"/>
      <c r="F699" s="197"/>
      <c r="G699" s="197"/>
      <c r="H699" s="199"/>
      <c r="I699" s="199"/>
      <c r="J699" s="62"/>
      <c r="K699" s="62"/>
      <c r="L699" s="62"/>
      <c r="M699" s="62"/>
      <c r="N699" s="62"/>
      <c r="O699" s="62"/>
      <c r="P699" s="62"/>
      <c r="Q699" s="62"/>
      <c r="R699" s="62"/>
      <c r="S699" s="62"/>
      <c r="T699" s="62"/>
      <c r="U699" s="74"/>
      <c r="V699" s="62"/>
      <c r="W699" s="74"/>
      <c r="X699" s="62"/>
      <c r="Y699" s="61"/>
      <c r="Z699" s="201"/>
      <c r="AA699" s="201"/>
      <c r="AB699" s="201"/>
      <c r="AC699" s="201"/>
      <c r="AD699" s="201"/>
      <c r="AE699" s="201"/>
      <c r="AF699" s="201"/>
      <c r="AG699" s="201"/>
      <c r="AH699" s="201"/>
      <c r="AI699" s="201"/>
      <c r="AJ699" s="201"/>
      <c r="AK699" s="201"/>
      <c r="AL699" s="201"/>
      <c r="AM699" s="201"/>
      <c r="AN699" s="201"/>
      <c r="AO699" s="201"/>
    </row>
    <row r="700">
      <c r="A700" s="197"/>
      <c r="B700" s="197"/>
      <c r="C700" s="199"/>
      <c r="D700" s="197"/>
      <c r="E700" s="197"/>
      <c r="F700" s="197"/>
      <c r="G700" s="197"/>
      <c r="H700" s="199"/>
      <c r="I700" s="199"/>
      <c r="J700" s="62"/>
      <c r="K700" s="62"/>
      <c r="L700" s="62"/>
      <c r="M700" s="62"/>
      <c r="N700" s="62"/>
      <c r="O700" s="62"/>
      <c r="P700" s="62"/>
      <c r="Q700" s="62"/>
      <c r="R700" s="62"/>
      <c r="S700" s="62"/>
      <c r="T700" s="62"/>
      <c r="U700" s="74"/>
      <c r="V700" s="62"/>
      <c r="W700" s="74"/>
      <c r="X700" s="62"/>
      <c r="Y700" s="61"/>
      <c r="Z700" s="201"/>
      <c r="AA700" s="201"/>
      <c r="AB700" s="201"/>
      <c r="AC700" s="201"/>
      <c r="AD700" s="201"/>
      <c r="AE700" s="201"/>
      <c r="AF700" s="201"/>
      <c r="AG700" s="201"/>
      <c r="AH700" s="201"/>
      <c r="AI700" s="201"/>
      <c r="AJ700" s="201"/>
      <c r="AK700" s="201"/>
      <c r="AL700" s="201"/>
      <c r="AM700" s="201"/>
      <c r="AN700" s="201"/>
      <c r="AO700" s="201"/>
    </row>
    <row r="701">
      <c r="A701" s="197"/>
      <c r="B701" s="197"/>
      <c r="C701" s="199"/>
      <c r="D701" s="197"/>
      <c r="E701" s="197"/>
      <c r="F701" s="197"/>
      <c r="G701" s="197"/>
      <c r="H701" s="199"/>
      <c r="I701" s="199"/>
      <c r="J701" s="62"/>
      <c r="K701" s="62"/>
      <c r="L701" s="62"/>
      <c r="M701" s="62"/>
      <c r="N701" s="62"/>
      <c r="O701" s="62"/>
      <c r="P701" s="62"/>
      <c r="Q701" s="62"/>
      <c r="R701" s="62"/>
      <c r="S701" s="62"/>
      <c r="T701" s="62"/>
      <c r="U701" s="74"/>
      <c r="V701" s="62"/>
      <c r="W701" s="74"/>
      <c r="X701" s="62"/>
      <c r="Y701" s="61"/>
      <c r="Z701" s="201"/>
      <c r="AA701" s="201"/>
      <c r="AB701" s="201"/>
      <c r="AC701" s="201"/>
      <c r="AD701" s="201"/>
      <c r="AE701" s="201"/>
      <c r="AF701" s="201"/>
      <c r="AG701" s="201"/>
      <c r="AH701" s="201"/>
      <c r="AI701" s="201"/>
      <c r="AJ701" s="201"/>
      <c r="AK701" s="201"/>
      <c r="AL701" s="201"/>
      <c r="AM701" s="201"/>
      <c r="AN701" s="201"/>
      <c r="AO701" s="201"/>
    </row>
    <row r="702">
      <c r="A702" s="197"/>
      <c r="B702" s="197"/>
      <c r="C702" s="199"/>
      <c r="D702" s="197"/>
      <c r="E702" s="197"/>
      <c r="F702" s="197"/>
      <c r="G702" s="197"/>
      <c r="H702" s="199"/>
      <c r="I702" s="199"/>
      <c r="J702" s="62"/>
      <c r="K702" s="62"/>
      <c r="L702" s="62"/>
      <c r="M702" s="62"/>
      <c r="N702" s="62"/>
      <c r="O702" s="62"/>
      <c r="P702" s="62"/>
      <c r="Q702" s="62"/>
      <c r="R702" s="62"/>
      <c r="S702" s="62"/>
      <c r="T702" s="62"/>
      <c r="U702" s="74"/>
      <c r="V702" s="62"/>
      <c r="W702" s="74"/>
      <c r="X702" s="62"/>
      <c r="Y702" s="61"/>
      <c r="Z702" s="201"/>
      <c r="AA702" s="201"/>
      <c r="AB702" s="201"/>
      <c r="AC702" s="201"/>
      <c r="AD702" s="201"/>
      <c r="AE702" s="201"/>
      <c r="AF702" s="201"/>
      <c r="AG702" s="201"/>
      <c r="AH702" s="201"/>
      <c r="AI702" s="201"/>
      <c r="AJ702" s="201"/>
      <c r="AK702" s="201"/>
      <c r="AL702" s="201"/>
      <c r="AM702" s="201"/>
      <c r="AN702" s="201"/>
      <c r="AO702" s="201"/>
    </row>
    <row r="703">
      <c r="A703" s="197"/>
      <c r="B703" s="197"/>
      <c r="C703" s="199"/>
      <c r="D703" s="197"/>
      <c r="E703" s="197"/>
      <c r="F703" s="197"/>
      <c r="G703" s="197"/>
      <c r="H703" s="199"/>
      <c r="I703" s="199"/>
      <c r="J703" s="62"/>
      <c r="K703" s="62"/>
      <c r="L703" s="62"/>
      <c r="M703" s="62"/>
      <c r="N703" s="62"/>
      <c r="O703" s="62"/>
      <c r="P703" s="62"/>
      <c r="Q703" s="62"/>
      <c r="R703" s="62"/>
      <c r="S703" s="62"/>
      <c r="T703" s="62"/>
      <c r="U703" s="74"/>
      <c r="V703" s="62"/>
      <c r="W703" s="74"/>
      <c r="X703" s="62"/>
      <c r="Y703" s="61"/>
      <c r="Z703" s="201"/>
      <c r="AA703" s="201"/>
      <c r="AB703" s="201"/>
      <c r="AC703" s="201"/>
      <c r="AD703" s="201"/>
      <c r="AE703" s="201"/>
      <c r="AF703" s="201"/>
      <c r="AG703" s="201"/>
      <c r="AH703" s="201"/>
      <c r="AI703" s="201"/>
      <c r="AJ703" s="201"/>
      <c r="AK703" s="201"/>
      <c r="AL703" s="201"/>
      <c r="AM703" s="201"/>
      <c r="AN703" s="201"/>
      <c r="AO703" s="201"/>
    </row>
    <row r="704">
      <c r="A704" s="197"/>
      <c r="B704" s="197"/>
      <c r="C704" s="199"/>
      <c r="D704" s="197"/>
      <c r="E704" s="197"/>
      <c r="F704" s="197"/>
      <c r="G704" s="197"/>
      <c r="H704" s="199"/>
      <c r="I704" s="199"/>
      <c r="J704" s="62"/>
      <c r="K704" s="62"/>
      <c r="L704" s="62"/>
      <c r="M704" s="62"/>
      <c r="N704" s="62"/>
      <c r="O704" s="62"/>
      <c r="P704" s="62"/>
      <c r="Q704" s="62"/>
      <c r="R704" s="62"/>
      <c r="S704" s="62"/>
      <c r="T704" s="62"/>
      <c r="U704" s="74"/>
      <c r="V704" s="62"/>
      <c r="W704" s="74"/>
      <c r="X704" s="62"/>
      <c r="Y704" s="61"/>
      <c r="Z704" s="201"/>
      <c r="AA704" s="201"/>
      <c r="AB704" s="201"/>
      <c r="AC704" s="201"/>
      <c r="AD704" s="201"/>
      <c r="AE704" s="201"/>
      <c r="AF704" s="201"/>
      <c r="AG704" s="201"/>
      <c r="AH704" s="201"/>
      <c r="AI704" s="201"/>
      <c r="AJ704" s="201"/>
      <c r="AK704" s="201"/>
      <c r="AL704" s="201"/>
      <c r="AM704" s="201"/>
      <c r="AN704" s="201"/>
      <c r="AO704" s="201"/>
    </row>
    <row r="705">
      <c r="A705" s="197"/>
      <c r="B705" s="197"/>
      <c r="C705" s="199"/>
      <c r="D705" s="197"/>
      <c r="E705" s="197"/>
      <c r="F705" s="197"/>
      <c r="G705" s="197"/>
      <c r="H705" s="199"/>
      <c r="I705" s="199"/>
      <c r="J705" s="62"/>
      <c r="K705" s="62"/>
      <c r="L705" s="62"/>
      <c r="M705" s="62"/>
      <c r="N705" s="62"/>
      <c r="O705" s="62"/>
      <c r="P705" s="62"/>
      <c r="Q705" s="62"/>
      <c r="R705" s="62"/>
      <c r="S705" s="62"/>
      <c r="T705" s="62"/>
      <c r="U705" s="74"/>
      <c r="V705" s="62"/>
      <c r="W705" s="74"/>
      <c r="X705" s="62"/>
      <c r="Y705" s="61"/>
      <c r="Z705" s="201"/>
      <c r="AA705" s="201"/>
      <c r="AB705" s="201"/>
      <c r="AC705" s="201"/>
      <c r="AD705" s="201"/>
      <c r="AE705" s="201"/>
      <c r="AF705" s="201"/>
      <c r="AG705" s="201"/>
      <c r="AH705" s="201"/>
      <c r="AI705" s="201"/>
      <c r="AJ705" s="201"/>
      <c r="AK705" s="201"/>
      <c r="AL705" s="201"/>
      <c r="AM705" s="201"/>
      <c r="AN705" s="201"/>
      <c r="AO705" s="201"/>
    </row>
    <row r="706">
      <c r="A706" s="197"/>
      <c r="B706" s="197"/>
      <c r="C706" s="199"/>
      <c r="D706" s="197"/>
      <c r="E706" s="197"/>
      <c r="F706" s="197"/>
      <c r="G706" s="197"/>
      <c r="H706" s="199"/>
      <c r="I706" s="199"/>
      <c r="J706" s="62"/>
      <c r="K706" s="62"/>
      <c r="L706" s="62"/>
      <c r="M706" s="62"/>
      <c r="N706" s="62"/>
      <c r="O706" s="62"/>
      <c r="P706" s="62"/>
      <c r="Q706" s="62"/>
      <c r="R706" s="62"/>
      <c r="S706" s="62"/>
      <c r="T706" s="62"/>
      <c r="U706" s="74"/>
      <c r="V706" s="62"/>
      <c r="W706" s="74"/>
      <c r="X706" s="62"/>
      <c r="Y706" s="61"/>
      <c r="Z706" s="201"/>
      <c r="AA706" s="201"/>
      <c r="AB706" s="201"/>
      <c r="AC706" s="201"/>
      <c r="AD706" s="201"/>
      <c r="AE706" s="201"/>
      <c r="AF706" s="201"/>
      <c r="AG706" s="201"/>
      <c r="AH706" s="201"/>
      <c r="AI706" s="201"/>
      <c r="AJ706" s="201"/>
      <c r="AK706" s="201"/>
      <c r="AL706" s="201"/>
      <c r="AM706" s="201"/>
      <c r="AN706" s="201"/>
      <c r="AO706" s="201"/>
    </row>
    <row r="707">
      <c r="A707" s="197"/>
      <c r="B707" s="197"/>
      <c r="C707" s="199"/>
      <c r="D707" s="197"/>
      <c r="E707" s="197"/>
      <c r="F707" s="197"/>
      <c r="G707" s="197"/>
      <c r="H707" s="199"/>
      <c r="I707" s="199"/>
      <c r="J707" s="62"/>
      <c r="K707" s="62"/>
      <c r="L707" s="62"/>
      <c r="M707" s="62"/>
      <c r="N707" s="62"/>
      <c r="O707" s="62"/>
      <c r="P707" s="62"/>
      <c r="Q707" s="62"/>
      <c r="R707" s="62"/>
      <c r="S707" s="62"/>
      <c r="T707" s="62"/>
      <c r="U707" s="74"/>
      <c r="V707" s="62"/>
      <c r="W707" s="74"/>
      <c r="X707" s="62"/>
      <c r="Y707" s="61"/>
      <c r="Z707" s="201"/>
      <c r="AA707" s="201"/>
      <c r="AB707" s="201"/>
      <c r="AC707" s="201"/>
      <c r="AD707" s="201"/>
      <c r="AE707" s="201"/>
      <c r="AF707" s="201"/>
      <c r="AG707" s="201"/>
      <c r="AH707" s="201"/>
      <c r="AI707" s="201"/>
      <c r="AJ707" s="201"/>
      <c r="AK707" s="201"/>
      <c r="AL707" s="201"/>
      <c r="AM707" s="201"/>
      <c r="AN707" s="201"/>
      <c r="AO707" s="201"/>
    </row>
    <row r="708">
      <c r="A708" s="197"/>
      <c r="B708" s="197"/>
      <c r="C708" s="199"/>
      <c r="D708" s="197"/>
      <c r="E708" s="197"/>
      <c r="F708" s="197"/>
      <c r="G708" s="197"/>
      <c r="H708" s="199"/>
      <c r="I708" s="199"/>
      <c r="J708" s="62"/>
      <c r="K708" s="62"/>
      <c r="L708" s="62"/>
      <c r="M708" s="62"/>
      <c r="N708" s="62"/>
      <c r="O708" s="62"/>
      <c r="P708" s="62"/>
      <c r="Q708" s="62"/>
      <c r="R708" s="62"/>
      <c r="S708" s="62"/>
      <c r="T708" s="62"/>
      <c r="U708" s="74"/>
      <c r="V708" s="62"/>
      <c r="W708" s="74"/>
      <c r="X708" s="62"/>
      <c r="Y708" s="61"/>
      <c r="Z708" s="201"/>
      <c r="AA708" s="201"/>
      <c r="AB708" s="201"/>
      <c r="AC708" s="201"/>
      <c r="AD708" s="201"/>
      <c r="AE708" s="201"/>
      <c r="AF708" s="201"/>
      <c r="AG708" s="201"/>
      <c r="AH708" s="201"/>
      <c r="AI708" s="201"/>
      <c r="AJ708" s="201"/>
      <c r="AK708" s="201"/>
      <c r="AL708" s="201"/>
      <c r="AM708" s="201"/>
      <c r="AN708" s="201"/>
      <c r="AO708" s="201"/>
    </row>
    <row r="709">
      <c r="A709" s="197"/>
      <c r="B709" s="197"/>
      <c r="C709" s="199"/>
      <c r="D709" s="197"/>
      <c r="E709" s="197"/>
      <c r="F709" s="197"/>
      <c r="G709" s="197"/>
      <c r="H709" s="199"/>
      <c r="I709" s="199"/>
      <c r="J709" s="62"/>
      <c r="K709" s="62"/>
      <c r="L709" s="62"/>
      <c r="M709" s="62"/>
      <c r="N709" s="62"/>
      <c r="O709" s="62"/>
      <c r="P709" s="62"/>
      <c r="Q709" s="62"/>
      <c r="R709" s="62"/>
      <c r="S709" s="62"/>
      <c r="T709" s="62"/>
      <c r="U709" s="74"/>
      <c r="V709" s="62"/>
      <c r="W709" s="74"/>
      <c r="X709" s="62"/>
      <c r="Y709" s="61"/>
      <c r="Z709" s="201"/>
      <c r="AA709" s="201"/>
      <c r="AB709" s="201"/>
      <c r="AC709" s="201"/>
      <c r="AD709" s="201"/>
      <c r="AE709" s="201"/>
      <c r="AF709" s="201"/>
      <c r="AG709" s="201"/>
      <c r="AH709" s="201"/>
      <c r="AI709" s="201"/>
      <c r="AJ709" s="201"/>
      <c r="AK709" s="201"/>
      <c r="AL709" s="201"/>
      <c r="AM709" s="201"/>
      <c r="AN709" s="201"/>
      <c r="AO709" s="201"/>
    </row>
    <row r="710">
      <c r="A710" s="197"/>
      <c r="B710" s="197"/>
      <c r="C710" s="199"/>
      <c r="D710" s="197"/>
      <c r="E710" s="197"/>
      <c r="F710" s="197"/>
      <c r="G710" s="197"/>
      <c r="H710" s="199"/>
      <c r="I710" s="199"/>
      <c r="J710" s="62"/>
      <c r="K710" s="62"/>
      <c r="L710" s="62"/>
      <c r="M710" s="62"/>
      <c r="N710" s="62"/>
      <c r="O710" s="62"/>
      <c r="P710" s="62"/>
      <c r="Q710" s="62"/>
      <c r="R710" s="62"/>
      <c r="S710" s="62"/>
      <c r="T710" s="62"/>
      <c r="U710" s="74"/>
      <c r="V710" s="62"/>
      <c r="W710" s="74"/>
      <c r="X710" s="62"/>
      <c r="Y710" s="61"/>
      <c r="Z710" s="201"/>
      <c r="AA710" s="201"/>
      <c r="AB710" s="201"/>
      <c r="AC710" s="201"/>
      <c r="AD710" s="201"/>
      <c r="AE710" s="201"/>
      <c r="AF710" s="201"/>
      <c r="AG710" s="201"/>
      <c r="AH710" s="201"/>
      <c r="AI710" s="201"/>
      <c r="AJ710" s="201"/>
      <c r="AK710" s="201"/>
      <c r="AL710" s="201"/>
      <c r="AM710" s="201"/>
      <c r="AN710" s="201"/>
      <c r="AO710" s="201"/>
    </row>
    <row r="711">
      <c r="A711" s="197"/>
      <c r="B711" s="197"/>
      <c r="C711" s="199"/>
      <c r="D711" s="197"/>
      <c r="E711" s="197"/>
      <c r="F711" s="197"/>
      <c r="G711" s="197"/>
      <c r="H711" s="199"/>
      <c r="I711" s="199"/>
      <c r="J711" s="62"/>
      <c r="K711" s="62"/>
      <c r="L711" s="62"/>
      <c r="M711" s="62"/>
      <c r="N711" s="62"/>
      <c r="O711" s="62"/>
      <c r="P711" s="62"/>
      <c r="Q711" s="62"/>
      <c r="R711" s="62"/>
      <c r="S711" s="62"/>
      <c r="T711" s="62"/>
      <c r="U711" s="74"/>
      <c r="V711" s="62"/>
      <c r="W711" s="74"/>
      <c r="X711" s="62"/>
      <c r="Y711" s="61"/>
      <c r="Z711" s="201"/>
      <c r="AA711" s="201"/>
      <c r="AB711" s="201"/>
      <c r="AC711" s="201"/>
      <c r="AD711" s="201"/>
      <c r="AE711" s="201"/>
      <c r="AF711" s="201"/>
      <c r="AG711" s="201"/>
      <c r="AH711" s="201"/>
      <c r="AI711" s="201"/>
      <c r="AJ711" s="201"/>
      <c r="AK711" s="201"/>
      <c r="AL711" s="201"/>
      <c r="AM711" s="201"/>
      <c r="AN711" s="201"/>
      <c r="AO711" s="201"/>
    </row>
    <row r="712">
      <c r="A712" s="197"/>
      <c r="B712" s="197"/>
      <c r="C712" s="199"/>
      <c r="D712" s="197"/>
      <c r="E712" s="197"/>
      <c r="F712" s="197"/>
      <c r="G712" s="197"/>
      <c r="H712" s="199"/>
      <c r="I712" s="199"/>
      <c r="J712" s="62"/>
      <c r="K712" s="62"/>
      <c r="L712" s="62"/>
      <c r="M712" s="62"/>
      <c r="N712" s="62"/>
      <c r="O712" s="62"/>
      <c r="P712" s="62"/>
      <c r="Q712" s="62"/>
      <c r="R712" s="62"/>
      <c r="S712" s="62"/>
      <c r="T712" s="62"/>
      <c r="U712" s="74"/>
      <c r="V712" s="62"/>
      <c r="W712" s="74"/>
      <c r="X712" s="62"/>
      <c r="Y712" s="61"/>
      <c r="Z712" s="201"/>
      <c r="AA712" s="201"/>
      <c r="AB712" s="201"/>
      <c r="AC712" s="201"/>
      <c r="AD712" s="201"/>
      <c r="AE712" s="201"/>
      <c r="AF712" s="201"/>
      <c r="AG712" s="201"/>
      <c r="AH712" s="201"/>
      <c r="AI712" s="201"/>
      <c r="AJ712" s="201"/>
      <c r="AK712" s="201"/>
      <c r="AL712" s="201"/>
      <c r="AM712" s="201"/>
      <c r="AN712" s="201"/>
      <c r="AO712" s="201"/>
    </row>
    <row r="713">
      <c r="A713" s="197"/>
      <c r="B713" s="197"/>
      <c r="C713" s="199"/>
      <c r="D713" s="197"/>
      <c r="E713" s="197"/>
      <c r="F713" s="197"/>
      <c r="G713" s="197"/>
      <c r="H713" s="199"/>
      <c r="I713" s="199"/>
      <c r="J713" s="62"/>
      <c r="K713" s="62"/>
      <c r="L713" s="62"/>
      <c r="M713" s="62"/>
      <c r="N713" s="62"/>
      <c r="O713" s="62"/>
      <c r="P713" s="62"/>
      <c r="Q713" s="62"/>
      <c r="R713" s="62"/>
      <c r="S713" s="62"/>
      <c r="T713" s="62"/>
      <c r="U713" s="74"/>
      <c r="V713" s="62"/>
      <c r="W713" s="74"/>
      <c r="X713" s="62"/>
      <c r="Y713" s="61"/>
      <c r="Z713" s="201"/>
      <c r="AA713" s="201"/>
      <c r="AB713" s="201"/>
      <c r="AC713" s="201"/>
      <c r="AD713" s="201"/>
      <c r="AE713" s="201"/>
      <c r="AF713" s="201"/>
      <c r="AG713" s="201"/>
      <c r="AH713" s="201"/>
      <c r="AI713" s="201"/>
      <c r="AJ713" s="201"/>
      <c r="AK713" s="201"/>
      <c r="AL713" s="201"/>
      <c r="AM713" s="201"/>
      <c r="AN713" s="201"/>
      <c r="AO713" s="201"/>
    </row>
    <row r="714">
      <c r="A714" s="197"/>
      <c r="B714" s="197"/>
      <c r="C714" s="199"/>
      <c r="D714" s="197"/>
      <c r="E714" s="197"/>
      <c r="F714" s="197"/>
      <c r="G714" s="197"/>
      <c r="H714" s="199"/>
      <c r="I714" s="199"/>
      <c r="J714" s="62"/>
      <c r="K714" s="62"/>
      <c r="L714" s="62"/>
      <c r="M714" s="62"/>
      <c r="N714" s="62"/>
      <c r="O714" s="62"/>
      <c r="P714" s="62"/>
      <c r="Q714" s="62"/>
      <c r="R714" s="62"/>
      <c r="S714" s="62"/>
      <c r="T714" s="62"/>
      <c r="U714" s="74"/>
      <c r="V714" s="62"/>
      <c r="W714" s="74"/>
      <c r="X714" s="62"/>
      <c r="Y714" s="61"/>
      <c r="Z714" s="201"/>
      <c r="AA714" s="201"/>
      <c r="AB714" s="201"/>
      <c r="AC714" s="201"/>
      <c r="AD714" s="201"/>
      <c r="AE714" s="201"/>
      <c r="AF714" s="201"/>
      <c r="AG714" s="201"/>
      <c r="AH714" s="201"/>
      <c r="AI714" s="201"/>
      <c r="AJ714" s="201"/>
      <c r="AK714" s="201"/>
      <c r="AL714" s="201"/>
      <c r="AM714" s="201"/>
      <c r="AN714" s="201"/>
      <c r="AO714" s="201"/>
    </row>
    <row r="715">
      <c r="A715" s="197"/>
      <c r="B715" s="197"/>
      <c r="C715" s="199"/>
      <c r="D715" s="197"/>
      <c r="E715" s="197"/>
      <c r="F715" s="197"/>
      <c r="G715" s="197"/>
      <c r="H715" s="199"/>
      <c r="I715" s="199"/>
      <c r="J715" s="62"/>
      <c r="K715" s="62"/>
      <c r="L715" s="62"/>
      <c r="M715" s="62"/>
      <c r="N715" s="62"/>
      <c r="O715" s="62"/>
      <c r="P715" s="62"/>
      <c r="Q715" s="62"/>
      <c r="R715" s="62"/>
      <c r="S715" s="62"/>
      <c r="T715" s="62"/>
      <c r="U715" s="74"/>
      <c r="V715" s="62"/>
      <c r="W715" s="74"/>
      <c r="X715" s="62"/>
      <c r="Y715" s="61"/>
      <c r="Z715" s="201"/>
      <c r="AA715" s="201"/>
      <c r="AB715" s="201"/>
      <c r="AC715" s="201"/>
      <c r="AD715" s="201"/>
      <c r="AE715" s="201"/>
      <c r="AF715" s="201"/>
      <c r="AG715" s="201"/>
      <c r="AH715" s="201"/>
      <c r="AI715" s="201"/>
      <c r="AJ715" s="201"/>
      <c r="AK715" s="201"/>
      <c r="AL715" s="201"/>
      <c r="AM715" s="201"/>
      <c r="AN715" s="201"/>
      <c r="AO715" s="201"/>
    </row>
    <row r="716">
      <c r="A716" s="197"/>
      <c r="B716" s="197"/>
      <c r="C716" s="199"/>
      <c r="D716" s="197"/>
      <c r="E716" s="197"/>
      <c r="F716" s="197"/>
      <c r="G716" s="197"/>
      <c r="H716" s="199"/>
      <c r="I716" s="199"/>
      <c r="J716" s="62"/>
      <c r="K716" s="62"/>
      <c r="L716" s="62"/>
      <c r="M716" s="62"/>
      <c r="N716" s="62"/>
      <c r="O716" s="62"/>
      <c r="P716" s="62"/>
      <c r="Q716" s="62"/>
      <c r="R716" s="62"/>
      <c r="S716" s="62"/>
      <c r="T716" s="62"/>
      <c r="U716" s="74"/>
      <c r="V716" s="62"/>
      <c r="W716" s="74"/>
      <c r="X716" s="62"/>
      <c r="Y716" s="61"/>
      <c r="Z716" s="201"/>
      <c r="AA716" s="201"/>
      <c r="AB716" s="201"/>
      <c r="AC716" s="201"/>
      <c r="AD716" s="201"/>
      <c r="AE716" s="201"/>
      <c r="AF716" s="201"/>
      <c r="AG716" s="201"/>
      <c r="AH716" s="201"/>
      <c r="AI716" s="201"/>
      <c r="AJ716" s="201"/>
      <c r="AK716" s="201"/>
      <c r="AL716" s="201"/>
      <c r="AM716" s="201"/>
      <c r="AN716" s="201"/>
      <c r="AO716" s="201"/>
    </row>
    <row r="717">
      <c r="A717" s="197"/>
      <c r="B717" s="197"/>
      <c r="C717" s="199"/>
      <c r="D717" s="197"/>
      <c r="E717" s="197"/>
      <c r="F717" s="197"/>
      <c r="G717" s="197"/>
      <c r="H717" s="199"/>
      <c r="I717" s="199"/>
      <c r="J717" s="62"/>
      <c r="K717" s="62"/>
      <c r="L717" s="62"/>
      <c r="M717" s="62"/>
      <c r="N717" s="62"/>
      <c r="O717" s="62"/>
      <c r="P717" s="62"/>
      <c r="Q717" s="62"/>
      <c r="R717" s="62"/>
      <c r="S717" s="62"/>
      <c r="T717" s="62"/>
      <c r="U717" s="74"/>
      <c r="V717" s="62"/>
      <c r="W717" s="74"/>
      <c r="X717" s="62"/>
      <c r="Y717" s="61"/>
      <c r="Z717" s="201"/>
      <c r="AA717" s="201"/>
      <c r="AB717" s="201"/>
      <c r="AC717" s="201"/>
      <c r="AD717" s="201"/>
      <c r="AE717" s="201"/>
      <c r="AF717" s="201"/>
      <c r="AG717" s="201"/>
      <c r="AH717" s="201"/>
      <c r="AI717" s="201"/>
      <c r="AJ717" s="201"/>
      <c r="AK717" s="201"/>
      <c r="AL717" s="201"/>
      <c r="AM717" s="201"/>
      <c r="AN717" s="201"/>
      <c r="AO717" s="201"/>
    </row>
    <row r="718">
      <c r="A718" s="197"/>
      <c r="B718" s="197"/>
      <c r="C718" s="199"/>
      <c r="D718" s="197"/>
      <c r="E718" s="197"/>
      <c r="F718" s="197"/>
      <c r="G718" s="197"/>
      <c r="H718" s="199"/>
      <c r="I718" s="199"/>
      <c r="J718" s="62"/>
      <c r="K718" s="62"/>
      <c r="L718" s="62"/>
      <c r="M718" s="62"/>
      <c r="N718" s="62"/>
      <c r="O718" s="62"/>
      <c r="P718" s="62"/>
      <c r="Q718" s="62"/>
      <c r="R718" s="62"/>
      <c r="S718" s="62"/>
      <c r="T718" s="62"/>
      <c r="U718" s="74"/>
      <c r="V718" s="62"/>
      <c r="W718" s="74"/>
      <c r="X718" s="62"/>
      <c r="Y718" s="61"/>
      <c r="Z718" s="201"/>
      <c r="AA718" s="201"/>
      <c r="AB718" s="201"/>
      <c r="AC718" s="201"/>
      <c r="AD718" s="201"/>
      <c r="AE718" s="201"/>
      <c r="AF718" s="201"/>
      <c r="AG718" s="201"/>
      <c r="AH718" s="201"/>
      <c r="AI718" s="201"/>
      <c r="AJ718" s="201"/>
      <c r="AK718" s="201"/>
      <c r="AL718" s="201"/>
      <c r="AM718" s="201"/>
      <c r="AN718" s="201"/>
      <c r="AO718" s="201"/>
    </row>
    <row r="719">
      <c r="A719" s="197"/>
      <c r="B719" s="197"/>
      <c r="C719" s="199"/>
      <c r="D719" s="197"/>
      <c r="E719" s="197"/>
      <c r="F719" s="197"/>
      <c r="G719" s="197"/>
      <c r="H719" s="199"/>
      <c r="I719" s="199"/>
      <c r="J719" s="62"/>
      <c r="K719" s="62"/>
      <c r="L719" s="62"/>
      <c r="M719" s="62"/>
      <c r="N719" s="62"/>
      <c r="O719" s="62"/>
      <c r="P719" s="62"/>
      <c r="Q719" s="62"/>
      <c r="R719" s="62"/>
      <c r="S719" s="62"/>
      <c r="T719" s="62"/>
      <c r="U719" s="74"/>
      <c r="V719" s="62"/>
      <c r="W719" s="74"/>
      <c r="X719" s="62"/>
      <c r="Y719" s="61"/>
      <c r="Z719" s="201"/>
      <c r="AA719" s="201"/>
      <c r="AB719" s="201"/>
      <c r="AC719" s="201"/>
      <c r="AD719" s="201"/>
      <c r="AE719" s="201"/>
      <c r="AF719" s="201"/>
      <c r="AG719" s="201"/>
      <c r="AH719" s="201"/>
      <c r="AI719" s="201"/>
      <c r="AJ719" s="201"/>
      <c r="AK719" s="201"/>
      <c r="AL719" s="201"/>
      <c r="AM719" s="201"/>
      <c r="AN719" s="201"/>
      <c r="AO719" s="201"/>
    </row>
    <row r="720">
      <c r="A720" s="197"/>
      <c r="B720" s="197"/>
      <c r="C720" s="199"/>
      <c r="D720" s="197"/>
      <c r="E720" s="197"/>
      <c r="F720" s="197"/>
      <c r="G720" s="197"/>
      <c r="H720" s="199"/>
      <c r="I720" s="199"/>
      <c r="J720" s="62"/>
      <c r="K720" s="62"/>
      <c r="L720" s="62"/>
      <c r="M720" s="62"/>
      <c r="N720" s="62"/>
      <c r="O720" s="62"/>
      <c r="P720" s="62"/>
      <c r="Q720" s="62"/>
      <c r="R720" s="62"/>
      <c r="S720" s="62"/>
      <c r="T720" s="62"/>
      <c r="U720" s="74"/>
      <c r="V720" s="62"/>
      <c r="W720" s="74"/>
      <c r="X720" s="62"/>
      <c r="Y720" s="61"/>
      <c r="Z720" s="201"/>
      <c r="AA720" s="201"/>
      <c r="AB720" s="201"/>
      <c r="AC720" s="201"/>
      <c r="AD720" s="201"/>
      <c r="AE720" s="201"/>
      <c r="AF720" s="201"/>
      <c r="AG720" s="201"/>
      <c r="AH720" s="201"/>
      <c r="AI720" s="201"/>
      <c r="AJ720" s="201"/>
      <c r="AK720" s="201"/>
      <c r="AL720" s="201"/>
      <c r="AM720" s="201"/>
      <c r="AN720" s="201"/>
      <c r="AO720" s="201"/>
    </row>
    <row r="721">
      <c r="A721" s="197"/>
      <c r="B721" s="197"/>
      <c r="C721" s="199"/>
      <c r="D721" s="197"/>
      <c r="E721" s="197"/>
      <c r="F721" s="197"/>
      <c r="G721" s="197"/>
      <c r="H721" s="199"/>
      <c r="I721" s="199"/>
      <c r="J721" s="62"/>
      <c r="K721" s="62"/>
      <c r="L721" s="62"/>
      <c r="M721" s="62"/>
      <c r="N721" s="62"/>
      <c r="O721" s="62"/>
      <c r="P721" s="62"/>
      <c r="Q721" s="62"/>
      <c r="R721" s="62"/>
      <c r="S721" s="62"/>
      <c r="T721" s="62"/>
      <c r="U721" s="74"/>
      <c r="V721" s="62"/>
      <c r="W721" s="74"/>
      <c r="X721" s="62"/>
      <c r="Y721" s="61"/>
      <c r="Z721" s="201"/>
      <c r="AA721" s="201"/>
      <c r="AB721" s="201"/>
      <c r="AC721" s="201"/>
      <c r="AD721" s="201"/>
      <c r="AE721" s="201"/>
      <c r="AF721" s="201"/>
      <c r="AG721" s="201"/>
      <c r="AH721" s="201"/>
      <c r="AI721" s="201"/>
      <c r="AJ721" s="201"/>
      <c r="AK721" s="201"/>
      <c r="AL721" s="201"/>
      <c r="AM721" s="201"/>
      <c r="AN721" s="201"/>
      <c r="AO721" s="201"/>
    </row>
    <row r="722">
      <c r="A722" s="197"/>
      <c r="B722" s="197"/>
      <c r="C722" s="199"/>
      <c r="D722" s="197"/>
      <c r="E722" s="197"/>
      <c r="F722" s="197"/>
      <c r="G722" s="197"/>
      <c r="H722" s="199"/>
      <c r="I722" s="199"/>
      <c r="J722" s="62"/>
      <c r="K722" s="62"/>
      <c r="L722" s="62"/>
      <c r="M722" s="62"/>
      <c r="N722" s="62"/>
      <c r="O722" s="62"/>
      <c r="P722" s="62"/>
      <c r="Q722" s="62"/>
      <c r="R722" s="62"/>
      <c r="S722" s="62"/>
      <c r="T722" s="62"/>
      <c r="U722" s="74"/>
      <c r="V722" s="62"/>
      <c r="W722" s="74"/>
      <c r="X722" s="62"/>
      <c r="Y722" s="61"/>
      <c r="Z722" s="201"/>
      <c r="AA722" s="201"/>
      <c r="AB722" s="201"/>
      <c r="AC722" s="201"/>
      <c r="AD722" s="201"/>
      <c r="AE722" s="201"/>
      <c r="AF722" s="201"/>
      <c r="AG722" s="201"/>
      <c r="AH722" s="201"/>
      <c r="AI722" s="201"/>
      <c r="AJ722" s="201"/>
      <c r="AK722" s="201"/>
      <c r="AL722" s="201"/>
      <c r="AM722" s="201"/>
      <c r="AN722" s="201"/>
      <c r="AO722" s="201"/>
    </row>
    <row r="723">
      <c r="A723" s="197"/>
      <c r="B723" s="197"/>
      <c r="C723" s="199"/>
      <c r="D723" s="197"/>
      <c r="E723" s="197"/>
      <c r="F723" s="197"/>
      <c r="G723" s="197"/>
      <c r="H723" s="199"/>
      <c r="I723" s="199"/>
      <c r="J723" s="62"/>
      <c r="K723" s="62"/>
      <c r="L723" s="62"/>
      <c r="M723" s="62"/>
      <c r="N723" s="62"/>
      <c r="O723" s="62"/>
      <c r="P723" s="62"/>
      <c r="Q723" s="62"/>
      <c r="R723" s="62"/>
      <c r="S723" s="62"/>
      <c r="T723" s="62"/>
      <c r="U723" s="74"/>
      <c r="V723" s="62"/>
      <c r="W723" s="74"/>
      <c r="X723" s="62"/>
      <c r="Y723" s="61"/>
      <c r="Z723" s="201"/>
      <c r="AA723" s="201"/>
      <c r="AB723" s="201"/>
      <c r="AC723" s="201"/>
      <c r="AD723" s="201"/>
      <c r="AE723" s="201"/>
      <c r="AF723" s="201"/>
      <c r="AG723" s="201"/>
      <c r="AH723" s="201"/>
      <c r="AI723" s="201"/>
      <c r="AJ723" s="201"/>
      <c r="AK723" s="201"/>
      <c r="AL723" s="201"/>
      <c r="AM723" s="201"/>
      <c r="AN723" s="201"/>
      <c r="AO723" s="201"/>
    </row>
    <row r="724">
      <c r="A724" s="197"/>
      <c r="B724" s="197"/>
      <c r="C724" s="199"/>
      <c r="D724" s="197"/>
      <c r="E724" s="197"/>
      <c r="F724" s="197"/>
      <c r="G724" s="197"/>
      <c r="H724" s="199"/>
      <c r="I724" s="199"/>
      <c r="J724" s="62"/>
      <c r="K724" s="62"/>
      <c r="L724" s="62"/>
      <c r="M724" s="62"/>
      <c r="N724" s="62"/>
      <c r="O724" s="62"/>
      <c r="P724" s="62"/>
      <c r="Q724" s="62"/>
      <c r="R724" s="62"/>
      <c r="S724" s="62"/>
      <c r="T724" s="62"/>
      <c r="U724" s="74"/>
      <c r="V724" s="62"/>
      <c r="W724" s="74"/>
      <c r="X724" s="62"/>
      <c r="Y724" s="61"/>
      <c r="Z724" s="201"/>
      <c r="AA724" s="201"/>
      <c r="AB724" s="201"/>
      <c r="AC724" s="201"/>
      <c r="AD724" s="201"/>
      <c r="AE724" s="201"/>
      <c r="AF724" s="201"/>
      <c r="AG724" s="201"/>
      <c r="AH724" s="201"/>
      <c r="AI724" s="201"/>
      <c r="AJ724" s="201"/>
      <c r="AK724" s="201"/>
      <c r="AL724" s="201"/>
      <c r="AM724" s="201"/>
      <c r="AN724" s="201"/>
      <c r="AO724" s="201"/>
    </row>
    <row r="725">
      <c r="A725" s="197"/>
      <c r="B725" s="197"/>
      <c r="C725" s="199"/>
      <c r="D725" s="197"/>
      <c r="E725" s="197"/>
      <c r="F725" s="197"/>
      <c r="G725" s="197"/>
      <c r="H725" s="199"/>
      <c r="I725" s="199"/>
      <c r="J725" s="62"/>
      <c r="K725" s="62"/>
      <c r="L725" s="62"/>
      <c r="M725" s="62"/>
      <c r="N725" s="62"/>
      <c r="O725" s="62"/>
      <c r="P725" s="62"/>
      <c r="Q725" s="62"/>
      <c r="R725" s="62"/>
      <c r="S725" s="62"/>
      <c r="T725" s="62"/>
      <c r="U725" s="74"/>
      <c r="V725" s="62"/>
      <c r="W725" s="74"/>
      <c r="X725" s="62"/>
      <c r="Y725" s="61"/>
      <c r="Z725" s="201"/>
      <c r="AA725" s="201"/>
      <c r="AB725" s="201"/>
      <c r="AC725" s="201"/>
      <c r="AD725" s="201"/>
      <c r="AE725" s="201"/>
      <c r="AF725" s="201"/>
      <c r="AG725" s="201"/>
      <c r="AH725" s="201"/>
      <c r="AI725" s="201"/>
      <c r="AJ725" s="201"/>
      <c r="AK725" s="201"/>
      <c r="AL725" s="201"/>
      <c r="AM725" s="201"/>
      <c r="AN725" s="201"/>
      <c r="AO725" s="201"/>
    </row>
    <row r="726">
      <c r="A726" s="197"/>
      <c r="B726" s="197"/>
      <c r="C726" s="199"/>
      <c r="D726" s="197"/>
      <c r="E726" s="197"/>
      <c r="F726" s="197"/>
      <c r="G726" s="197"/>
      <c r="H726" s="199"/>
      <c r="I726" s="199"/>
      <c r="J726" s="62"/>
      <c r="K726" s="62"/>
      <c r="L726" s="62"/>
      <c r="M726" s="62"/>
      <c r="N726" s="62"/>
      <c r="O726" s="62"/>
      <c r="P726" s="62"/>
      <c r="Q726" s="62"/>
      <c r="R726" s="62"/>
      <c r="S726" s="62"/>
      <c r="T726" s="62"/>
      <c r="U726" s="74"/>
      <c r="V726" s="62"/>
      <c r="W726" s="74"/>
      <c r="X726" s="62"/>
      <c r="Y726" s="61"/>
      <c r="Z726" s="201"/>
      <c r="AA726" s="201"/>
      <c r="AB726" s="201"/>
      <c r="AC726" s="201"/>
      <c r="AD726" s="201"/>
      <c r="AE726" s="201"/>
      <c r="AF726" s="201"/>
      <c r="AG726" s="201"/>
      <c r="AH726" s="201"/>
      <c r="AI726" s="201"/>
      <c r="AJ726" s="201"/>
      <c r="AK726" s="201"/>
      <c r="AL726" s="201"/>
      <c r="AM726" s="201"/>
      <c r="AN726" s="201"/>
      <c r="AO726" s="201"/>
    </row>
    <row r="727">
      <c r="A727" s="197"/>
      <c r="B727" s="197"/>
      <c r="C727" s="199"/>
      <c r="D727" s="197"/>
      <c r="E727" s="197"/>
      <c r="F727" s="197"/>
      <c r="G727" s="197"/>
      <c r="H727" s="199"/>
      <c r="I727" s="199"/>
      <c r="J727" s="62"/>
      <c r="K727" s="62"/>
      <c r="L727" s="62"/>
      <c r="M727" s="62"/>
      <c r="N727" s="62"/>
      <c r="O727" s="62"/>
      <c r="P727" s="62"/>
      <c r="Q727" s="62"/>
      <c r="R727" s="62"/>
      <c r="S727" s="62"/>
      <c r="T727" s="62"/>
      <c r="U727" s="74"/>
      <c r="V727" s="62"/>
      <c r="W727" s="74"/>
      <c r="X727" s="62"/>
      <c r="Y727" s="61"/>
      <c r="Z727" s="201"/>
      <c r="AA727" s="201"/>
      <c r="AB727" s="201"/>
      <c r="AC727" s="201"/>
      <c r="AD727" s="201"/>
      <c r="AE727" s="201"/>
      <c r="AF727" s="201"/>
      <c r="AG727" s="201"/>
      <c r="AH727" s="201"/>
      <c r="AI727" s="201"/>
      <c r="AJ727" s="201"/>
      <c r="AK727" s="201"/>
      <c r="AL727" s="201"/>
      <c r="AM727" s="201"/>
      <c r="AN727" s="201"/>
      <c r="AO727" s="201"/>
    </row>
    <row r="728">
      <c r="A728" s="197"/>
      <c r="B728" s="197"/>
      <c r="C728" s="199"/>
      <c r="D728" s="197"/>
      <c r="E728" s="197"/>
      <c r="F728" s="197"/>
      <c r="G728" s="197"/>
      <c r="H728" s="199"/>
      <c r="I728" s="199"/>
      <c r="J728" s="62"/>
      <c r="K728" s="62"/>
      <c r="L728" s="62"/>
      <c r="M728" s="62"/>
      <c r="N728" s="62"/>
      <c r="O728" s="62"/>
      <c r="P728" s="62"/>
      <c r="Q728" s="62"/>
      <c r="R728" s="62"/>
      <c r="S728" s="62"/>
      <c r="T728" s="62"/>
      <c r="U728" s="74"/>
      <c r="V728" s="62"/>
      <c r="W728" s="74"/>
      <c r="X728" s="62"/>
      <c r="Y728" s="61"/>
      <c r="Z728" s="201"/>
      <c r="AA728" s="201"/>
      <c r="AB728" s="201"/>
      <c r="AC728" s="201"/>
      <c r="AD728" s="201"/>
      <c r="AE728" s="201"/>
      <c r="AF728" s="201"/>
      <c r="AG728" s="201"/>
      <c r="AH728" s="201"/>
      <c r="AI728" s="201"/>
      <c r="AJ728" s="201"/>
      <c r="AK728" s="201"/>
      <c r="AL728" s="201"/>
      <c r="AM728" s="201"/>
      <c r="AN728" s="201"/>
      <c r="AO728" s="201"/>
    </row>
    <row r="729">
      <c r="A729" s="197"/>
      <c r="B729" s="197"/>
      <c r="C729" s="199"/>
      <c r="D729" s="197"/>
      <c r="E729" s="197"/>
      <c r="F729" s="197"/>
      <c r="G729" s="197"/>
      <c r="H729" s="199"/>
      <c r="I729" s="199"/>
      <c r="J729" s="62"/>
      <c r="K729" s="62"/>
      <c r="L729" s="62"/>
      <c r="M729" s="62"/>
      <c r="N729" s="62"/>
      <c r="O729" s="62"/>
      <c r="P729" s="62"/>
      <c r="Q729" s="62"/>
      <c r="R729" s="62"/>
      <c r="S729" s="62"/>
      <c r="T729" s="62"/>
      <c r="U729" s="74"/>
      <c r="V729" s="62"/>
      <c r="W729" s="74"/>
      <c r="X729" s="62"/>
      <c r="Y729" s="61"/>
      <c r="Z729" s="201"/>
      <c r="AA729" s="201"/>
      <c r="AB729" s="201"/>
      <c r="AC729" s="201"/>
      <c r="AD729" s="201"/>
      <c r="AE729" s="201"/>
      <c r="AF729" s="201"/>
      <c r="AG729" s="201"/>
      <c r="AH729" s="201"/>
      <c r="AI729" s="201"/>
      <c r="AJ729" s="201"/>
      <c r="AK729" s="201"/>
      <c r="AL729" s="201"/>
      <c r="AM729" s="201"/>
      <c r="AN729" s="201"/>
      <c r="AO729" s="201"/>
    </row>
    <row r="730">
      <c r="A730" s="197"/>
      <c r="B730" s="197"/>
      <c r="C730" s="199"/>
      <c r="D730" s="197"/>
      <c r="E730" s="197"/>
      <c r="F730" s="197"/>
      <c r="G730" s="197"/>
      <c r="H730" s="199"/>
      <c r="I730" s="199"/>
      <c r="J730" s="62"/>
      <c r="K730" s="62"/>
      <c r="L730" s="62"/>
      <c r="M730" s="62"/>
      <c r="N730" s="62"/>
      <c r="O730" s="62"/>
      <c r="P730" s="62"/>
      <c r="Q730" s="62"/>
      <c r="R730" s="62"/>
      <c r="S730" s="62"/>
      <c r="T730" s="62"/>
      <c r="U730" s="74"/>
      <c r="V730" s="62"/>
      <c r="W730" s="74"/>
      <c r="X730" s="62"/>
      <c r="Y730" s="61"/>
      <c r="Z730" s="201"/>
      <c r="AA730" s="201"/>
      <c r="AB730" s="201"/>
      <c r="AC730" s="201"/>
      <c r="AD730" s="201"/>
      <c r="AE730" s="201"/>
      <c r="AF730" s="201"/>
      <c r="AG730" s="201"/>
      <c r="AH730" s="201"/>
      <c r="AI730" s="201"/>
      <c r="AJ730" s="201"/>
      <c r="AK730" s="201"/>
      <c r="AL730" s="201"/>
      <c r="AM730" s="201"/>
      <c r="AN730" s="201"/>
      <c r="AO730" s="201"/>
    </row>
    <row r="731">
      <c r="A731" s="197"/>
      <c r="B731" s="197"/>
      <c r="C731" s="199"/>
      <c r="D731" s="197"/>
      <c r="E731" s="197"/>
      <c r="F731" s="197"/>
      <c r="G731" s="197"/>
      <c r="H731" s="199"/>
      <c r="I731" s="199"/>
      <c r="J731" s="62"/>
      <c r="K731" s="62"/>
      <c r="L731" s="62"/>
      <c r="M731" s="62"/>
      <c r="N731" s="62"/>
      <c r="O731" s="62"/>
      <c r="P731" s="62"/>
      <c r="Q731" s="62"/>
      <c r="R731" s="62"/>
      <c r="S731" s="62"/>
      <c r="T731" s="62"/>
      <c r="U731" s="74"/>
      <c r="V731" s="62"/>
      <c r="W731" s="74"/>
      <c r="X731" s="62"/>
      <c r="Y731" s="61"/>
      <c r="Z731" s="201"/>
      <c r="AA731" s="201"/>
      <c r="AB731" s="201"/>
      <c r="AC731" s="201"/>
      <c r="AD731" s="201"/>
      <c r="AE731" s="201"/>
      <c r="AF731" s="201"/>
      <c r="AG731" s="201"/>
      <c r="AH731" s="201"/>
      <c r="AI731" s="201"/>
      <c r="AJ731" s="201"/>
      <c r="AK731" s="201"/>
      <c r="AL731" s="201"/>
      <c r="AM731" s="201"/>
      <c r="AN731" s="201"/>
      <c r="AO731" s="201"/>
    </row>
    <row r="732">
      <c r="A732" s="197"/>
      <c r="B732" s="197"/>
      <c r="C732" s="199"/>
      <c r="D732" s="197"/>
      <c r="E732" s="197"/>
      <c r="F732" s="197"/>
      <c r="G732" s="197"/>
      <c r="H732" s="199"/>
      <c r="I732" s="199"/>
      <c r="J732" s="62"/>
      <c r="K732" s="62"/>
      <c r="L732" s="62"/>
      <c r="M732" s="62"/>
      <c r="N732" s="62"/>
      <c r="O732" s="62"/>
      <c r="P732" s="62"/>
      <c r="Q732" s="62"/>
      <c r="R732" s="62"/>
      <c r="S732" s="62"/>
      <c r="T732" s="62"/>
      <c r="U732" s="74"/>
      <c r="V732" s="62"/>
      <c r="W732" s="74"/>
      <c r="X732" s="62"/>
      <c r="Y732" s="61"/>
      <c r="Z732" s="201"/>
      <c r="AA732" s="201"/>
      <c r="AB732" s="201"/>
      <c r="AC732" s="201"/>
      <c r="AD732" s="201"/>
      <c r="AE732" s="201"/>
      <c r="AF732" s="201"/>
      <c r="AG732" s="201"/>
      <c r="AH732" s="201"/>
      <c r="AI732" s="201"/>
      <c r="AJ732" s="201"/>
      <c r="AK732" s="201"/>
      <c r="AL732" s="201"/>
      <c r="AM732" s="201"/>
      <c r="AN732" s="201"/>
      <c r="AO732" s="201"/>
    </row>
    <row r="733">
      <c r="A733" s="197"/>
      <c r="B733" s="197"/>
      <c r="C733" s="199"/>
      <c r="D733" s="197"/>
      <c r="E733" s="197"/>
      <c r="F733" s="197"/>
      <c r="G733" s="197"/>
      <c r="H733" s="199"/>
      <c r="I733" s="199"/>
      <c r="J733" s="62"/>
      <c r="K733" s="62"/>
      <c r="L733" s="62"/>
      <c r="M733" s="62"/>
      <c r="N733" s="62"/>
      <c r="O733" s="62"/>
      <c r="P733" s="62"/>
      <c r="Q733" s="62"/>
      <c r="R733" s="62"/>
      <c r="S733" s="62"/>
      <c r="T733" s="62"/>
      <c r="U733" s="74"/>
      <c r="V733" s="62"/>
      <c r="W733" s="74"/>
      <c r="X733" s="62"/>
      <c r="Y733" s="61"/>
      <c r="Z733" s="201"/>
      <c r="AA733" s="201"/>
      <c r="AB733" s="201"/>
      <c r="AC733" s="201"/>
      <c r="AD733" s="201"/>
      <c r="AE733" s="201"/>
      <c r="AF733" s="201"/>
      <c r="AG733" s="201"/>
      <c r="AH733" s="201"/>
      <c r="AI733" s="201"/>
      <c r="AJ733" s="201"/>
      <c r="AK733" s="201"/>
      <c r="AL733" s="201"/>
      <c r="AM733" s="201"/>
      <c r="AN733" s="201"/>
      <c r="AO733" s="201"/>
    </row>
    <row r="734">
      <c r="A734" s="197"/>
      <c r="B734" s="197"/>
      <c r="C734" s="199"/>
      <c r="D734" s="197"/>
      <c r="E734" s="197"/>
      <c r="F734" s="197"/>
      <c r="G734" s="197"/>
      <c r="H734" s="199"/>
      <c r="I734" s="199"/>
      <c r="J734" s="62"/>
      <c r="K734" s="62"/>
      <c r="L734" s="62"/>
      <c r="M734" s="62"/>
      <c r="N734" s="62"/>
      <c r="O734" s="62"/>
      <c r="P734" s="62"/>
      <c r="Q734" s="62"/>
      <c r="R734" s="62"/>
      <c r="S734" s="62"/>
      <c r="T734" s="62"/>
      <c r="U734" s="74"/>
      <c r="V734" s="62"/>
      <c r="W734" s="74"/>
      <c r="X734" s="62"/>
      <c r="Y734" s="61"/>
      <c r="Z734" s="201"/>
      <c r="AA734" s="201"/>
      <c r="AB734" s="201"/>
      <c r="AC734" s="201"/>
      <c r="AD734" s="201"/>
      <c r="AE734" s="201"/>
      <c r="AF734" s="201"/>
      <c r="AG734" s="201"/>
      <c r="AH734" s="201"/>
      <c r="AI734" s="201"/>
      <c r="AJ734" s="201"/>
      <c r="AK734" s="201"/>
      <c r="AL734" s="201"/>
      <c r="AM734" s="201"/>
      <c r="AN734" s="201"/>
      <c r="AO734" s="201"/>
    </row>
    <row r="735">
      <c r="A735" s="197"/>
      <c r="B735" s="197"/>
      <c r="C735" s="199"/>
      <c r="D735" s="197"/>
      <c r="E735" s="197"/>
      <c r="F735" s="197"/>
      <c r="G735" s="197"/>
      <c r="H735" s="199"/>
      <c r="I735" s="199"/>
      <c r="J735" s="62"/>
      <c r="K735" s="62"/>
      <c r="L735" s="62"/>
      <c r="M735" s="62"/>
      <c r="N735" s="62"/>
      <c r="O735" s="62"/>
      <c r="P735" s="62"/>
      <c r="Q735" s="62"/>
      <c r="R735" s="62"/>
      <c r="S735" s="62"/>
      <c r="T735" s="62"/>
      <c r="U735" s="74"/>
      <c r="V735" s="62"/>
      <c r="W735" s="74"/>
      <c r="X735" s="62"/>
      <c r="Y735" s="61"/>
      <c r="Z735" s="201"/>
      <c r="AA735" s="201"/>
      <c r="AB735" s="201"/>
      <c r="AC735" s="201"/>
      <c r="AD735" s="201"/>
      <c r="AE735" s="201"/>
      <c r="AF735" s="201"/>
      <c r="AG735" s="201"/>
      <c r="AH735" s="201"/>
      <c r="AI735" s="201"/>
      <c r="AJ735" s="201"/>
      <c r="AK735" s="201"/>
      <c r="AL735" s="201"/>
      <c r="AM735" s="201"/>
      <c r="AN735" s="201"/>
      <c r="AO735" s="201"/>
    </row>
    <row r="736">
      <c r="A736" s="197"/>
      <c r="B736" s="197"/>
      <c r="C736" s="199"/>
      <c r="D736" s="197"/>
      <c r="E736" s="197"/>
      <c r="F736" s="197"/>
      <c r="G736" s="197"/>
      <c r="H736" s="199"/>
      <c r="I736" s="199"/>
      <c r="J736" s="62"/>
      <c r="K736" s="62"/>
      <c r="L736" s="62"/>
      <c r="M736" s="62"/>
      <c r="N736" s="62"/>
      <c r="O736" s="62"/>
      <c r="P736" s="62"/>
      <c r="Q736" s="62"/>
      <c r="R736" s="62"/>
      <c r="S736" s="62"/>
      <c r="T736" s="62"/>
      <c r="U736" s="74"/>
      <c r="V736" s="62"/>
      <c r="W736" s="74"/>
      <c r="X736" s="62"/>
      <c r="Y736" s="61"/>
      <c r="Z736" s="201"/>
      <c r="AA736" s="201"/>
      <c r="AB736" s="201"/>
      <c r="AC736" s="201"/>
      <c r="AD736" s="201"/>
      <c r="AE736" s="201"/>
      <c r="AF736" s="201"/>
      <c r="AG736" s="201"/>
      <c r="AH736" s="201"/>
      <c r="AI736" s="201"/>
      <c r="AJ736" s="201"/>
      <c r="AK736" s="201"/>
      <c r="AL736" s="201"/>
      <c r="AM736" s="201"/>
      <c r="AN736" s="201"/>
      <c r="AO736" s="201"/>
    </row>
    <row r="737">
      <c r="A737" s="197"/>
      <c r="B737" s="197"/>
      <c r="C737" s="199"/>
      <c r="D737" s="197"/>
      <c r="E737" s="197"/>
      <c r="F737" s="197"/>
      <c r="G737" s="197"/>
      <c r="H737" s="199"/>
      <c r="I737" s="199"/>
      <c r="J737" s="62"/>
      <c r="K737" s="62"/>
      <c r="L737" s="62"/>
      <c r="M737" s="62"/>
      <c r="N737" s="62"/>
      <c r="O737" s="62"/>
      <c r="P737" s="62"/>
      <c r="Q737" s="62"/>
      <c r="R737" s="62"/>
      <c r="S737" s="62"/>
      <c r="T737" s="62"/>
      <c r="U737" s="74"/>
      <c r="V737" s="62"/>
      <c r="W737" s="74"/>
      <c r="X737" s="62"/>
      <c r="Y737" s="61"/>
      <c r="Z737" s="201"/>
      <c r="AA737" s="201"/>
      <c r="AB737" s="201"/>
      <c r="AC737" s="201"/>
      <c r="AD737" s="201"/>
      <c r="AE737" s="201"/>
      <c r="AF737" s="201"/>
      <c r="AG737" s="201"/>
      <c r="AH737" s="201"/>
      <c r="AI737" s="201"/>
      <c r="AJ737" s="201"/>
      <c r="AK737" s="201"/>
      <c r="AL737" s="201"/>
      <c r="AM737" s="201"/>
      <c r="AN737" s="201"/>
      <c r="AO737" s="201"/>
    </row>
    <row r="738">
      <c r="A738" s="197"/>
      <c r="B738" s="197"/>
      <c r="C738" s="199"/>
      <c r="D738" s="197"/>
      <c r="E738" s="197"/>
      <c r="F738" s="197"/>
      <c r="G738" s="197"/>
      <c r="H738" s="199"/>
      <c r="I738" s="199"/>
      <c r="J738" s="62"/>
      <c r="K738" s="62"/>
      <c r="L738" s="62"/>
      <c r="M738" s="62"/>
      <c r="N738" s="62"/>
      <c r="O738" s="62"/>
      <c r="P738" s="62"/>
      <c r="Q738" s="62"/>
      <c r="R738" s="62"/>
      <c r="S738" s="62"/>
      <c r="T738" s="62"/>
      <c r="U738" s="74"/>
      <c r="V738" s="62"/>
      <c r="W738" s="74"/>
      <c r="X738" s="62"/>
      <c r="Y738" s="61"/>
      <c r="Z738" s="201"/>
      <c r="AA738" s="201"/>
      <c r="AB738" s="201"/>
      <c r="AC738" s="201"/>
      <c r="AD738" s="201"/>
      <c r="AE738" s="201"/>
      <c r="AF738" s="201"/>
      <c r="AG738" s="201"/>
      <c r="AH738" s="201"/>
      <c r="AI738" s="201"/>
      <c r="AJ738" s="201"/>
      <c r="AK738" s="201"/>
      <c r="AL738" s="201"/>
      <c r="AM738" s="201"/>
      <c r="AN738" s="201"/>
      <c r="AO738" s="201"/>
    </row>
    <row r="739">
      <c r="A739" s="197"/>
      <c r="B739" s="197"/>
      <c r="C739" s="199"/>
      <c r="D739" s="197"/>
      <c r="E739" s="197"/>
      <c r="F739" s="197"/>
      <c r="G739" s="197"/>
      <c r="H739" s="199"/>
      <c r="I739" s="199"/>
      <c r="J739" s="62"/>
      <c r="K739" s="62"/>
      <c r="L739" s="62"/>
      <c r="M739" s="62"/>
      <c r="N739" s="62"/>
      <c r="O739" s="62"/>
      <c r="P739" s="62"/>
      <c r="Q739" s="62"/>
      <c r="R739" s="62"/>
      <c r="S739" s="62"/>
      <c r="T739" s="62"/>
      <c r="U739" s="74"/>
      <c r="V739" s="62"/>
      <c r="W739" s="74"/>
      <c r="X739" s="62"/>
      <c r="Y739" s="61"/>
      <c r="Z739" s="201"/>
      <c r="AA739" s="201"/>
      <c r="AB739" s="201"/>
      <c r="AC739" s="201"/>
      <c r="AD739" s="201"/>
      <c r="AE739" s="201"/>
      <c r="AF739" s="201"/>
      <c r="AG739" s="201"/>
      <c r="AH739" s="201"/>
      <c r="AI739" s="201"/>
      <c r="AJ739" s="201"/>
      <c r="AK739" s="201"/>
      <c r="AL739" s="201"/>
      <c r="AM739" s="201"/>
      <c r="AN739" s="201"/>
      <c r="AO739" s="201"/>
    </row>
    <row r="740">
      <c r="A740" s="197"/>
      <c r="B740" s="197"/>
      <c r="C740" s="199"/>
      <c r="D740" s="197"/>
      <c r="E740" s="197"/>
      <c r="F740" s="197"/>
      <c r="G740" s="197"/>
      <c r="H740" s="199"/>
      <c r="I740" s="199"/>
      <c r="J740" s="62"/>
      <c r="K740" s="62"/>
      <c r="L740" s="62"/>
      <c r="M740" s="62"/>
      <c r="N740" s="62"/>
      <c r="O740" s="62"/>
      <c r="P740" s="62"/>
      <c r="Q740" s="62"/>
      <c r="R740" s="62"/>
      <c r="S740" s="62"/>
      <c r="T740" s="62"/>
      <c r="U740" s="74"/>
      <c r="V740" s="62"/>
      <c r="W740" s="74"/>
      <c r="X740" s="62"/>
      <c r="Y740" s="61"/>
      <c r="Z740" s="201"/>
      <c r="AA740" s="201"/>
      <c r="AB740" s="201"/>
      <c r="AC740" s="201"/>
      <c r="AD740" s="201"/>
      <c r="AE740" s="201"/>
      <c r="AF740" s="201"/>
      <c r="AG740" s="201"/>
      <c r="AH740" s="201"/>
      <c r="AI740" s="201"/>
      <c r="AJ740" s="201"/>
      <c r="AK740" s="201"/>
      <c r="AL740" s="201"/>
      <c r="AM740" s="201"/>
      <c r="AN740" s="201"/>
      <c r="AO740" s="201"/>
    </row>
    <row r="741">
      <c r="A741" s="197"/>
      <c r="B741" s="197"/>
      <c r="C741" s="199"/>
      <c r="D741" s="197"/>
      <c r="E741" s="197"/>
      <c r="F741" s="197"/>
      <c r="G741" s="197"/>
      <c r="H741" s="199"/>
      <c r="I741" s="199"/>
      <c r="J741" s="62"/>
      <c r="K741" s="62"/>
      <c r="L741" s="62"/>
      <c r="M741" s="62"/>
      <c r="N741" s="62"/>
      <c r="O741" s="62"/>
      <c r="P741" s="62"/>
      <c r="Q741" s="62"/>
      <c r="R741" s="62"/>
      <c r="S741" s="62"/>
      <c r="T741" s="62"/>
      <c r="U741" s="74"/>
      <c r="V741" s="62"/>
      <c r="W741" s="74"/>
      <c r="X741" s="62"/>
      <c r="Y741" s="61"/>
      <c r="Z741" s="201"/>
      <c r="AA741" s="201"/>
      <c r="AB741" s="201"/>
      <c r="AC741" s="201"/>
      <c r="AD741" s="201"/>
      <c r="AE741" s="201"/>
      <c r="AF741" s="201"/>
      <c r="AG741" s="201"/>
      <c r="AH741" s="201"/>
      <c r="AI741" s="201"/>
      <c r="AJ741" s="201"/>
      <c r="AK741" s="201"/>
      <c r="AL741" s="201"/>
      <c r="AM741" s="201"/>
      <c r="AN741" s="201"/>
      <c r="AO741" s="201"/>
    </row>
    <row r="742">
      <c r="A742" s="197"/>
      <c r="B742" s="197"/>
      <c r="C742" s="199"/>
      <c r="D742" s="197"/>
      <c r="E742" s="197"/>
      <c r="F742" s="197"/>
      <c r="G742" s="197"/>
      <c r="H742" s="199"/>
      <c r="I742" s="199"/>
      <c r="J742" s="62"/>
      <c r="K742" s="62"/>
      <c r="L742" s="62"/>
      <c r="M742" s="62"/>
      <c r="N742" s="62"/>
      <c r="O742" s="62"/>
      <c r="P742" s="62"/>
      <c r="Q742" s="62"/>
      <c r="R742" s="62"/>
      <c r="S742" s="62"/>
      <c r="T742" s="62"/>
      <c r="U742" s="74"/>
      <c r="V742" s="62"/>
      <c r="W742" s="74"/>
      <c r="X742" s="62"/>
      <c r="Y742" s="61"/>
      <c r="Z742" s="201"/>
      <c r="AA742" s="201"/>
      <c r="AB742" s="201"/>
      <c r="AC742" s="201"/>
      <c r="AD742" s="201"/>
      <c r="AE742" s="201"/>
      <c r="AF742" s="201"/>
      <c r="AG742" s="201"/>
      <c r="AH742" s="201"/>
      <c r="AI742" s="201"/>
      <c r="AJ742" s="201"/>
      <c r="AK742" s="201"/>
      <c r="AL742" s="201"/>
      <c r="AM742" s="201"/>
      <c r="AN742" s="201"/>
      <c r="AO742" s="201"/>
    </row>
    <row r="743">
      <c r="A743" s="197"/>
      <c r="B743" s="197"/>
      <c r="C743" s="199"/>
      <c r="D743" s="197"/>
      <c r="E743" s="197"/>
      <c r="F743" s="197"/>
      <c r="G743" s="197"/>
      <c r="H743" s="199"/>
      <c r="I743" s="199"/>
      <c r="J743" s="62"/>
      <c r="K743" s="62"/>
      <c r="L743" s="62"/>
      <c r="M743" s="62"/>
      <c r="N743" s="62"/>
      <c r="O743" s="62"/>
      <c r="P743" s="62"/>
      <c r="Q743" s="62"/>
      <c r="R743" s="62"/>
      <c r="S743" s="62"/>
      <c r="T743" s="62"/>
      <c r="U743" s="74"/>
      <c r="V743" s="62"/>
      <c r="W743" s="74"/>
      <c r="X743" s="62"/>
      <c r="Y743" s="61"/>
      <c r="Z743" s="201"/>
      <c r="AA743" s="201"/>
      <c r="AB743" s="201"/>
      <c r="AC743" s="201"/>
      <c r="AD743" s="201"/>
      <c r="AE743" s="201"/>
      <c r="AF743" s="201"/>
      <c r="AG743" s="201"/>
      <c r="AH743" s="201"/>
      <c r="AI743" s="201"/>
      <c r="AJ743" s="201"/>
      <c r="AK743" s="201"/>
      <c r="AL743" s="201"/>
      <c r="AM743" s="201"/>
      <c r="AN743" s="201"/>
      <c r="AO743" s="201"/>
    </row>
    <row r="744">
      <c r="A744" s="197"/>
      <c r="B744" s="197"/>
      <c r="C744" s="199"/>
      <c r="D744" s="197"/>
      <c r="E744" s="197"/>
      <c r="F744" s="197"/>
      <c r="G744" s="197"/>
      <c r="H744" s="199"/>
      <c r="I744" s="199"/>
      <c r="J744" s="62"/>
      <c r="K744" s="62"/>
      <c r="L744" s="62"/>
      <c r="M744" s="62"/>
      <c r="N744" s="62"/>
      <c r="O744" s="62"/>
      <c r="P744" s="62"/>
      <c r="Q744" s="62"/>
      <c r="R744" s="62"/>
      <c r="S744" s="62"/>
      <c r="T744" s="62"/>
      <c r="U744" s="74"/>
      <c r="V744" s="62"/>
      <c r="W744" s="74"/>
      <c r="X744" s="62"/>
      <c r="Y744" s="61"/>
      <c r="Z744" s="201"/>
      <c r="AA744" s="201"/>
      <c r="AB744" s="201"/>
      <c r="AC744" s="201"/>
      <c r="AD744" s="201"/>
      <c r="AE744" s="201"/>
      <c r="AF744" s="201"/>
      <c r="AG744" s="201"/>
      <c r="AH744" s="201"/>
      <c r="AI744" s="201"/>
      <c r="AJ744" s="201"/>
      <c r="AK744" s="201"/>
      <c r="AL744" s="201"/>
      <c r="AM744" s="201"/>
      <c r="AN744" s="201"/>
      <c r="AO744" s="201"/>
    </row>
    <row r="745">
      <c r="A745" s="197"/>
      <c r="B745" s="197"/>
      <c r="C745" s="199"/>
      <c r="D745" s="197"/>
      <c r="E745" s="197"/>
      <c r="F745" s="197"/>
      <c r="G745" s="197"/>
      <c r="H745" s="199"/>
      <c r="I745" s="199"/>
      <c r="J745" s="62"/>
      <c r="K745" s="62"/>
      <c r="L745" s="62"/>
      <c r="M745" s="62"/>
      <c r="N745" s="62"/>
      <c r="O745" s="62"/>
      <c r="P745" s="62"/>
      <c r="Q745" s="62"/>
      <c r="R745" s="62"/>
      <c r="S745" s="62"/>
      <c r="T745" s="62"/>
      <c r="U745" s="74"/>
      <c r="V745" s="62"/>
      <c r="W745" s="74"/>
      <c r="X745" s="62"/>
      <c r="Y745" s="61"/>
      <c r="Z745" s="201"/>
      <c r="AA745" s="201"/>
      <c r="AB745" s="201"/>
      <c r="AC745" s="201"/>
      <c r="AD745" s="201"/>
      <c r="AE745" s="201"/>
      <c r="AF745" s="201"/>
      <c r="AG745" s="201"/>
      <c r="AH745" s="201"/>
      <c r="AI745" s="201"/>
      <c r="AJ745" s="201"/>
      <c r="AK745" s="201"/>
      <c r="AL745" s="201"/>
      <c r="AM745" s="201"/>
      <c r="AN745" s="201"/>
      <c r="AO745" s="201"/>
    </row>
    <row r="746">
      <c r="A746" s="197"/>
      <c r="B746" s="197"/>
      <c r="C746" s="199"/>
      <c r="D746" s="197"/>
      <c r="E746" s="197"/>
      <c r="F746" s="197"/>
      <c r="G746" s="197"/>
      <c r="H746" s="199"/>
      <c r="I746" s="199"/>
      <c r="J746" s="62"/>
      <c r="K746" s="62"/>
      <c r="L746" s="62"/>
      <c r="M746" s="62"/>
      <c r="N746" s="62"/>
      <c r="O746" s="62"/>
      <c r="P746" s="62"/>
      <c r="Q746" s="62"/>
      <c r="R746" s="62"/>
      <c r="S746" s="62"/>
      <c r="T746" s="62"/>
      <c r="U746" s="74"/>
      <c r="V746" s="62"/>
      <c r="W746" s="74"/>
      <c r="X746" s="62"/>
      <c r="Y746" s="61"/>
      <c r="Z746" s="201"/>
      <c r="AA746" s="201"/>
      <c r="AB746" s="201"/>
      <c r="AC746" s="201"/>
      <c r="AD746" s="201"/>
      <c r="AE746" s="201"/>
      <c r="AF746" s="201"/>
      <c r="AG746" s="201"/>
      <c r="AH746" s="201"/>
      <c r="AI746" s="201"/>
      <c r="AJ746" s="201"/>
      <c r="AK746" s="201"/>
      <c r="AL746" s="201"/>
      <c r="AM746" s="201"/>
      <c r="AN746" s="201"/>
      <c r="AO746" s="201"/>
    </row>
    <row r="747">
      <c r="A747" s="197"/>
      <c r="B747" s="197"/>
      <c r="C747" s="199"/>
      <c r="D747" s="197"/>
      <c r="E747" s="197"/>
      <c r="F747" s="197"/>
      <c r="G747" s="197"/>
      <c r="H747" s="199"/>
      <c r="I747" s="199"/>
      <c r="J747" s="62"/>
      <c r="K747" s="62"/>
      <c r="L747" s="62"/>
      <c r="M747" s="62"/>
      <c r="N747" s="62"/>
      <c r="O747" s="62"/>
      <c r="P747" s="62"/>
      <c r="Q747" s="62"/>
      <c r="R747" s="62"/>
      <c r="S747" s="62"/>
      <c r="T747" s="62"/>
      <c r="U747" s="74"/>
      <c r="V747" s="62"/>
      <c r="W747" s="74"/>
      <c r="X747" s="62"/>
      <c r="Y747" s="61"/>
      <c r="Z747" s="201"/>
      <c r="AA747" s="201"/>
      <c r="AB747" s="201"/>
      <c r="AC747" s="201"/>
      <c r="AD747" s="201"/>
      <c r="AE747" s="201"/>
      <c r="AF747" s="201"/>
      <c r="AG747" s="201"/>
      <c r="AH747" s="201"/>
      <c r="AI747" s="201"/>
      <c r="AJ747" s="201"/>
      <c r="AK747" s="201"/>
      <c r="AL747" s="201"/>
      <c r="AM747" s="201"/>
      <c r="AN747" s="201"/>
      <c r="AO747" s="201"/>
    </row>
    <row r="748">
      <c r="A748" s="197"/>
      <c r="B748" s="197"/>
      <c r="C748" s="199"/>
      <c r="D748" s="197"/>
      <c r="E748" s="197"/>
      <c r="F748" s="197"/>
      <c r="G748" s="197"/>
      <c r="H748" s="199"/>
      <c r="I748" s="199"/>
      <c r="J748" s="62"/>
      <c r="K748" s="62"/>
      <c r="L748" s="62"/>
      <c r="M748" s="62"/>
      <c r="N748" s="62"/>
      <c r="O748" s="62"/>
      <c r="P748" s="62"/>
      <c r="Q748" s="62"/>
      <c r="R748" s="62"/>
      <c r="S748" s="62"/>
      <c r="T748" s="62"/>
      <c r="U748" s="74"/>
      <c r="V748" s="62"/>
      <c r="W748" s="74"/>
      <c r="X748" s="62"/>
      <c r="Y748" s="61"/>
      <c r="Z748" s="201"/>
      <c r="AA748" s="201"/>
      <c r="AB748" s="201"/>
      <c r="AC748" s="201"/>
      <c r="AD748" s="201"/>
      <c r="AE748" s="201"/>
      <c r="AF748" s="201"/>
      <c r="AG748" s="201"/>
      <c r="AH748" s="201"/>
      <c r="AI748" s="201"/>
      <c r="AJ748" s="201"/>
      <c r="AK748" s="201"/>
      <c r="AL748" s="201"/>
      <c r="AM748" s="201"/>
      <c r="AN748" s="201"/>
      <c r="AO748" s="201"/>
    </row>
    <row r="749">
      <c r="A749" s="197"/>
      <c r="B749" s="197"/>
      <c r="C749" s="199"/>
      <c r="D749" s="197"/>
      <c r="E749" s="197"/>
      <c r="F749" s="197"/>
      <c r="G749" s="197"/>
      <c r="H749" s="199"/>
      <c r="I749" s="199"/>
      <c r="J749" s="62"/>
      <c r="K749" s="62"/>
      <c r="L749" s="62"/>
      <c r="M749" s="62"/>
      <c r="N749" s="62"/>
      <c r="O749" s="62"/>
      <c r="P749" s="62"/>
      <c r="Q749" s="62"/>
      <c r="R749" s="62"/>
      <c r="S749" s="62"/>
      <c r="T749" s="62"/>
      <c r="U749" s="74"/>
      <c r="V749" s="62"/>
      <c r="W749" s="74"/>
      <c r="X749" s="62"/>
      <c r="Y749" s="61"/>
      <c r="Z749" s="201"/>
      <c r="AA749" s="201"/>
      <c r="AB749" s="201"/>
      <c r="AC749" s="201"/>
      <c r="AD749" s="201"/>
      <c r="AE749" s="201"/>
      <c r="AF749" s="201"/>
      <c r="AG749" s="201"/>
      <c r="AH749" s="201"/>
      <c r="AI749" s="201"/>
      <c r="AJ749" s="201"/>
      <c r="AK749" s="201"/>
      <c r="AL749" s="201"/>
      <c r="AM749" s="201"/>
      <c r="AN749" s="201"/>
      <c r="AO749" s="201"/>
    </row>
    <row r="750">
      <c r="A750" s="197"/>
      <c r="B750" s="197"/>
      <c r="C750" s="199"/>
      <c r="D750" s="197"/>
      <c r="E750" s="197"/>
      <c r="F750" s="197"/>
      <c r="G750" s="197"/>
      <c r="H750" s="199"/>
      <c r="I750" s="199"/>
      <c r="J750" s="62"/>
      <c r="K750" s="62"/>
      <c r="L750" s="62"/>
      <c r="M750" s="62"/>
      <c r="N750" s="62"/>
      <c r="O750" s="62"/>
      <c r="P750" s="62"/>
      <c r="Q750" s="62"/>
      <c r="R750" s="62"/>
      <c r="S750" s="62"/>
      <c r="T750" s="62"/>
      <c r="U750" s="74"/>
      <c r="V750" s="62"/>
      <c r="W750" s="74"/>
      <c r="X750" s="62"/>
      <c r="Y750" s="61"/>
      <c r="Z750" s="201"/>
      <c r="AA750" s="201"/>
      <c r="AB750" s="201"/>
      <c r="AC750" s="201"/>
      <c r="AD750" s="201"/>
      <c r="AE750" s="201"/>
      <c r="AF750" s="201"/>
      <c r="AG750" s="201"/>
      <c r="AH750" s="201"/>
      <c r="AI750" s="201"/>
      <c r="AJ750" s="201"/>
      <c r="AK750" s="201"/>
      <c r="AL750" s="201"/>
      <c r="AM750" s="201"/>
      <c r="AN750" s="201"/>
      <c r="AO750" s="201"/>
    </row>
    <row r="751">
      <c r="A751" s="197"/>
      <c r="B751" s="197"/>
      <c r="C751" s="199"/>
      <c r="D751" s="197"/>
      <c r="E751" s="197"/>
      <c r="F751" s="197"/>
      <c r="G751" s="197"/>
      <c r="H751" s="199"/>
      <c r="I751" s="199"/>
      <c r="J751" s="62"/>
      <c r="K751" s="62"/>
      <c r="L751" s="62"/>
      <c r="M751" s="62"/>
      <c r="N751" s="62"/>
      <c r="O751" s="62"/>
      <c r="P751" s="62"/>
      <c r="Q751" s="62"/>
      <c r="R751" s="62"/>
      <c r="S751" s="62"/>
      <c r="T751" s="62"/>
      <c r="U751" s="74"/>
      <c r="V751" s="62"/>
      <c r="W751" s="74"/>
      <c r="X751" s="62"/>
      <c r="Y751" s="61"/>
      <c r="Z751" s="201"/>
      <c r="AA751" s="201"/>
      <c r="AB751" s="201"/>
      <c r="AC751" s="201"/>
      <c r="AD751" s="201"/>
      <c r="AE751" s="201"/>
      <c r="AF751" s="201"/>
      <c r="AG751" s="201"/>
      <c r="AH751" s="201"/>
      <c r="AI751" s="201"/>
      <c r="AJ751" s="201"/>
      <c r="AK751" s="201"/>
      <c r="AL751" s="201"/>
      <c r="AM751" s="201"/>
      <c r="AN751" s="201"/>
      <c r="AO751" s="201"/>
    </row>
    <row r="752">
      <c r="A752" s="197"/>
      <c r="B752" s="197"/>
      <c r="C752" s="199"/>
      <c r="D752" s="197"/>
      <c r="E752" s="197"/>
      <c r="F752" s="197"/>
      <c r="G752" s="197"/>
      <c r="H752" s="199"/>
      <c r="I752" s="199"/>
      <c r="J752" s="62"/>
      <c r="K752" s="62"/>
      <c r="L752" s="62"/>
      <c r="M752" s="62"/>
      <c r="N752" s="62"/>
      <c r="O752" s="62"/>
      <c r="P752" s="62"/>
      <c r="Q752" s="62"/>
      <c r="R752" s="62"/>
      <c r="S752" s="62"/>
      <c r="T752" s="62"/>
      <c r="U752" s="74"/>
      <c r="V752" s="62"/>
      <c r="W752" s="74"/>
      <c r="X752" s="62"/>
      <c r="Y752" s="61"/>
      <c r="Z752" s="201"/>
      <c r="AA752" s="201"/>
      <c r="AB752" s="201"/>
      <c r="AC752" s="201"/>
      <c r="AD752" s="201"/>
      <c r="AE752" s="201"/>
      <c r="AF752" s="201"/>
      <c r="AG752" s="201"/>
      <c r="AH752" s="201"/>
      <c r="AI752" s="201"/>
      <c r="AJ752" s="201"/>
      <c r="AK752" s="201"/>
      <c r="AL752" s="201"/>
      <c r="AM752" s="201"/>
      <c r="AN752" s="201"/>
      <c r="AO752" s="201"/>
    </row>
    <row r="753">
      <c r="A753" s="197"/>
      <c r="B753" s="197"/>
      <c r="C753" s="199"/>
      <c r="D753" s="197"/>
      <c r="E753" s="197"/>
      <c r="F753" s="197"/>
      <c r="G753" s="197"/>
      <c r="H753" s="199"/>
      <c r="I753" s="199"/>
      <c r="J753" s="62"/>
      <c r="K753" s="62"/>
      <c r="L753" s="62"/>
      <c r="M753" s="62"/>
      <c r="N753" s="62"/>
      <c r="O753" s="62"/>
      <c r="P753" s="62"/>
      <c r="Q753" s="62"/>
      <c r="R753" s="62"/>
      <c r="S753" s="62"/>
      <c r="T753" s="62"/>
      <c r="U753" s="74"/>
      <c r="V753" s="62"/>
      <c r="W753" s="74"/>
      <c r="X753" s="62"/>
      <c r="Y753" s="61"/>
      <c r="Z753" s="201"/>
      <c r="AA753" s="201"/>
      <c r="AB753" s="201"/>
      <c r="AC753" s="201"/>
      <c r="AD753" s="201"/>
      <c r="AE753" s="201"/>
      <c r="AF753" s="201"/>
      <c r="AG753" s="201"/>
      <c r="AH753" s="201"/>
      <c r="AI753" s="201"/>
      <c r="AJ753" s="201"/>
      <c r="AK753" s="201"/>
      <c r="AL753" s="201"/>
      <c r="AM753" s="201"/>
      <c r="AN753" s="201"/>
      <c r="AO753" s="201"/>
    </row>
    <row r="754">
      <c r="A754" s="197"/>
      <c r="B754" s="197"/>
      <c r="C754" s="199"/>
      <c r="D754" s="197"/>
      <c r="E754" s="197"/>
      <c r="F754" s="197"/>
      <c r="G754" s="197"/>
      <c r="H754" s="199"/>
      <c r="I754" s="199"/>
      <c r="J754" s="62"/>
      <c r="K754" s="62"/>
      <c r="L754" s="62"/>
      <c r="M754" s="62"/>
      <c r="N754" s="62"/>
      <c r="O754" s="62"/>
      <c r="P754" s="62"/>
      <c r="Q754" s="62"/>
      <c r="R754" s="62"/>
      <c r="S754" s="62"/>
      <c r="T754" s="62"/>
      <c r="U754" s="74"/>
      <c r="V754" s="62"/>
      <c r="W754" s="74"/>
      <c r="X754" s="62"/>
      <c r="Y754" s="61"/>
      <c r="Z754" s="201"/>
      <c r="AA754" s="201"/>
      <c r="AB754" s="201"/>
      <c r="AC754" s="201"/>
      <c r="AD754" s="201"/>
      <c r="AE754" s="201"/>
      <c r="AF754" s="201"/>
      <c r="AG754" s="201"/>
      <c r="AH754" s="201"/>
      <c r="AI754" s="201"/>
      <c r="AJ754" s="201"/>
      <c r="AK754" s="201"/>
      <c r="AL754" s="201"/>
      <c r="AM754" s="201"/>
      <c r="AN754" s="201"/>
      <c r="AO754" s="201"/>
    </row>
    <row r="755">
      <c r="A755" s="197"/>
      <c r="B755" s="197"/>
      <c r="C755" s="199"/>
      <c r="D755" s="197"/>
      <c r="E755" s="197"/>
      <c r="F755" s="197"/>
      <c r="G755" s="197"/>
      <c r="H755" s="199"/>
      <c r="I755" s="199"/>
      <c r="J755" s="62"/>
      <c r="K755" s="62"/>
      <c r="L755" s="62"/>
      <c r="M755" s="62"/>
      <c r="N755" s="62"/>
      <c r="O755" s="62"/>
      <c r="P755" s="62"/>
      <c r="Q755" s="62"/>
      <c r="R755" s="62"/>
      <c r="S755" s="62"/>
      <c r="T755" s="62"/>
      <c r="U755" s="74"/>
      <c r="V755" s="62"/>
      <c r="W755" s="74"/>
      <c r="X755" s="62"/>
      <c r="Y755" s="61"/>
      <c r="Z755" s="201"/>
      <c r="AA755" s="201"/>
      <c r="AB755" s="201"/>
      <c r="AC755" s="201"/>
      <c r="AD755" s="201"/>
      <c r="AE755" s="201"/>
      <c r="AF755" s="201"/>
      <c r="AG755" s="201"/>
      <c r="AH755" s="201"/>
      <c r="AI755" s="201"/>
      <c r="AJ755" s="201"/>
      <c r="AK755" s="201"/>
      <c r="AL755" s="201"/>
      <c r="AM755" s="201"/>
      <c r="AN755" s="201"/>
      <c r="AO755" s="201"/>
    </row>
    <row r="756">
      <c r="A756" s="197"/>
      <c r="B756" s="197"/>
      <c r="C756" s="199"/>
      <c r="D756" s="197"/>
      <c r="E756" s="197"/>
      <c r="F756" s="197"/>
      <c r="G756" s="197"/>
      <c r="H756" s="199"/>
      <c r="I756" s="199"/>
      <c r="J756" s="62"/>
      <c r="K756" s="62"/>
      <c r="L756" s="62"/>
      <c r="M756" s="62"/>
      <c r="N756" s="62"/>
      <c r="O756" s="62"/>
      <c r="P756" s="62"/>
      <c r="Q756" s="62"/>
      <c r="R756" s="62"/>
      <c r="S756" s="62"/>
      <c r="T756" s="62"/>
      <c r="U756" s="74"/>
      <c r="V756" s="62"/>
      <c r="W756" s="74"/>
      <c r="X756" s="62"/>
      <c r="Y756" s="61"/>
      <c r="Z756" s="201"/>
      <c r="AA756" s="201"/>
      <c r="AB756" s="201"/>
      <c r="AC756" s="201"/>
      <c r="AD756" s="201"/>
      <c r="AE756" s="201"/>
      <c r="AF756" s="201"/>
      <c r="AG756" s="201"/>
      <c r="AH756" s="201"/>
      <c r="AI756" s="201"/>
      <c r="AJ756" s="201"/>
      <c r="AK756" s="201"/>
      <c r="AL756" s="201"/>
      <c r="AM756" s="201"/>
      <c r="AN756" s="201"/>
      <c r="AO756" s="201"/>
    </row>
    <row r="757">
      <c r="A757" s="197"/>
      <c r="B757" s="197"/>
      <c r="C757" s="199"/>
      <c r="D757" s="197"/>
      <c r="E757" s="197"/>
      <c r="F757" s="197"/>
      <c r="G757" s="197"/>
      <c r="H757" s="199"/>
      <c r="I757" s="199"/>
      <c r="J757" s="62"/>
      <c r="K757" s="62"/>
      <c r="L757" s="62"/>
      <c r="M757" s="62"/>
      <c r="N757" s="62"/>
      <c r="O757" s="62"/>
      <c r="P757" s="62"/>
      <c r="Q757" s="62"/>
      <c r="R757" s="62"/>
      <c r="S757" s="62"/>
      <c r="T757" s="62"/>
      <c r="U757" s="74"/>
      <c r="V757" s="62"/>
      <c r="W757" s="74"/>
      <c r="X757" s="62"/>
      <c r="Y757" s="61"/>
      <c r="Z757" s="201"/>
      <c r="AA757" s="201"/>
      <c r="AB757" s="201"/>
      <c r="AC757" s="201"/>
      <c r="AD757" s="201"/>
      <c r="AE757" s="201"/>
      <c r="AF757" s="201"/>
      <c r="AG757" s="201"/>
      <c r="AH757" s="201"/>
      <c r="AI757" s="201"/>
      <c r="AJ757" s="201"/>
      <c r="AK757" s="201"/>
      <c r="AL757" s="201"/>
      <c r="AM757" s="201"/>
      <c r="AN757" s="201"/>
      <c r="AO757" s="201"/>
    </row>
    <row r="758">
      <c r="A758" s="197"/>
      <c r="B758" s="197"/>
      <c r="C758" s="199"/>
      <c r="D758" s="197"/>
      <c r="E758" s="197"/>
      <c r="F758" s="197"/>
      <c r="G758" s="197"/>
      <c r="H758" s="199"/>
      <c r="I758" s="199"/>
      <c r="J758" s="62"/>
      <c r="K758" s="62"/>
      <c r="L758" s="62"/>
      <c r="M758" s="62"/>
      <c r="N758" s="62"/>
      <c r="O758" s="62"/>
      <c r="P758" s="62"/>
      <c r="Q758" s="62"/>
      <c r="R758" s="62"/>
      <c r="S758" s="62"/>
      <c r="T758" s="62"/>
      <c r="U758" s="74"/>
      <c r="V758" s="62"/>
      <c r="W758" s="74"/>
      <c r="X758" s="62"/>
      <c r="Y758" s="61"/>
      <c r="Z758" s="201"/>
      <c r="AA758" s="201"/>
      <c r="AB758" s="201"/>
      <c r="AC758" s="201"/>
      <c r="AD758" s="201"/>
      <c r="AE758" s="201"/>
      <c r="AF758" s="201"/>
      <c r="AG758" s="201"/>
      <c r="AH758" s="201"/>
      <c r="AI758" s="201"/>
      <c r="AJ758" s="201"/>
      <c r="AK758" s="201"/>
      <c r="AL758" s="201"/>
      <c r="AM758" s="201"/>
      <c r="AN758" s="201"/>
      <c r="AO758" s="201"/>
    </row>
    <row r="759">
      <c r="A759" s="197"/>
      <c r="B759" s="197"/>
      <c r="C759" s="199"/>
      <c r="D759" s="197"/>
      <c r="E759" s="197"/>
      <c r="F759" s="197"/>
      <c r="G759" s="197"/>
      <c r="H759" s="199"/>
      <c r="I759" s="199"/>
      <c r="J759" s="62"/>
      <c r="K759" s="62"/>
      <c r="L759" s="62"/>
      <c r="M759" s="62"/>
      <c r="N759" s="62"/>
      <c r="O759" s="62"/>
      <c r="P759" s="62"/>
      <c r="Q759" s="62"/>
      <c r="R759" s="62"/>
      <c r="S759" s="62"/>
      <c r="T759" s="62"/>
      <c r="U759" s="74"/>
      <c r="V759" s="62"/>
      <c r="W759" s="74"/>
      <c r="X759" s="62"/>
      <c r="Y759" s="61"/>
      <c r="Z759" s="201"/>
      <c r="AA759" s="201"/>
      <c r="AB759" s="201"/>
      <c r="AC759" s="201"/>
      <c r="AD759" s="201"/>
      <c r="AE759" s="201"/>
      <c r="AF759" s="201"/>
      <c r="AG759" s="201"/>
      <c r="AH759" s="201"/>
      <c r="AI759" s="201"/>
      <c r="AJ759" s="201"/>
      <c r="AK759" s="201"/>
      <c r="AL759" s="201"/>
      <c r="AM759" s="201"/>
      <c r="AN759" s="201"/>
      <c r="AO759" s="201"/>
    </row>
    <row r="760">
      <c r="A760" s="197"/>
      <c r="B760" s="197"/>
      <c r="C760" s="199"/>
      <c r="D760" s="197"/>
      <c r="E760" s="197"/>
      <c r="F760" s="197"/>
      <c r="G760" s="197"/>
      <c r="H760" s="199"/>
      <c r="I760" s="199"/>
      <c r="J760" s="62"/>
      <c r="K760" s="62"/>
      <c r="L760" s="62"/>
      <c r="M760" s="62"/>
      <c r="N760" s="62"/>
      <c r="O760" s="62"/>
      <c r="P760" s="62"/>
      <c r="Q760" s="62"/>
      <c r="R760" s="62"/>
      <c r="S760" s="62"/>
      <c r="T760" s="62"/>
      <c r="U760" s="74"/>
      <c r="V760" s="62"/>
      <c r="W760" s="74"/>
      <c r="X760" s="62"/>
      <c r="Y760" s="61"/>
      <c r="Z760" s="201"/>
      <c r="AA760" s="201"/>
      <c r="AB760" s="201"/>
      <c r="AC760" s="201"/>
      <c r="AD760" s="201"/>
      <c r="AE760" s="201"/>
      <c r="AF760" s="201"/>
      <c r="AG760" s="201"/>
      <c r="AH760" s="201"/>
      <c r="AI760" s="201"/>
      <c r="AJ760" s="201"/>
      <c r="AK760" s="201"/>
      <c r="AL760" s="201"/>
      <c r="AM760" s="201"/>
      <c r="AN760" s="201"/>
      <c r="AO760" s="201"/>
    </row>
    <row r="761">
      <c r="A761" s="197"/>
      <c r="B761" s="197"/>
      <c r="C761" s="199"/>
      <c r="D761" s="197"/>
      <c r="E761" s="197"/>
      <c r="F761" s="197"/>
      <c r="G761" s="197"/>
      <c r="H761" s="199"/>
      <c r="I761" s="199"/>
      <c r="J761" s="62"/>
      <c r="K761" s="62"/>
      <c r="L761" s="62"/>
      <c r="M761" s="62"/>
      <c r="N761" s="62"/>
      <c r="O761" s="62"/>
      <c r="P761" s="62"/>
      <c r="Q761" s="62"/>
      <c r="R761" s="62"/>
      <c r="S761" s="62"/>
      <c r="T761" s="62"/>
      <c r="U761" s="74"/>
      <c r="V761" s="62"/>
      <c r="W761" s="74"/>
      <c r="X761" s="62"/>
      <c r="Y761" s="61"/>
      <c r="Z761" s="201"/>
      <c r="AA761" s="201"/>
      <c r="AB761" s="201"/>
      <c r="AC761" s="201"/>
      <c r="AD761" s="201"/>
      <c r="AE761" s="201"/>
      <c r="AF761" s="201"/>
      <c r="AG761" s="201"/>
      <c r="AH761" s="201"/>
      <c r="AI761" s="201"/>
      <c r="AJ761" s="201"/>
      <c r="AK761" s="201"/>
      <c r="AL761" s="201"/>
      <c r="AM761" s="201"/>
      <c r="AN761" s="201"/>
      <c r="AO761" s="201"/>
    </row>
    <row r="762">
      <c r="A762" s="197"/>
      <c r="B762" s="197"/>
      <c r="C762" s="199"/>
      <c r="D762" s="197"/>
      <c r="E762" s="197"/>
      <c r="F762" s="197"/>
      <c r="G762" s="197"/>
      <c r="H762" s="199"/>
      <c r="I762" s="199"/>
      <c r="J762" s="62"/>
      <c r="K762" s="62"/>
      <c r="L762" s="62"/>
      <c r="M762" s="62"/>
      <c r="N762" s="62"/>
      <c r="O762" s="62"/>
      <c r="P762" s="62"/>
      <c r="Q762" s="62"/>
      <c r="R762" s="62"/>
      <c r="S762" s="62"/>
      <c r="T762" s="62"/>
      <c r="U762" s="74"/>
      <c r="V762" s="62"/>
      <c r="W762" s="74"/>
      <c r="X762" s="62"/>
      <c r="Y762" s="61"/>
      <c r="Z762" s="201"/>
      <c r="AA762" s="201"/>
      <c r="AB762" s="201"/>
      <c r="AC762" s="201"/>
      <c r="AD762" s="201"/>
      <c r="AE762" s="201"/>
      <c r="AF762" s="201"/>
      <c r="AG762" s="201"/>
      <c r="AH762" s="201"/>
      <c r="AI762" s="201"/>
      <c r="AJ762" s="201"/>
      <c r="AK762" s="201"/>
      <c r="AL762" s="201"/>
      <c r="AM762" s="201"/>
      <c r="AN762" s="201"/>
      <c r="AO762" s="201"/>
    </row>
    <row r="763">
      <c r="A763" s="197"/>
      <c r="B763" s="197"/>
      <c r="C763" s="199"/>
      <c r="D763" s="197"/>
      <c r="E763" s="197"/>
      <c r="F763" s="197"/>
      <c r="G763" s="197"/>
      <c r="H763" s="199"/>
      <c r="I763" s="199"/>
      <c r="J763" s="62"/>
      <c r="K763" s="62"/>
      <c r="L763" s="62"/>
      <c r="M763" s="62"/>
      <c r="N763" s="62"/>
      <c r="O763" s="62"/>
      <c r="P763" s="62"/>
      <c r="Q763" s="62"/>
      <c r="R763" s="62"/>
      <c r="S763" s="62"/>
      <c r="T763" s="62"/>
      <c r="U763" s="74"/>
      <c r="V763" s="62"/>
      <c r="W763" s="74"/>
      <c r="X763" s="62"/>
      <c r="Y763" s="61"/>
      <c r="Z763" s="201"/>
      <c r="AA763" s="201"/>
      <c r="AB763" s="201"/>
      <c r="AC763" s="201"/>
      <c r="AD763" s="201"/>
      <c r="AE763" s="201"/>
      <c r="AF763" s="201"/>
      <c r="AG763" s="201"/>
      <c r="AH763" s="201"/>
      <c r="AI763" s="201"/>
      <c r="AJ763" s="201"/>
      <c r="AK763" s="201"/>
      <c r="AL763" s="201"/>
      <c r="AM763" s="201"/>
      <c r="AN763" s="201"/>
      <c r="AO763" s="201"/>
    </row>
    <row r="764">
      <c r="A764" s="197"/>
      <c r="B764" s="197"/>
      <c r="C764" s="199"/>
      <c r="D764" s="197"/>
      <c r="E764" s="197"/>
      <c r="F764" s="197"/>
      <c r="G764" s="197"/>
      <c r="H764" s="199"/>
      <c r="I764" s="199"/>
      <c r="J764" s="62"/>
      <c r="K764" s="62"/>
      <c r="L764" s="62"/>
      <c r="M764" s="62"/>
      <c r="N764" s="62"/>
      <c r="O764" s="62"/>
      <c r="P764" s="62"/>
      <c r="Q764" s="62"/>
      <c r="R764" s="62"/>
      <c r="S764" s="62"/>
      <c r="T764" s="62"/>
      <c r="U764" s="74"/>
      <c r="V764" s="62"/>
      <c r="W764" s="74"/>
      <c r="X764" s="62"/>
      <c r="Y764" s="61"/>
      <c r="Z764" s="201"/>
      <c r="AA764" s="201"/>
      <c r="AB764" s="201"/>
      <c r="AC764" s="201"/>
      <c r="AD764" s="201"/>
      <c r="AE764" s="201"/>
      <c r="AF764" s="201"/>
      <c r="AG764" s="201"/>
      <c r="AH764" s="201"/>
      <c r="AI764" s="201"/>
      <c r="AJ764" s="201"/>
      <c r="AK764" s="201"/>
      <c r="AL764" s="201"/>
      <c r="AM764" s="201"/>
      <c r="AN764" s="201"/>
      <c r="AO764" s="201"/>
    </row>
    <row r="765">
      <c r="A765" s="197"/>
      <c r="B765" s="197"/>
      <c r="C765" s="199"/>
      <c r="D765" s="197"/>
      <c r="E765" s="197"/>
      <c r="F765" s="197"/>
      <c r="G765" s="197"/>
      <c r="H765" s="199"/>
      <c r="I765" s="199"/>
      <c r="J765" s="62"/>
      <c r="K765" s="62"/>
      <c r="L765" s="62"/>
      <c r="M765" s="62"/>
      <c r="N765" s="62"/>
      <c r="O765" s="62"/>
      <c r="P765" s="62"/>
      <c r="Q765" s="62"/>
      <c r="R765" s="62"/>
      <c r="S765" s="62"/>
      <c r="T765" s="62"/>
      <c r="U765" s="74"/>
      <c r="V765" s="62"/>
      <c r="W765" s="74"/>
      <c r="X765" s="62"/>
      <c r="Y765" s="61"/>
      <c r="Z765" s="201"/>
      <c r="AA765" s="201"/>
      <c r="AB765" s="201"/>
      <c r="AC765" s="201"/>
      <c r="AD765" s="201"/>
      <c r="AE765" s="201"/>
      <c r="AF765" s="201"/>
      <c r="AG765" s="201"/>
      <c r="AH765" s="201"/>
      <c r="AI765" s="201"/>
      <c r="AJ765" s="201"/>
      <c r="AK765" s="201"/>
      <c r="AL765" s="201"/>
      <c r="AM765" s="201"/>
      <c r="AN765" s="201"/>
      <c r="AO765" s="201"/>
    </row>
    <row r="766">
      <c r="A766" s="197"/>
      <c r="B766" s="197"/>
      <c r="C766" s="199"/>
      <c r="D766" s="197"/>
      <c r="E766" s="197"/>
      <c r="F766" s="197"/>
      <c r="G766" s="197"/>
      <c r="H766" s="199"/>
      <c r="I766" s="199"/>
      <c r="J766" s="62"/>
      <c r="K766" s="62"/>
      <c r="L766" s="62"/>
      <c r="M766" s="62"/>
      <c r="N766" s="62"/>
      <c r="O766" s="62"/>
      <c r="P766" s="62"/>
      <c r="Q766" s="62"/>
      <c r="R766" s="62"/>
      <c r="S766" s="62"/>
      <c r="T766" s="62"/>
      <c r="U766" s="74"/>
      <c r="V766" s="62"/>
      <c r="W766" s="74"/>
      <c r="X766" s="62"/>
      <c r="Y766" s="61"/>
      <c r="Z766" s="201"/>
      <c r="AA766" s="201"/>
      <c r="AB766" s="201"/>
      <c r="AC766" s="201"/>
      <c r="AD766" s="201"/>
      <c r="AE766" s="201"/>
      <c r="AF766" s="201"/>
      <c r="AG766" s="201"/>
      <c r="AH766" s="201"/>
      <c r="AI766" s="201"/>
      <c r="AJ766" s="201"/>
      <c r="AK766" s="201"/>
      <c r="AL766" s="201"/>
      <c r="AM766" s="201"/>
      <c r="AN766" s="201"/>
      <c r="AO766" s="201"/>
    </row>
    <row r="767">
      <c r="A767" s="197"/>
      <c r="B767" s="197"/>
      <c r="C767" s="199"/>
      <c r="D767" s="197"/>
      <c r="E767" s="197"/>
      <c r="F767" s="197"/>
      <c r="G767" s="197"/>
      <c r="H767" s="199"/>
      <c r="I767" s="199"/>
      <c r="J767" s="62"/>
      <c r="K767" s="62"/>
      <c r="L767" s="62"/>
      <c r="M767" s="62"/>
      <c r="N767" s="62"/>
      <c r="O767" s="62"/>
      <c r="P767" s="62"/>
      <c r="Q767" s="62"/>
      <c r="R767" s="62"/>
      <c r="S767" s="62"/>
      <c r="T767" s="62"/>
      <c r="U767" s="74"/>
      <c r="V767" s="62"/>
      <c r="W767" s="74"/>
      <c r="X767" s="62"/>
      <c r="Y767" s="61"/>
      <c r="Z767" s="201"/>
      <c r="AA767" s="201"/>
      <c r="AB767" s="201"/>
      <c r="AC767" s="201"/>
      <c r="AD767" s="201"/>
      <c r="AE767" s="201"/>
      <c r="AF767" s="201"/>
      <c r="AG767" s="201"/>
      <c r="AH767" s="201"/>
      <c r="AI767" s="201"/>
      <c r="AJ767" s="201"/>
      <c r="AK767" s="201"/>
      <c r="AL767" s="201"/>
      <c r="AM767" s="201"/>
      <c r="AN767" s="201"/>
      <c r="AO767" s="201"/>
    </row>
    <row r="768">
      <c r="A768" s="197"/>
      <c r="B768" s="197"/>
      <c r="C768" s="199"/>
      <c r="D768" s="197"/>
      <c r="E768" s="197"/>
      <c r="F768" s="197"/>
      <c r="G768" s="197"/>
      <c r="H768" s="199"/>
      <c r="I768" s="199"/>
      <c r="J768" s="62"/>
      <c r="K768" s="62"/>
      <c r="L768" s="62"/>
      <c r="M768" s="62"/>
      <c r="N768" s="62"/>
      <c r="O768" s="62"/>
      <c r="P768" s="62"/>
      <c r="Q768" s="62"/>
      <c r="R768" s="62"/>
      <c r="S768" s="62"/>
      <c r="T768" s="62"/>
      <c r="U768" s="74"/>
      <c r="V768" s="62"/>
      <c r="W768" s="74"/>
      <c r="X768" s="62"/>
      <c r="Y768" s="61"/>
      <c r="Z768" s="201"/>
      <c r="AA768" s="201"/>
      <c r="AB768" s="201"/>
      <c r="AC768" s="201"/>
      <c r="AD768" s="201"/>
      <c r="AE768" s="201"/>
      <c r="AF768" s="201"/>
      <c r="AG768" s="201"/>
      <c r="AH768" s="201"/>
      <c r="AI768" s="201"/>
      <c r="AJ768" s="201"/>
      <c r="AK768" s="201"/>
      <c r="AL768" s="201"/>
      <c r="AM768" s="201"/>
      <c r="AN768" s="201"/>
      <c r="AO768" s="201"/>
    </row>
    <row r="769">
      <c r="A769" s="197"/>
      <c r="B769" s="197"/>
      <c r="C769" s="199"/>
      <c r="D769" s="197"/>
      <c r="E769" s="197"/>
      <c r="F769" s="197"/>
      <c r="G769" s="197"/>
      <c r="H769" s="199"/>
      <c r="I769" s="199"/>
      <c r="J769" s="62"/>
      <c r="K769" s="62"/>
      <c r="L769" s="62"/>
      <c r="M769" s="62"/>
      <c r="N769" s="62"/>
      <c r="O769" s="62"/>
      <c r="P769" s="62"/>
      <c r="Q769" s="62"/>
      <c r="R769" s="62"/>
      <c r="S769" s="62"/>
      <c r="T769" s="62"/>
      <c r="U769" s="74"/>
      <c r="V769" s="62"/>
      <c r="W769" s="74"/>
      <c r="X769" s="62"/>
      <c r="Y769" s="61"/>
      <c r="Z769" s="201"/>
      <c r="AA769" s="201"/>
      <c r="AB769" s="201"/>
      <c r="AC769" s="201"/>
      <c r="AD769" s="201"/>
      <c r="AE769" s="201"/>
      <c r="AF769" s="201"/>
      <c r="AG769" s="201"/>
      <c r="AH769" s="201"/>
      <c r="AI769" s="201"/>
      <c r="AJ769" s="201"/>
      <c r="AK769" s="201"/>
      <c r="AL769" s="201"/>
      <c r="AM769" s="201"/>
      <c r="AN769" s="201"/>
      <c r="AO769" s="201"/>
    </row>
    <row r="770">
      <c r="A770" s="197"/>
      <c r="B770" s="197"/>
      <c r="C770" s="199"/>
      <c r="D770" s="197"/>
      <c r="E770" s="197"/>
      <c r="F770" s="197"/>
      <c r="G770" s="197"/>
      <c r="H770" s="199"/>
      <c r="I770" s="199"/>
      <c r="J770" s="62"/>
      <c r="K770" s="62"/>
      <c r="L770" s="62"/>
      <c r="M770" s="62"/>
      <c r="N770" s="62"/>
      <c r="O770" s="62"/>
      <c r="P770" s="62"/>
      <c r="Q770" s="62"/>
      <c r="R770" s="62"/>
      <c r="S770" s="62"/>
      <c r="T770" s="62"/>
      <c r="U770" s="74"/>
      <c r="V770" s="62"/>
      <c r="W770" s="74"/>
      <c r="X770" s="62"/>
      <c r="Y770" s="61"/>
      <c r="Z770" s="201"/>
      <c r="AA770" s="201"/>
      <c r="AB770" s="201"/>
      <c r="AC770" s="201"/>
      <c r="AD770" s="201"/>
      <c r="AE770" s="201"/>
      <c r="AF770" s="201"/>
      <c r="AG770" s="201"/>
      <c r="AH770" s="201"/>
      <c r="AI770" s="201"/>
      <c r="AJ770" s="201"/>
      <c r="AK770" s="201"/>
      <c r="AL770" s="201"/>
      <c r="AM770" s="201"/>
      <c r="AN770" s="201"/>
      <c r="AO770" s="201"/>
    </row>
    <row r="771">
      <c r="A771" s="197"/>
      <c r="B771" s="197"/>
      <c r="C771" s="199"/>
      <c r="D771" s="197"/>
      <c r="E771" s="197"/>
      <c r="F771" s="197"/>
      <c r="G771" s="197"/>
      <c r="H771" s="199"/>
      <c r="I771" s="199"/>
      <c r="J771" s="62"/>
      <c r="K771" s="62"/>
      <c r="L771" s="62"/>
      <c r="M771" s="62"/>
      <c r="N771" s="62"/>
      <c r="O771" s="62"/>
      <c r="P771" s="62"/>
      <c r="Q771" s="62"/>
      <c r="R771" s="62"/>
      <c r="S771" s="62"/>
      <c r="T771" s="62"/>
      <c r="U771" s="74"/>
      <c r="V771" s="62"/>
      <c r="W771" s="74"/>
      <c r="X771" s="62"/>
      <c r="Y771" s="61"/>
      <c r="Z771" s="201"/>
      <c r="AA771" s="201"/>
      <c r="AB771" s="201"/>
      <c r="AC771" s="201"/>
      <c r="AD771" s="201"/>
      <c r="AE771" s="201"/>
      <c r="AF771" s="201"/>
      <c r="AG771" s="201"/>
      <c r="AH771" s="201"/>
      <c r="AI771" s="201"/>
      <c r="AJ771" s="201"/>
      <c r="AK771" s="201"/>
      <c r="AL771" s="201"/>
      <c r="AM771" s="201"/>
      <c r="AN771" s="201"/>
      <c r="AO771" s="201"/>
    </row>
    <row r="772">
      <c r="A772" s="197"/>
      <c r="B772" s="197"/>
      <c r="C772" s="199"/>
      <c r="D772" s="197"/>
      <c r="E772" s="197"/>
      <c r="F772" s="197"/>
      <c r="G772" s="197"/>
      <c r="H772" s="199"/>
      <c r="I772" s="199"/>
      <c r="J772" s="62"/>
      <c r="K772" s="62"/>
      <c r="L772" s="62"/>
      <c r="M772" s="62"/>
      <c r="N772" s="62"/>
      <c r="O772" s="62"/>
      <c r="P772" s="62"/>
      <c r="Q772" s="62"/>
      <c r="R772" s="62"/>
      <c r="S772" s="62"/>
      <c r="T772" s="62"/>
      <c r="U772" s="74"/>
      <c r="V772" s="62"/>
      <c r="W772" s="74"/>
      <c r="X772" s="62"/>
      <c r="Y772" s="61"/>
      <c r="Z772" s="201"/>
      <c r="AA772" s="201"/>
      <c r="AB772" s="201"/>
      <c r="AC772" s="201"/>
      <c r="AD772" s="201"/>
      <c r="AE772" s="201"/>
      <c r="AF772" s="201"/>
      <c r="AG772" s="201"/>
      <c r="AH772" s="201"/>
      <c r="AI772" s="201"/>
      <c r="AJ772" s="201"/>
      <c r="AK772" s="201"/>
      <c r="AL772" s="201"/>
      <c r="AM772" s="201"/>
      <c r="AN772" s="201"/>
      <c r="AO772" s="201"/>
    </row>
    <row r="773">
      <c r="A773" s="197"/>
      <c r="B773" s="197"/>
      <c r="C773" s="199"/>
      <c r="D773" s="197"/>
      <c r="E773" s="197"/>
      <c r="F773" s="197"/>
      <c r="G773" s="197"/>
      <c r="H773" s="199"/>
      <c r="I773" s="199"/>
      <c r="J773" s="62"/>
      <c r="K773" s="62"/>
      <c r="L773" s="62"/>
      <c r="M773" s="62"/>
      <c r="N773" s="62"/>
      <c r="O773" s="62"/>
      <c r="P773" s="62"/>
      <c r="Q773" s="62"/>
      <c r="R773" s="62"/>
      <c r="S773" s="62"/>
      <c r="T773" s="62"/>
      <c r="U773" s="74"/>
      <c r="V773" s="62"/>
      <c r="W773" s="74"/>
      <c r="X773" s="62"/>
      <c r="Y773" s="61"/>
      <c r="Z773" s="201"/>
      <c r="AA773" s="201"/>
      <c r="AB773" s="201"/>
      <c r="AC773" s="201"/>
      <c r="AD773" s="201"/>
      <c r="AE773" s="201"/>
      <c r="AF773" s="201"/>
      <c r="AG773" s="201"/>
      <c r="AH773" s="201"/>
      <c r="AI773" s="201"/>
      <c r="AJ773" s="201"/>
      <c r="AK773" s="201"/>
      <c r="AL773" s="201"/>
      <c r="AM773" s="201"/>
      <c r="AN773" s="201"/>
      <c r="AO773" s="201"/>
    </row>
    <row r="774">
      <c r="A774" s="197"/>
      <c r="B774" s="197"/>
      <c r="C774" s="199"/>
      <c r="D774" s="197"/>
      <c r="E774" s="197"/>
      <c r="F774" s="197"/>
      <c r="G774" s="197"/>
      <c r="H774" s="199"/>
      <c r="I774" s="199"/>
      <c r="J774" s="62"/>
      <c r="K774" s="62"/>
      <c r="L774" s="62"/>
      <c r="M774" s="62"/>
      <c r="N774" s="62"/>
      <c r="O774" s="62"/>
      <c r="P774" s="62"/>
      <c r="Q774" s="62"/>
      <c r="R774" s="62"/>
      <c r="S774" s="62"/>
      <c r="T774" s="62"/>
      <c r="U774" s="74"/>
      <c r="V774" s="62"/>
      <c r="W774" s="74"/>
      <c r="X774" s="62"/>
      <c r="Y774" s="61"/>
      <c r="Z774" s="201"/>
      <c r="AA774" s="201"/>
      <c r="AB774" s="201"/>
      <c r="AC774" s="201"/>
      <c r="AD774" s="201"/>
      <c r="AE774" s="201"/>
      <c r="AF774" s="201"/>
      <c r="AG774" s="201"/>
      <c r="AH774" s="201"/>
      <c r="AI774" s="201"/>
      <c r="AJ774" s="201"/>
      <c r="AK774" s="201"/>
      <c r="AL774" s="201"/>
      <c r="AM774" s="201"/>
      <c r="AN774" s="201"/>
      <c r="AO774" s="201"/>
    </row>
    <row r="775">
      <c r="A775" s="197"/>
      <c r="B775" s="197"/>
      <c r="C775" s="199"/>
      <c r="D775" s="197"/>
      <c r="E775" s="197"/>
      <c r="F775" s="197"/>
      <c r="G775" s="197"/>
      <c r="H775" s="199"/>
      <c r="I775" s="199"/>
      <c r="J775" s="62"/>
      <c r="K775" s="62"/>
      <c r="L775" s="62"/>
      <c r="M775" s="62"/>
      <c r="N775" s="62"/>
      <c r="O775" s="62"/>
      <c r="P775" s="62"/>
      <c r="Q775" s="62"/>
      <c r="R775" s="62"/>
      <c r="S775" s="62"/>
      <c r="T775" s="62"/>
      <c r="U775" s="74"/>
      <c r="V775" s="62"/>
      <c r="W775" s="74"/>
      <c r="X775" s="62"/>
      <c r="Y775" s="61"/>
      <c r="Z775" s="201"/>
      <c r="AA775" s="201"/>
      <c r="AB775" s="201"/>
      <c r="AC775" s="201"/>
      <c r="AD775" s="201"/>
      <c r="AE775" s="201"/>
      <c r="AF775" s="201"/>
      <c r="AG775" s="201"/>
      <c r="AH775" s="201"/>
      <c r="AI775" s="201"/>
      <c r="AJ775" s="201"/>
      <c r="AK775" s="201"/>
      <c r="AL775" s="201"/>
      <c r="AM775" s="201"/>
      <c r="AN775" s="201"/>
      <c r="AO775" s="201"/>
    </row>
    <row r="776">
      <c r="A776" s="197"/>
      <c r="B776" s="197"/>
      <c r="C776" s="199"/>
      <c r="D776" s="197"/>
      <c r="E776" s="197"/>
      <c r="F776" s="197"/>
      <c r="G776" s="197"/>
      <c r="H776" s="199"/>
      <c r="I776" s="199"/>
      <c r="J776" s="62"/>
      <c r="K776" s="62"/>
      <c r="L776" s="62"/>
      <c r="M776" s="62"/>
      <c r="N776" s="62"/>
      <c r="O776" s="62"/>
      <c r="P776" s="62"/>
      <c r="Q776" s="62"/>
      <c r="R776" s="62"/>
      <c r="S776" s="62"/>
      <c r="T776" s="62"/>
      <c r="U776" s="74"/>
      <c r="V776" s="62"/>
      <c r="W776" s="74"/>
      <c r="X776" s="62"/>
      <c r="Y776" s="61"/>
      <c r="Z776" s="201"/>
      <c r="AA776" s="201"/>
      <c r="AB776" s="201"/>
      <c r="AC776" s="201"/>
      <c r="AD776" s="201"/>
      <c r="AE776" s="201"/>
      <c r="AF776" s="201"/>
      <c r="AG776" s="201"/>
      <c r="AH776" s="201"/>
      <c r="AI776" s="201"/>
      <c r="AJ776" s="201"/>
      <c r="AK776" s="201"/>
      <c r="AL776" s="201"/>
      <c r="AM776" s="201"/>
      <c r="AN776" s="201"/>
      <c r="AO776" s="201"/>
    </row>
    <row r="777">
      <c r="A777" s="197"/>
      <c r="B777" s="197"/>
      <c r="C777" s="199"/>
      <c r="D777" s="197"/>
      <c r="E777" s="197"/>
      <c r="F777" s="197"/>
      <c r="G777" s="197"/>
      <c r="H777" s="199"/>
      <c r="I777" s="199"/>
      <c r="J777" s="62"/>
      <c r="K777" s="62"/>
      <c r="L777" s="62"/>
      <c r="M777" s="62"/>
      <c r="N777" s="62"/>
      <c r="O777" s="62"/>
      <c r="P777" s="62"/>
      <c r="Q777" s="62"/>
      <c r="R777" s="62"/>
      <c r="S777" s="62"/>
      <c r="T777" s="62"/>
      <c r="U777" s="74"/>
      <c r="V777" s="62"/>
      <c r="W777" s="74"/>
      <c r="X777" s="62"/>
      <c r="Y777" s="61"/>
      <c r="Z777" s="201"/>
      <c r="AA777" s="201"/>
      <c r="AB777" s="201"/>
      <c r="AC777" s="201"/>
      <c r="AD777" s="201"/>
      <c r="AE777" s="201"/>
      <c r="AF777" s="201"/>
      <c r="AG777" s="201"/>
      <c r="AH777" s="201"/>
      <c r="AI777" s="201"/>
      <c r="AJ777" s="201"/>
      <c r="AK777" s="201"/>
      <c r="AL777" s="201"/>
      <c r="AM777" s="201"/>
      <c r="AN777" s="201"/>
      <c r="AO777" s="201"/>
    </row>
    <row r="778">
      <c r="A778" s="197"/>
      <c r="B778" s="197"/>
      <c r="C778" s="199"/>
      <c r="D778" s="197"/>
      <c r="E778" s="197"/>
      <c r="F778" s="197"/>
      <c r="G778" s="197"/>
      <c r="H778" s="199"/>
      <c r="I778" s="199"/>
      <c r="J778" s="62"/>
      <c r="K778" s="62"/>
      <c r="L778" s="62"/>
      <c r="M778" s="62"/>
      <c r="N778" s="62"/>
      <c r="O778" s="62"/>
      <c r="P778" s="62"/>
      <c r="Q778" s="62"/>
      <c r="R778" s="62"/>
      <c r="S778" s="62"/>
      <c r="T778" s="62"/>
      <c r="U778" s="74"/>
      <c r="V778" s="62"/>
      <c r="W778" s="74"/>
      <c r="X778" s="62"/>
      <c r="Y778" s="61"/>
      <c r="Z778" s="201"/>
      <c r="AA778" s="201"/>
      <c r="AB778" s="201"/>
      <c r="AC778" s="201"/>
      <c r="AD778" s="201"/>
      <c r="AE778" s="201"/>
      <c r="AF778" s="201"/>
      <c r="AG778" s="201"/>
      <c r="AH778" s="201"/>
      <c r="AI778" s="201"/>
      <c r="AJ778" s="201"/>
      <c r="AK778" s="201"/>
      <c r="AL778" s="201"/>
      <c r="AM778" s="201"/>
      <c r="AN778" s="201"/>
      <c r="AO778" s="201"/>
    </row>
    <row r="779">
      <c r="A779" s="197"/>
      <c r="B779" s="197"/>
      <c r="C779" s="199"/>
      <c r="D779" s="197"/>
      <c r="E779" s="197"/>
      <c r="F779" s="197"/>
      <c r="G779" s="197"/>
      <c r="H779" s="199"/>
      <c r="I779" s="199"/>
      <c r="J779" s="62"/>
      <c r="K779" s="62"/>
      <c r="L779" s="62"/>
      <c r="M779" s="62"/>
      <c r="N779" s="62"/>
      <c r="O779" s="62"/>
      <c r="P779" s="62"/>
      <c r="Q779" s="62"/>
      <c r="R779" s="62"/>
      <c r="S779" s="62"/>
      <c r="T779" s="62"/>
      <c r="U779" s="74"/>
      <c r="V779" s="62"/>
      <c r="W779" s="74"/>
      <c r="X779" s="62"/>
      <c r="Y779" s="61"/>
      <c r="Z779" s="201"/>
      <c r="AA779" s="201"/>
      <c r="AB779" s="201"/>
      <c r="AC779" s="201"/>
      <c r="AD779" s="201"/>
      <c r="AE779" s="201"/>
      <c r="AF779" s="201"/>
      <c r="AG779" s="201"/>
      <c r="AH779" s="201"/>
      <c r="AI779" s="201"/>
      <c r="AJ779" s="201"/>
      <c r="AK779" s="201"/>
      <c r="AL779" s="201"/>
      <c r="AM779" s="201"/>
      <c r="AN779" s="201"/>
      <c r="AO779" s="201"/>
    </row>
    <row r="780">
      <c r="A780" s="197"/>
      <c r="B780" s="197"/>
      <c r="C780" s="199"/>
      <c r="D780" s="197"/>
      <c r="E780" s="197"/>
      <c r="F780" s="197"/>
      <c r="G780" s="197"/>
      <c r="H780" s="199"/>
      <c r="I780" s="199"/>
      <c r="J780" s="62"/>
      <c r="K780" s="62"/>
      <c r="L780" s="62"/>
      <c r="M780" s="62"/>
      <c r="N780" s="62"/>
      <c r="O780" s="62"/>
      <c r="P780" s="62"/>
      <c r="Q780" s="62"/>
      <c r="R780" s="62"/>
      <c r="S780" s="62"/>
      <c r="T780" s="62"/>
      <c r="U780" s="74"/>
      <c r="V780" s="62"/>
      <c r="W780" s="74"/>
      <c r="X780" s="62"/>
      <c r="Y780" s="61"/>
      <c r="Z780" s="201"/>
      <c r="AA780" s="201"/>
      <c r="AB780" s="201"/>
      <c r="AC780" s="201"/>
      <c r="AD780" s="201"/>
      <c r="AE780" s="201"/>
      <c r="AF780" s="201"/>
      <c r="AG780" s="201"/>
      <c r="AH780" s="201"/>
      <c r="AI780" s="201"/>
      <c r="AJ780" s="201"/>
      <c r="AK780" s="201"/>
      <c r="AL780" s="201"/>
      <c r="AM780" s="201"/>
      <c r="AN780" s="201"/>
      <c r="AO780" s="201"/>
    </row>
    <row r="781">
      <c r="A781" s="197"/>
      <c r="B781" s="197"/>
      <c r="C781" s="199"/>
      <c r="D781" s="197"/>
      <c r="E781" s="197"/>
      <c r="F781" s="197"/>
      <c r="G781" s="197"/>
      <c r="H781" s="199"/>
      <c r="I781" s="199"/>
      <c r="J781" s="62"/>
      <c r="K781" s="62"/>
      <c r="L781" s="62"/>
      <c r="M781" s="62"/>
      <c r="N781" s="62"/>
      <c r="O781" s="62"/>
      <c r="P781" s="62"/>
      <c r="Q781" s="62"/>
      <c r="R781" s="62"/>
      <c r="S781" s="62"/>
      <c r="T781" s="62"/>
      <c r="U781" s="74"/>
      <c r="V781" s="62"/>
      <c r="W781" s="74"/>
      <c r="X781" s="62"/>
      <c r="Y781" s="61"/>
      <c r="Z781" s="201"/>
      <c r="AA781" s="201"/>
      <c r="AB781" s="201"/>
      <c r="AC781" s="201"/>
      <c r="AD781" s="201"/>
      <c r="AE781" s="201"/>
      <c r="AF781" s="201"/>
      <c r="AG781" s="201"/>
      <c r="AH781" s="201"/>
      <c r="AI781" s="201"/>
      <c r="AJ781" s="201"/>
      <c r="AK781" s="201"/>
      <c r="AL781" s="201"/>
      <c r="AM781" s="201"/>
      <c r="AN781" s="201"/>
      <c r="AO781" s="201"/>
    </row>
    <row r="782">
      <c r="A782" s="197"/>
      <c r="B782" s="197"/>
      <c r="C782" s="199"/>
      <c r="D782" s="197"/>
      <c r="E782" s="197"/>
      <c r="F782" s="197"/>
      <c r="G782" s="197"/>
      <c r="H782" s="199"/>
      <c r="I782" s="199"/>
      <c r="J782" s="62"/>
      <c r="K782" s="62"/>
      <c r="L782" s="62"/>
      <c r="M782" s="62"/>
      <c r="N782" s="62"/>
      <c r="O782" s="62"/>
      <c r="P782" s="62"/>
      <c r="Q782" s="62"/>
      <c r="R782" s="62"/>
      <c r="S782" s="62"/>
      <c r="T782" s="62"/>
      <c r="U782" s="74"/>
      <c r="V782" s="62"/>
      <c r="W782" s="74"/>
      <c r="X782" s="62"/>
      <c r="Y782" s="61"/>
      <c r="Z782" s="201"/>
      <c r="AA782" s="201"/>
      <c r="AB782" s="201"/>
      <c r="AC782" s="201"/>
      <c r="AD782" s="201"/>
      <c r="AE782" s="201"/>
      <c r="AF782" s="201"/>
      <c r="AG782" s="201"/>
      <c r="AH782" s="201"/>
      <c r="AI782" s="201"/>
      <c r="AJ782" s="201"/>
      <c r="AK782" s="201"/>
      <c r="AL782" s="201"/>
      <c r="AM782" s="201"/>
      <c r="AN782" s="201"/>
      <c r="AO782" s="201"/>
    </row>
    <row r="783">
      <c r="A783" s="197"/>
      <c r="B783" s="197"/>
      <c r="C783" s="199"/>
      <c r="D783" s="197"/>
      <c r="E783" s="197"/>
      <c r="F783" s="197"/>
      <c r="G783" s="197"/>
      <c r="H783" s="199"/>
      <c r="I783" s="199"/>
      <c r="J783" s="62"/>
      <c r="K783" s="62"/>
      <c r="L783" s="62"/>
      <c r="M783" s="62"/>
      <c r="N783" s="62"/>
      <c r="O783" s="62"/>
      <c r="P783" s="62"/>
      <c r="Q783" s="62"/>
      <c r="R783" s="62"/>
      <c r="S783" s="62"/>
      <c r="T783" s="62"/>
      <c r="U783" s="74"/>
      <c r="V783" s="62"/>
      <c r="W783" s="74"/>
      <c r="X783" s="62"/>
      <c r="Y783" s="61"/>
      <c r="Z783" s="201"/>
      <c r="AA783" s="201"/>
      <c r="AB783" s="201"/>
      <c r="AC783" s="201"/>
      <c r="AD783" s="201"/>
      <c r="AE783" s="201"/>
      <c r="AF783" s="201"/>
      <c r="AG783" s="201"/>
      <c r="AH783" s="201"/>
      <c r="AI783" s="201"/>
      <c r="AJ783" s="201"/>
      <c r="AK783" s="201"/>
      <c r="AL783" s="201"/>
      <c r="AM783" s="201"/>
      <c r="AN783" s="201"/>
      <c r="AO783" s="201"/>
    </row>
    <row r="784">
      <c r="A784" s="197"/>
      <c r="B784" s="197"/>
      <c r="C784" s="199"/>
      <c r="D784" s="197"/>
      <c r="E784" s="197"/>
      <c r="F784" s="197"/>
      <c r="G784" s="197"/>
      <c r="H784" s="199"/>
      <c r="I784" s="199"/>
      <c r="J784" s="62"/>
      <c r="K784" s="62"/>
      <c r="L784" s="62"/>
      <c r="M784" s="62"/>
      <c r="N784" s="62"/>
      <c r="O784" s="62"/>
      <c r="P784" s="62"/>
      <c r="Q784" s="62"/>
      <c r="R784" s="62"/>
      <c r="S784" s="62"/>
      <c r="T784" s="62"/>
      <c r="U784" s="74"/>
      <c r="V784" s="62"/>
      <c r="W784" s="74"/>
      <c r="X784" s="62"/>
      <c r="Y784" s="61"/>
      <c r="Z784" s="201"/>
      <c r="AA784" s="201"/>
      <c r="AB784" s="201"/>
      <c r="AC784" s="201"/>
      <c r="AD784" s="201"/>
      <c r="AE784" s="201"/>
      <c r="AF784" s="201"/>
      <c r="AG784" s="201"/>
      <c r="AH784" s="201"/>
      <c r="AI784" s="201"/>
      <c r="AJ784" s="201"/>
      <c r="AK784" s="201"/>
      <c r="AL784" s="201"/>
      <c r="AM784" s="201"/>
      <c r="AN784" s="201"/>
      <c r="AO784" s="201"/>
    </row>
    <row r="785">
      <c r="A785" s="197"/>
      <c r="B785" s="197"/>
      <c r="C785" s="199"/>
      <c r="D785" s="197"/>
      <c r="E785" s="197"/>
      <c r="F785" s="197"/>
      <c r="G785" s="197"/>
      <c r="H785" s="199"/>
      <c r="I785" s="199"/>
      <c r="J785" s="62"/>
      <c r="K785" s="62"/>
      <c r="L785" s="62"/>
      <c r="M785" s="62"/>
      <c r="N785" s="62"/>
      <c r="O785" s="62"/>
      <c r="P785" s="62"/>
      <c r="Q785" s="62"/>
      <c r="R785" s="62"/>
      <c r="S785" s="62"/>
      <c r="T785" s="62"/>
      <c r="U785" s="74"/>
      <c r="V785" s="62"/>
      <c r="W785" s="74"/>
      <c r="X785" s="62"/>
      <c r="Y785" s="61"/>
      <c r="Z785" s="201"/>
      <c r="AA785" s="201"/>
      <c r="AB785" s="201"/>
      <c r="AC785" s="201"/>
      <c r="AD785" s="201"/>
      <c r="AE785" s="201"/>
      <c r="AF785" s="201"/>
      <c r="AG785" s="201"/>
      <c r="AH785" s="201"/>
      <c r="AI785" s="201"/>
      <c r="AJ785" s="201"/>
      <c r="AK785" s="201"/>
      <c r="AL785" s="201"/>
      <c r="AM785" s="201"/>
      <c r="AN785" s="201"/>
      <c r="AO785" s="201"/>
    </row>
    <row r="786">
      <c r="A786" s="197"/>
      <c r="B786" s="197"/>
      <c r="C786" s="199"/>
      <c r="D786" s="197"/>
      <c r="E786" s="197"/>
      <c r="F786" s="197"/>
      <c r="G786" s="197"/>
      <c r="H786" s="199"/>
      <c r="I786" s="199"/>
      <c r="J786" s="62"/>
      <c r="K786" s="62"/>
      <c r="L786" s="62"/>
      <c r="M786" s="62"/>
      <c r="N786" s="62"/>
      <c r="O786" s="62"/>
      <c r="P786" s="62"/>
      <c r="Q786" s="62"/>
      <c r="R786" s="62"/>
      <c r="S786" s="62"/>
      <c r="T786" s="62"/>
      <c r="U786" s="74"/>
      <c r="V786" s="62"/>
      <c r="W786" s="74"/>
      <c r="X786" s="62"/>
      <c r="Y786" s="61"/>
      <c r="Z786" s="201"/>
      <c r="AA786" s="201"/>
      <c r="AB786" s="201"/>
      <c r="AC786" s="201"/>
      <c r="AD786" s="201"/>
      <c r="AE786" s="201"/>
      <c r="AF786" s="201"/>
      <c r="AG786" s="201"/>
      <c r="AH786" s="201"/>
      <c r="AI786" s="201"/>
      <c r="AJ786" s="201"/>
      <c r="AK786" s="201"/>
      <c r="AL786" s="201"/>
      <c r="AM786" s="201"/>
      <c r="AN786" s="201"/>
      <c r="AO786" s="201"/>
    </row>
    <row r="787">
      <c r="A787" s="197"/>
      <c r="B787" s="197"/>
      <c r="C787" s="199"/>
      <c r="D787" s="197"/>
      <c r="E787" s="197"/>
      <c r="F787" s="197"/>
      <c r="G787" s="197"/>
      <c r="H787" s="199"/>
      <c r="I787" s="199"/>
      <c r="J787" s="62"/>
      <c r="K787" s="62"/>
      <c r="L787" s="62"/>
      <c r="M787" s="62"/>
      <c r="N787" s="62"/>
      <c r="O787" s="62"/>
      <c r="P787" s="62"/>
      <c r="Q787" s="62"/>
      <c r="R787" s="62"/>
      <c r="S787" s="62"/>
      <c r="T787" s="62"/>
      <c r="U787" s="74"/>
      <c r="V787" s="62"/>
      <c r="W787" s="74"/>
      <c r="X787" s="62"/>
      <c r="Y787" s="61"/>
      <c r="Z787" s="201"/>
      <c r="AA787" s="201"/>
      <c r="AB787" s="201"/>
      <c r="AC787" s="201"/>
      <c r="AD787" s="201"/>
      <c r="AE787" s="201"/>
      <c r="AF787" s="201"/>
      <c r="AG787" s="201"/>
      <c r="AH787" s="201"/>
      <c r="AI787" s="201"/>
      <c r="AJ787" s="201"/>
      <c r="AK787" s="201"/>
      <c r="AL787" s="201"/>
      <c r="AM787" s="201"/>
      <c r="AN787" s="201"/>
      <c r="AO787" s="201"/>
    </row>
    <row r="788">
      <c r="A788" s="197"/>
      <c r="B788" s="197"/>
      <c r="C788" s="199"/>
      <c r="D788" s="197"/>
      <c r="E788" s="197"/>
      <c r="F788" s="197"/>
      <c r="G788" s="197"/>
      <c r="H788" s="199"/>
      <c r="I788" s="199"/>
      <c r="J788" s="62"/>
      <c r="K788" s="62"/>
      <c r="L788" s="62"/>
      <c r="M788" s="62"/>
      <c r="N788" s="62"/>
      <c r="O788" s="62"/>
      <c r="P788" s="62"/>
      <c r="Q788" s="62"/>
      <c r="R788" s="62"/>
      <c r="S788" s="62"/>
      <c r="T788" s="62"/>
      <c r="U788" s="74"/>
      <c r="V788" s="62"/>
      <c r="W788" s="74"/>
      <c r="X788" s="62"/>
      <c r="Y788" s="61"/>
      <c r="Z788" s="201"/>
      <c r="AA788" s="201"/>
      <c r="AB788" s="201"/>
      <c r="AC788" s="201"/>
      <c r="AD788" s="201"/>
      <c r="AE788" s="201"/>
      <c r="AF788" s="201"/>
      <c r="AG788" s="201"/>
      <c r="AH788" s="201"/>
      <c r="AI788" s="201"/>
      <c r="AJ788" s="201"/>
      <c r="AK788" s="201"/>
      <c r="AL788" s="201"/>
      <c r="AM788" s="201"/>
      <c r="AN788" s="201"/>
      <c r="AO788" s="201"/>
    </row>
    <row r="789">
      <c r="A789" s="197"/>
      <c r="B789" s="197"/>
      <c r="C789" s="199"/>
      <c r="D789" s="197"/>
      <c r="E789" s="197"/>
      <c r="F789" s="197"/>
      <c r="G789" s="197"/>
      <c r="H789" s="199"/>
      <c r="I789" s="199"/>
      <c r="J789" s="62"/>
      <c r="K789" s="62"/>
      <c r="L789" s="62"/>
      <c r="M789" s="62"/>
      <c r="N789" s="62"/>
      <c r="O789" s="62"/>
      <c r="P789" s="62"/>
      <c r="Q789" s="62"/>
      <c r="R789" s="62"/>
      <c r="S789" s="62"/>
      <c r="T789" s="62"/>
      <c r="U789" s="74"/>
      <c r="V789" s="62"/>
      <c r="W789" s="74"/>
      <c r="X789" s="62"/>
      <c r="Y789" s="61"/>
      <c r="Z789" s="201"/>
      <c r="AA789" s="201"/>
      <c r="AB789" s="201"/>
      <c r="AC789" s="201"/>
      <c r="AD789" s="201"/>
      <c r="AE789" s="201"/>
      <c r="AF789" s="201"/>
      <c r="AG789" s="201"/>
      <c r="AH789" s="201"/>
      <c r="AI789" s="201"/>
      <c r="AJ789" s="201"/>
      <c r="AK789" s="201"/>
      <c r="AL789" s="201"/>
      <c r="AM789" s="201"/>
      <c r="AN789" s="201"/>
      <c r="AO789" s="201"/>
    </row>
    <row r="790">
      <c r="A790" s="197"/>
      <c r="B790" s="197"/>
      <c r="C790" s="199"/>
      <c r="D790" s="197"/>
      <c r="E790" s="197"/>
      <c r="F790" s="197"/>
      <c r="G790" s="197"/>
      <c r="H790" s="199"/>
      <c r="I790" s="199"/>
      <c r="J790" s="62"/>
      <c r="K790" s="62"/>
      <c r="L790" s="62"/>
      <c r="M790" s="62"/>
      <c r="N790" s="62"/>
      <c r="O790" s="62"/>
      <c r="P790" s="62"/>
      <c r="Q790" s="62"/>
      <c r="R790" s="62"/>
      <c r="S790" s="62"/>
      <c r="T790" s="62"/>
      <c r="U790" s="74"/>
      <c r="V790" s="62"/>
      <c r="W790" s="74"/>
      <c r="X790" s="62"/>
      <c r="Y790" s="61"/>
      <c r="Z790" s="201"/>
      <c r="AA790" s="201"/>
      <c r="AB790" s="201"/>
      <c r="AC790" s="201"/>
      <c r="AD790" s="201"/>
      <c r="AE790" s="201"/>
      <c r="AF790" s="201"/>
      <c r="AG790" s="201"/>
      <c r="AH790" s="201"/>
      <c r="AI790" s="201"/>
      <c r="AJ790" s="201"/>
      <c r="AK790" s="201"/>
      <c r="AL790" s="201"/>
      <c r="AM790" s="201"/>
      <c r="AN790" s="201"/>
      <c r="AO790" s="201"/>
    </row>
    <row r="791">
      <c r="A791" s="197"/>
      <c r="B791" s="197"/>
      <c r="C791" s="199"/>
      <c r="D791" s="197"/>
      <c r="E791" s="197"/>
      <c r="F791" s="197"/>
      <c r="G791" s="197"/>
      <c r="H791" s="199"/>
      <c r="I791" s="199"/>
      <c r="J791" s="62"/>
      <c r="K791" s="62"/>
      <c r="L791" s="62"/>
      <c r="M791" s="62"/>
      <c r="N791" s="62"/>
      <c r="O791" s="62"/>
      <c r="P791" s="62"/>
      <c r="Q791" s="62"/>
      <c r="R791" s="62"/>
      <c r="S791" s="62"/>
      <c r="T791" s="62"/>
      <c r="U791" s="74"/>
      <c r="V791" s="62"/>
      <c r="W791" s="74"/>
      <c r="X791" s="62"/>
      <c r="Y791" s="61"/>
      <c r="Z791" s="201"/>
      <c r="AA791" s="201"/>
      <c r="AB791" s="201"/>
      <c r="AC791" s="201"/>
      <c r="AD791" s="201"/>
      <c r="AE791" s="201"/>
      <c r="AF791" s="201"/>
      <c r="AG791" s="201"/>
      <c r="AH791" s="201"/>
      <c r="AI791" s="201"/>
      <c r="AJ791" s="201"/>
      <c r="AK791" s="201"/>
      <c r="AL791" s="201"/>
      <c r="AM791" s="201"/>
      <c r="AN791" s="201"/>
      <c r="AO791" s="201"/>
    </row>
    <row r="792">
      <c r="A792" s="197"/>
      <c r="B792" s="197"/>
      <c r="C792" s="199"/>
      <c r="D792" s="197"/>
      <c r="E792" s="197"/>
      <c r="F792" s="197"/>
      <c r="G792" s="197"/>
      <c r="H792" s="199"/>
      <c r="I792" s="199"/>
      <c r="J792" s="62"/>
      <c r="K792" s="62"/>
      <c r="L792" s="62"/>
      <c r="M792" s="62"/>
      <c r="N792" s="62"/>
      <c r="O792" s="62"/>
      <c r="P792" s="62"/>
      <c r="Q792" s="62"/>
      <c r="R792" s="62"/>
      <c r="S792" s="62"/>
      <c r="T792" s="62"/>
      <c r="U792" s="74"/>
      <c r="V792" s="62"/>
      <c r="W792" s="74"/>
      <c r="X792" s="62"/>
      <c r="Y792" s="61"/>
      <c r="Z792" s="201"/>
      <c r="AA792" s="201"/>
      <c r="AB792" s="201"/>
      <c r="AC792" s="201"/>
      <c r="AD792" s="201"/>
      <c r="AE792" s="201"/>
      <c r="AF792" s="201"/>
      <c r="AG792" s="201"/>
      <c r="AH792" s="201"/>
      <c r="AI792" s="201"/>
      <c r="AJ792" s="201"/>
      <c r="AK792" s="201"/>
      <c r="AL792" s="201"/>
      <c r="AM792" s="201"/>
      <c r="AN792" s="201"/>
      <c r="AO792" s="201"/>
    </row>
    <row r="793">
      <c r="A793" s="197"/>
      <c r="B793" s="197"/>
      <c r="C793" s="199"/>
      <c r="D793" s="197"/>
      <c r="E793" s="197"/>
      <c r="F793" s="197"/>
      <c r="G793" s="197"/>
      <c r="H793" s="199"/>
      <c r="I793" s="199"/>
      <c r="J793" s="62"/>
      <c r="K793" s="62"/>
      <c r="L793" s="62"/>
      <c r="M793" s="62"/>
      <c r="N793" s="62"/>
      <c r="O793" s="62"/>
      <c r="P793" s="62"/>
      <c r="Q793" s="62"/>
      <c r="R793" s="62"/>
      <c r="S793" s="62"/>
      <c r="T793" s="62"/>
      <c r="U793" s="74"/>
      <c r="V793" s="62"/>
      <c r="W793" s="74"/>
      <c r="X793" s="62"/>
      <c r="Y793" s="61"/>
      <c r="Z793" s="201"/>
      <c r="AA793" s="201"/>
      <c r="AB793" s="201"/>
      <c r="AC793" s="201"/>
      <c r="AD793" s="201"/>
      <c r="AE793" s="201"/>
      <c r="AF793" s="201"/>
      <c r="AG793" s="201"/>
      <c r="AH793" s="201"/>
      <c r="AI793" s="201"/>
      <c r="AJ793" s="201"/>
      <c r="AK793" s="201"/>
      <c r="AL793" s="201"/>
      <c r="AM793" s="201"/>
      <c r="AN793" s="201"/>
      <c r="AO793" s="201"/>
    </row>
    <row r="794">
      <c r="A794" s="197"/>
      <c r="B794" s="197"/>
      <c r="C794" s="199"/>
      <c r="D794" s="197"/>
      <c r="E794" s="197"/>
      <c r="F794" s="197"/>
      <c r="G794" s="197"/>
      <c r="H794" s="199"/>
      <c r="I794" s="199"/>
      <c r="J794" s="62"/>
      <c r="K794" s="62"/>
      <c r="L794" s="62"/>
      <c r="M794" s="62"/>
      <c r="N794" s="62"/>
      <c r="O794" s="62"/>
      <c r="P794" s="62"/>
      <c r="Q794" s="62"/>
      <c r="R794" s="62"/>
      <c r="S794" s="62"/>
      <c r="T794" s="62"/>
      <c r="U794" s="74"/>
      <c r="V794" s="62"/>
      <c r="W794" s="74"/>
      <c r="X794" s="62"/>
      <c r="Y794" s="61"/>
      <c r="Z794" s="201"/>
      <c r="AA794" s="201"/>
      <c r="AB794" s="201"/>
      <c r="AC794" s="201"/>
      <c r="AD794" s="201"/>
      <c r="AE794" s="201"/>
      <c r="AF794" s="201"/>
      <c r="AG794" s="201"/>
      <c r="AH794" s="201"/>
      <c r="AI794" s="201"/>
      <c r="AJ794" s="201"/>
      <c r="AK794" s="201"/>
      <c r="AL794" s="201"/>
      <c r="AM794" s="201"/>
      <c r="AN794" s="201"/>
      <c r="AO794" s="201"/>
    </row>
    <row r="795">
      <c r="A795" s="197"/>
      <c r="B795" s="197"/>
      <c r="C795" s="199"/>
      <c r="D795" s="197"/>
      <c r="E795" s="197"/>
      <c r="F795" s="197"/>
      <c r="G795" s="197"/>
      <c r="H795" s="199"/>
      <c r="I795" s="199"/>
      <c r="J795" s="62"/>
      <c r="K795" s="62"/>
      <c r="L795" s="62"/>
      <c r="M795" s="62"/>
      <c r="N795" s="62"/>
      <c r="O795" s="62"/>
      <c r="P795" s="62"/>
      <c r="Q795" s="62"/>
      <c r="R795" s="62"/>
      <c r="S795" s="62"/>
      <c r="T795" s="62"/>
      <c r="U795" s="74"/>
      <c r="V795" s="62"/>
      <c r="W795" s="74"/>
      <c r="X795" s="62"/>
      <c r="Y795" s="61"/>
      <c r="Z795" s="201"/>
      <c r="AA795" s="201"/>
      <c r="AB795" s="201"/>
      <c r="AC795" s="201"/>
      <c r="AD795" s="201"/>
      <c r="AE795" s="201"/>
      <c r="AF795" s="201"/>
      <c r="AG795" s="201"/>
      <c r="AH795" s="201"/>
      <c r="AI795" s="201"/>
      <c r="AJ795" s="201"/>
      <c r="AK795" s="201"/>
      <c r="AL795" s="201"/>
      <c r="AM795" s="201"/>
      <c r="AN795" s="201"/>
      <c r="AO795" s="201"/>
    </row>
    <row r="796">
      <c r="A796" s="197"/>
      <c r="B796" s="197"/>
      <c r="C796" s="199"/>
      <c r="D796" s="197"/>
      <c r="E796" s="197"/>
      <c r="F796" s="197"/>
      <c r="G796" s="197"/>
      <c r="H796" s="199"/>
      <c r="I796" s="199"/>
      <c r="J796" s="62"/>
      <c r="K796" s="62"/>
      <c r="L796" s="62"/>
      <c r="M796" s="62"/>
      <c r="N796" s="62"/>
      <c r="O796" s="62"/>
      <c r="P796" s="62"/>
      <c r="Q796" s="62"/>
      <c r="R796" s="62"/>
      <c r="S796" s="62"/>
      <c r="T796" s="62"/>
      <c r="U796" s="74"/>
      <c r="V796" s="62"/>
      <c r="W796" s="74"/>
      <c r="X796" s="62"/>
      <c r="Y796" s="61"/>
      <c r="Z796" s="201"/>
      <c r="AA796" s="201"/>
      <c r="AB796" s="201"/>
      <c r="AC796" s="201"/>
      <c r="AD796" s="201"/>
      <c r="AE796" s="201"/>
      <c r="AF796" s="201"/>
      <c r="AG796" s="201"/>
      <c r="AH796" s="201"/>
      <c r="AI796" s="201"/>
      <c r="AJ796" s="201"/>
      <c r="AK796" s="201"/>
      <c r="AL796" s="201"/>
      <c r="AM796" s="201"/>
      <c r="AN796" s="201"/>
      <c r="AO796" s="201"/>
    </row>
    <row r="797">
      <c r="A797" s="197"/>
      <c r="B797" s="197"/>
      <c r="C797" s="199"/>
      <c r="D797" s="197"/>
      <c r="E797" s="197"/>
      <c r="F797" s="197"/>
      <c r="G797" s="197"/>
      <c r="H797" s="199"/>
      <c r="I797" s="199"/>
      <c r="J797" s="62"/>
      <c r="K797" s="62"/>
      <c r="L797" s="62"/>
      <c r="M797" s="62"/>
      <c r="N797" s="62"/>
      <c r="O797" s="62"/>
      <c r="P797" s="62"/>
      <c r="Q797" s="62"/>
      <c r="R797" s="62"/>
      <c r="S797" s="62"/>
      <c r="T797" s="62"/>
      <c r="U797" s="74"/>
      <c r="V797" s="62"/>
      <c r="W797" s="74"/>
      <c r="X797" s="62"/>
      <c r="Y797" s="61"/>
      <c r="Z797" s="201"/>
      <c r="AA797" s="201"/>
      <c r="AB797" s="201"/>
      <c r="AC797" s="201"/>
      <c r="AD797" s="201"/>
      <c r="AE797" s="201"/>
      <c r="AF797" s="201"/>
      <c r="AG797" s="201"/>
      <c r="AH797" s="201"/>
      <c r="AI797" s="201"/>
      <c r="AJ797" s="201"/>
      <c r="AK797" s="201"/>
      <c r="AL797" s="201"/>
      <c r="AM797" s="201"/>
      <c r="AN797" s="201"/>
      <c r="AO797" s="201"/>
    </row>
    <row r="798">
      <c r="A798" s="197"/>
      <c r="B798" s="197"/>
      <c r="C798" s="199"/>
      <c r="D798" s="197"/>
      <c r="E798" s="197"/>
      <c r="F798" s="197"/>
      <c r="G798" s="197"/>
      <c r="H798" s="199"/>
      <c r="I798" s="199"/>
      <c r="J798" s="62"/>
      <c r="K798" s="62"/>
      <c r="L798" s="62"/>
      <c r="M798" s="62"/>
      <c r="N798" s="62"/>
      <c r="O798" s="62"/>
      <c r="P798" s="62"/>
      <c r="Q798" s="62"/>
      <c r="R798" s="62"/>
      <c r="S798" s="62"/>
      <c r="T798" s="62"/>
      <c r="U798" s="74"/>
      <c r="V798" s="62"/>
      <c r="W798" s="74"/>
      <c r="X798" s="62"/>
      <c r="Y798" s="61"/>
      <c r="Z798" s="201"/>
      <c r="AA798" s="201"/>
      <c r="AB798" s="201"/>
      <c r="AC798" s="201"/>
      <c r="AD798" s="201"/>
      <c r="AE798" s="201"/>
      <c r="AF798" s="201"/>
      <c r="AG798" s="201"/>
      <c r="AH798" s="201"/>
      <c r="AI798" s="201"/>
      <c r="AJ798" s="201"/>
      <c r="AK798" s="201"/>
      <c r="AL798" s="201"/>
      <c r="AM798" s="201"/>
      <c r="AN798" s="201"/>
      <c r="AO798" s="201"/>
    </row>
    <row r="799">
      <c r="A799" s="197"/>
      <c r="B799" s="197"/>
      <c r="C799" s="199"/>
      <c r="D799" s="197"/>
      <c r="E799" s="197"/>
      <c r="F799" s="197"/>
      <c r="G799" s="197"/>
      <c r="H799" s="199"/>
      <c r="I799" s="199"/>
      <c r="J799" s="62"/>
      <c r="K799" s="62"/>
      <c r="L799" s="62"/>
      <c r="M799" s="62"/>
      <c r="N799" s="62"/>
      <c r="O799" s="62"/>
      <c r="P799" s="62"/>
      <c r="Q799" s="62"/>
      <c r="R799" s="62"/>
      <c r="S799" s="62"/>
      <c r="T799" s="62"/>
      <c r="U799" s="74"/>
      <c r="V799" s="62"/>
      <c r="W799" s="74"/>
      <c r="X799" s="62"/>
      <c r="Y799" s="61"/>
      <c r="Z799" s="201"/>
      <c r="AA799" s="201"/>
      <c r="AB799" s="201"/>
      <c r="AC799" s="201"/>
      <c r="AD799" s="201"/>
      <c r="AE799" s="201"/>
      <c r="AF799" s="201"/>
      <c r="AG799" s="201"/>
      <c r="AH799" s="201"/>
      <c r="AI799" s="201"/>
      <c r="AJ799" s="201"/>
      <c r="AK799" s="201"/>
      <c r="AL799" s="201"/>
      <c r="AM799" s="201"/>
      <c r="AN799" s="201"/>
      <c r="AO799" s="201"/>
    </row>
    <row r="800">
      <c r="A800" s="197"/>
      <c r="B800" s="197"/>
      <c r="C800" s="199"/>
      <c r="D800" s="197"/>
      <c r="E800" s="197"/>
      <c r="F800" s="197"/>
      <c r="G800" s="197"/>
      <c r="H800" s="199"/>
      <c r="I800" s="199"/>
      <c r="J800" s="62"/>
      <c r="K800" s="62"/>
      <c r="L800" s="62"/>
      <c r="M800" s="62"/>
      <c r="N800" s="62"/>
      <c r="O800" s="62"/>
      <c r="P800" s="62"/>
      <c r="Q800" s="62"/>
      <c r="R800" s="62"/>
      <c r="S800" s="62"/>
      <c r="T800" s="62"/>
      <c r="U800" s="74"/>
      <c r="V800" s="62"/>
      <c r="W800" s="74"/>
      <c r="X800" s="62"/>
      <c r="Y800" s="61"/>
      <c r="Z800" s="201"/>
      <c r="AA800" s="201"/>
      <c r="AB800" s="201"/>
      <c r="AC800" s="201"/>
      <c r="AD800" s="201"/>
      <c r="AE800" s="201"/>
      <c r="AF800" s="201"/>
      <c r="AG800" s="201"/>
      <c r="AH800" s="201"/>
      <c r="AI800" s="201"/>
      <c r="AJ800" s="201"/>
      <c r="AK800" s="201"/>
      <c r="AL800" s="201"/>
      <c r="AM800" s="201"/>
      <c r="AN800" s="201"/>
      <c r="AO800" s="201"/>
    </row>
    <row r="801">
      <c r="A801" s="197"/>
      <c r="B801" s="197"/>
      <c r="C801" s="199"/>
      <c r="D801" s="197"/>
      <c r="E801" s="197"/>
      <c r="F801" s="197"/>
      <c r="G801" s="197"/>
      <c r="H801" s="199"/>
      <c r="I801" s="199"/>
      <c r="J801" s="62"/>
      <c r="K801" s="62"/>
      <c r="L801" s="62"/>
      <c r="M801" s="62"/>
      <c r="N801" s="62"/>
      <c r="O801" s="62"/>
      <c r="P801" s="62"/>
      <c r="Q801" s="62"/>
      <c r="R801" s="62"/>
      <c r="S801" s="62"/>
      <c r="T801" s="62"/>
      <c r="U801" s="74"/>
      <c r="V801" s="62"/>
      <c r="W801" s="74"/>
      <c r="X801" s="62"/>
      <c r="Y801" s="61"/>
      <c r="Z801" s="201"/>
      <c r="AA801" s="201"/>
      <c r="AB801" s="201"/>
      <c r="AC801" s="201"/>
      <c r="AD801" s="201"/>
      <c r="AE801" s="201"/>
      <c r="AF801" s="201"/>
      <c r="AG801" s="201"/>
      <c r="AH801" s="201"/>
      <c r="AI801" s="201"/>
      <c r="AJ801" s="201"/>
      <c r="AK801" s="201"/>
      <c r="AL801" s="201"/>
      <c r="AM801" s="201"/>
      <c r="AN801" s="201"/>
      <c r="AO801" s="201"/>
    </row>
    <row r="802">
      <c r="A802" s="197"/>
      <c r="B802" s="197"/>
      <c r="C802" s="199"/>
      <c r="D802" s="197"/>
      <c r="E802" s="197"/>
      <c r="F802" s="197"/>
      <c r="G802" s="197"/>
      <c r="H802" s="199"/>
      <c r="I802" s="199"/>
      <c r="J802" s="62"/>
      <c r="K802" s="62"/>
      <c r="L802" s="62"/>
      <c r="M802" s="62"/>
      <c r="N802" s="62"/>
      <c r="O802" s="62"/>
      <c r="P802" s="62"/>
      <c r="Q802" s="62"/>
      <c r="R802" s="62"/>
      <c r="S802" s="62"/>
      <c r="T802" s="62"/>
      <c r="U802" s="74"/>
      <c r="V802" s="62"/>
      <c r="W802" s="74"/>
      <c r="X802" s="62"/>
      <c r="Y802" s="61"/>
      <c r="Z802" s="201"/>
      <c r="AA802" s="201"/>
      <c r="AB802" s="201"/>
      <c r="AC802" s="201"/>
      <c r="AD802" s="201"/>
      <c r="AE802" s="201"/>
      <c r="AF802" s="201"/>
      <c r="AG802" s="201"/>
      <c r="AH802" s="201"/>
      <c r="AI802" s="201"/>
      <c r="AJ802" s="201"/>
      <c r="AK802" s="201"/>
      <c r="AL802" s="201"/>
      <c r="AM802" s="201"/>
      <c r="AN802" s="201"/>
      <c r="AO802" s="201"/>
    </row>
    <row r="803">
      <c r="A803" s="197"/>
      <c r="B803" s="197"/>
      <c r="C803" s="199"/>
      <c r="D803" s="197"/>
      <c r="E803" s="197"/>
      <c r="F803" s="197"/>
      <c r="G803" s="197"/>
      <c r="H803" s="199"/>
      <c r="I803" s="199"/>
      <c r="J803" s="62"/>
      <c r="K803" s="62"/>
      <c r="L803" s="62"/>
      <c r="M803" s="62"/>
      <c r="N803" s="62"/>
      <c r="O803" s="62"/>
      <c r="P803" s="62"/>
      <c r="Q803" s="62"/>
      <c r="R803" s="62"/>
      <c r="S803" s="62"/>
      <c r="T803" s="62"/>
      <c r="U803" s="74"/>
      <c r="V803" s="62"/>
      <c r="W803" s="74"/>
      <c r="X803" s="62"/>
      <c r="Y803" s="61"/>
      <c r="Z803" s="201"/>
      <c r="AA803" s="201"/>
      <c r="AB803" s="201"/>
      <c r="AC803" s="201"/>
      <c r="AD803" s="201"/>
      <c r="AE803" s="201"/>
      <c r="AF803" s="201"/>
      <c r="AG803" s="201"/>
      <c r="AH803" s="201"/>
      <c r="AI803" s="201"/>
      <c r="AJ803" s="201"/>
      <c r="AK803" s="201"/>
      <c r="AL803" s="201"/>
      <c r="AM803" s="201"/>
      <c r="AN803" s="201"/>
      <c r="AO803" s="201"/>
    </row>
    <row r="804">
      <c r="A804" s="197"/>
      <c r="B804" s="197"/>
      <c r="C804" s="199"/>
      <c r="D804" s="197"/>
      <c r="E804" s="197"/>
      <c r="F804" s="197"/>
      <c r="G804" s="197"/>
      <c r="H804" s="199"/>
      <c r="I804" s="199"/>
      <c r="J804" s="62"/>
      <c r="K804" s="62"/>
      <c r="L804" s="62"/>
      <c r="M804" s="62"/>
      <c r="N804" s="62"/>
      <c r="O804" s="62"/>
      <c r="P804" s="62"/>
      <c r="Q804" s="62"/>
      <c r="R804" s="62"/>
      <c r="S804" s="62"/>
      <c r="T804" s="62"/>
      <c r="U804" s="74"/>
      <c r="V804" s="62"/>
      <c r="W804" s="74"/>
      <c r="X804" s="62"/>
      <c r="Y804" s="61"/>
      <c r="Z804" s="201"/>
      <c r="AA804" s="201"/>
      <c r="AB804" s="201"/>
      <c r="AC804" s="201"/>
      <c r="AD804" s="201"/>
      <c r="AE804" s="201"/>
      <c r="AF804" s="201"/>
      <c r="AG804" s="201"/>
      <c r="AH804" s="201"/>
      <c r="AI804" s="201"/>
      <c r="AJ804" s="201"/>
      <c r="AK804" s="201"/>
      <c r="AL804" s="201"/>
      <c r="AM804" s="201"/>
      <c r="AN804" s="201"/>
      <c r="AO804" s="201"/>
    </row>
    <row r="805">
      <c r="A805" s="197"/>
      <c r="B805" s="197"/>
      <c r="C805" s="199"/>
      <c r="D805" s="197"/>
      <c r="E805" s="197"/>
      <c r="F805" s="197"/>
      <c r="G805" s="197"/>
      <c r="H805" s="199"/>
      <c r="I805" s="199"/>
      <c r="J805" s="62"/>
      <c r="K805" s="62"/>
      <c r="L805" s="62"/>
      <c r="M805" s="62"/>
      <c r="N805" s="62"/>
      <c r="O805" s="62"/>
      <c r="P805" s="62"/>
      <c r="Q805" s="62"/>
      <c r="R805" s="62"/>
      <c r="S805" s="62"/>
      <c r="T805" s="62"/>
      <c r="U805" s="74"/>
      <c r="V805" s="62"/>
      <c r="W805" s="74"/>
      <c r="X805" s="62"/>
      <c r="Y805" s="61"/>
      <c r="Z805" s="201"/>
      <c r="AA805" s="201"/>
      <c r="AB805" s="201"/>
      <c r="AC805" s="201"/>
      <c r="AD805" s="201"/>
      <c r="AE805" s="201"/>
      <c r="AF805" s="201"/>
      <c r="AG805" s="201"/>
      <c r="AH805" s="201"/>
      <c r="AI805" s="201"/>
      <c r="AJ805" s="201"/>
      <c r="AK805" s="201"/>
      <c r="AL805" s="201"/>
      <c r="AM805" s="201"/>
      <c r="AN805" s="201"/>
      <c r="AO805" s="201"/>
    </row>
    <row r="806">
      <c r="A806" s="197"/>
      <c r="B806" s="197"/>
      <c r="C806" s="199"/>
      <c r="D806" s="197"/>
      <c r="E806" s="197"/>
      <c r="F806" s="197"/>
      <c r="G806" s="197"/>
      <c r="H806" s="199"/>
      <c r="I806" s="199"/>
      <c r="J806" s="62"/>
      <c r="K806" s="62"/>
      <c r="L806" s="62"/>
      <c r="M806" s="62"/>
      <c r="N806" s="62"/>
      <c r="O806" s="62"/>
      <c r="P806" s="62"/>
      <c r="Q806" s="62"/>
      <c r="R806" s="62"/>
      <c r="S806" s="62"/>
      <c r="T806" s="62"/>
      <c r="U806" s="74"/>
      <c r="V806" s="62"/>
      <c r="W806" s="74"/>
      <c r="X806" s="62"/>
      <c r="Y806" s="61"/>
      <c r="Z806" s="201"/>
      <c r="AA806" s="201"/>
      <c r="AB806" s="201"/>
      <c r="AC806" s="201"/>
      <c r="AD806" s="201"/>
      <c r="AE806" s="201"/>
      <c r="AF806" s="201"/>
      <c r="AG806" s="201"/>
      <c r="AH806" s="201"/>
      <c r="AI806" s="201"/>
      <c r="AJ806" s="201"/>
      <c r="AK806" s="201"/>
      <c r="AL806" s="201"/>
      <c r="AM806" s="201"/>
      <c r="AN806" s="201"/>
      <c r="AO806" s="201"/>
    </row>
    <row r="807">
      <c r="A807" s="197"/>
      <c r="B807" s="197"/>
      <c r="C807" s="199"/>
      <c r="D807" s="197"/>
      <c r="E807" s="197"/>
      <c r="F807" s="197"/>
      <c r="G807" s="197"/>
      <c r="H807" s="199"/>
      <c r="I807" s="199"/>
      <c r="J807" s="62"/>
      <c r="K807" s="62"/>
      <c r="L807" s="62"/>
      <c r="M807" s="62"/>
      <c r="N807" s="62"/>
      <c r="O807" s="62"/>
      <c r="P807" s="62"/>
      <c r="Q807" s="62"/>
      <c r="R807" s="62"/>
      <c r="S807" s="62"/>
      <c r="T807" s="62"/>
      <c r="U807" s="74"/>
      <c r="V807" s="62"/>
      <c r="W807" s="74"/>
      <c r="X807" s="62"/>
      <c r="Y807" s="61"/>
      <c r="Z807" s="201"/>
      <c r="AA807" s="201"/>
      <c r="AB807" s="201"/>
      <c r="AC807" s="201"/>
      <c r="AD807" s="201"/>
      <c r="AE807" s="201"/>
      <c r="AF807" s="201"/>
      <c r="AG807" s="201"/>
      <c r="AH807" s="201"/>
      <c r="AI807" s="201"/>
      <c r="AJ807" s="201"/>
      <c r="AK807" s="201"/>
      <c r="AL807" s="201"/>
      <c r="AM807" s="201"/>
      <c r="AN807" s="201"/>
      <c r="AO807" s="201"/>
    </row>
    <row r="808">
      <c r="A808" s="197"/>
      <c r="B808" s="197"/>
      <c r="C808" s="199"/>
      <c r="D808" s="197"/>
      <c r="E808" s="197"/>
      <c r="F808" s="197"/>
      <c r="G808" s="197"/>
      <c r="H808" s="199"/>
      <c r="I808" s="199"/>
      <c r="J808" s="62"/>
      <c r="K808" s="62"/>
      <c r="L808" s="62"/>
      <c r="M808" s="62"/>
      <c r="N808" s="62"/>
      <c r="O808" s="62"/>
      <c r="P808" s="62"/>
      <c r="Q808" s="62"/>
      <c r="R808" s="62"/>
      <c r="S808" s="62"/>
      <c r="T808" s="62"/>
      <c r="U808" s="74"/>
      <c r="V808" s="62"/>
      <c r="W808" s="74"/>
      <c r="X808" s="62"/>
      <c r="Y808" s="61"/>
      <c r="Z808" s="201"/>
      <c r="AA808" s="201"/>
      <c r="AB808" s="201"/>
      <c r="AC808" s="201"/>
      <c r="AD808" s="201"/>
      <c r="AE808" s="201"/>
      <c r="AF808" s="201"/>
      <c r="AG808" s="201"/>
      <c r="AH808" s="201"/>
      <c r="AI808" s="201"/>
      <c r="AJ808" s="201"/>
      <c r="AK808" s="201"/>
      <c r="AL808" s="201"/>
      <c r="AM808" s="201"/>
      <c r="AN808" s="201"/>
      <c r="AO808" s="201"/>
    </row>
    <row r="809">
      <c r="A809" s="197"/>
      <c r="B809" s="197"/>
      <c r="C809" s="199"/>
      <c r="D809" s="197"/>
      <c r="E809" s="197"/>
      <c r="F809" s="197"/>
      <c r="G809" s="197"/>
      <c r="H809" s="199"/>
      <c r="I809" s="199"/>
      <c r="J809" s="62"/>
      <c r="K809" s="62"/>
      <c r="L809" s="62"/>
      <c r="M809" s="62"/>
      <c r="N809" s="62"/>
      <c r="O809" s="62"/>
      <c r="P809" s="62"/>
      <c r="Q809" s="62"/>
      <c r="R809" s="62"/>
      <c r="S809" s="62"/>
      <c r="T809" s="62"/>
      <c r="U809" s="74"/>
      <c r="V809" s="62"/>
      <c r="W809" s="74"/>
      <c r="X809" s="62"/>
      <c r="Y809" s="61"/>
      <c r="Z809" s="201"/>
      <c r="AA809" s="201"/>
      <c r="AB809" s="201"/>
      <c r="AC809" s="201"/>
      <c r="AD809" s="201"/>
      <c r="AE809" s="201"/>
      <c r="AF809" s="201"/>
      <c r="AG809" s="201"/>
      <c r="AH809" s="201"/>
      <c r="AI809" s="201"/>
      <c r="AJ809" s="201"/>
      <c r="AK809" s="201"/>
      <c r="AL809" s="201"/>
      <c r="AM809" s="201"/>
      <c r="AN809" s="201"/>
      <c r="AO809" s="201"/>
    </row>
    <row r="810">
      <c r="A810" s="197"/>
      <c r="B810" s="197"/>
      <c r="C810" s="199"/>
      <c r="D810" s="197"/>
      <c r="E810" s="197"/>
      <c r="F810" s="197"/>
      <c r="G810" s="197"/>
      <c r="H810" s="199"/>
      <c r="I810" s="199"/>
      <c r="J810" s="62"/>
      <c r="K810" s="62"/>
      <c r="L810" s="62"/>
      <c r="M810" s="62"/>
      <c r="N810" s="62"/>
      <c r="O810" s="62"/>
      <c r="P810" s="62"/>
      <c r="Q810" s="62"/>
      <c r="R810" s="62"/>
      <c r="S810" s="62"/>
      <c r="T810" s="62"/>
      <c r="U810" s="74"/>
      <c r="V810" s="62"/>
      <c r="W810" s="74"/>
      <c r="X810" s="62"/>
      <c r="Y810" s="61"/>
      <c r="Z810" s="201"/>
      <c r="AA810" s="201"/>
      <c r="AB810" s="201"/>
      <c r="AC810" s="201"/>
      <c r="AD810" s="201"/>
      <c r="AE810" s="201"/>
      <c r="AF810" s="201"/>
      <c r="AG810" s="201"/>
      <c r="AH810" s="201"/>
      <c r="AI810" s="201"/>
      <c r="AJ810" s="201"/>
      <c r="AK810" s="201"/>
      <c r="AL810" s="201"/>
      <c r="AM810" s="201"/>
      <c r="AN810" s="201"/>
      <c r="AO810" s="201"/>
    </row>
    <row r="811">
      <c r="A811" s="197"/>
      <c r="B811" s="197"/>
      <c r="C811" s="199"/>
      <c r="D811" s="197"/>
      <c r="E811" s="197"/>
      <c r="F811" s="197"/>
      <c r="G811" s="197"/>
      <c r="H811" s="199"/>
      <c r="I811" s="199"/>
      <c r="J811" s="62"/>
      <c r="K811" s="62"/>
      <c r="L811" s="62"/>
      <c r="M811" s="62"/>
      <c r="N811" s="62"/>
      <c r="O811" s="62"/>
      <c r="P811" s="62"/>
      <c r="Q811" s="62"/>
      <c r="R811" s="62"/>
      <c r="S811" s="62"/>
      <c r="T811" s="62"/>
      <c r="U811" s="74"/>
      <c r="V811" s="62"/>
      <c r="W811" s="74"/>
      <c r="X811" s="62"/>
      <c r="Y811" s="61"/>
      <c r="Z811" s="201"/>
      <c r="AA811" s="201"/>
      <c r="AB811" s="201"/>
      <c r="AC811" s="201"/>
      <c r="AD811" s="201"/>
      <c r="AE811" s="201"/>
      <c r="AF811" s="201"/>
      <c r="AG811" s="201"/>
      <c r="AH811" s="201"/>
      <c r="AI811" s="201"/>
      <c r="AJ811" s="201"/>
      <c r="AK811" s="201"/>
      <c r="AL811" s="201"/>
      <c r="AM811" s="201"/>
      <c r="AN811" s="201"/>
      <c r="AO811" s="201"/>
    </row>
    <row r="812">
      <c r="A812" s="197"/>
      <c r="B812" s="197"/>
      <c r="C812" s="199"/>
      <c r="D812" s="197"/>
      <c r="E812" s="197"/>
      <c r="F812" s="197"/>
      <c r="G812" s="197"/>
      <c r="H812" s="199"/>
      <c r="I812" s="199"/>
      <c r="J812" s="62"/>
      <c r="K812" s="62"/>
      <c r="L812" s="62"/>
      <c r="M812" s="62"/>
      <c r="N812" s="62"/>
      <c r="O812" s="62"/>
      <c r="P812" s="62"/>
      <c r="Q812" s="62"/>
      <c r="R812" s="62"/>
      <c r="S812" s="62"/>
      <c r="T812" s="62"/>
      <c r="U812" s="74"/>
      <c r="V812" s="62"/>
      <c r="W812" s="74"/>
      <c r="X812" s="62"/>
      <c r="Y812" s="61"/>
      <c r="Z812" s="201"/>
      <c r="AA812" s="201"/>
      <c r="AB812" s="201"/>
      <c r="AC812" s="201"/>
      <c r="AD812" s="201"/>
      <c r="AE812" s="201"/>
      <c r="AF812" s="201"/>
      <c r="AG812" s="201"/>
      <c r="AH812" s="201"/>
      <c r="AI812" s="201"/>
      <c r="AJ812" s="201"/>
      <c r="AK812" s="201"/>
      <c r="AL812" s="201"/>
      <c r="AM812" s="201"/>
      <c r="AN812" s="201"/>
      <c r="AO812" s="201"/>
    </row>
    <row r="813">
      <c r="A813" s="197"/>
      <c r="B813" s="197"/>
      <c r="C813" s="199"/>
      <c r="D813" s="197"/>
      <c r="E813" s="197"/>
      <c r="F813" s="197"/>
      <c r="G813" s="197"/>
      <c r="H813" s="199"/>
      <c r="I813" s="199"/>
      <c r="J813" s="62"/>
      <c r="K813" s="62"/>
      <c r="L813" s="62"/>
      <c r="M813" s="62"/>
      <c r="N813" s="62"/>
      <c r="O813" s="62"/>
      <c r="P813" s="62"/>
      <c r="Q813" s="62"/>
      <c r="R813" s="62"/>
      <c r="S813" s="62"/>
      <c r="T813" s="62"/>
      <c r="U813" s="74"/>
      <c r="V813" s="62"/>
      <c r="W813" s="74"/>
      <c r="X813" s="62"/>
      <c r="Y813" s="61"/>
      <c r="Z813" s="201"/>
      <c r="AA813" s="201"/>
      <c r="AB813" s="201"/>
      <c r="AC813" s="201"/>
      <c r="AD813" s="201"/>
      <c r="AE813" s="201"/>
      <c r="AF813" s="201"/>
      <c r="AG813" s="201"/>
      <c r="AH813" s="201"/>
      <c r="AI813" s="201"/>
      <c r="AJ813" s="201"/>
      <c r="AK813" s="201"/>
      <c r="AL813" s="201"/>
      <c r="AM813" s="201"/>
      <c r="AN813" s="201"/>
      <c r="AO813" s="201"/>
    </row>
    <row r="814">
      <c r="A814" s="197"/>
      <c r="B814" s="197"/>
      <c r="C814" s="199"/>
      <c r="D814" s="197"/>
      <c r="E814" s="197"/>
      <c r="F814" s="197"/>
      <c r="G814" s="197"/>
      <c r="H814" s="199"/>
      <c r="I814" s="199"/>
      <c r="J814" s="62"/>
      <c r="K814" s="62"/>
      <c r="L814" s="62"/>
      <c r="M814" s="62"/>
      <c r="N814" s="62"/>
      <c r="O814" s="62"/>
      <c r="P814" s="62"/>
      <c r="Q814" s="62"/>
      <c r="R814" s="62"/>
      <c r="S814" s="62"/>
      <c r="T814" s="62"/>
      <c r="U814" s="74"/>
      <c r="V814" s="62"/>
      <c r="W814" s="74"/>
      <c r="X814" s="62"/>
      <c r="Y814" s="61"/>
      <c r="Z814" s="201"/>
      <c r="AA814" s="201"/>
      <c r="AB814" s="201"/>
      <c r="AC814" s="201"/>
      <c r="AD814" s="201"/>
      <c r="AE814" s="201"/>
      <c r="AF814" s="201"/>
      <c r="AG814" s="201"/>
      <c r="AH814" s="201"/>
      <c r="AI814" s="201"/>
      <c r="AJ814" s="201"/>
      <c r="AK814" s="201"/>
      <c r="AL814" s="201"/>
      <c r="AM814" s="201"/>
      <c r="AN814" s="201"/>
      <c r="AO814" s="201"/>
    </row>
    <row r="815">
      <c r="A815" s="197"/>
      <c r="B815" s="197"/>
      <c r="C815" s="199"/>
      <c r="D815" s="197"/>
      <c r="E815" s="197"/>
      <c r="F815" s="197"/>
      <c r="G815" s="197"/>
      <c r="H815" s="199"/>
      <c r="I815" s="199"/>
      <c r="J815" s="62"/>
      <c r="K815" s="62"/>
      <c r="L815" s="62"/>
      <c r="M815" s="62"/>
      <c r="N815" s="62"/>
      <c r="O815" s="62"/>
      <c r="P815" s="62"/>
      <c r="Q815" s="62"/>
      <c r="R815" s="62"/>
      <c r="S815" s="62"/>
      <c r="T815" s="62"/>
      <c r="U815" s="74"/>
      <c r="V815" s="62"/>
      <c r="W815" s="74"/>
      <c r="X815" s="62"/>
      <c r="Y815" s="61"/>
      <c r="Z815" s="201"/>
      <c r="AA815" s="201"/>
      <c r="AB815" s="201"/>
      <c r="AC815" s="201"/>
      <c r="AD815" s="201"/>
      <c r="AE815" s="201"/>
      <c r="AF815" s="201"/>
      <c r="AG815" s="201"/>
      <c r="AH815" s="201"/>
      <c r="AI815" s="201"/>
      <c r="AJ815" s="201"/>
      <c r="AK815" s="201"/>
      <c r="AL815" s="201"/>
      <c r="AM815" s="201"/>
      <c r="AN815" s="201"/>
      <c r="AO815" s="201"/>
    </row>
    <row r="816">
      <c r="A816" s="197"/>
      <c r="B816" s="197"/>
      <c r="C816" s="199"/>
      <c r="D816" s="197"/>
      <c r="E816" s="197"/>
      <c r="F816" s="197"/>
      <c r="G816" s="197"/>
      <c r="H816" s="199"/>
      <c r="I816" s="199"/>
      <c r="J816" s="62"/>
      <c r="K816" s="62"/>
      <c r="L816" s="62"/>
      <c r="M816" s="62"/>
      <c r="N816" s="62"/>
      <c r="O816" s="62"/>
      <c r="P816" s="62"/>
      <c r="Q816" s="62"/>
      <c r="R816" s="62"/>
      <c r="S816" s="62"/>
      <c r="T816" s="62"/>
      <c r="U816" s="74"/>
      <c r="V816" s="62"/>
      <c r="W816" s="74"/>
      <c r="X816" s="62"/>
      <c r="Y816" s="61"/>
      <c r="Z816" s="201"/>
      <c r="AA816" s="201"/>
      <c r="AB816" s="201"/>
      <c r="AC816" s="201"/>
      <c r="AD816" s="201"/>
      <c r="AE816" s="201"/>
      <c r="AF816" s="201"/>
      <c r="AG816" s="201"/>
      <c r="AH816" s="201"/>
      <c r="AI816" s="201"/>
      <c r="AJ816" s="201"/>
      <c r="AK816" s="201"/>
      <c r="AL816" s="201"/>
      <c r="AM816" s="201"/>
      <c r="AN816" s="201"/>
      <c r="AO816" s="201"/>
    </row>
    <row r="817">
      <c r="A817" s="197"/>
      <c r="B817" s="197"/>
      <c r="C817" s="199"/>
      <c r="D817" s="197"/>
      <c r="E817" s="197"/>
      <c r="F817" s="197"/>
      <c r="G817" s="197"/>
      <c r="H817" s="199"/>
      <c r="I817" s="199"/>
      <c r="J817" s="62"/>
      <c r="K817" s="62"/>
      <c r="L817" s="62"/>
      <c r="M817" s="62"/>
      <c r="N817" s="62"/>
      <c r="O817" s="62"/>
      <c r="P817" s="62"/>
      <c r="Q817" s="62"/>
      <c r="R817" s="62"/>
      <c r="S817" s="62"/>
      <c r="T817" s="62"/>
      <c r="U817" s="74"/>
      <c r="V817" s="62"/>
      <c r="W817" s="74"/>
      <c r="X817" s="62"/>
      <c r="Y817" s="61"/>
      <c r="Z817" s="201"/>
      <c r="AA817" s="201"/>
      <c r="AB817" s="201"/>
      <c r="AC817" s="201"/>
      <c r="AD817" s="201"/>
      <c r="AE817" s="201"/>
      <c r="AF817" s="201"/>
      <c r="AG817" s="201"/>
      <c r="AH817" s="201"/>
      <c r="AI817" s="201"/>
      <c r="AJ817" s="201"/>
      <c r="AK817" s="201"/>
      <c r="AL817" s="201"/>
      <c r="AM817" s="201"/>
      <c r="AN817" s="201"/>
      <c r="AO817" s="201"/>
    </row>
    <row r="818">
      <c r="A818" s="197"/>
      <c r="B818" s="197"/>
      <c r="C818" s="199"/>
      <c r="D818" s="197"/>
      <c r="E818" s="197"/>
      <c r="F818" s="197"/>
      <c r="G818" s="197"/>
      <c r="H818" s="199"/>
      <c r="I818" s="199"/>
      <c r="J818" s="62"/>
      <c r="K818" s="62"/>
      <c r="L818" s="62"/>
      <c r="M818" s="62"/>
      <c r="N818" s="62"/>
      <c r="O818" s="62"/>
      <c r="P818" s="62"/>
      <c r="Q818" s="62"/>
      <c r="R818" s="62"/>
      <c r="S818" s="62"/>
      <c r="T818" s="62"/>
      <c r="U818" s="74"/>
      <c r="V818" s="62"/>
      <c r="W818" s="74"/>
      <c r="X818" s="62"/>
      <c r="Y818" s="61"/>
      <c r="Z818" s="201"/>
      <c r="AA818" s="201"/>
      <c r="AB818" s="201"/>
      <c r="AC818" s="201"/>
      <c r="AD818" s="201"/>
      <c r="AE818" s="201"/>
      <c r="AF818" s="201"/>
      <c r="AG818" s="201"/>
      <c r="AH818" s="201"/>
      <c r="AI818" s="201"/>
      <c r="AJ818" s="201"/>
      <c r="AK818" s="201"/>
      <c r="AL818" s="201"/>
      <c r="AM818" s="201"/>
      <c r="AN818" s="201"/>
      <c r="AO818" s="201"/>
    </row>
    <row r="819">
      <c r="A819" s="197"/>
      <c r="B819" s="197"/>
      <c r="C819" s="199"/>
      <c r="D819" s="197"/>
      <c r="E819" s="197"/>
      <c r="F819" s="197"/>
      <c r="G819" s="197"/>
      <c r="H819" s="199"/>
      <c r="I819" s="199"/>
      <c r="J819" s="62"/>
      <c r="K819" s="62"/>
      <c r="L819" s="62"/>
      <c r="M819" s="62"/>
      <c r="N819" s="62"/>
      <c r="O819" s="62"/>
      <c r="P819" s="62"/>
      <c r="Q819" s="62"/>
      <c r="R819" s="62"/>
      <c r="S819" s="62"/>
      <c r="T819" s="62"/>
      <c r="U819" s="74"/>
      <c r="V819" s="62"/>
      <c r="W819" s="74"/>
      <c r="X819" s="62"/>
      <c r="Y819" s="61"/>
      <c r="Z819" s="201"/>
      <c r="AA819" s="201"/>
      <c r="AB819" s="201"/>
      <c r="AC819" s="201"/>
      <c r="AD819" s="201"/>
      <c r="AE819" s="201"/>
      <c r="AF819" s="201"/>
      <c r="AG819" s="201"/>
      <c r="AH819" s="201"/>
      <c r="AI819" s="201"/>
      <c r="AJ819" s="201"/>
      <c r="AK819" s="201"/>
      <c r="AL819" s="201"/>
      <c r="AM819" s="201"/>
      <c r="AN819" s="201"/>
      <c r="AO819" s="201"/>
    </row>
    <row r="820">
      <c r="A820" s="197"/>
      <c r="B820" s="197"/>
      <c r="C820" s="199"/>
      <c r="D820" s="197"/>
      <c r="E820" s="197"/>
      <c r="F820" s="197"/>
      <c r="G820" s="197"/>
      <c r="H820" s="199"/>
      <c r="I820" s="199"/>
      <c r="J820" s="62"/>
      <c r="K820" s="62"/>
      <c r="L820" s="62"/>
      <c r="M820" s="62"/>
      <c r="N820" s="62"/>
      <c r="O820" s="62"/>
      <c r="P820" s="62"/>
      <c r="Q820" s="62"/>
      <c r="R820" s="62"/>
      <c r="S820" s="62"/>
      <c r="T820" s="62"/>
      <c r="U820" s="74"/>
      <c r="V820" s="62"/>
      <c r="W820" s="74"/>
      <c r="X820" s="62"/>
      <c r="Y820" s="61"/>
      <c r="Z820" s="201"/>
      <c r="AA820" s="201"/>
      <c r="AB820" s="201"/>
      <c r="AC820" s="201"/>
      <c r="AD820" s="201"/>
      <c r="AE820" s="201"/>
      <c r="AF820" s="201"/>
      <c r="AG820" s="201"/>
      <c r="AH820" s="201"/>
      <c r="AI820" s="201"/>
      <c r="AJ820" s="201"/>
      <c r="AK820" s="201"/>
      <c r="AL820" s="201"/>
      <c r="AM820" s="201"/>
      <c r="AN820" s="201"/>
      <c r="AO820" s="201"/>
    </row>
    <row r="821">
      <c r="A821" s="197"/>
      <c r="B821" s="197"/>
      <c r="C821" s="199"/>
      <c r="D821" s="197"/>
      <c r="E821" s="197"/>
      <c r="F821" s="197"/>
      <c r="G821" s="197"/>
      <c r="H821" s="199"/>
      <c r="I821" s="199"/>
      <c r="J821" s="62"/>
      <c r="K821" s="62"/>
      <c r="L821" s="62"/>
      <c r="M821" s="62"/>
      <c r="N821" s="62"/>
      <c r="O821" s="62"/>
      <c r="P821" s="62"/>
      <c r="Q821" s="62"/>
      <c r="R821" s="62"/>
      <c r="S821" s="62"/>
      <c r="T821" s="62"/>
      <c r="U821" s="74"/>
      <c r="V821" s="62"/>
      <c r="W821" s="74"/>
      <c r="X821" s="62"/>
      <c r="Y821" s="61"/>
      <c r="Z821" s="201"/>
      <c r="AA821" s="201"/>
      <c r="AB821" s="201"/>
      <c r="AC821" s="201"/>
      <c r="AD821" s="201"/>
      <c r="AE821" s="201"/>
      <c r="AF821" s="201"/>
      <c r="AG821" s="201"/>
      <c r="AH821" s="201"/>
      <c r="AI821" s="201"/>
      <c r="AJ821" s="201"/>
      <c r="AK821" s="201"/>
      <c r="AL821" s="201"/>
      <c r="AM821" s="201"/>
      <c r="AN821" s="201"/>
      <c r="AO821" s="201"/>
    </row>
    <row r="822">
      <c r="A822" s="197"/>
      <c r="B822" s="197"/>
      <c r="C822" s="199"/>
      <c r="D822" s="197"/>
      <c r="E822" s="197"/>
      <c r="F822" s="197"/>
      <c r="G822" s="197"/>
      <c r="H822" s="199"/>
      <c r="I822" s="199"/>
      <c r="J822" s="62"/>
      <c r="K822" s="62"/>
      <c r="L822" s="62"/>
      <c r="M822" s="62"/>
      <c r="N822" s="62"/>
      <c r="O822" s="62"/>
      <c r="P822" s="62"/>
      <c r="Q822" s="62"/>
      <c r="R822" s="62"/>
      <c r="S822" s="62"/>
      <c r="T822" s="62"/>
      <c r="U822" s="74"/>
      <c r="V822" s="62"/>
      <c r="W822" s="74"/>
      <c r="X822" s="62"/>
      <c r="Y822" s="61"/>
      <c r="Z822" s="201"/>
      <c r="AA822" s="201"/>
      <c r="AB822" s="201"/>
      <c r="AC822" s="201"/>
      <c r="AD822" s="201"/>
      <c r="AE822" s="201"/>
      <c r="AF822" s="201"/>
      <c r="AG822" s="201"/>
      <c r="AH822" s="201"/>
      <c r="AI822" s="201"/>
      <c r="AJ822" s="201"/>
      <c r="AK822" s="201"/>
      <c r="AL822" s="201"/>
      <c r="AM822" s="201"/>
      <c r="AN822" s="201"/>
      <c r="AO822" s="201"/>
    </row>
    <row r="823">
      <c r="A823" s="197"/>
      <c r="B823" s="197"/>
      <c r="C823" s="199"/>
      <c r="D823" s="197"/>
      <c r="E823" s="197"/>
      <c r="F823" s="197"/>
      <c r="G823" s="197"/>
      <c r="H823" s="199"/>
      <c r="I823" s="199"/>
      <c r="J823" s="62"/>
      <c r="K823" s="62"/>
      <c r="L823" s="62"/>
      <c r="M823" s="62"/>
      <c r="N823" s="62"/>
      <c r="O823" s="62"/>
      <c r="P823" s="62"/>
      <c r="Q823" s="62"/>
      <c r="R823" s="62"/>
      <c r="S823" s="62"/>
      <c r="T823" s="62"/>
      <c r="U823" s="74"/>
      <c r="V823" s="62"/>
      <c r="W823" s="74"/>
      <c r="X823" s="62"/>
      <c r="Y823" s="61"/>
      <c r="Z823" s="201"/>
      <c r="AA823" s="201"/>
      <c r="AB823" s="201"/>
      <c r="AC823" s="201"/>
      <c r="AD823" s="201"/>
      <c r="AE823" s="201"/>
      <c r="AF823" s="201"/>
      <c r="AG823" s="201"/>
      <c r="AH823" s="201"/>
      <c r="AI823" s="201"/>
      <c r="AJ823" s="201"/>
      <c r="AK823" s="201"/>
      <c r="AL823" s="201"/>
      <c r="AM823" s="201"/>
      <c r="AN823" s="201"/>
      <c r="AO823" s="201"/>
    </row>
    <row r="824">
      <c r="A824" s="197"/>
      <c r="B824" s="197"/>
      <c r="C824" s="199"/>
      <c r="D824" s="197"/>
      <c r="E824" s="197"/>
      <c r="F824" s="197"/>
      <c r="G824" s="197"/>
      <c r="H824" s="199"/>
      <c r="I824" s="199"/>
      <c r="J824" s="62"/>
      <c r="K824" s="62"/>
      <c r="L824" s="62"/>
      <c r="M824" s="62"/>
      <c r="N824" s="62"/>
      <c r="O824" s="62"/>
      <c r="P824" s="62"/>
      <c r="Q824" s="62"/>
      <c r="R824" s="62"/>
      <c r="S824" s="62"/>
      <c r="T824" s="62"/>
      <c r="U824" s="74"/>
      <c r="V824" s="62"/>
      <c r="W824" s="74"/>
      <c r="X824" s="62"/>
      <c r="Y824" s="61"/>
      <c r="Z824" s="201"/>
      <c r="AA824" s="201"/>
      <c r="AB824" s="201"/>
      <c r="AC824" s="201"/>
      <c r="AD824" s="201"/>
      <c r="AE824" s="201"/>
      <c r="AF824" s="201"/>
      <c r="AG824" s="201"/>
      <c r="AH824" s="201"/>
      <c r="AI824" s="201"/>
      <c r="AJ824" s="201"/>
      <c r="AK824" s="201"/>
      <c r="AL824" s="201"/>
      <c r="AM824" s="201"/>
      <c r="AN824" s="201"/>
      <c r="AO824" s="201"/>
    </row>
    <row r="825">
      <c r="A825" s="197"/>
      <c r="B825" s="197"/>
      <c r="C825" s="199"/>
      <c r="D825" s="197"/>
      <c r="E825" s="197"/>
      <c r="F825" s="197"/>
      <c r="G825" s="197"/>
      <c r="H825" s="199"/>
      <c r="I825" s="199"/>
      <c r="J825" s="62"/>
      <c r="K825" s="62"/>
      <c r="L825" s="62"/>
      <c r="M825" s="62"/>
      <c r="N825" s="62"/>
      <c r="O825" s="62"/>
      <c r="P825" s="62"/>
      <c r="Q825" s="62"/>
      <c r="R825" s="62"/>
      <c r="S825" s="62"/>
      <c r="T825" s="62"/>
      <c r="U825" s="74"/>
      <c r="V825" s="62"/>
      <c r="W825" s="74"/>
      <c r="X825" s="62"/>
      <c r="Y825" s="61"/>
      <c r="Z825" s="201"/>
      <c r="AA825" s="201"/>
      <c r="AB825" s="201"/>
      <c r="AC825" s="201"/>
      <c r="AD825" s="201"/>
      <c r="AE825" s="201"/>
      <c r="AF825" s="201"/>
      <c r="AG825" s="201"/>
      <c r="AH825" s="201"/>
      <c r="AI825" s="201"/>
      <c r="AJ825" s="201"/>
      <c r="AK825" s="201"/>
      <c r="AL825" s="201"/>
      <c r="AM825" s="201"/>
      <c r="AN825" s="201"/>
      <c r="AO825" s="201"/>
    </row>
    <row r="826">
      <c r="A826" s="197"/>
      <c r="B826" s="197"/>
      <c r="C826" s="199"/>
      <c r="D826" s="197"/>
      <c r="E826" s="197"/>
      <c r="F826" s="197"/>
      <c r="G826" s="197"/>
      <c r="H826" s="199"/>
      <c r="I826" s="199"/>
      <c r="J826" s="62"/>
      <c r="K826" s="62"/>
      <c r="L826" s="62"/>
      <c r="M826" s="62"/>
      <c r="N826" s="62"/>
      <c r="O826" s="62"/>
      <c r="P826" s="62"/>
      <c r="Q826" s="62"/>
      <c r="R826" s="62"/>
      <c r="S826" s="62"/>
      <c r="T826" s="62"/>
      <c r="U826" s="74"/>
      <c r="V826" s="62"/>
      <c r="W826" s="74"/>
      <c r="X826" s="62"/>
      <c r="Y826" s="61"/>
      <c r="Z826" s="201"/>
      <c r="AA826" s="201"/>
      <c r="AB826" s="201"/>
      <c r="AC826" s="201"/>
      <c r="AD826" s="201"/>
      <c r="AE826" s="201"/>
      <c r="AF826" s="201"/>
      <c r="AG826" s="201"/>
      <c r="AH826" s="201"/>
      <c r="AI826" s="201"/>
      <c r="AJ826" s="201"/>
      <c r="AK826" s="201"/>
      <c r="AL826" s="201"/>
      <c r="AM826" s="201"/>
      <c r="AN826" s="201"/>
      <c r="AO826" s="201"/>
    </row>
    <row r="827">
      <c r="A827" s="197"/>
      <c r="B827" s="197"/>
      <c r="C827" s="199"/>
      <c r="D827" s="197"/>
      <c r="E827" s="197"/>
      <c r="F827" s="197"/>
      <c r="G827" s="197"/>
      <c r="H827" s="199"/>
      <c r="I827" s="199"/>
      <c r="J827" s="62"/>
      <c r="K827" s="62"/>
      <c r="L827" s="62"/>
      <c r="M827" s="62"/>
      <c r="N827" s="62"/>
      <c r="O827" s="62"/>
      <c r="P827" s="62"/>
      <c r="Q827" s="62"/>
      <c r="R827" s="62"/>
      <c r="S827" s="62"/>
      <c r="T827" s="62"/>
      <c r="U827" s="74"/>
      <c r="V827" s="62"/>
      <c r="W827" s="74"/>
      <c r="X827" s="62"/>
      <c r="Y827" s="61"/>
      <c r="Z827" s="201"/>
      <c r="AA827" s="201"/>
      <c r="AB827" s="201"/>
      <c r="AC827" s="201"/>
      <c r="AD827" s="201"/>
      <c r="AE827" s="201"/>
      <c r="AF827" s="201"/>
      <c r="AG827" s="201"/>
      <c r="AH827" s="201"/>
      <c r="AI827" s="201"/>
      <c r="AJ827" s="201"/>
      <c r="AK827" s="201"/>
      <c r="AL827" s="201"/>
      <c r="AM827" s="201"/>
      <c r="AN827" s="201"/>
      <c r="AO827" s="201"/>
    </row>
    <row r="828">
      <c r="A828" s="197"/>
      <c r="B828" s="197"/>
      <c r="C828" s="199"/>
      <c r="D828" s="197"/>
      <c r="E828" s="197"/>
      <c r="F828" s="197"/>
      <c r="G828" s="197"/>
      <c r="H828" s="199"/>
      <c r="I828" s="199"/>
      <c r="J828" s="62"/>
      <c r="K828" s="62"/>
      <c r="L828" s="62"/>
      <c r="M828" s="62"/>
      <c r="N828" s="62"/>
      <c r="O828" s="62"/>
      <c r="P828" s="62"/>
      <c r="Q828" s="62"/>
      <c r="R828" s="62"/>
      <c r="S828" s="62"/>
      <c r="T828" s="62"/>
      <c r="U828" s="74"/>
      <c r="V828" s="62"/>
      <c r="W828" s="74"/>
      <c r="X828" s="62"/>
      <c r="Y828" s="61"/>
      <c r="Z828" s="201"/>
      <c r="AA828" s="201"/>
      <c r="AB828" s="201"/>
      <c r="AC828" s="201"/>
      <c r="AD828" s="201"/>
      <c r="AE828" s="201"/>
      <c r="AF828" s="201"/>
      <c r="AG828" s="201"/>
      <c r="AH828" s="201"/>
      <c r="AI828" s="201"/>
      <c r="AJ828" s="201"/>
      <c r="AK828" s="201"/>
      <c r="AL828" s="201"/>
      <c r="AM828" s="201"/>
      <c r="AN828" s="201"/>
      <c r="AO828" s="201"/>
    </row>
    <row r="829">
      <c r="A829" s="197"/>
      <c r="B829" s="197"/>
      <c r="C829" s="199"/>
      <c r="D829" s="197"/>
      <c r="E829" s="197"/>
      <c r="F829" s="197"/>
      <c r="G829" s="197"/>
      <c r="H829" s="199"/>
      <c r="I829" s="199"/>
      <c r="J829" s="62"/>
      <c r="K829" s="62"/>
      <c r="L829" s="62"/>
      <c r="M829" s="62"/>
      <c r="N829" s="62"/>
      <c r="O829" s="62"/>
      <c r="P829" s="62"/>
      <c r="Q829" s="62"/>
      <c r="R829" s="62"/>
      <c r="S829" s="62"/>
      <c r="T829" s="62"/>
      <c r="U829" s="74"/>
      <c r="V829" s="62"/>
      <c r="W829" s="74"/>
      <c r="X829" s="62"/>
      <c r="Y829" s="61"/>
      <c r="Z829" s="201"/>
      <c r="AA829" s="201"/>
      <c r="AB829" s="201"/>
      <c r="AC829" s="201"/>
      <c r="AD829" s="201"/>
      <c r="AE829" s="201"/>
      <c r="AF829" s="201"/>
      <c r="AG829" s="201"/>
      <c r="AH829" s="201"/>
      <c r="AI829" s="201"/>
      <c r="AJ829" s="201"/>
      <c r="AK829" s="201"/>
      <c r="AL829" s="201"/>
      <c r="AM829" s="201"/>
      <c r="AN829" s="201"/>
      <c r="AO829" s="201"/>
    </row>
    <row r="830">
      <c r="A830" s="197"/>
      <c r="B830" s="197"/>
      <c r="C830" s="199"/>
      <c r="D830" s="197"/>
      <c r="E830" s="197"/>
      <c r="F830" s="197"/>
      <c r="G830" s="197"/>
      <c r="H830" s="199"/>
      <c r="I830" s="199"/>
      <c r="J830" s="62"/>
      <c r="K830" s="62"/>
      <c r="L830" s="62"/>
      <c r="M830" s="62"/>
      <c r="N830" s="62"/>
      <c r="O830" s="62"/>
      <c r="P830" s="62"/>
      <c r="Q830" s="62"/>
      <c r="R830" s="62"/>
      <c r="S830" s="62"/>
      <c r="T830" s="62"/>
      <c r="U830" s="74"/>
      <c r="V830" s="62"/>
      <c r="W830" s="74"/>
      <c r="X830" s="62"/>
      <c r="Y830" s="61"/>
      <c r="Z830" s="201"/>
      <c r="AA830" s="201"/>
      <c r="AB830" s="201"/>
      <c r="AC830" s="201"/>
      <c r="AD830" s="201"/>
      <c r="AE830" s="201"/>
      <c r="AF830" s="201"/>
      <c r="AG830" s="201"/>
      <c r="AH830" s="201"/>
      <c r="AI830" s="201"/>
      <c r="AJ830" s="201"/>
      <c r="AK830" s="201"/>
      <c r="AL830" s="201"/>
      <c r="AM830" s="201"/>
      <c r="AN830" s="201"/>
      <c r="AO830" s="201"/>
    </row>
    <row r="831">
      <c r="A831" s="197"/>
      <c r="B831" s="197"/>
      <c r="C831" s="199"/>
      <c r="D831" s="197"/>
      <c r="E831" s="197"/>
      <c r="F831" s="197"/>
      <c r="G831" s="197"/>
      <c r="H831" s="199"/>
      <c r="I831" s="199"/>
      <c r="J831" s="62"/>
      <c r="K831" s="62"/>
      <c r="L831" s="62"/>
      <c r="M831" s="62"/>
      <c r="N831" s="62"/>
      <c r="O831" s="62"/>
      <c r="P831" s="62"/>
      <c r="Q831" s="62"/>
      <c r="R831" s="62"/>
      <c r="S831" s="62"/>
      <c r="T831" s="62"/>
      <c r="U831" s="74"/>
      <c r="V831" s="62"/>
      <c r="W831" s="74"/>
      <c r="X831" s="62"/>
      <c r="Y831" s="61"/>
      <c r="Z831" s="201"/>
      <c r="AA831" s="201"/>
      <c r="AB831" s="201"/>
      <c r="AC831" s="201"/>
      <c r="AD831" s="201"/>
      <c r="AE831" s="201"/>
      <c r="AF831" s="201"/>
      <c r="AG831" s="201"/>
      <c r="AH831" s="201"/>
      <c r="AI831" s="201"/>
      <c r="AJ831" s="201"/>
      <c r="AK831" s="201"/>
      <c r="AL831" s="201"/>
      <c r="AM831" s="201"/>
      <c r="AN831" s="201"/>
      <c r="AO831" s="201"/>
    </row>
    <row r="832">
      <c r="A832" s="197"/>
      <c r="B832" s="197"/>
      <c r="C832" s="199"/>
      <c r="D832" s="197"/>
      <c r="E832" s="197"/>
      <c r="F832" s="197"/>
      <c r="G832" s="197"/>
      <c r="H832" s="199"/>
      <c r="I832" s="199"/>
      <c r="J832" s="62"/>
      <c r="K832" s="62"/>
      <c r="L832" s="62"/>
      <c r="M832" s="62"/>
      <c r="N832" s="62"/>
      <c r="O832" s="62"/>
      <c r="P832" s="62"/>
      <c r="Q832" s="62"/>
      <c r="R832" s="62"/>
      <c r="S832" s="62"/>
      <c r="T832" s="62"/>
      <c r="U832" s="74"/>
      <c r="V832" s="62"/>
      <c r="W832" s="74"/>
      <c r="X832" s="62"/>
      <c r="Y832" s="61"/>
      <c r="Z832" s="201"/>
      <c r="AA832" s="201"/>
      <c r="AB832" s="201"/>
      <c r="AC832" s="201"/>
      <c r="AD832" s="201"/>
      <c r="AE832" s="201"/>
      <c r="AF832" s="201"/>
      <c r="AG832" s="201"/>
      <c r="AH832" s="201"/>
      <c r="AI832" s="201"/>
      <c r="AJ832" s="201"/>
      <c r="AK832" s="201"/>
      <c r="AL832" s="201"/>
      <c r="AM832" s="201"/>
      <c r="AN832" s="201"/>
      <c r="AO832" s="201"/>
    </row>
    <row r="833">
      <c r="A833" s="197"/>
      <c r="B833" s="197"/>
      <c r="C833" s="199"/>
      <c r="D833" s="197"/>
      <c r="E833" s="197"/>
      <c r="F833" s="197"/>
      <c r="G833" s="197"/>
      <c r="H833" s="199"/>
      <c r="I833" s="199"/>
      <c r="J833" s="62"/>
      <c r="K833" s="62"/>
      <c r="L833" s="62"/>
      <c r="M833" s="62"/>
      <c r="N833" s="62"/>
      <c r="O833" s="62"/>
      <c r="P833" s="62"/>
      <c r="Q833" s="62"/>
      <c r="R833" s="62"/>
      <c r="S833" s="62"/>
      <c r="T833" s="62"/>
      <c r="U833" s="74"/>
      <c r="V833" s="62"/>
      <c r="W833" s="74"/>
      <c r="X833" s="62"/>
      <c r="Y833" s="61"/>
      <c r="Z833" s="201"/>
      <c r="AA833" s="201"/>
      <c r="AB833" s="201"/>
      <c r="AC833" s="201"/>
      <c r="AD833" s="201"/>
      <c r="AE833" s="201"/>
      <c r="AF833" s="201"/>
      <c r="AG833" s="201"/>
      <c r="AH833" s="201"/>
      <c r="AI833" s="201"/>
      <c r="AJ833" s="201"/>
      <c r="AK833" s="201"/>
      <c r="AL833" s="201"/>
      <c r="AM833" s="201"/>
      <c r="AN833" s="201"/>
      <c r="AO833" s="201"/>
    </row>
    <row r="834">
      <c r="A834" s="197"/>
      <c r="B834" s="197"/>
      <c r="C834" s="199"/>
      <c r="D834" s="197"/>
      <c r="E834" s="197"/>
      <c r="F834" s="197"/>
      <c r="G834" s="197"/>
      <c r="H834" s="199"/>
      <c r="I834" s="199"/>
      <c r="J834" s="62"/>
      <c r="K834" s="62"/>
      <c r="L834" s="62"/>
      <c r="M834" s="62"/>
      <c r="N834" s="62"/>
      <c r="O834" s="62"/>
      <c r="P834" s="62"/>
      <c r="Q834" s="62"/>
      <c r="R834" s="62"/>
      <c r="S834" s="62"/>
      <c r="T834" s="62"/>
      <c r="U834" s="74"/>
      <c r="V834" s="62"/>
      <c r="W834" s="74"/>
      <c r="X834" s="62"/>
      <c r="Y834" s="61"/>
      <c r="Z834" s="201"/>
      <c r="AA834" s="201"/>
      <c r="AB834" s="201"/>
      <c r="AC834" s="201"/>
      <c r="AD834" s="201"/>
      <c r="AE834" s="201"/>
      <c r="AF834" s="201"/>
      <c r="AG834" s="201"/>
      <c r="AH834" s="201"/>
      <c r="AI834" s="201"/>
      <c r="AJ834" s="201"/>
      <c r="AK834" s="201"/>
      <c r="AL834" s="201"/>
      <c r="AM834" s="201"/>
      <c r="AN834" s="201"/>
      <c r="AO834" s="201"/>
    </row>
    <row r="835">
      <c r="A835" s="197"/>
      <c r="B835" s="197"/>
      <c r="C835" s="199"/>
      <c r="D835" s="197"/>
      <c r="E835" s="197"/>
      <c r="F835" s="197"/>
      <c r="G835" s="197"/>
      <c r="H835" s="199"/>
      <c r="I835" s="199"/>
      <c r="J835" s="62"/>
      <c r="K835" s="62"/>
      <c r="L835" s="62"/>
      <c r="M835" s="62"/>
      <c r="N835" s="62"/>
      <c r="O835" s="62"/>
      <c r="P835" s="62"/>
      <c r="Q835" s="62"/>
      <c r="R835" s="62"/>
      <c r="S835" s="62"/>
      <c r="T835" s="62"/>
      <c r="U835" s="74"/>
      <c r="V835" s="62"/>
      <c r="W835" s="74"/>
      <c r="X835" s="62"/>
      <c r="Y835" s="61"/>
      <c r="Z835" s="201"/>
      <c r="AA835" s="201"/>
      <c r="AB835" s="201"/>
      <c r="AC835" s="201"/>
      <c r="AD835" s="201"/>
      <c r="AE835" s="201"/>
      <c r="AF835" s="201"/>
      <c r="AG835" s="201"/>
      <c r="AH835" s="201"/>
      <c r="AI835" s="201"/>
      <c r="AJ835" s="201"/>
      <c r="AK835" s="201"/>
      <c r="AL835" s="201"/>
      <c r="AM835" s="201"/>
      <c r="AN835" s="201"/>
      <c r="AO835" s="201"/>
    </row>
    <row r="836">
      <c r="A836" s="197"/>
      <c r="B836" s="197"/>
      <c r="C836" s="199"/>
      <c r="D836" s="197"/>
      <c r="E836" s="197"/>
      <c r="F836" s="197"/>
      <c r="G836" s="197"/>
      <c r="H836" s="199"/>
      <c r="I836" s="199"/>
      <c r="J836" s="62"/>
      <c r="K836" s="62"/>
      <c r="L836" s="62"/>
      <c r="M836" s="62"/>
      <c r="N836" s="62"/>
      <c r="O836" s="62"/>
      <c r="P836" s="62"/>
      <c r="Q836" s="62"/>
      <c r="R836" s="62"/>
      <c r="S836" s="62"/>
      <c r="T836" s="62"/>
      <c r="U836" s="74"/>
      <c r="V836" s="62"/>
      <c r="W836" s="74"/>
      <c r="X836" s="62"/>
      <c r="Y836" s="61"/>
      <c r="Z836" s="201"/>
      <c r="AA836" s="201"/>
      <c r="AB836" s="201"/>
      <c r="AC836" s="201"/>
      <c r="AD836" s="201"/>
      <c r="AE836" s="201"/>
      <c r="AF836" s="201"/>
      <c r="AG836" s="201"/>
      <c r="AH836" s="201"/>
      <c r="AI836" s="201"/>
      <c r="AJ836" s="201"/>
      <c r="AK836" s="201"/>
      <c r="AL836" s="201"/>
      <c r="AM836" s="201"/>
      <c r="AN836" s="201"/>
      <c r="AO836" s="201"/>
    </row>
    <row r="837">
      <c r="A837" s="197"/>
      <c r="B837" s="197"/>
      <c r="C837" s="199"/>
      <c r="D837" s="197"/>
      <c r="E837" s="197"/>
      <c r="F837" s="197"/>
      <c r="G837" s="197"/>
      <c r="H837" s="199"/>
      <c r="I837" s="199"/>
      <c r="J837" s="62"/>
      <c r="K837" s="62"/>
      <c r="L837" s="62"/>
      <c r="M837" s="62"/>
      <c r="N837" s="62"/>
      <c r="O837" s="62"/>
      <c r="P837" s="62"/>
      <c r="Q837" s="62"/>
      <c r="R837" s="62"/>
      <c r="S837" s="62"/>
      <c r="T837" s="62"/>
      <c r="U837" s="74"/>
      <c r="V837" s="62"/>
      <c r="W837" s="74"/>
      <c r="X837" s="62"/>
      <c r="Y837" s="61"/>
      <c r="Z837" s="201"/>
      <c r="AA837" s="201"/>
      <c r="AB837" s="201"/>
      <c r="AC837" s="201"/>
      <c r="AD837" s="201"/>
      <c r="AE837" s="201"/>
      <c r="AF837" s="201"/>
      <c r="AG837" s="201"/>
      <c r="AH837" s="201"/>
      <c r="AI837" s="201"/>
      <c r="AJ837" s="201"/>
      <c r="AK837" s="201"/>
      <c r="AL837" s="201"/>
      <c r="AM837" s="201"/>
      <c r="AN837" s="201"/>
      <c r="AO837" s="201"/>
    </row>
    <row r="838">
      <c r="A838" s="197"/>
      <c r="B838" s="197"/>
      <c r="C838" s="199"/>
      <c r="D838" s="197"/>
      <c r="E838" s="197"/>
      <c r="F838" s="197"/>
      <c r="G838" s="197"/>
      <c r="H838" s="199"/>
      <c r="I838" s="199"/>
      <c r="J838" s="62"/>
      <c r="K838" s="62"/>
      <c r="L838" s="62"/>
      <c r="M838" s="62"/>
      <c r="N838" s="62"/>
      <c r="O838" s="62"/>
      <c r="P838" s="62"/>
      <c r="Q838" s="62"/>
      <c r="R838" s="62"/>
      <c r="S838" s="62"/>
      <c r="T838" s="62"/>
      <c r="U838" s="74"/>
      <c r="V838" s="62"/>
      <c r="W838" s="74"/>
      <c r="X838" s="62"/>
      <c r="Y838" s="61"/>
      <c r="Z838" s="201"/>
      <c r="AA838" s="201"/>
      <c r="AB838" s="201"/>
      <c r="AC838" s="201"/>
      <c r="AD838" s="201"/>
      <c r="AE838" s="201"/>
      <c r="AF838" s="201"/>
      <c r="AG838" s="201"/>
      <c r="AH838" s="201"/>
      <c r="AI838" s="201"/>
      <c r="AJ838" s="201"/>
      <c r="AK838" s="201"/>
      <c r="AL838" s="201"/>
      <c r="AM838" s="201"/>
      <c r="AN838" s="201"/>
      <c r="AO838" s="201"/>
    </row>
    <row r="839">
      <c r="A839" s="197"/>
      <c r="B839" s="197"/>
      <c r="C839" s="199"/>
      <c r="D839" s="197"/>
      <c r="E839" s="197"/>
      <c r="F839" s="197"/>
      <c r="G839" s="197"/>
      <c r="H839" s="199"/>
      <c r="I839" s="199"/>
      <c r="J839" s="62"/>
      <c r="K839" s="62"/>
      <c r="L839" s="62"/>
      <c r="M839" s="62"/>
      <c r="N839" s="62"/>
      <c r="O839" s="62"/>
      <c r="P839" s="62"/>
      <c r="Q839" s="62"/>
      <c r="R839" s="62"/>
      <c r="S839" s="62"/>
      <c r="T839" s="62"/>
      <c r="U839" s="74"/>
      <c r="V839" s="62"/>
      <c r="W839" s="74"/>
      <c r="X839" s="62"/>
      <c r="Y839" s="61"/>
      <c r="Z839" s="201"/>
      <c r="AA839" s="201"/>
      <c r="AB839" s="201"/>
      <c r="AC839" s="201"/>
      <c r="AD839" s="201"/>
      <c r="AE839" s="201"/>
      <c r="AF839" s="201"/>
      <c r="AG839" s="201"/>
      <c r="AH839" s="201"/>
      <c r="AI839" s="201"/>
      <c r="AJ839" s="201"/>
      <c r="AK839" s="201"/>
      <c r="AL839" s="201"/>
      <c r="AM839" s="201"/>
      <c r="AN839" s="201"/>
      <c r="AO839" s="201"/>
    </row>
    <row r="840">
      <c r="A840" s="197"/>
      <c r="B840" s="197"/>
      <c r="C840" s="199"/>
      <c r="D840" s="197"/>
      <c r="E840" s="197"/>
      <c r="F840" s="197"/>
      <c r="G840" s="197"/>
      <c r="H840" s="199"/>
      <c r="I840" s="199"/>
      <c r="J840" s="62"/>
      <c r="K840" s="62"/>
      <c r="L840" s="62"/>
      <c r="M840" s="62"/>
      <c r="N840" s="62"/>
      <c r="O840" s="62"/>
      <c r="P840" s="62"/>
      <c r="Q840" s="62"/>
      <c r="R840" s="62"/>
      <c r="S840" s="62"/>
      <c r="T840" s="62"/>
      <c r="U840" s="74"/>
      <c r="V840" s="62"/>
      <c r="W840" s="74"/>
      <c r="X840" s="62"/>
      <c r="Y840" s="61"/>
      <c r="Z840" s="201"/>
      <c r="AA840" s="201"/>
      <c r="AB840" s="201"/>
      <c r="AC840" s="201"/>
      <c r="AD840" s="201"/>
      <c r="AE840" s="201"/>
      <c r="AF840" s="201"/>
      <c r="AG840" s="201"/>
      <c r="AH840" s="201"/>
      <c r="AI840" s="201"/>
      <c r="AJ840" s="201"/>
      <c r="AK840" s="201"/>
      <c r="AL840" s="201"/>
      <c r="AM840" s="201"/>
      <c r="AN840" s="201"/>
      <c r="AO840" s="201"/>
    </row>
    <row r="841">
      <c r="A841" s="197"/>
      <c r="B841" s="197"/>
      <c r="C841" s="199"/>
      <c r="D841" s="197"/>
      <c r="E841" s="197"/>
      <c r="F841" s="197"/>
      <c r="G841" s="197"/>
      <c r="H841" s="199"/>
      <c r="I841" s="199"/>
      <c r="J841" s="62"/>
      <c r="K841" s="62"/>
      <c r="L841" s="62"/>
      <c r="M841" s="62"/>
      <c r="N841" s="62"/>
      <c r="O841" s="62"/>
      <c r="P841" s="62"/>
      <c r="Q841" s="62"/>
      <c r="R841" s="62"/>
      <c r="S841" s="62"/>
      <c r="T841" s="62"/>
      <c r="U841" s="74"/>
      <c r="V841" s="62"/>
      <c r="W841" s="74"/>
      <c r="X841" s="62"/>
      <c r="Y841" s="61"/>
      <c r="Z841" s="201"/>
      <c r="AA841" s="201"/>
      <c r="AB841" s="201"/>
      <c r="AC841" s="201"/>
      <c r="AD841" s="201"/>
      <c r="AE841" s="201"/>
      <c r="AF841" s="201"/>
      <c r="AG841" s="201"/>
      <c r="AH841" s="201"/>
      <c r="AI841" s="201"/>
      <c r="AJ841" s="201"/>
      <c r="AK841" s="201"/>
      <c r="AL841" s="201"/>
      <c r="AM841" s="201"/>
      <c r="AN841" s="201"/>
      <c r="AO841" s="201"/>
    </row>
    <row r="842">
      <c r="A842" s="197"/>
      <c r="B842" s="197"/>
      <c r="C842" s="199"/>
      <c r="D842" s="197"/>
      <c r="E842" s="197"/>
      <c r="F842" s="197"/>
      <c r="G842" s="197"/>
      <c r="H842" s="199"/>
      <c r="I842" s="199"/>
      <c r="J842" s="62"/>
      <c r="K842" s="62"/>
      <c r="L842" s="62"/>
      <c r="M842" s="62"/>
      <c r="N842" s="62"/>
      <c r="O842" s="62"/>
      <c r="P842" s="62"/>
      <c r="Q842" s="62"/>
      <c r="R842" s="62"/>
      <c r="S842" s="62"/>
      <c r="T842" s="62"/>
      <c r="U842" s="74"/>
      <c r="V842" s="62"/>
      <c r="W842" s="74"/>
      <c r="X842" s="62"/>
      <c r="Y842" s="61"/>
      <c r="Z842" s="201"/>
      <c r="AA842" s="201"/>
      <c r="AB842" s="201"/>
      <c r="AC842" s="201"/>
      <c r="AD842" s="201"/>
      <c r="AE842" s="201"/>
      <c r="AF842" s="201"/>
      <c r="AG842" s="201"/>
      <c r="AH842" s="201"/>
      <c r="AI842" s="201"/>
      <c r="AJ842" s="201"/>
      <c r="AK842" s="201"/>
      <c r="AL842" s="201"/>
      <c r="AM842" s="201"/>
      <c r="AN842" s="201"/>
      <c r="AO842" s="201"/>
    </row>
    <row r="843">
      <c r="A843" s="197"/>
      <c r="B843" s="197"/>
      <c r="C843" s="199"/>
      <c r="D843" s="197"/>
      <c r="E843" s="197"/>
      <c r="F843" s="197"/>
      <c r="G843" s="197"/>
      <c r="H843" s="199"/>
      <c r="I843" s="199"/>
      <c r="J843" s="62"/>
      <c r="K843" s="62"/>
      <c r="L843" s="62"/>
      <c r="M843" s="62"/>
      <c r="N843" s="62"/>
      <c r="O843" s="62"/>
      <c r="P843" s="62"/>
      <c r="Q843" s="62"/>
      <c r="R843" s="62"/>
      <c r="S843" s="62"/>
      <c r="T843" s="62"/>
      <c r="U843" s="74"/>
      <c r="V843" s="62"/>
      <c r="W843" s="74"/>
      <c r="X843" s="62"/>
      <c r="Y843" s="61"/>
      <c r="Z843" s="201"/>
      <c r="AA843" s="201"/>
      <c r="AB843" s="201"/>
      <c r="AC843" s="201"/>
      <c r="AD843" s="201"/>
      <c r="AE843" s="201"/>
      <c r="AF843" s="201"/>
      <c r="AG843" s="201"/>
      <c r="AH843" s="201"/>
      <c r="AI843" s="201"/>
      <c r="AJ843" s="201"/>
      <c r="AK843" s="201"/>
      <c r="AL843" s="201"/>
      <c r="AM843" s="201"/>
      <c r="AN843" s="201"/>
      <c r="AO843" s="201"/>
    </row>
    <row r="844">
      <c r="A844" s="197"/>
      <c r="B844" s="197"/>
      <c r="C844" s="199"/>
      <c r="D844" s="197"/>
      <c r="E844" s="197"/>
      <c r="F844" s="197"/>
      <c r="G844" s="197"/>
      <c r="H844" s="199"/>
      <c r="I844" s="199"/>
      <c r="J844" s="62"/>
      <c r="K844" s="62"/>
      <c r="L844" s="62"/>
      <c r="M844" s="62"/>
      <c r="N844" s="62"/>
      <c r="O844" s="62"/>
      <c r="P844" s="62"/>
      <c r="Q844" s="62"/>
      <c r="R844" s="62"/>
      <c r="S844" s="62"/>
      <c r="T844" s="62"/>
      <c r="U844" s="74"/>
      <c r="V844" s="62"/>
      <c r="W844" s="74"/>
      <c r="X844" s="62"/>
      <c r="Y844" s="61"/>
      <c r="Z844" s="201"/>
      <c r="AA844" s="201"/>
      <c r="AB844" s="201"/>
      <c r="AC844" s="201"/>
      <c r="AD844" s="201"/>
      <c r="AE844" s="201"/>
      <c r="AF844" s="201"/>
      <c r="AG844" s="201"/>
      <c r="AH844" s="201"/>
      <c r="AI844" s="201"/>
      <c r="AJ844" s="201"/>
      <c r="AK844" s="201"/>
      <c r="AL844" s="201"/>
      <c r="AM844" s="201"/>
      <c r="AN844" s="201"/>
      <c r="AO844" s="201"/>
    </row>
    <row r="845">
      <c r="A845" s="197"/>
      <c r="B845" s="197"/>
      <c r="C845" s="199"/>
      <c r="D845" s="197"/>
      <c r="E845" s="197"/>
      <c r="F845" s="197"/>
      <c r="G845" s="197"/>
      <c r="H845" s="199"/>
      <c r="I845" s="199"/>
      <c r="J845" s="62"/>
      <c r="K845" s="62"/>
      <c r="L845" s="62"/>
      <c r="M845" s="62"/>
      <c r="N845" s="62"/>
      <c r="O845" s="62"/>
      <c r="P845" s="62"/>
      <c r="Q845" s="62"/>
      <c r="R845" s="62"/>
      <c r="S845" s="62"/>
      <c r="T845" s="62"/>
      <c r="U845" s="74"/>
      <c r="V845" s="62"/>
      <c r="W845" s="74"/>
      <c r="X845" s="62"/>
      <c r="Y845" s="61"/>
      <c r="Z845" s="201"/>
      <c r="AA845" s="201"/>
      <c r="AB845" s="201"/>
      <c r="AC845" s="201"/>
      <c r="AD845" s="201"/>
      <c r="AE845" s="201"/>
      <c r="AF845" s="201"/>
      <c r="AG845" s="201"/>
      <c r="AH845" s="201"/>
      <c r="AI845" s="201"/>
      <c r="AJ845" s="201"/>
      <c r="AK845" s="201"/>
      <c r="AL845" s="201"/>
      <c r="AM845" s="201"/>
      <c r="AN845" s="201"/>
      <c r="AO845" s="201"/>
    </row>
    <row r="846">
      <c r="A846" s="197"/>
      <c r="B846" s="197"/>
      <c r="C846" s="199"/>
      <c r="D846" s="197"/>
      <c r="E846" s="197"/>
      <c r="F846" s="197"/>
      <c r="G846" s="197"/>
      <c r="H846" s="199"/>
      <c r="I846" s="199"/>
      <c r="J846" s="62"/>
      <c r="K846" s="62"/>
      <c r="L846" s="62"/>
      <c r="M846" s="62"/>
      <c r="N846" s="62"/>
      <c r="O846" s="62"/>
      <c r="P846" s="62"/>
      <c r="Q846" s="62"/>
      <c r="R846" s="62"/>
      <c r="S846" s="62"/>
      <c r="T846" s="62"/>
      <c r="U846" s="74"/>
      <c r="V846" s="62"/>
      <c r="W846" s="74"/>
      <c r="X846" s="62"/>
      <c r="Y846" s="61"/>
      <c r="Z846" s="201"/>
      <c r="AA846" s="201"/>
      <c r="AB846" s="201"/>
      <c r="AC846" s="201"/>
      <c r="AD846" s="201"/>
      <c r="AE846" s="201"/>
      <c r="AF846" s="201"/>
      <c r="AG846" s="201"/>
      <c r="AH846" s="201"/>
      <c r="AI846" s="201"/>
      <c r="AJ846" s="201"/>
      <c r="AK846" s="201"/>
      <c r="AL846" s="201"/>
      <c r="AM846" s="201"/>
      <c r="AN846" s="201"/>
      <c r="AO846" s="201"/>
    </row>
    <row r="847">
      <c r="A847" s="197"/>
      <c r="B847" s="197"/>
      <c r="C847" s="199"/>
      <c r="D847" s="197"/>
      <c r="E847" s="197"/>
      <c r="F847" s="197"/>
      <c r="G847" s="197"/>
      <c r="H847" s="199"/>
      <c r="I847" s="199"/>
      <c r="J847" s="62"/>
      <c r="K847" s="62"/>
      <c r="L847" s="62"/>
      <c r="M847" s="62"/>
      <c r="N847" s="62"/>
      <c r="O847" s="62"/>
      <c r="P847" s="62"/>
      <c r="Q847" s="62"/>
      <c r="R847" s="62"/>
      <c r="S847" s="62"/>
      <c r="T847" s="62"/>
      <c r="U847" s="74"/>
      <c r="V847" s="62"/>
      <c r="W847" s="74"/>
      <c r="X847" s="62"/>
      <c r="Y847" s="61"/>
      <c r="Z847" s="201"/>
      <c r="AA847" s="201"/>
      <c r="AB847" s="201"/>
      <c r="AC847" s="201"/>
      <c r="AD847" s="201"/>
      <c r="AE847" s="201"/>
      <c r="AF847" s="201"/>
      <c r="AG847" s="201"/>
      <c r="AH847" s="201"/>
      <c r="AI847" s="201"/>
      <c r="AJ847" s="201"/>
      <c r="AK847" s="201"/>
      <c r="AL847" s="201"/>
      <c r="AM847" s="201"/>
      <c r="AN847" s="201"/>
      <c r="AO847" s="201"/>
    </row>
    <row r="848">
      <c r="A848" s="197"/>
      <c r="B848" s="197"/>
      <c r="C848" s="199"/>
      <c r="D848" s="197"/>
      <c r="E848" s="197"/>
      <c r="F848" s="197"/>
      <c r="G848" s="197"/>
      <c r="H848" s="199"/>
      <c r="I848" s="199"/>
      <c r="J848" s="62"/>
      <c r="K848" s="62"/>
      <c r="L848" s="62"/>
      <c r="M848" s="62"/>
      <c r="N848" s="62"/>
      <c r="O848" s="62"/>
      <c r="P848" s="62"/>
      <c r="Q848" s="62"/>
      <c r="R848" s="62"/>
      <c r="S848" s="62"/>
      <c r="T848" s="62"/>
      <c r="U848" s="74"/>
      <c r="V848" s="62"/>
      <c r="W848" s="74"/>
      <c r="X848" s="62"/>
      <c r="Y848" s="61"/>
      <c r="Z848" s="201"/>
      <c r="AA848" s="201"/>
      <c r="AB848" s="201"/>
      <c r="AC848" s="201"/>
      <c r="AD848" s="201"/>
      <c r="AE848" s="201"/>
      <c r="AF848" s="201"/>
      <c r="AG848" s="201"/>
      <c r="AH848" s="201"/>
      <c r="AI848" s="201"/>
      <c r="AJ848" s="201"/>
      <c r="AK848" s="201"/>
      <c r="AL848" s="201"/>
      <c r="AM848" s="201"/>
      <c r="AN848" s="201"/>
      <c r="AO848" s="201"/>
    </row>
    <row r="849">
      <c r="A849" s="197"/>
      <c r="B849" s="197"/>
      <c r="C849" s="199"/>
      <c r="D849" s="197"/>
      <c r="E849" s="197"/>
      <c r="F849" s="197"/>
      <c r="G849" s="197"/>
      <c r="H849" s="199"/>
      <c r="I849" s="199"/>
      <c r="J849" s="62"/>
      <c r="K849" s="62"/>
      <c r="L849" s="62"/>
      <c r="M849" s="62"/>
      <c r="N849" s="62"/>
      <c r="O849" s="62"/>
      <c r="P849" s="62"/>
      <c r="Q849" s="62"/>
      <c r="R849" s="62"/>
      <c r="S849" s="62"/>
      <c r="T849" s="62"/>
      <c r="U849" s="74"/>
      <c r="V849" s="62"/>
      <c r="W849" s="74"/>
      <c r="X849" s="62"/>
      <c r="Y849" s="61"/>
      <c r="Z849" s="201"/>
      <c r="AA849" s="201"/>
      <c r="AB849" s="201"/>
      <c r="AC849" s="201"/>
      <c r="AD849" s="201"/>
      <c r="AE849" s="201"/>
      <c r="AF849" s="201"/>
      <c r="AG849" s="201"/>
      <c r="AH849" s="201"/>
      <c r="AI849" s="201"/>
      <c r="AJ849" s="201"/>
      <c r="AK849" s="201"/>
      <c r="AL849" s="201"/>
      <c r="AM849" s="201"/>
      <c r="AN849" s="201"/>
      <c r="AO849" s="201"/>
    </row>
    <row r="850">
      <c r="A850" s="197"/>
      <c r="B850" s="197"/>
      <c r="C850" s="199"/>
      <c r="D850" s="197"/>
      <c r="E850" s="197"/>
      <c r="F850" s="197"/>
      <c r="G850" s="197"/>
      <c r="H850" s="199"/>
      <c r="I850" s="199"/>
      <c r="J850" s="62"/>
      <c r="K850" s="62"/>
      <c r="L850" s="62"/>
      <c r="M850" s="62"/>
      <c r="N850" s="62"/>
      <c r="O850" s="62"/>
      <c r="P850" s="62"/>
      <c r="Q850" s="62"/>
      <c r="R850" s="62"/>
      <c r="S850" s="62"/>
      <c r="T850" s="62"/>
      <c r="U850" s="74"/>
      <c r="V850" s="62"/>
      <c r="W850" s="74"/>
      <c r="X850" s="62"/>
      <c r="Y850" s="61"/>
      <c r="Z850" s="201"/>
      <c r="AA850" s="201"/>
      <c r="AB850" s="201"/>
      <c r="AC850" s="201"/>
      <c r="AD850" s="201"/>
      <c r="AE850" s="201"/>
      <c r="AF850" s="201"/>
      <c r="AG850" s="201"/>
      <c r="AH850" s="201"/>
      <c r="AI850" s="201"/>
      <c r="AJ850" s="201"/>
      <c r="AK850" s="201"/>
      <c r="AL850" s="201"/>
      <c r="AM850" s="201"/>
      <c r="AN850" s="201"/>
      <c r="AO850" s="201"/>
    </row>
    <row r="851">
      <c r="A851" s="197"/>
      <c r="B851" s="197"/>
      <c r="C851" s="199"/>
      <c r="D851" s="197"/>
      <c r="E851" s="197"/>
      <c r="F851" s="197"/>
      <c r="G851" s="197"/>
      <c r="H851" s="199"/>
      <c r="I851" s="199"/>
      <c r="J851" s="62"/>
      <c r="K851" s="62"/>
      <c r="L851" s="62"/>
      <c r="M851" s="62"/>
      <c r="N851" s="62"/>
      <c r="O851" s="62"/>
      <c r="P851" s="62"/>
      <c r="Q851" s="62"/>
      <c r="R851" s="62"/>
      <c r="S851" s="62"/>
      <c r="T851" s="62"/>
      <c r="U851" s="74"/>
      <c r="V851" s="62"/>
      <c r="W851" s="74"/>
      <c r="X851" s="62"/>
      <c r="Y851" s="61"/>
      <c r="Z851" s="201"/>
      <c r="AA851" s="201"/>
      <c r="AB851" s="201"/>
      <c r="AC851" s="201"/>
      <c r="AD851" s="201"/>
      <c r="AE851" s="201"/>
      <c r="AF851" s="201"/>
      <c r="AG851" s="201"/>
      <c r="AH851" s="201"/>
      <c r="AI851" s="201"/>
      <c r="AJ851" s="201"/>
      <c r="AK851" s="201"/>
      <c r="AL851" s="201"/>
      <c r="AM851" s="201"/>
      <c r="AN851" s="201"/>
      <c r="AO851" s="201"/>
    </row>
    <row r="852">
      <c r="A852" s="197"/>
      <c r="B852" s="197"/>
      <c r="C852" s="199"/>
      <c r="D852" s="197"/>
      <c r="E852" s="197"/>
      <c r="F852" s="197"/>
      <c r="G852" s="197"/>
      <c r="H852" s="199"/>
      <c r="I852" s="199"/>
      <c r="J852" s="62"/>
      <c r="K852" s="62"/>
      <c r="L852" s="62"/>
      <c r="M852" s="62"/>
      <c r="N852" s="62"/>
      <c r="O852" s="62"/>
      <c r="P852" s="62"/>
      <c r="Q852" s="62"/>
      <c r="R852" s="62"/>
      <c r="S852" s="62"/>
      <c r="T852" s="62"/>
      <c r="U852" s="74"/>
      <c r="V852" s="62"/>
      <c r="W852" s="74"/>
      <c r="X852" s="62"/>
      <c r="Y852" s="61"/>
      <c r="Z852" s="201"/>
      <c r="AA852" s="201"/>
      <c r="AB852" s="201"/>
      <c r="AC852" s="201"/>
      <c r="AD852" s="201"/>
      <c r="AE852" s="201"/>
      <c r="AF852" s="201"/>
      <c r="AG852" s="201"/>
      <c r="AH852" s="201"/>
      <c r="AI852" s="201"/>
      <c r="AJ852" s="201"/>
      <c r="AK852" s="201"/>
      <c r="AL852" s="201"/>
      <c r="AM852" s="201"/>
      <c r="AN852" s="201"/>
      <c r="AO852" s="201"/>
    </row>
    <row r="853">
      <c r="A853" s="197"/>
      <c r="B853" s="197"/>
      <c r="C853" s="199"/>
      <c r="D853" s="197"/>
      <c r="E853" s="197"/>
      <c r="F853" s="197"/>
      <c r="G853" s="197"/>
      <c r="H853" s="199"/>
      <c r="I853" s="199"/>
      <c r="J853" s="62"/>
      <c r="K853" s="62"/>
      <c r="L853" s="62"/>
      <c r="M853" s="62"/>
      <c r="N853" s="62"/>
      <c r="O853" s="62"/>
      <c r="P853" s="62"/>
      <c r="Q853" s="62"/>
      <c r="R853" s="62"/>
      <c r="S853" s="62"/>
      <c r="T853" s="62"/>
      <c r="U853" s="74"/>
      <c r="V853" s="62"/>
      <c r="W853" s="74"/>
      <c r="X853" s="62"/>
      <c r="Y853" s="61"/>
      <c r="Z853" s="201"/>
      <c r="AA853" s="201"/>
      <c r="AB853" s="201"/>
      <c r="AC853" s="201"/>
      <c r="AD853" s="201"/>
      <c r="AE853" s="201"/>
      <c r="AF853" s="201"/>
      <c r="AG853" s="201"/>
      <c r="AH853" s="201"/>
      <c r="AI853" s="201"/>
      <c r="AJ853" s="201"/>
      <c r="AK853" s="201"/>
      <c r="AL853" s="201"/>
      <c r="AM853" s="201"/>
      <c r="AN853" s="201"/>
      <c r="AO853" s="201"/>
    </row>
    <row r="854">
      <c r="A854" s="197"/>
      <c r="B854" s="197"/>
      <c r="C854" s="199"/>
      <c r="D854" s="197"/>
      <c r="E854" s="197"/>
      <c r="F854" s="197"/>
      <c r="G854" s="197"/>
      <c r="H854" s="199"/>
      <c r="I854" s="199"/>
      <c r="J854" s="62"/>
      <c r="K854" s="62"/>
      <c r="L854" s="62"/>
      <c r="M854" s="62"/>
      <c r="N854" s="62"/>
      <c r="O854" s="62"/>
      <c r="P854" s="62"/>
      <c r="Q854" s="62"/>
      <c r="R854" s="62"/>
      <c r="S854" s="62"/>
      <c r="T854" s="62"/>
      <c r="U854" s="74"/>
      <c r="V854" s="62"/>
      <c r="W854" s="74"/>
      <c r="X854" s="62"/>
      <c r="Y854" s="61"/>
      <c r="Z854" s="201"/>
      <c r="AA854" s="201"/>
      <c r="AB854" s="201"/>
      <c r="AC854" s="201"/>
      <c r="AD854" s="201"/>
      <c r="AE854" s="201"/>
      <c r="AF854" s="201"/>
      <c r="AG854" s="201"/>
      <c r="AH854" s="201"/>
      <c r="AI854" s="201"/>
      <c r="AJ854" s="201"/>
      <c r="AK854" s="201"/>
      <c r="AL854" s="201"/>
      <c r="AM854" s="201"/>
      <c r="AN854" s="201"/>
      <c r="AO854" s="201"/>
    </row>
    <row r="855">
      <c r="A855" s="197"/>
      <c r="B855" s="197"/>
      <c r="C855" s="199"/>
      <c r="D855" s="197"/>
      <c r="E855" s="197"/>
      <c r="F855" s="197"/>
      <c r="G855" s="197"/>
      <c r="H855" s="199"/>
      <c r="I855" s="199"/>
      <c r="J855" s="62"/>
      <c r="K855" s="62"/>
      <c r="L855" s="62"/>
      <c r="M855" s="62"/>
      <c r="N855" s="62"/>
      <c r="O855" s="62"/>
      <c r="P855" s="62"/>
      <c r="Q855" s="62"/>
      <c r="R855" s="62"/>
      <c r="S855" s="62"/>
      <c r="T855" s="62"/>
      <c r="U855" s="74"/>
      <c r="V855" s="62"/>
      <c r="W855" s="74"/>
      <c r="X855" s="62"/>
      <c r="Y855" s="61"/>
      <c r="Z855" s="201"/>
      <c r="AA855" s="201"/>
      <c r="AB855" s="201"/>
      <c r="AC855" s="201"/>
      <c r="AD855" s="201"/>
      <c r="AE855" s="201"/>
      <c r="AF855" s="201"/>
      <c r="AG855" s="201"/>
      <c r="AH855" s="201"/>
      <c r="AI855" s="201"/>
      <c r="AJ855" s="201"/>
      <c r="AK855" s="201"/>
      <c r="AL855" s="201"/>
      <c r="AM855" s="201"/>
      <c r="AN855" s="201"/>
      <c r="AO855" s="201"/>
    </row>
    <row r="856">
      <c r="A856" s="197"/>
      <c r="B856" s="197"/>
      <c r="C856" s="199"/>
      <c r="D856" s="197"/>
      <c r="E856" s="197"/>
      <c r="F856" s="197"/>
      <c r="G856" s="197"/>
      <c r="H856" s="199"/>
      <c r="I856" s="199"/>
      <c r="J856" s="62"/>
      <c r="K856" s="62"/>
      <c r="L856" s="62"/>
      <c r="M856" s="62"/>
      <c r="N856" s="62"/>
      <c r="O856" s="62"/>
      <c r="P856" s="62"/>
      <c r="Q856" s="62"/>
      <c r="R856" s="62"/>
      <c r="S856" s="62"/>
      <c r="T856" s="62"/>
      <c r="U856" s="74"/>
      <c r="V856" s="62"/>
      <c r="W856" s="74"/>
      <c r="X856" s="62"/>
      <c r="Y856" s="61"/>
      <c r="Z856" s="201"/>
      <c r="AA856" s="201"/>
      <c r="AB856" s="201"/>
      <c r="AC856" s="201"/>
      <c r="AD856" s="201"/>
      <c r="AE856" s="201"/>
      <c r="AF856" s="201"/>
      <c r="AG856" s="201"/>
      <c r="AH856" s="201"/>
      <c r="AI856" s="201"/>
      <c r="AJ856" s="201"/>
      <c r="AK856" s="201"/>
      <c r="AL856" s="201"/>
      <c r="AM856" s="201"/>
      <c r="AN856" s="201"/>
      <c r="AO856" s="201"/>
    </row>
    <row r="857">
      <c r="A857" s="197"/>
      <c r="B857" s="197"/>
      <c r="C857" s="199"/>
      <c r="D857" s="197"/>
      <c r="E857" s="197"/>
      <c r="F857" s="197"/>
      <c r="G857" s="197"/>
      <c r="H857" s="199"/>
      <c r="I857" s="199"/>
      <c r="J857" s="62"/>
      <c r="K857" s="62"/>
      <c r="L857" s="62"/>
      <c r="M857" s="62"/>
      <c r="N857" s="62"/>
      <c r="O857" s="62"/>
      <c r="P857" s="62"/>
      <c r="Q857" s="62"/>
      <c r="R857" s="62"/>
      <c r="S857" s="62"/>
      <c r="T857" s="62"/>
      <c r="U857" s="74"/>
      <c r="V857" s="62"/>
      <c r="W857" s="74"/>
      <c r="X857" s="62"/>
      <c r="Y857" s="61"/>
      <c r="Z857" s="201"/>
      <c r="AA857" s="201"/>
      <c r="AB857" s="201"/>
      <c r="AC857" s="201"/>
      <c r="AD857" s="201"/>
      <c r="AE857" s="201"/>
      <c r="AF857" s="201"/>
      <c r="AG857" s="201"/>
      <c r="AH857" s="201"/>
      <c r="AI857" s="201"/>
      <c r="AJ857" s="201"/>
      <c r="AK857" s="201"/>
      <c r="AL857" s="201"/>
      <c r="AM857" s="201"/>
      <c r="AN857" s="201"/>
      <c r="AO857" s="201"/>
    </row>
    <row r="858">
      <c r="A858" s="197"/>
      <c r="B858" s="197"/>
      <c r="C858" s="199"/>
      <c r="D858" s="197"/>
      <c r="E858" s="197"/>
      <c r="F858" s="197"/>
      <c r="G858" s="197"/>
      <c r="H858" s="199"/>
      <c r="I858" s="199"/>
      <c r="J858" s="62"/>
      <c r="K858" s="62"/>
      <c r="L858" s="62"/>
      <c r="M858" s="62"/>
      <c r="N858" s="62"/>
      <c r="O858" s="62"/>
      <c r="P858" s="62"/>
      <c r="Q858" s="62"/>
      <c r="R858" s="62"/>
      <c r="S858" s="62"/>
      <c r="T858" s="62"/>
      <c r="U858" s="74"/>
      <c r="V858" s="62"/>
      <c r="W858" s="74"/>
      <c r="X858" s="62"/>
      <c r="Y858" s="61"/>
      <c r="Z858" s="201"/>
      <c r="AA858" s="201"/>
      <c r="AB858" s="201"/>
      <c r="AC858" s="201"/>
      <c r="AD858" s="201"/>
      <c r="AE858" s="201"/>
      <c r="AF858" s="201"/>
      <c r="AG858" s="201"/>
      <c r="AH858" s="201"/>
      <c r="AI858" s="201"/>
      <c r="AJ858" s="201"/>
      <c r="AK858" s="201"/>
      <c r="AL858" s="201"/>
      <c r="AM858" s="201"/>
      <c r="AN858" s="201"/>
      <c r="AO858" s="201"/>
    </row>
    <row r="859">
      <c r="A859" s="197"/>
      <c r="B859" s="197"/>
      <c r="C859" s="199"/>
      <c r="D859" s="197"/>
      <c r="E859" s="197"/>
      <c r="F859" s="197"/>
      <c r="G859" s="197"/>
      <c r="H859" s="199"/>
      <c r="I859" s="199"/>
      <c r="J859" s="62"/>
      <c r="K859" s="62"/>
      <c r="L859" s="62"/>
      <c r="M859" s="62"/>
      <c r="N859" s="62"/>
      <c r="O859" s="62"/>
      <c r="P859" s="62"/>
      <c r="Q859" s="62"/>
      <c r="R859" s="62"/>
      <c r="S859" s="62"/>
      <c r="T859" s="62"/>
      <c r="U859" s="74"/>
      <c r="V859" s="62"/>
      <c r="W859" s="74"/>
      <c r="X859" s="62"/>
      <c r="Y859" s="61"/>
      <c r="Z859" s="201"/>
      <c r="AA859" s="201"/>
      <c r="AB859" s="201"/>
      <c r="AC859" s="201"/>
      <c r="AD859" s="201"/>
      <c r="AE859" s="201"/>
      <c r="AF859" s="201"/>
      <c r="AG859" s="201"/>
      <c r="AH859" s="201"/>
      <c r="AI859" s="201"/>
      <c r="AJ859" s="201"/>
      <c r="AK859" s="201"/>
      <c r="AL859" s="201"/>
      <c r="AM859" s="201"/>
      <c r="AN859" s="201"/>
      <c r="AO859" s="201"/>
    </row>
    <row r="860">
      <c r="A860" s="197"/>
      <c r="B860" s="197"/>
      <c r="C860" s="199"/>
      <c r="D860" s="197"/>
      <c r="E860" s="197"/>
      <c r="F860" s="197"/>
      <c r="G860" s="197"/>
      <c r="H860" s="199"/>
      <c r="I860" s="199"/>
      <c r="J860" s="62"/>
      <c r="K860" s="62"/>
      <c r="L860" s="62"/>
      <c r="M860" s="62"/>
      <c r="N860" s="62"/>
      <c r="O860" s="62"/>
      <c r="P860" s="62"/>
      <c r="Q860" s="62"/>
      <c r="R860" s="62"/>
      <c r="S860" s="62"/>
      <c r="T860" s="62"/>
      <c r="U860" s="74"/>
      <c r="V860" s="62"/>
      <c r="W860" s="74"/>
      <c r="X860" s="62"/>
      <c r="Y860" s="61"/>
      <c r="Z860" s="201"/>
      <c r="AA860" s="201"/>
      <c r="AB860" s="201"/>
      <c r="AC860" s="201"/>
      <c r="AD860" s="201"/>
      <c r="AE860" s="201"/>
      <c r="AF860" s="201"/>
      <c r="AG860" s="201"/>
      <c r="AH860" s="201"/>
      <c r="AI860" s="201"/>
      <c r="AJ860" s="201"/>
      <c r="AK860" s="201"/>
      <c r="AL860" s="201"/>
      <c r="AM860" s="201"/>
      <c r="AN860" s="201"/>
      <c r="AO860" s="201"/>
    </row>
    <row r="861">
      <c r="A861" s="197"/>
      <c r="B861" s="197"/>
      <c r="C861" s="199"/>
      <c r="D861" s="197"/>
      <c r="E861" s="197"/>
      <c r="F861" s="197"/>
      <c r="G861" s="197"/>
      <c r="H861" s="199"/>
      <c r="I861" s="199"/>
      <c r="J861" s="62"/>
      <c r="K861" s="62"/>
      <c r="L861" s="62"/>
      <c r="M861" s="62"/>
      <c r="N861" s="62"/>
      <c r="O861" s="62"/>
      <c r="P861" s="62"/>
      <c r="Q861" s="62"/>
      <c r="R861" s="62"/>
      <c r="S861" s="62"/>
      <c r="T861" s="62"/>
      <c r="U861" s="74"/>
      <c r="V861" s="62"/>
      <c r="W861" s="74"/>
      <c r="X861" s="62"/>
      <c r="Y861" s="61"/>
      <c r="Z861" s="201"/>
      <c r="AA861" s="201"/>
      <c r="AB861" s="201"/>
      <c r="AC861" s="201"/>
      <c r="AD861" s="201"/>
      <c r="AE861" s="201"/>
      <c r="AF861" s="201"/>
      <c r="AG861" s="201"/>
      <c r="AH861" s="201"/>
      <c r="AI861" s="201"/>
      <c r="AJ861" s="201"/>
      <c r="AK861" s="201"/>
      <c r="AL861" s="201"/>
      <c r="AM861" s="201"/>
      <c r="AN861" s="201"/>
      <c r="AO861" s="201"/>
    </row>
    <row r="862">
      <c r="A862" s="197"/>
      <c r="B862" s="197"/>
      <c r="C862" s="199"/>
      <c r="D862" s="197"/>
      <c r="E862" s="197"/>
      <c r="F862" s="197"/>
      <c r="G862" s="197"/>
      <c r="H862" s="199"/>
      <c r="I862" s="199"/>
      <c r="J862" s="62"/>
      <c r="K862" s="62"/>
      <c r="L862" s="62"/>
      <c r="M862" s="62"/>
      <c r="N862" s="62"/>
      <c r="O862" s="62"/>
      <c r="P862" s="62"/>
      <c r="Q862" s="62"/>
      <c r="R862" s="62"/>
      <c r="S862" s="62"/>
      <c r="T862" s="62"/>
      <c r="U862" s="74"/>
      <c r="V862" s="62"/>
      <c r="W862" s="74"/>
      <c r="X862" s="62"/>
      <c r="Y862" s="61"/>
      <c r="Z862" s="201"/>
      <c r="AA862" s="201"/>
      <c r="AB862" s="201"/>
      <c r="AC862" s="201"/>
      <c r="AD862" s="201"/>
      <c r="AE862" s="201"/>
      <c r="AF862" s="201"/>
      <c r="AG862" s="201"/>
      <c r="AH862" s="201"/>
      <c r="AI862" s="201"/>
      <c r="AJ862" s="201"/>
      <c r="AK862" s="201"/>
      <c r="AL862" s="201"/>
      <c r="AM862" s="201"/>
      <c r="AN862" s="201"/>
      <c r="AO862" s="201"/>
    </row>
    <row r="863">
      <c r="A863" s="197"/>
      <c r="B863" s="197"/>
      <c r="C863" s="199"/>
      <c r="D863" s="197"/>
      <c r="E863" s="197"/>
      <c r="F863" s="197"/>
      <c r="G863" s="197"/>
      <c r="H863" s="199"/>
      <c r="I863" s="199"/>
      <c r="J863" s="62"/>
      <c r="K863" s="62"/>
      <c r="L863" s="62"/>
      <c r="M863" s="62"/>
      <c r="N863" s="62"/>
      <c r="O863" s="62"/>
      <c r="P863" s="62"/>
      <c r="Q863" s="62"/>
      <c r="R863" s="62"/>
      <c r="S863" s="62"/>
      <c r="T863" s="62"/>
      <c r="U863" s="74"/>
      <c r="V863" s="62"/>
      <c r="W863" s="74"/>
      <c r="X863" s="62"/>
      <c r="Y863" s="61"/>
      <c r="Z863" s="201"/>
      <c r="AA863" s="201"/>
      <c r="AB863" s="201"/>
      <c r="AC863" s="201"/>
      <c r="AD863" s="201"/>
      <c r="AE863" s="201"/>
      <c r="AF863" s="201"/>
      <c r="AG863" s="201"/>
      <c r="AH863" s="201"/>
      <c r="AI863" s="201"/>
      <c r="AJ863" s="201"/>
      <c r="AK863" s="201"/>
      <c r="AL863" s="201"/>
      <c r="AM863" s="201"/>
      <c r="AN863" s="201"/>
      <c r="AO863" s="201"/>
    </row>
    <row r="864">
      <c r="A864" s="197"/>
      <c r="B864" s="197"/>
      <c r="C864" s="199"/>
      <c r="D864" s="197"/>
      <c r="E864" s="197"/>
      <c r="F864" s="197"/>
      <c r="G864" s="197"/>
      <c r="H864" s="199"/>
      <c r="I864" s="199"/>
      <c r="J864" s="62"/>
      <c r="K864" s="62"/>
      <c r="L864" s="62"/>
      <c r="M864" s="62"/>
      <c r="N864" s="62"/>
      <c r="O864" s="62"/>
      <c r="P864" s="62"/>
      <c r="Q864" s="62"/>
      <c r="R864" s="62"/>
      <c r="S864" s="62"/>
      <c r="T864" s="62"/>
      <c r="U864" s="74"/>
      <c r="V864" s="62"/>
      <c r="W864" s="74"/>
      <c r="X864" s="62"/>
      <c r="Y864" s="61"/>
      <c r="Z864" s="201"/>
      <c r="AA864" s="201"/>
      <c r="AB864" s="201"/>
      <c r="AC864" s="201"/>
      <c r="AD864" s="201"/>
      <c r="AE864" s="201"/>
      <c r="AF864" s="201"/>
      <c r="AG864" s="201"/>
      <c r="AH864" s="201"/>
      <c r="AI864" s="201"/>
      <c r="AJ864" s="201"/>
      <c r="AK864" s="201"/>
      <c r="AL864" s="201"/>
      <c r="AM864" s="201"/>
      <c r="AN864" s="201"/>
      <c r="AO864" s="201"/>
    </row>
    <row r="865">
      <c r="A865" s="197"/>
      <c r="B865" s="197"/>
      <c r="C865" s="199"/>
      <c r="D865" s="197"/>
      <c r="E865" s="197"/>
      <c r="F865" s="197"/>
      <c r="G865" s="197"/>
      <c r="H865" s="199"/>
      <c r="I865" s="199"/>
      <c r="J865" s="62"/>
      <c r="K865" s="62"/>
      <c r="L865" s="62"/>
      <c r="M865" s="62"/>
      <c r="N865" s="62"/>
      <c r="O865" s="62"/>
      <c r="P865" s="62"/>
      <c r="Q865" s="62"/>
      <c r="R865" s="62"/>
      <c r="S865" s="62"/>
      <c r="T865" s="62"/>
      <c r="U865" s="74"/>
      <c r="V865" s="62"/>
      <c r="W865" s="74"/>
      <c r="X865" s="62"/>
      <c r="Y865" s="61"/>
      <c r="Z865" s="201"/>
      <c r="AA865" s="201"/>
      <c r="AB865" s="201"/>
      <c r="AC865" s="201"/>
      <c r="AD865" s="201"/>
      <c r="AE865" s="201"/>
      <c r="AF865" s="201"/>
      <c r="AG865" s="201"/>
      <c r="AH865" s="201"/>
      <c r="AI865" s="201"/>
      <c r="AJ865" s="201"/>
      <c r="AK865" s="201"/>
      <c r="AL865" s="201"/>
      <c r="AM865" s="201"/>
      <c r="AN865" s="201"/>
      <c r="AO865" s="201"/>
    </row>
    <row r="866">
      <c r="A866" s="197"/>
      <c r="B866" s="197"/>
      <c r="C866" s="199"/>
      <c r="D866" s="197"/>
      <c r="E866" s="197"/>
      <c r="F866" s="197"/>
      <c r="G866" s="197"/>
      <c r="H866" s="199"/>
      <c r="I866" s="199"/>
      <c r="J866" s="62"/>
      <c r="K866" s="62"/>
      <c r="L866" s="62"/>
      <c r="M866" s="62"/>
      <c r="N866" s="62"/>
      <c r="O866" s="62"/>
      <c r="P866" s="62"/>
      <c r="Q866" s="62"/>
      <c r="R866" s="62"/>
      <c r="S866" s="62"/>
      <c r="T866" s="62"/>
      <c r="U866" s="74"/>
      <c r="V866" s="62"/>
      <c r="W866" s="74"/>
      <c r="X866" s="62"/>
      <c r="Y866" s="61"/>
      <c r="Z866" s="201"/>
      <c r="AA866" s="201"/>
      <c r="AB866" s="201"/>
      <c r="AC866" s="201"/>
      <c r="AD866" s="201"/>
      <c r="AE866" s="201"/>
      <c r="AF866" s="201"/>
      <c r="AG866" s="201"/>
      <c r="AH866" s="201"/>
      <c r="AI866" s="201"/>
      <c r="AJ866" s="201"/>
      <c r="AK866" s="201"/>
      <c r="AL866" s="201"/>
      <c r="AM866" s="201"/>
      <c r="AN866" s="201"/>
      <c r="AO866" s="201"/>
    </row>
    <row r="867">
      <c r="A867" s="197"/>
      <c r="B867" s="197"/>
      <c r="C867" s="199"/>
      <c r="D867" s="197"/>
      <c r="E867" s="197"/>
      <c r="F867" s="197"/>
      <c r="G867" s="197"/>
      <c r="H867" s="199"/>
      <c r="I867" s="199"/>
      <c r="J867" s="62"/>
      <c r="K867" s="62"/>
      <c r="L867" s="62"/>
      <c r="M867" s="62"/>
      <c r="N867" s="62"/>
      <c r="O867" s="62"/>
      <c r="P867" s="62"/>
      <c r="Q867" s="62"/>
      <c r="R867" s="62"/>
      <c r="S867" s="62"/>
      <c r="T867" s="62"/>
      <c r="U867" s="74"/>
      <c r="V867" s="62"/>
      <c r="W867" s="74"/>
      <c r="X867" s="62"/>
      <c r="Y867" s="61"/>
      <c r="Z867" s="201"/>
      <c r="AA867" s="201"/>
      <c r="AB867" s="201"/>
      <c r="AC867" s="201"/>
      <c r="AD867" s="201"/>
      <c r="AE867" s="201"/>
      <c r="AF867" s="201"/>
      <c r="AG867" s="201"/>
      <c r="AH867" s="201"/>
      <c r="AI867" s="201"/>
      <c r="AJ867" s="201"/>
      <c r="AK867" s="201"/>
      <c r="AL867" s="201"/>
      <c r="AM867" s="201"/>
      <c r="AN867" s="201"/>
      <c r="AO867" s="201"/>
    </row>
    <row r="868">
      <c r="A868" s="197"/>
      <c r="B868" s="197"/>
      <c r="C868" s="199"/>
      <c r="D868" s="197"/>
      <c r="E868" s="197"/>
      <c r="F868" s="197"/>
      <c r="G868" s="197"/>
      <c r="H868" s="199"/>
      <c r="I868" s="199"/>
      <c r="J868" s="62"/>
      <c r="K868" s="62"/>
      <c r="L868" s="62"/>
      <c r="M868" s="62"/>
      <c r="N868" s="62"/>
      <c r="O868" s="62"/>
      <c r="P868" s="62"/>
      <c r="Q868" s="62"/>
      <c r="R868" s="62"/>
      <c r="S868" s="62"/>
      <c r="T868" s="62"/>
      <c r="U868" s="74"/>
      <c r="V868" s="62"/>
      <c r="W868" s="74"/>
      <c r="X868" s="62"/>
      <c r="Y868" s="61"/>
      <c r="Z868" s="201"/>
      <c r="AA868" s="201"/>
      <c r="AB868" s="201"/>
      <c r="AC868" s="201"/>
      <c r="AD868" s="201"/>
      <c r="AE868" s="201"/>
      <c r="AF868" s="201"/>
      <c r="AG868" s="201"/>
      <c r="AH868" s="201"/>
      <c r="AI868" s="201"/>
      <c r="AJ868" s="201"/>
      <c r="AK868" s="201"/>
      <c r="AL868" s="201"/>
      <c r="AM868" s="201"/>
      <c r="AN868" s="201"/>
      <c r="AO868" s="201"/>
    </row>
    <row r="869">
      <c r="A869" s="197"/>
      <c r="B869" s="197"/>
      <c r="C869" s="199"/>
      <c r="D869" s="197"/>
      <c r="E869" s="197"/>
      <c r="F869" s="197"/>
      <c r="G869" s="197"/>
      <c r="H869" s="199"/>
      <c r="I869" s="199"/>
      <c r="J869" s="62"/>
      <c r="K869" s="62"/>
      <c r="L869" s="62"/>
      <c r="M869" s="62"/>
      <c r="N869" s="62"/>
      <c r="O869" s="62"/>
      <c r="P869" s="62"/>
      <c r="Q869" s="62"/>
      <c r="R869" s="62"/>
      <c r="S869" s="62"/>
      <c r="T869" s="62"/>
      <c r="U869" s="74"/>
      <c r="V869" s="62"/>
      <c r="W869" s="74"/>
      <c r="X869" s="62"/>
      <c r="Y869" s="61"/>
      <c r="Z869" s="201"/>
      <c r="AA869" s="201"/>
      <c r="AB869" s="201"/>
      <c r="AC869" s="201"/>
      <c r="AD869" s="201"/>
      <c r="AE869" s="201"/>
      <c r="AF869" s="201"/>
      <c r="AG869" s="201"/>
      <c r="AH869" s="201"/>
      <c r="AI869" s="201"/>
      <c r="AJ869" s="201"/>
      <c r="AK869" s="201"/>
      <c r="AL869" s="201"/>
      <c r="AM869" s="201"/>
      <c r="AN869" s="201"/>
      <c r="AO869" s="201"/>
    </row>
    <row r="870">
      <c r="A870" s="197"/>
      <c r="B870" s="197"/>
      <c r="C870" s="199"/>
      <c r="D870" s="197"/>
      <c r="E870" s="197"/>
      <c r="F870" s="197"/>
      <c r="G870" s="197"/>
      <c r="H870" s="199"/>
      <c r="I870" s="199"/>
      <c r="J870" s="62"/>
      <c r="K870" s="62"/>
      <c r="L870" s="62"/>
      <c r="M870" s="62"/>
      <c r="N870" s="62"/>
      <c r="O870" s="62"/>
      <c r="P870" s="62"/>
      <c r="Q870" s="62"/>
      <c r="R870" s="62"/>
      <c r="S870" s="62"/>
      <c r="T870" s="62"/>
      <c r="U870" s="74"/>
      <c r="V870" s="62"/>
      <c r="W870" s="74"/>
      <c r="X870" s="62"/>
      <c r="Y870" s="61"/>
      <c r="Z870" s="201"/>
      <c r="AA870" s="201"/>
      <c r="AB870" s="201"/>
      <c r="AC870" s="201"/>
      <c r="AD870" s="201"/>
      <c r="AE870" s="201"/>
      <c r="AF870" s="201"/>
      <c r="AG870" s="201"/>
      <c r="AH870" s="201"/>
      <c r="AI870" s="201"/>
      <c r="AJ870" s="201"/>
      <c r="AK870" s="201"/>
      <c r="AL870" s="201"/>
      <c r="AM870" s="201"/>
      <c r="AN870" s="201"/>
      <c r="AO870" s="201"/>
    </row>
    <row r="871">
      <c r="A871" s="197"/>
      <c r="B871" s="197"/>
      <c r="C871" s="199"/>
      <c r="D871" s="197"/>
      <c r="E871" s="197"/>
      <c r="F871" s="197"/>
      <c r="G871" s="197"/>
      <c r="H871" s="199"/>
      <c r="I871" s="199"/>
      <c r="J871" s="62"/>
      <c r="K871" s="62"/>
      <c r="L871" s="62"/>
      <c r="M871" s="62"/>
      <c r="N871" s="62"/>
      <c r="O871" s="62"/>
      <c r="P871" s="62"/>
      <c r="Q871" s="62"/>
      <c r="R871" s="62"/>
      <c r="S871" s="62"/>
      <c r="T871" s="62"/>
      <c r="U871" s="74"/>
      <c r="V871" s="62"/>
      <c r="W871" s="74"/>
      <c r="X871" s="62"/>
      <c r="Y871" s="61"/>
      <c r="Z871" s="201"/>
      <c r="AA871" s="201"/>
      <c r="AB871" s="201"/>
      <c r="AC871" s="201"/>
      <c r="AD871" s="201"/>
      <c r="AE871" s="201"/>
      <c r="AF871" s="201"/>
      <c r="AG871" s="201"/>
      <c r="AH871" s="201"/>
      <c r="AI871" s="201"/>
      <c r="AJ871" s="201"/>
      <c r="AK871" s="201"/>
      <c r="AL871" s="201"/>
      <c r="AM871" s="201"/>
      <c r="AN871" s="201"/>
      <c r="AO871" s="201"/>
    </row>
    <row r="872">
      <c r="A872" s="197"/>
      <c r="B872" s="197"/>
      <c r="C872" s="199"/>
      <c r="D872" s="197"/>
      <c r="E872" s="197"/>
      <c r="F872" s="197"/>
      <c r="G872" s="197"/>
      <c r="H872" s="199"/>
      <c r="I872" s="199"/>
      <c r="J872" s="62"/>
      <c r="K872" s="62"/>
      <c r="L872" s="62"/>
      <c r="M872" s="62"/>
      <c r="N872" s="62"/>
      <c r="O872" s="62"/>
      <c r="P872" s="62"/>
      <c r="Q872" s="62"/>
      <c r="R872" s="62"/>
      <c r="S872" s="62"/>
      <c r="T872" s="62"/>
      <c r="U872" s="74"/>
      <c r="V872" s="62"/>
      <c r="W872" s="74"/>
      <c r="X872" s="62"/>
      <c r="Y872" s="61"/>
      <c r="Z872" s="201"/>
      <c r="AA872" s="201"/>
      <c r="AB872" s="201"/>
      <c r="AC872" s="201"/>
      <c r="AD872" s="201"/>
      <c r="AE872" s="201"/>
      <c r="AF872" s="201"/>
      <c r="AG872" s="201"/>
      <c r="AH872" s="201"/>
      <c r="AI872" s="201"/>
      <c r="AJ872" s="201"/>
      <c r="AK872" s="201"/>
      <c r="AL872" s="201"/>
      <c r="AM872" s="201"/>
      <c r="AN872" s="201"/>
      <c r="AO872" s="201"/>
    </row>
    <row r="873">
      <c r="A873" s="197"/>
      <c r="B873" s="197"/>
      <c r="C873" s="199"/>
      <c r="D873" s="197"/>
      <c r="E873" s="197"/>
      <c r="F873" s="197"/>
      <c r="G873" s="197"/>
      <c r="H873" s="199"/>
      <c r="I873" s="199"/>
      <c r="J873" s="62"/>
      <c r="K873" s="62"/>
      <c r="L873" s="62"/>
      <c r="M873" s="62"/>
      <c r="N873" s="62"/>
      <c r="O873" s="62"/>
      <c r="P873" s="62"/>
      <c r="Q873" s="62"/>
      <c r="R873" s="62"/>
      <c r="S873" s="62"/>
      <c r="T873" s="62"/>
      <c r="U873" s="74"/>
      <c r="V873" s="62"/>
      <c r="W873" s="74"/>
      <c r="X873" s="62"/>
      <c r="Y873" s="61"/>
      <c r="Z873" s="201"/>
      <c r="AA873" s="201"/>
      <c r="AB873" s="201"/>
      <c r="AC873" s="201"/>
      <c r="AD873" s="201"/>
      <c r="AE873" s="201"/>
      <c r="AF873" s="201"/>
      <c r="AG873" s="201"/>
      <c r="AH873" s="201"/>
      <c r="AI873" s="201"/>
      <c r="AJ873" s="201"/>
      <c r="AK873" s="201"/>
      <c r="AL873" s="201"/>
      <c r="AM873" s="201"/>
      <c r="AN873" s="201"/>
      <c r="AO873" s="201"/>
    </row>
    <row r="874">
      <c r="A874" s="197"/>
      <c r="B874" s="197"/>
      <c r="C874" s="199"/>
      <c r="D874" s="197"/>
      <c r="E874" s="197"/>
      <c r="F874" s="197"/>
      <c r="G874" s="197"/>
      <c r="H874" s="199"/>
      <c r="I874" s="199"/>
      <c r="J874" s="62"/>
      <c r="K874" s="62"/>
      <c r="L874" s="62"/>
      <c r="M874" s="62"/>
      <c r="N874" s="62"/>
      <c r="O874" s="62"/>
      <c r="P874" s="62"/>
      <c r="Q874" s="62"/>
      <c r="R874" s="62"/>
      <c r="S874" s="62"/>
      <c r="T874" s="62"/>
      <c r="U874" s="74"/>
      <c r="V874" s="62"/>
      <c r="W874" s="74"/>
      <c r="X874" s="62"/>
      <c r="Y874" s="61"/>
      <c r="Z874" s="201"/>
      <c r="AA874" s="201"/>
      <c r="AB874" s="201"/>
      <c r="AC874" s="201"/>
      <c r="AD874" s="201"/>
      <c r="AE874" s="201"/>
      <c r="AF874" s="201"/>
      <c r="AG874" s="201"/>
      <c r="AH874" s="201"/>
      <c r="AI874" s="201"/>
      <c r="AJ874" s="201"/>
      <c r="AK874" s="201"/>
      <c r="AL874" s="201"/>
      <c r="AM874" s="201"/>
      <c r="AN874" s="201"/>
      <c r="AO874" s="201"/>
    </row>
    <row r="875">
      <c r="A875" s="197"/>
      <c r="B875" s="197"/>
      <c r="C875" s="199"/>
      <c r="D875" s="197"/>
      <c r="E875" s="197"/>
      <c r="F875" s="197"/>
      <c r="G875" s="197"/>
      <c r="H875" s="199"/>
      <c r="I875" s="199"/>
      <c r="J875" s="62"/>
      <c r="K875" s="62"/>
      <c r="L875" s="62"/>
      <c r="M875" s="62"/>
      <c r="N875" s="62"/>
      <c r="O875" s="62"/>
      <c r="P875" s="62"/>
      <c r="Q875" s="62"/>
      <c r="R875" s="62"/>
      <c r="S875" s="62"/>
      <c r="T875" s="62"/>
      <c r="U875" s="74"/>
      <c r="V875" s="62"/>
      <c r="W875" s="74"/>
      <c r="X875" s="62"/>
      <c r="Y875" s="61"/>
      <c r="Z875" s="201"/>
      <c r="AA875" s="201"/>
      <c r="AB875" s="201"/>
      <c r="AC875" s="201"/>
      <c r="AD875" s="201"/>
      <c r="AE875" s="201"/>
      <c r="AF875" s="201"/>
      <c r="AG875" s="201"/>
      <c r="AH875" s="201"/>
      <c r="AI875" s="201"/>
      <c r="AJ875" s="201"/>
      <c r="AK875" s="201"/>
      <c r="AL875" s="201"/>
      <c r="AM875" s="201"/>
      <c r="AN875" s="201"/>
      <c r="AO875" s="201"/>
    </row>
    <row r="876">
      <c r="A876" s="197"/>
      <c r="B876" s="197"/>
      <c r="C876" s="199"/>
      <c r="D876" s="197"/>
      <c r="E876" s="197"/>
      <c r="F876" s="197"/>
      <c r="G876" s="197"/>
      <c r="H876" s="199"/>
      <c r="I876" s="199"/>
      <c r="J876" s="62"/>
      <c r="K876" s="62"/>
      <c r="L876" s="62"/>
      <c r="M876" s="62"/>
      <c r="N876" s="62"/>
      <c r="O876" s="62"/>
      <c r="P876" s="62"/>
      <c r="Q876" s="62"/>
      <c r="R876" s="62"/>
      <c r="S876" s="62"/>
      <c r="T876" s="62"/>
      <c r="U876" s="74"/>
      <c r="V876" s="62"/>
      <c r="W876" s="74"/>
      <c r="X876" s="62"/>
      <c r="Y876" s="61"/>
      <c r="Z876" s="201"/>
      <c r="AA876" s="201"/>
      <c r="AB876" s="201"/>
      <c r="AC876" s="201"/>
      <c r="AD876" s="201"/>
      <c r="AE876" s="201"/>
      <c r="AF876" s="201"/>
      <c r="AG876" s="201"/>
      <c r="AH876" s="201"/>
      <c r="AI876" s="201"/>
      <c r="AJ876" s="201"/>
      <c r="AK876" s="201"/>
      <c r="AL876" s="201"/>
      <c r="AM876" s="201"/>
      <c r="AN876" s="201"/>
      <c r="AO876" s="201"/>
    </row>
    <row r="877">
      <c r="A877" s="197"/>
      <c r="B877" s="197"/>
      <c r="C877" s="199"/>
      <c r="D877" s="197"/>
      <c r="E877" s="197"/>
      <c r="F877" s="197"/>
      <c r="G877" s="197"/>
      <c r="H877" s="199"/>
      <c r="I877" s="199"/>
      <c r="J877" s="62"/>
      <c r="K877" s="62"/>
      <c r="L877" s="62"/>
      <c r="M877" s="62"/>
      <c r="N877" s="62"/>
      <c r="O877" s="62"/>
      <c r="P877" s="62"/>
      <c r="Q877" s="62"/>
      <c r="R877" s="62"/>
      <c r="S877" s="62"/>
      <c r="T877" s="62"/>
      <c r="U877" s="74"/>
      <c r="V877" s="62"/>
      <c r="W877" s="74"/>
      <c r="X877" s="62"/>
      <c r="Y877" s="61"/>
      <c r="Z877" s="201"/>
      <c r="AA877" s="201"/>
      <c r="AB877" s="201"/>
      <c r="AC877" s="201"/>
      <c r="AD877" s="201"/>
      <c r="AE877" s="201"/>
      <c r="AF877" s="201"/>
      <c r="AG877" s="201"/>
      <c r="AH877" s="201"/>
      <c r="AI877" s="201"/>
      <c r="AJ877" s="201"/>
      <c r="AK877" s="201"/>
      <c r="AL877" s="201"/>
      <c r="AM877" s="201"/>
      <c r="AN877" s="201"/>
      <c r="AO877" s="201"/>
    </row>
    <row r="878">
      <c r="A878" s="197"/>
      <c r="B878" s="197"/>
      <c r="C878" s="199"/>
      <c r="D878" s="197"/>
      <c r="E878" s="197"/>
      <c r="F878" s="197"/>
      <c r="G878" s="197"/>
      <c r="H878" s="199"/>
      <c r="I878" s="199"/>
      <c r="J878" s="62"/>
      <c r="K878" s="62"/>
      <c r="L878" s="62"/>
      <c r="M878" s="62"/>
      <c r="N878" s="62"/>
      <c r="O878" s="62"/>
      <c r="P878" s="62"/>
      <c r="Q878" s="62"/>
      <c r="R878" s="62"/>
      <c r="S878" s="62"/>
      <c r="T878" s="62"/>
      <c r="U878" s="74"/>
      <c r="V878" s="62"/>
      <c r="W878" s="74"/>
      <c r="X878" s="62"/>
      <c r="Y878" s="61"/>
      <c r="Z878" s="201"/>
      <c r="AA878" s="201"/>
      <c r="AB878" s="201"/>
      <c r="AC878" s="201"/>
      <c r="AD878" s="201"/>
      <c r="AE878" s="201"/>
      <c r="AF878" s="201"/>
      <c r="AG878" s="201"/>
      <c r="AH878" s="201"/>
      <c r="AI878" s="201"/>
      <c r="AJ878" s="201"/>
      <c r="AK878" s="201"/>
      <c r="AL878" s="201"/>
      <c r="AM878" s="201"/>
      <c r="AN878" s="201"/>
      <c r="AO878" s="201"/>
    </row>
    <row r="879">
      <c r="A879" s="197"/>
      <c r="B879" s="197"/>
      <c r="C879" s="199"/>
      <c r="D879" s="197"/>
      <c r="E879" s="197"/>
      <c r="F879" s="197"/>
      <c r="G879" s="197"/>
      <c r="H879" s="199"/>
      <c r="I879" s="199"/>
      <c r="J879" s="62"/>
      <c r="K879" s="62"/>
      <c r="L879" s="62"/>
      <c r="M879" s="62"/>
      <c r="N879" s="62"/>
      <c r="O879" s="62"/>
      <c r="P879" s="62"/>
      <c r="Q879" s="62"/>
      <c r="R879" s="62"/>
      <c r="S879" s="62"/>
      <c r="T879" s="62"/>
      <c r="U879" s="74"/>
      <c r="V879" s="62"/>
      <c r="W879" s="74"/>
      <c r="X879" s="62"/>
      <c r="Y879" s="61"/>
      <c r="Z879" s="201"/>
      <c r="AA879" s="201"/>
      <c r="AB879" s="201"/>
      <c r="AC879" s="201"/>
      <c r="AD879" s="201"/>
      <c r="AE879" s="201"/>
      <c r="AF879" s="201"/>
      <c r="AG879" s="201"/>
      <c r="AH879" s="201"/>
      <c r="AI879" s="201"/>
      <c r="AJ879" s="201"/>
      <c r="AK879" s="201"/>
      <c r="AL879" s="201"/>
      <c r="AM879" s="201"/>
      <c r="AN879" s="201"/>
      <c r="AO879" s="201"/>
    </row>
    <row r="880">
      <c r="A880" s="197"/>
      <c r="B880" s="197"/>
      <c r="C880" s="199"/>
      <c r="D880" s="197"/>
      <c r="E880" s="197"/>
      <c r="F880" s="197"/>
      <c r="G880" s="197"/>
      <c r="H880" s="199"/>
      <c r="I880" s="199"/>
      <c r="J880" s="62"/>
      <c r="K880" s="62"/>
      <c r="L880" s="62"/>
      <c r="M880" s="62"/>
      <c r="N880" s="62"/>
      <c r="O880" s="62"/>
      <c r="P880" s="62"/>
      <c r="Q880" s="62"/>
      <c r="R880" s="62"/>
      <c r="S880" s="62"/>
      <c r="T880" s="62"/>
      <c r="U880" s="74"/>
      <c r="V880" s="62"/>
      <c r="W880" s="74"/>
      <c r="X880" s="62"/>
      <c r="Y880" s="61"/>
      <c r="Z880" s="201"/>
      <c r="AA880" s="201"/>
      <c r="AB880" s="201"/>
      <c r="AC880" s="201"/>
      <c r="AD880" s="201"/>
      <c r="AE880" s="201"/>
      <c r="AF880" s="201"/>
      <c r="AG880" s="201"/>
      <c r="AH880" s="201"/>
      <c r="AI880" s="201"/>
      <c r="AJ880" s="201"/>
      <c r="AK880" s="201"/>
      <c r="AL880" s="201"/>
      <c r="AM880" s="201"/>
      <c r="AN880" s="201"/>
      <c r="AO880" s="201"/>
    </row>
    <row r="881">
      <c r="A881" s="197"/>
      <c r="B881" s="197"/>
      <c r="C881" s="199"/>
      <c r="D881" s="197"/>
      <c r="E881" s="197"/>
      <c r="F881" s="197"/>
      <c r="G881" s="197"/>
      <c r="H881" s="199"/>
      <c r="I881" s="199"/>
      <c r="J881" s="62"/>
      <c r="K881" s="62"/>
      <c r="L881" s="62"/>
      <c r="M881" s="62"/>
      <c r="N881" s="62"/>
      <c r="O881" s="62"/>
      <c r="P881" s="62"/>
      <c r="Q881" s="62"/>
      <c r="R881" s="62"/>
      <c r="S881" s="62"/>
      <c r="T881" s="62"/>
      <c r="U881" s="74"/>
      <c r="V881" s="62"/>
      <c r="W881" s="74"/>
      <c r="X881" s="62"/>
      <c r="Y881" s="61"/>
      <c r="Z881" s="201"/>
      <c r="AA881" s="201"/>
      <c r="AB881" s="201"/>
      <c r="AC881" s="201"/>
      <c r="AD881" s="201"/>
      <c r="AE881" s="201"/>
      <c r="AF881" s="201"/>
      <c r="AG881" s="201"/>
      <c r="AH881" s="201"/>
      <c r="AI881" s="201"/>
      <c r="AJ881" s="201"/>
      <c r="AK881" s="201"/>
      <c r="AL881" s="201"/>
      <c r="AM881" s="201"/>
      <c r="AN881" s="201"/>
      <c r="AO881" s="201"/>
    </row>
    <row r="882">
      <c r="A882" s="197"/>
      <c r="B882" s="197"/>
      <c r="C882" s="199"/>
      <c r="D882" s="197"/>
      <c r="E882" s="197"/>
      <c r="F882" s="197"/>
      <c r="G882" s="197"/>
      <c r="H882" s="199"/>
      <c r="I882" s="199"/>
      <c r="J882" s="62"/>
      <c r="K882" s="62"/>
      <c r="L882" s="62"/>
      <c r="M882" s="62"/>
      <c r="N882" s="62"/>
      <c r="O882" s="62"/>
      <c r="P882" s="62"/>
      <c r="Q882" s="62"/>
      <c r="R882" s="62"/>
      <c r="S882" s="62"/>
      <c r="T882" s="62"/>
      <c r="U882" s="74"/>
      <c r="V882" s="62"/>
      <c r="W882" s="74"/>
      <c r="X882" s="62"/>
      <c r="Y882" s="61"/>
      <c r="Z882" s="201"/>
      <c r="AA882" s="201"/>
      <c r="AB882" s="201"/>
      <c r="AC882" s="201"/>
      <c r="AD882" s="201"/>
      <c r="AE882" s="201"/>
      <c r="AF882" s="201"/>
      <c r="AG882" s="201"/>
      <c r="AH882" s="201"/>
      <c r="AI882" s="201"/>
      <c r="AJ882" s="201"/>
      <c r="AK882" s="201"/>
      <c r="AL882" s="201"/>
      <c r="AM882" s="201"/>
      <c r="AN882" s="201"/>
      <c r="AO882" s="201"/>
    </row>
    <row r="883">
      <c r="A883" s="197"/>
      <c r="B883" s="197"/>
      <c r="C883" s="199"/>
      <c r="D883" s="197"/>
      <c r="E883" s="197"/>
      <c r="F883" s="197"/>
      <c r="G883" s="197"/>
      <c r="H883" s="199"/>
      <c r="I883" s="199"/>
      <c r="J883" s="62"/>
      <c r="K883" s="62"/>
      <c r="L883" s="62"/>
      <c r="M883" s="62"/>
      <c r="N883" s="62"/>
      <c r="O883" s="62"/>
      <c r="P883" s="62"/>
      <c r="Q883" s="62"/>
      <c r="R883" s="62"/>
      <c r="S883" s="62"/>
      <c r="T883" s="62"/>
      <c r="U883" s="74"/>
      <c r="V883" s="62"/>
      <c r="W883" s="74"/>
      <c r="X883" s="62"/>
      <c r="Y883" s="61"/>
      <c r="Z883" s="201"/>
      <c r="AA883" s="201"/>
      <c r="AB883" s="201"/>
      <c r="AC883" s="201"/>
      <c r="AD883" s="201"/>
      <c r="AE883" s="201"/>
      <c r="AF883" s="201"/>
      <c r="AG883" s="201"/>
      <c r="AH883" s="201"/>
      <c r="AI883" s="201"/>
      <c r="AJ883" s="201"/>
      <c r="AK883" s="201"/>
      <c r="AL883" s="201"/>
      <c r="AM883" s="201"/>
      <c r="AN883" s="201"/>
      <c r="AO883" s="201"/>
    </row>
    <row r="884">
      <c r="A884" s="197"/>
      <c r="B884" s="197"/>
      <c r="C884" s="199"/>
      <c r="D884" s="197"/>
      <c r="E884" s="197"/>
      <c r="F884" s="197"/>
      <c r="G884" s="197"/>
      <c r="H884" s="199"/>
      <c r="I884" s="199"/>
      <c r="J884" s="62"/>
      <c r="K884" s="62"/>
      <c r="L884" s="62"/>
      <c r="M884" s="62"/>
      <c r="N884" s="62"/>
      <c r="O884" s="62"/>
      <c r="P884" s="62"/>
      <c r="Q884" s="62"/>
      <c r="R884" s="62"/>
      <c r="S884" s="62"/>
      <c r="T884" s="62"/>
      <c r="U884" s="74"/>
      <c r="V884" s="62"/>
      <c r="W884" s="74"/>
      <c r="X884" s="62"/>
      <c r="Y884" s="61"/>
      <c r="Z884" s="201"/>
      <c r="AA884" s="201"/>
      <c r="AB884" s="201"/>
      <c r="AC884" s="201"/>
      <c r="AD884" s="201"/>
      <c r="AE884" s="201"/>
      <c r="AF884" s="201"/>
      <c r="AG884" s="201"/>
      <c r="AH884" s="201"/>
      <c r="AI884" s="201"/>
      <c r="AJ884" s="201"/>
      <c r="AK884" s="201"/>
      <c r="AL884" s="201"/>
      <c r="AM884" s="201"/>
      <c r="AN884" s="201"/>
      <c r="AO884" s="201"/>
    </row>
    <row r="885">
      <c r="A885" s="197"/>
      <c r="B885" s="197"/>
      <c r="C885" s="199"/>
      <c r="D885" s="197"/>
      <c r="E885" s="197"/>
      <c r="F885" s="197"/>
      <c r="G885" s="197"/>
      <c r="H885" s="199"/>
      <c r="I885" s="199"/>
      <c r="J885" s="62"/>
      <c r="K885" s="62"/>
      <c r="L885" s="62"/>
      <c r="M885" s="62"/>
      <c r="N885" s="62"/>
      <c r="O885" s="62"/>
      <c r="P885" s="62"/>
      <c r="Q885" s="62"/>
      <c r="R885" s="62"/>
      <c r="S885" s="62"/>
      <c r="T885" s="62"/>
      <c r="U885" s="74"/>
      <c r="V885" s="62"/>
      <c r="W885" s="74"/>
      <c r="X885" s="62"/>
      <c r="Y885" s="61"/>
      <c r="Z885" s="201"/>
      <c r="AA885" s="201"/>
      <c r="AB885" s="201"/>
      <c r="AC885" s="201"/>
      <c r="AD885" s="201"/>
      <c r="AE885" s="201"/>
      <c r="AF885" s="201"/>
      <c r="AG885" s="201"/>
      <c r="AH885" s="201"/>
      <c r="AI885" s="201"/>
      <c r="AJ885" s="201"/>
      <c r="AK885" s="201"/>
      <c r="AL885" s="201"/>
      <c r="AM885" s="201"/>
      <c r="AN885" s="201"/>
      <c r="AO885" s="201"/>
    </row>
    <row r="886">
      <c r="A886" s="197"/>
      <c r="B886" s="197"/>
      <c r="C886" s="199"/>
      <c r="D886" s="197"/>
      <c r="E886" s="197"/>
      <c r="F886" s="197"/>
      <c r="G886" s="197"/>
      <c r="H886" s="199"/>
      <c r="I886" s="199"/>
      <c r="J886" s="62"/>
      <c r="K886" s="62"/>
      <c r="L886" s="62"/>
      <c r="M886" s="62"/>
      <c r="N886" s="62"/>
      <c r="O886" s="62"/>
      <c r="P886" s="62"/>
      <c r="Q886" s="62"/>
      <c r="R886" s="62"/>
      <c r="S886" s="62"/>
      <c r="T886" s="62"/>
      <c r="U886" s="74"/>
      <c r="V886" s="62"/>
      <c r="W886" s="74"/>
      <c r="X886" s="62"/>
      <c r="Y886" s="61"/>
      <c r="Z886" s="201"/>
      <c r="AA886" s="201"/>
      <c r="AB886" s="201"/>
      <c r="AC886" s="201"/>
      <c r="AD886" s="201"/>
      <c r="AE886" s="201"/>
      <c r="AF886" s="201"/>
      <c r="AG886" s="201"/>
      <c r="AH886" s="201"/>
      <c r="AI886" s="201"/>
      <c r="AJ886" s="201"/>
      <c r="AK886" s="201"/>
      <c r="AL886" s="201"/>
      <c r="AM886" s="201"/>
      <c r="AN886" s="201"/>
      <c r="AO886" s="201"/>
    </row>
    <row r="887">
      <c r="A887" s="197"/>
      <c r="B887" s="197"/>
      <c r="C887" s="199"/>
      <c r="D887" s="197"/>
      <c r="E887" s="197"/>
      <c r="F887" s="197"/>
      <c r="G887" s="197"/>
      <c r="H887" s="199"/>
      <c r="I887" s="199"/>
      <c r="J887" s="62"/>
      <c r="K887" s="62"/>
      <c r="L887" s="62"/>
      <c r="M887" s="62"/>
      <c r="N887" s="62"/>
      <c r="O887" s="62"/>
      <c r="P887" s="62"/>
      <c r="Q887" s="62"/>
      <c r="R887" s="62"/>
      <c r="S887" s="62"/>
      <c r="T887" s="62"/>
      <c r="U887" s="74"/>
      <c r="V887" s="62"/>
      <c r="W887" s="74"/>
      <c r="X887" s="62"/>
      <c r="Y887" s="61"/>
      <c r="Z887" s="201"/>
      <c r="AA887" s="201"/>
      <c r="AB887" s="201"/>
      <c r="AC887" s="201"/>
      <c r="AD887" s="201"/>
      <c r="AE887" s="201"/>
      <c r="AF887" s="201"/>
      <c r="AG887" s="201"/>
      <c r="AH887" s="201"/>
      <c r="AI887" s="201"/>
      <c r="AJ887" s="201"/>
      <c r="AK887" s="201"/>
      <c r="AL887" s="201"/>
      <c r="AM887" s="201"/>
      <c r="AN887" s="201"/>
      <c r="AO887" s="201"/>
    </row>
    <row r="888">
      <c r="A888" s="197"/>
      <c r="B888" s="197"/>
      <c r="C888" s="199"/>
      <c r="D888" s="197"/>
      <c r="E888" s="197"/>
      <c r="F888" s="197"/>
      <c r="G888" s="197"/>
      <c r="H888" s="199"/>
      <c r="I888" s="199"/>
      <c r="J888" s="62"/>
      <c r="K888" s="62"/>
      <c r="L888" s="62"/>
      <c r="M888" s="62"/>
      <c r="N888" s="62"/>
      <c r="O888" s="62"/>
      <c r="P888" s="62"/>
      <c r="Q888" s="62"/>
      <c r="R888" s="62"/>
      <c r="S888" s="62"/>
      <c r="T888" s="62"/>
      <c r="U888" s="74"/>
      <c r="V888" s="62"/>
      <c r="W888" s="74"/>
      <c r="X888" s="62"/>
      <c r="Y888" s="61"/>
      <c r="Z888" s="201"/>
      <c r="AA888" s="201"/>
      <c r="AB888" s="201"/>
      <c r="AC888" s="201"/>
      <c r="AD888" s="201"/>
      <c r="AE888" s="201"/>
      <c r="AF888" s="201"/>
      <c r="AG888" s="201"/>
      <c r="AH888" s="201"/>
      <c r="AI888" s="201"/>
      <c r="AJ888" s="201"/>
      <c r="AK888" s="201"/>
      <c r="AL888" s="201"/>
      <c r="AM888" s="201"/>
      <c r="AN888" s="201"/>
      <c r="AO888" s="201"/>
    </row>
    <row r="889">
      <c r="A889" s="197"/>
      <c r="B889" s="197"/>
      <c r="C889" s="199"/>
      <c r="D889" s="197"/>
      <c r="E889" s="197"/>
      <c r="F889" s="197"/>
      <c r="G889" s="197"/>
      <c r="H889" s="199"/>
      <c r="I889" s="199"/>
      <c r="J889" s="62"/>
      <c r="K889" s="62"/>
      <c r="L889" s="62"/>
      <c r="M889" s="62"/>
      <c r="N889" s="62"/>
      <c r="O889" s="62"/>
      <c r="P889" s="62"/>
      <c r="Q889" s="62"/>
      <c r="R889" s="62"/>
      <c r="S889" s="62"/>
      <c r="T889" s="62"/>
      <c r="U889" s="74"/>
      <c r="V889" s="62"/>
      <c r="W889" s="74"/>
      <c r="X889" s="62"/>
      <c r="Y889" s="61"/>
      <c r="Z889" s="201"/>
      <c r="AA889" s="201"/>
      <c r="AB889" s="201"/>
      <c r="AC889" s="201"/>
      <c r="AD889" s="201"/>
      <c r="AE889" s="201"/>
      <c r="AF889" s="201"/>
      <c r="AG889" s="201"/>
      <c r="AH889" s="201"/>
      <c r="AI889" s="201"/>
      <c r="AJ889" s="201"/>
      <c r="AK889" s="201"/>
      <c r="AL889" s="201"/>
      <c r="AM889" s="201"/>
      <c r="AN889" s="201"/>
      <c r="AO889" s="201"/>
    </row>
    <row r="890">
      <c r="A890" s="197"/>
      <c r="B890" s="197"/>
      <c r="C890" s="199"/>
      <c r="D890" s="197"/>
      <c r="E890" s="197"/>
      <c r="F890" s="197"/>
      <c r="G890" s="197"/>
      <c r="H890" s="199"/>
      <c r="I890" s="199"/>
      <c r="J890" s="62"/>
      <c r="K890" s="62"/>
      <c r="L890" s="62"/>
      <c r="M890" s="62"/>
      <c r="N890" s="62"/>
      <c r="O890" s="62"/>
      <c r="P890" s="62"/>
      <c r="Q890" s="62"/>
      <c r="R890" s="62"/>
      <c r="S890" s="62"/>
      <c r="T890" s="62"/>
      <c r="U890" s="74"/>
      <c r="V890" s="62"/>
      <c r="W890" s="74"/>
      <c r="X890" s="62"/>
      <c r="Y890" s="61"/>
      <c r="Z890" s="201"/>
      <c r="AA890" s="201"/>
      <c r="AB890" s="201"/>
      <c r="AC890" s="201"/>
      <c r="AD890" s="201"/>
      <c r="AE890" s="201"/>
      <c r="AF890" s="201"/>
      <c r="AG890" s="201"/>
      <c r="AH890" s="201"/>
      <c r="AI890" s="201"/>
      <c r="AJ890" s="201"/>
      <c r="AK890" s="201"/>
      <c r="AL890" s="201"/>
      <c r="AM890" s="201"/>
      <c r="AN890" s="201"/>
      <c r="AO890" s="201"/>
    </row>
    <row r="891">
      <c r="A891" s="197"/>
      <c r="B891" s="197"/>
      <c r="C891" s="199"/>
      <c r="D891" s="197"/>
      <c r="E891" s="197"/>
      <c r="F891" s="197"/>
      <c r="G891" s="197"/>
      <c r="H891" s="199"/>
      <c r="I891" s="199"/>
      <c r="J891" s="62"/>
      <c r="K891" s="62"/>
      <c r="L891" s="62"/>
      <c r="M891" s="62"/>
      <c r="N891" s="62"/>
      <c r="O891" s="62"/>
      <c r="P891" s="62"/>
      <c r="Q891" s="62"/>
      <c r="R891" s="62"/>
      <c r="S891" s="62"/>
      <c r="T891" s="62"/>
      <c r="U891" s="74"/>
      <c r="V891" s="62"/>
      <c r="W891" s="74"/>
      <c r="X891" s="62"/>
      <c r="Y891" s="61"/>
      <c r="Z891" s="201"/>
      <c r="AA891" s="201"/>
      <c r="AB891" s="201"/>
      <c r="AC891" s="201"/>
      <c r="AD891" s="201"/>
      <c r="AE891" s="201"/>
      <c r="AF891" s="201"/>
      <c r="AG891" s="201"/>
      <c r="AH891" s="201"/>
      <c r="AI891" s="201"/>
      <c r="AJ891" s="201"/>
      <c r="AK891" s="201"/>
      <c r="AL891" s="201"/>
      <c r="AM891" s="201"/>
      <c r="AN891" s="201"/>
      <c r="AO891" s="201"/>
    </row>
    <row r="892">
      <c r="A892" s="197"/>
      <c r="B892" s="197"/>
      <c r="C892" s="199"/>
      <c r="D892" s="197"/>
      <c r="E892" s="197"/>
      <c r="F892" s="197"/>
      <c r="G892" s="197"/>
      <c r="H892" s="199"/>
      <c r="I892" s="199"/>
      <c r="J892" s="62"/>
      <c r="K892" s="62"/>
      <c r="L892" s="62"/>
      <c r="M892" s="62"/>
      <c r="N892" s="62"/>
      <c r="O892" s="62"/>
      <c r="P892" s="62"/>
      <c r="Q892" s="62"/>
      <c r="R892" s="62"/>
      <c r="S892" s="62"/>
      <c r="T892" s="62"/>
      <c r="U892" s="74"/>
      <c r="V892" s="62"/>
      <c r="W892" s="74"/>
      <c r="X892" s="62"/>
      <c r="Y892" s="61"/>
      <c r="Z892" s="201"/>
      <c r="AA892" s="201"/>
      <c r="AB892" s="201"/>
      <c r="AC892" s="201"/>
      <c r="AD892" s="201"/>
      <c r="AE892" s="201"/>
      <c r="AF892" s="201"/>
      <c r="AG892" s="201"/>
      <c r="AH892" s="201"/>
      <c r="AI892" s="201"/>
      <c r="AJ892" s="201"/>
      <c r="AK892" s="201"/>
      <c r="AL892" s="201"/>
      <c r="AM892" s="201"/>
      <c r="AN892" s="201"/>
      <c r="AO892" s="201"/>
    </row>
    <row r="893">
      <c r="A893" s="197"/>
      <c r="B893" s="197"/>
      <c r="C893" s="199"/>
      <c r="D893" s="197"/>
      <c r="E893" s="197"/>
      <c r="F893" s="197"/>
      <c r="G893" s="197"/>
      <c r="H893" s="199"/>
      <c r="I893" s="199"/>
      <c r="J893" s="62"/>
      <c r="K893" s="62"/>
      <c r="L893" s="62"/>
      <c r="M893" s="62"/>
      <c r="N893" s="62"/>
      <c r="O893" s="62"/>
      <c r="P893" s="62"/>
      <c r="Q893" s="62"/>
      <c r="R893" s="62"/>
      <c r="S893" s="62"/>
      <c r="T893" s="62"/>
      <c r="U893" s="74"/>
      <c r="V893" s="62"/>
      <c r="W893" s="74"/>
      <c r="X893" s="62"/>
      <c r="Y893" s="61"/>
      <c r="Z893" s="201"/>
      <c r="AA893" s="201"/>
      <c r="AB893" s="201"/>
      <c r="AC893" s="201"/>
      <c r="AD893" s="201"/>
      <c r="AE893" s="201"/>
      <c r="AF893" s="201"/>
      <c r="AG893" s="201"/>
      <c r="AH893" s="201"/>
      <c r="AI893" s="201"/>
      <c r="AJ893" s="201"/>
      <c r="AK893" s="201"/>
      <c r="AL893" s="201"/>
      <c r="AM893" s="201"/>
      <c r="AN893" s="201"/>
      <c r="AO893" s="201"/>
    </row>
    <row r="894">
      <c r="A894" s="197"/>
      <c r="B894" s="197"/>
      <c r="C894" s="199"/>
      <c r="D894" s="197"/>
      <c r="E894" s="197"/>
      <c r="F894" s="197"/>
      <c r="G894" s="197"/>
      <c r="H894" s="199"/>
      <c r="I894" s="199"/>
      <c r="J894" s="62"/>
      <c r="K894" s="62"/>
      <c r="L894" s="62"/>
      <c r="M894" s="62"/>
      <c r="N894" s="62"/>
      <c r="O894" s="62"/>
      <c r="P894" s="62"/>
      <c r="Q894" s="62"/>
      <c r="R894" s="62"/>
      <c r="S894" s="62"/>
      <c r="T894" s="62"/>
      <c r="U894" s="74"/>
      <c r="V894" s="62"/>
      <c r="W894" s="74"/>
      <c r="X894" s="62"/>
      <c r="Y894" s="61"/>
      <c r="Z894" s="201"/>
      <c r="AA894" s="201"/>
      <c r="AB894" s="201"/>
      <c r="AC894" s="201"/>
      <c r="AD894" s="201"/>
      <c r="AE894" s="201"/>
      <c r="AF894" s="201"/>
      <c r="AG894" s="201"/>
      <c r="AH894" s="201"/>
      <c r="AI894" s="201"/>
      <c r="AJ894" s="201"/>
      <c r="AK894" s="201"/>
      <c r="AL894" s="201"/>
      <c r="AM894" s="201"/>
      <c r="AN894" s="201"/>
      <c r="AO894" s="201"/>
    </row>
    <row r="895">
      <c r="A895" s="197"/>
      <c r="B895" s="197"/>
      <c r="C895" s="199"/>
      <c r="D895" s="197"/>
      <c r="E895" s="197"/>
      <c r="F895" s="197"/>
      <c r="G895" s="197"/>
      <c r="H895" s="199"/>
      <c r="I895" s="199"/>
      <c r="J895" s="62"/>
      <c r="K895" s="62"/>
      <c r="L895" s="62"/>
      <c r="M895" s="62"/>
      <c r="N895" s="62"/>
      <c r="O895" s="62"/>
      <c r="P895" s="62"/>
      <c r="Q895" s="62"/>
      <c r="R895" s="62"/>
      <c r="S895" s="62"/>
      <c r="T895" s="62"/>
      <c r="U895" s="74"/>
      <c r="V895" s="62"/>
      <c r="W895" s="74"/>
      <c r="X895" s="62"/>
      <c r="Y895" s="61"/>
      <c r="Z895" s="201"/>
      <c r="AA895" s="201"/>
      <c r="AB895" s="201"/>
      <c r="AC895" s="201"/>
      <c r="AD895" s="201"/>
      <c r="AE895" s="201"/>
      <c r="AF895" s="201"/>
      <c r="AG895" s="201"/>
      <c r="AH895" s="201"/>
      <c r="AI895" s="201"/>
      <c r="AJ895" s="201"/>
      <c r="AK895" s="201"/>
      <c r="AL895" s="201"/>
      <c r="AM895" s="201"/>
      <c r="AN895" s="201"/>
      <c r="AO895" s="201"/>
    </row>
    <row r="896">
      <c r="A896" s="197"/>
      <c r="B896" s="197"/>
      <c r="C896" s="199"/>
      <c r="D896" s="197"/>
      <c r="E896" s="197"/>
      <c r="F896" s="197"/>
      <c r="G896" s="197"/>
      <c r="H896" s="199"/>
      <c r="I896" s="199"/>
      <c r="J896" s="62"/>
      <c r="K896" s="62"/>
      <c r="L896" s="62"/>
      <c r="M896" s="62"/>
      <c r="N896" s="62"/>
      <c r="O896" s="62"/>
      <c r="P896" s="62"/>
      <c r="Q896" s="62"/>
      <c r="R896" s="62"/>
      <c r="S896" s="62"/>
      <c r="T896" s="62"/>
      <c r="U896" s="74"/>
      <c r="V896" s="62"/>
      <c r="W896" s="74"/>
      <c r="X896" s="62"/>
      <c r="Y896" s="61"/>
      <c r="Z896" s="201"/>
      <c r="AA896" s="201"/>
      <c r="AB896" s="201"/>
      <c r="AC896" s="201"/>
      <c r="AD896" s="201"/>
      <c r="AE896" s="201"/>
      <c r="AF896" s="201"/>
      <c r="AG896" s="201"/>
      <c r="AH896" s="201"/>
      <c r="AI896" s="201"/>
      <c r="AJ896" s="201"/>
      <c r="AK896" s="201"/>
      <c r="AL896" s="201"/>
      <c r="AM896" s="201"/>
      <c r="AN896" s="201"/>
      <c r="AO896" s="201"/>
    </row>
    <row r="897">
      <c r="A897" s="197"/>
      <c r="B897" s="197"/>
      <c r="C897" s="199"/>
      <c r="D897" s="197"/>
      <c r="E897" s="197"/>
      <c r="F897" s="197"/>
      <c r="G897" s="197"/>
      <c r="H897" s="199"/>
      <c r="I897" s="199"/>
      <c r="J897" s="62"/>
      <c r="K897" s="62"/>
      <c r="L897" s="62"/>
      <c r="M897" s="62"/>
      <c r="N897" s="62"/>
      <c r="O897" s="62"/>
      <c r="P897" s="62"/>
      <c r="Q897" s="62"/>
      <c r="R897" s="62"/>
      <c r="S897" s="62"/>
      <c r="T897" s="62"/>
      <c r="U897" s="74"/>
      <c r="V897" s="62"/>
      <c r="W897" s="74"/>
      <c r="X897" s="62"/>
      <c r="Y897" s="61"/>
      <c r="Z897" s="201"/>
      <c r="AA897" s="201"/>
      <c r="AB897" s="201"/>
      <c r="AC897" s="201"/>
      <c r="AD897" s="201"/>
      <c r="AE897" s="201"/>
      <c r="AF897" s="201"/>
      <c r="AG897" s="201"/>
      <c r="AH897" s="201"/>
      <c r="AI897" s="201"/>
      <c r="AJ897" s="201"/>
      <c r="AK897" s="201"/>
      <c r="AL897" s="201"/>
      <c r="AM897" s="201"/>
      <c r="AN897" s="201"/>
      <c r="AO897" s="201"/>
    </row>
    <row r="898">
      <c r="A898" s="197"/>
      <c r="B898" s="197"/>
      <c r="C898" s="199"/>
      <c r="D898" s="197"/>
      <c r="E898" s="197"/>
      <c r="F898" s="197"/>
      <c r="G898" s="197"/>
      <c r="H898" s="199"/>
      <c r="I898" s="199"/>
      <c r="J898" s="62"/>
      <c r="K898" s="62"/>
      <c r="L898" s="62"/>
      <c r="M898" s="62"/>
      <c r="N898" s="62"/>
      <c r="O898" s="62"/>
      <c r="P898" s="62"/>
      <c r="Q898" s="62"/>
      <c r="R898" s="62"/>
      <c r="S898" s="62"/>
      <c r="T898" s="62"/>
      <c r="U898" s="74"/>
      <c r="V898" s="62"/>
      <c r="W898" s="74"/>
      <c r="X898" s="62"/>
      <c r="Y898" s="61"/>
      <c r="Z898" s="201"/>
      <c r="AA898" s="201"/>
      <c r="AB898" s="201"/>
      <c r="AC898" s="201"/>
      <c r="AD898" s="201"/>
      <c r="AE898" s="201"/>
      <c r="AF898" s="201"/>
      <c r="AG898" s="201"/>
      <c r="AH898" s="201"/>
      <c r="AI898" s="201"/>
      <c r="AJ898" s="201"/>
      <c r="AK898" s="201"/>
      <c r="AL898" s="201"/>
      <c r="AM898" s="201"/>
      <c r="AN898" s="201"/>
      <c r="AO898" s="201"/>
    </row>
    <row r="899">
      <c r="A899" s="197"/>
      <c r="B899" s="197"/>
      <c r="C899" s="199"/>
      <c r="D899" s="197"/>
      <c r="E899" s="197"/>
      <c r="F899" s="197"/>
      <c r="G899" s="197"/>
      <c r="H899" s="199"/>
      <c r="I899" s="199"/>
      <c r="J899" s="62"/>
      <c r="K899" s="62"/>
      <c r="L899" s="62"/>
      <c r="M899" s="62"/>
      <c r="N899" s="62"/>
      <c r="O899" s="62"/>
      <c r="P899" s="62"/>
      <c r="Q899" s="62"/>
      <c r="R899" s="62"/>
      <c r="S899" s="62"/>
      <c r="T899" s="62"/>
      <c r="U899" s="74"/>
      <c r="V899" s="62"/>
      <c r="W899" s="74"/>
      <c r="X899" s="62"/>
      <c r="Y899" s="61"/>
      <c r="Z899" s="201"/>
      <c r="AA899" s="201"/>
      <c r="AB899" s="201"/>
      <c r="AC899" s="201"/>
      <c r="AD899" s="201"/>
      <c r="AE899" s="201"/>
      <c r="AF899" s="201"/>
      <c r="AG899" s="201"/>
      <c r="AH899" s="201"/>
      <c r="AI899" s="201"/>
      <c r="AJ899" s="201"/>
      <c r="AK899" s="201"/>
      <c r="AL899" s="201"/>
      <c r="AM899" s="201"/>
      <c r="AN899" s="201"/>
      <c r="AO899" s="201"/>
    </row>
    <row r="900">
      <c r="A900" s="197"/>
      <c r="B900" s="197"/>
      <c r="C900" s="199"/>
      <c r="D900" s="197"/>
      <c r="E900" s="197"/>
      <c r="F900" s="197"/>
      <c r="G900" s="197"/>
      <c r="H900" s="199"/>
      <c r="I900" s="199"/>
      <c r="J900" s="62"/>
      <c r="K900" s="62"/>
      <c r="L900" s="62"/>
      <c r="M900" s="62"/>
      <c r="N900" s="62"/>
      <c r="O900" s="62"/>
      <c r="P900" s="62"/>
      <c r="Q900" s="62"/>
      <c r="R900" s="62"/>
      <c r="S900" s="62"/>
      <c r="T900" s="62"/>
      <c r="U900" s="74"/>
      <c r="V900" s="62"/>
      <c r="W900" s="74"/>
      <c r="X900" s="62"/>
      <c r="Y900" s="61"/>
      <c r="Z900" s="201"/>
      <c r="AA900" s="201"/>
      <c r="AB900" s="201"/>
      <c r="AC900" s="201"/>
      <c r="AD900" s="201"/>
      <c r="AE900" s="201"/>
      <c r="AF900" s="201"/>
      <c r="AG900" s="201"/>
      <c r="AH900" s="201"/>
      <c r="AI900" s="201"/>
      <c r="AJ900" s="201"/>
      <c r="AK900" s="201"/>
      <c r="AL900" s="201"/>
      <c r="AM900" s="201"/>
      <c r="AN900" s="201"/>
      <c r="AO900" s="201"/>
    </row>
    <row r="901">
      <c r="A901" s="197"/>
      <c r="B901" s="197"/>
      <c r="C901" s="199"/>
      <c r="D901" s="197"/>
      <c r="E901" s="197"/>
      <c r="F901" s="197"/>
      <c r="G901" s="197"/>
      <c r="H901" s="199"/>
      <c r="I901" s="199"/>
      <c r="J901" s="62"/>
      <c r="K901" s="62"/>
      <c r="L901" s="62"/>
      <c r="M901" s="62"/>
      <c r="N901" s="62"/>
      <c r="O901" s="62"/>
      <c r="P901" s="62"/>
      <c r="Q901" s="62"/>
      <c r="R901" s="62"/>
      <c r="S901" s="62"/>
      <c r="T901" s="62"/>
      <c r="U901" s="74"/>
      <c r="V901" s="62"/>
      <c r="W901" s="74"/>
      <c r="X901" s="62"/>
      <c r="Y901" s="61"/>
      <c r="Z901" s="201"/>
      <c r="AA901" s="201"/>
      <c r="AB901" s="201"/>
      <c r="AC901" s="201"/>
      <c r="AD901" s="201"/>
      <c r="AE901" s="201"/>
      <c r="AF901" s="201"/>
      <c r="AG901" s="201"/>
      <c r="AH901" s="201"/>
      <c r="AI901" s="201"/>
      <c r="AJ901" s="201"/>
      <c r="AK901" s="201"/>
      <c r="AL901" s="201"/>
      <c r="AM901" s="201"/>
      <c r="AN901" s="201"/>
      <c r="AO901" s="201"/>
    </row>
    <row r="902">
      <c r="A902" s="197"/>
      <c r="B902" s="197"/>
      <c r="C902" s="199"/>
      <c r="D902" s="197"/>
      <c r="E902" s="197"/>
      <c r="F902" s="197"/>
      <c r="G902" s="197"/>
      <c r="H902" s="199"/>
      <c r="I902" s="199"/>
      <c r="J902" s="62"/>
      <c r="K902" s="62"/>
      <c r="L902" s="62"/>
      <c r="M902" s="62"/>
      <c r="N902" s="62"/>
      <c r="O902" s="62"/>
      <c r="P902" s="62"/>
      <c r="Q902" s="62"/>
      <c r="R902" s="62"/>
      <c r="S902" s="62"/>
      <c r="T902" s="62"/>
      <c r="U902" s="74"/>
      <c r="V902" s="62"/>
      <c r="W902" s="74"/>
      <c r="X902" s="62"/>
      <c r="Y902" s="61"/>
      <c r="Z902" s="201"/>
      <c r="AA902" s="201"/>
      <c r="AB902" s="201"/>
      <c r="AC902" s="201"/>
      <c r="AD902" s="201"/>
      <c r="AE902" s="201"/>
      <c r="AF902" s="201"/>
      <c r="AG902" s="201"/>
      <c r="AH902" s="201"/>
      <c r="AI902" s="201"/>
      <c r="AJ902" s="201"/>
      <c r="AK902" s="201"/>
      <c r="AL902" s="201"/>
      <c r="AM902" s="201"/>
      <c r="AN902" s="201"/>
      <c r="AO902" s="201"/>
    </row>
    <row r="903">
      <c r="A903" s="197"/>
      <c r="B903" s="197"/>
      <c r="C903" s="199"/>
      <c r="D903" s="197"/>
      <c r="E903" s="197"/>
      <c r="F903" s="197"/>
      <c r="G903" s="197"/>
      <c r="H903" s="199"/>
      <c r="I903" s="199"/>
      <c r="J903" s="62"/>
      <c r="K903" s="62"/>
      <c r="L903" s="62"/>
      <c r="M903" s="62"/>
      <c r="N903" s="62"/>
      <c r="O903" s="62"/>
      <c r="P903" s="62"/>
      <c r="Q903" s="62"/>
      <c r="R903" s="62"/>
      <c r="S903" s="62"/>
      <c r="T903" s="62"/>
      <c r="U903" s="74"/>
      <c r="V903" s="62"/>
      <c r="W903" s="74"/>
      <c r="X903" s="62"/>
      <c r="Y903" s="61"/>
      <c r="Z903" s="201"/>
      <c r="AA903" s="201"/>
      <c r="AB903" s="201"/>
      <c r="AC903" s="201"/>
      <c r="AD903" s="201"/>
      <c r="AE903" s="201"/>
      <c r="AF903" s="201"/>
      <c r="AG903" s="201"/>
      <c r="AH903" s="201"/>
      <c r="AI903" s="201"/>
      <c r="AJ903" s="201"/>
      <c r="AK903" s="201"/>
      <c r="AL903" s="201"/>
      <c r="AM903" s="201"/>
      <c r="AN903" s="201"/>
      <c r="AO903" s="201"/>
    </row>
    <row r="904">
      <c r="A904" s="197"/>
      <c r="B904" s="197"/>
      <c r="C904" s="199"/>
      <c r="D904" s="197"/>
      <c r="E904" s="197"/>
      <c r="F904" s="197"/>
      <c r="G904" s="197"/>
      <c r="H904" s="199"/>
      <c r="I904" s="199"/>
      <c r="J904" s="62"/>
      <c r="K904" s="62"/>
      <c r="L904" s="62"/>
      <c r="M904" s="62"/>
      <c r="N904" s="62"/>
      <c r="O904" s="62"/>
      <c r="P904" s="62"/>
      <c r="Q904" s="62"/>
      <c r="R904" s="62"/>
      <c r="S904" s="62"/>
      <c r="T904" s="62"/>
      <c r="U904" s="74"/>
      <c r="V904" s="62"/>
      <c r="W904" s="74"/>
      <c r="X904" s="62"/>
      <c r="Y904" s="61"/>
      <c r="Z904" s="201"/>
      <c r="AA904" s="201"/>
      <c r="AB904" s="201"/>
      <c r="AC904" s="201"/>
      <c r="AD904" s="201"/>
      <c r="AE904" s="201"/>
      <c r="AF904" s="201"/>
      <c r="AG904" s="201"/>
      <c r="AH904" s="201"/>
      <c r="AI904" s="201"/>
      <c r="AJ904" s="201"/>
      <c r="AK904" s="201"/>
      <c r="AL904" s="201"/>
      <c r="AM904" s="201"/>
      <c r="AN904" s="201"/>
      <c r="AO904" s="201"/>
    </row>
    <row r="905">
      <c r="A905" s="197"/>
      <c r="B905" s="197"/>
      <c r="C905" s="199"/>
      <c r="D905" s="197"/>
      <c r="E905" s="197"/>
      <c r="F905" s="197"/>
      <c r="G905" s="197"/>
      <c r="H905" s="199"/>
      <c r="I905" s="199"/>
      <c r="J905" s="62"/>
      <c r="K905" s="62"/>
      <c r="L905" s="62"/>
      <c r="M905" s="62"/>
      <c r="N905" s="62"/>
      <c r="O905" s="62"/>
      <c r="P905" s="62"/>
      <c r="Q905" s="62"/>
      <c r="R905" s="62"/>
      <c r="S905" s="62"/>
      <c r="T905" s="62"/>
      <c r="U905" s="74"/>
      <c r="V905" s="62"/>
      <c r="W905" s="74"/>
      <c r="X905" s="62"/>
      <c r="Y905" s="61"/>
      <c r="Z905" s="201"/>
      <c r="AA905" s="201"/>
      <c r="AB905" s="201"/>
      <c r="AC905" s="201"/>
      <c r="AD905" s="201"/>
      <c r="AE905" s="201"/>
      <c r="AF905" s="201"/>
      <c r="AG905" s="201"/>
      <c r="AH905" s="201"/>
      <c r="AI905" s="201"/>
      <c r="AJ905" s="201"/>
      <c r="AK905" s="201"/>
      <c r="AL905" s="201"/>
      <c r="AM905" s="201"/>
      <c r="AN905" s="201"/>
      <c r="AO905" s="201"/>
    </row>
    <row r="906">
      <c r="A906" s="197"/>
      <c r="B906" s="197"/>
      <c r="C906" s="199"/>
      <c r="D906" s="197"/>
      <c r="E906" s="197"/>
      <c r="F906" s="197"/>
      <c r="G906" s="197"/>
      <c r="H906" s="199"/>
      <c r="I906" s="199"/>
      <c r="J906" s="62"/>
      <c r="K906" s="62"/>
      <c r="L906" s="62"/>
      <c r="M906" s="62"/>
      <c r="N906" s="62"/>
      <c r="O906" s="62"/>
      <c r="P906" s="62"/>
      <c r="Q906" s="62"/>
      <c r="R906" s="62"/>
      <c r="S906" s="62"/>
      <c r="T906" s="62"/>
      <c r="U906" s="74"/>
      <c r="V906" s="62"/>
      <c r="W906" s="74"/>
      <c r="X906" s="62"/>
      <c r="Y906" s="61"/>
      <c r="Z906" s="201"/>
      <c r="AA906" s="201"/>
      <c r="AB906" s="201"/>
      <c r="AC906" s="201"/>
      <c r="AD906" s="201"/>
      <c r="AE906" s="201"/>
      <c r="AF906" s="201"/>
      <c r="AG906" s="201"/>
      <c r="AH906" s="201"/>
      <c r="AI906" s="201"/>
      <c r="AJ906" s="201"/>
      <c r="AK906" s="201"/>
      <c r="AL906" s="201"/>
      <c r="AM906" s="201"/>
      <c r="AN906" s="201"/>
      <c r="AO906" s="201"/>
    </row>
    <row r="907">
      <c r="A907" s="197"/>
      <c r="B907" s="197"/>
      <c r="C907" s="199"/>
      <c r="D907" s="197"/>
      <c r="E907" s="197"/>
      <c r="F907" s="197"/>
      <c r="G907" s="197"/>
      <c r="H907" s="199"/>
      <c r="I907" s="199"/>
      <c r="J907" s="62"/>
      <c r="K907" s="62"/>
      <c r="L907" s="62"/>
      <c r="M907" s="62"/>
      <c r="N907" s="62"/>
      <c r="O907" s="62"/>
      <c r="P907" s="62"/>
      <c r="Q907" s="62"/>
      <c r="R907" s="62"/>
      <c r="S907" s="62"/>
      <c r="T907" s="62"/>
      <c r="U907" s="74"/>
      <c r="V907" s="62"/>
      <c r="W907" s="74"/>
      <c r="X907" s="62"/>
      <c r="Y907" s="61"/>
      <c r="Z907" s="201"/>
      <c r="AA907" s="201"/>
      <c r="AB907" s="201"/>
      <c r="AC907" s="201"/>
      <c r="AD907" s="201"/>
      <c r="AE907" s="201"/>
      <c r="AF907" s="201"/>
      <c r="AG907" s="201"/>
      <c r="AH907" s="201"/>
      <c r="AI907" s="201"/>
      <c r="AJ907" s="201"/>
      <c r="AK907" s="201"/>
      <c r="AL907" s="201"/>
      <c r="AM907" s="201"/>
      <c r="AN907" s="201"/>
      <c r="AO907" s="201"/>
    </row>
    <row r="908">
      <c r="A908" s="197"/>
      <c r="B908" s="197"/>
      <c r="C908" s="199"/>
      <c r="D908" s="197"/>
      <c r="E908" s="197"/>
      <c r="F908" s="197"/>
      <c r="G908" s="197"/>
      <c r="H908" s="199"/>
      <c r="I908" s="199"/>
      <c r="J908" s="62"/>
      <c r="K908" s="62"/>
      <c r="L908" s="62"/>
      <c r="M908" s="62"/>
      <c r="N908" s="62"/>
      <c r="O908" s="62"/>
      <c r="P908" s="62"/>
      <c r="Q908" s="62"/>
      <c r="R908" s="62"/>
      <c r="S908" s="62"/>
      <c r="T908" s="62"/>
      <c r="U908" s="74"/>
      <c r="V908" s="62"/>
      <c r="W908" s="74"/>
      <c r="X908" s="62"/>
      <c r="Y908" s="61"/>
      <c r="Z908" s="201"/>
      <c r="AA908" s="201"/>
      <c r="AB908" s="201"/>
      <c r="AC908" s="201"/>
      <c r="AD908" s="201"/>
      <c r="AE908" s="201"/>
      <c r="AF908" s="201"/>
      <c r="AG908" s="201"/>
      <c r="AH908" s="201"/>
      <c r="AI908" s="201"/>
      <c r="AJ908" s="201"/>
      <c r="AK908" s="201"/>
      <c r="AL908" s="201"/>
      <c r="AM908" s="201"/>
      <c r="AN908" s="201"/>
      <c r="AO908" s="201"/>
    </row>
    <row r="909">
      <c r="A909" s="197"/>
      <c r="B909" s="197"/>
      <c r="C909" s="199"/>
      <c r="D909" s="197"/>
      <c r="E909" s="197"/>
      <c r="F909" s="197"/>
      <c r="G909" s="197"/>
      <c r="H909" s="199"/>
      <c r="I909" s="199"/>
      <c r="J909" s="62"/>
      <c r="K909" s="62"/>
      <c r="L909" s="62"/>
      <c r="M909" s="62"/>
      <c r="N909" s="62"/>
      <c r="O909" s="62"/>
      <c r="P909" s="62"/>
      <c r="Q909" s="62"/>
      <c r="R909" s="62"/>
      <c r="S909" s="62"/>
      <c r="T909" s="62"/>
      <c r="U909" s="74"/>
      <c r="V909" s="62"/>
      <c r="W909" s="74"/>
      <c r="X909" s="62"/>
      <c r="Y909" s="61"/>
      <c r="Z909" s="201"/>
      <c r="AA909" s="201"/>
      <c r="AB909" s="201"/>
      <c r="AC909" s="201"/>
      <c r="AD909" s="201"/>
      <c r="AE909" s="201"/>
      <c r="AF909" s="201"/>
      <c r="AG909" s="201"/>
      <c r="AH909" s="201"/>
      <c r="AI909" s="201"/>
      <c r="AJ909" s="201"/>
      <c r="AK909" s="201"/>
      <c r="AL909" s="201"/>
      <c r="AM909" s="201"/>
      <c r="AN909" s="201"/>
      <c r="AO909" s="201"/>
    </row>
    <row r="910">
      <c r="A910" s="197"/>
      <c r="B910" s="197"/>
      <c r="C910" s="199"/>
      <c r="D910" s="197"/>
      <c r="E910" s="197"/>
      <c r="F910" s="197"/>
      <c r="G910" s="197"/>
      <c r="H910" s="199"/>
      <c r="I910" s="199"/>
      <c r="J910" s="62"/>
      <c r="K910" s="62"/>
      <c r="L910" s="62"/>
      <c r="M910" s="62"/>
      <c r="N910" s="62"/>
      <c r="O910" s="62"/>
      <c r="P910" s="62"/>
      <c r="Q910" s="62"/>
      <c r="R910" s="62"/>
      <c r="S910" s="62"/>
      <c r="T910" s="62"/>
      <c r="U910" s="74"/>
      <c r="V910" s="62"/>
      <c r="W910" s="74"/>
      <c r="X910" s="62"/>
      <c r="Y910" s="61"/>
      <c r="Z910" s="201"/>
      <c r="AA910" s="201"/>
      <c r="AB910" s="201"/>
      <c r="AC910" s="201"/>
      <c r="AD910" s="201"/>
      <c r="AE910" s="201"/>
      <c r="AF910" s="201"/>
      <c r="AG910" s="201"/>
      <c r="AH910" s="201"/>
      <c r="AI910" s="201"/>
      <c r="AJ910" s="201"/>
      <c r="AK910" s="201"/>
      <c r="AL910" s="201"/>
      <c r="AM910" s="201"/>
      <c r="AN910" s="201"/>
      <c r="AO910" s="201"/>
    </row>
    <row r="911">
      <c r="A911" s="197"/>
      <c r="B911" s="197"/>
      <c r="C911" s="199"/>
      <c r="D911" s="197"/>
      <c r="E911" s="197"/>
      <c r="F911" s="197"/>
      <c r="G911" s="197"/>
      <c r="H911" s="199"/>
      <c r="I911" s="199"/>
      <c r="J911" s="62"/>
      <c r="K911" s="62"/>
      <c r="L911" s="62"/>
      <c r="M911" s="62"/>
      <c r="N911" s="62"/>
      <c r="O911" s="62"/>
      <c r="P911" s="62"/>
      <c r="Q911" s="62"/>
      <c r="R911" s="62"/>
      <c r="S911" s="62"/>
      <c r="T911" s="62"/>
      <c r="U911" s="74"/>
      <c r="V911" s="62"/>
      <c r="W911" s="74"/>
      <c r="X911" s="62"/>
      <c r="Y911" s="61"/>
      <c r="Z911" s="201"/>
      <c r="AA911" s="201"/>
      <c r="AB911" s="201"/>
      <c r="AC911" s="201"/>
      <c r="AD911" s="201"/>
      <c r="AE911" s="201"/>
      <c r="AF911" s="201"/>
      <c r="AG911" s="201"/>
      <c r="AH911" s="201"/>
      <c r="AI911" s="201"/>
      <c r="AJ911" s="201"/>
      <c r="AK911" s="201"/>
      <c r="AL911" s="201"/>
      <c r="AM911" s="201"/>
      <c r="AN911" s="201"/>
      <c r="AO911" s="201"/>
    </row>
    <row r="912">
      <c r="A912" s="197"/>
      <c r="B912" s="197"/>
      <c r="C912" s="199"/>
      <c r="D912" s="197"/>
      <c r="E912" s="197"/>
      <c r="F912" s="197"/>
      <c r="G912" s="197"/>
      <c r="H912" s="199"/>
      <c r="I912" s="199"/>
      <c r="J912" s="62"/>
      <c r="K912" s="62"/>
      <c r="L912" s="62"/>
      <c r="M912" s="62"/>
      <c r="N912" s="62"/>
      <c r="O912" s="62"/>
      <c r="P912" s="62"/>
      <c r="Q912" s="62"/>
      <c r="R912" s="62"/>
      <c r="S912" s="62"/>
      <c r="T912" s="62"/>
      <c r="U912" s="74"/>
      <c r="V912" s="62"/>
      <c r="W912" s="74"/>
      <c r="X912" s="62"/>
      <c r="Y912" s="61"/>
      <c r="Z912" s="201"/>
      <c r="AA912" s="201"/>
      <c r="AB912" s="201"/>
      <c r="AC912" s="201"/>
      <c r="AD912" s="201"/>
      <c r="AE912" s="201"/>
      <c r="AF912" s="201"/>
      <c r="AG912" s="201"/>
      <c r="AH912" s="201"/>
      <c r="AI912" s="201"/>
      <c r="AJ912" s="201"/>
      <c r="AK912" s="201"/>
      <c r="AL912" s="201"/>
      <c r="AM912" s="201"/>
      <c r="AN912" s="201"/>
      <c r="AO912" s="201"/>
    </row>
    <row r="913">
      <c r="A913" s="197"/>
      <c r="B913" s="197"/>
      <c r="C913" s="199"/>
      <c r="D913" s="197"/>
      <c r="E913" s="197"/>
      <c r="F913" s="197"/>
      <c r="G913" s="197"/>
      <c r="H913" s="199"/>
      <c r="I913" s="199"/>
      <c r="J913" s="62"/>
      <c r="K913" s="62"/>
      <c r="L913" s="62"/>
      <c r="M913" s="62"/>
      <c r="N913" s="62"/>
      <c r="O913" s="62"/>
      <c r="P913" s="62"/>
      <c r="Q913" s="62"/>
      <c r="R913" s="62"/>
      <c r="S913" s="62"/>
      <c r="T913" s="62"/>
      <c r="U913" s="74"/>
      <c r="V913" s="62"/>
      <c r="W913" s="74"/>
      <c r="X913" s="62"/>
      <c r="Y913" s="61"/>
      <c r="Z913" s="201"/>
      <c r="AA913" s="201"/>
      <c r="AB913" s="201"/>
      <c r="AC913" s="201"/>
      <c r="AD913" s="201"/>
      <c r="AE913" s="201"/>
      <c r="AF913" s="201"/>
      <c r="AG913" s="201"/>
      <c r="AH913" s="201"/>
      <c r="AI913" s="201"/>
      <c r="AJ913" s="201"/>
      <c r="AK913" s="201"/>
      <c r="AL913" s="201"/>
      <c r="AM913" s="201"/>
      <c r="AN913" s="201"/>
      <c r="AO913" s="201"/>
    </row>
    <row r="914">
      <c r="A914" s="197"/>
      <c r="B914" s="197"/>
      <c r="C914" s="199"/>
      <c r="D914" s="197"/>
      <c r="E914" s="197"/>
      <c r="F914" s="197"/>
      <c r="G914" s="197"/>
      <c r="H914" s="199"/>
      <c r="I914" s="199"/>
      <c r="J914" s="62"/>
      <c r="K914" s="62"/>
      <c r="L914" s="62"/>
      <c r="M914" s="62"/>
      <c r="N914" s="62"/>
      <c r="O914" s="62"/>
      <c r="P914" s="62"/>
      <c r="Q914" s="62"/>
      <c r="R914" s="62"/>
      <c r="S914" s="62"/>
      <c r="T914" s="62"/>
      <c r="U914" s="74"/>
      <c r="V914" s="62"/>
      <c r="W914" s="74"/>
      <c r="X914" s="62"/>
      <c r="Y914" s="61"/>
      <c r="Z914" s="201"/>
      <c r="AA914" s="201"/>
      <c r="AB914" s="201"/>
      <c r="AC914" s="201"/>
      <c r="AD914" s="201"/>
      <c r="AE914" s="201"/>
      <c r="AF914" s="201"/>
      <c r="AG914" s="201"/>
      <c r="AH914" s="201"/>
      <c r="AI914" s="201"/>
      <c r="AJ914" s="201"/>
      <c r="AK914" s="201"/>
      <c r="AL914" s="201"/>
      <c r="AM914" s="201"/>
      <c r="AN914" s="201"/>
      <c r="AO914" s="201"/>
    </row>
    <row r="915">
      <c r="A915" s="197"/>
      <c r="B915" s="197"/>
      <c r="C915" s="199"/>
      <c r="D915" s="197"/>
      <c r="E915" s="197"/>
      <c r="F915" s="197"/>
      <c r="G915" s="197"/>
      <c r="H915" s="199"/>
      <c r="I915" s="199"/>
      <c r="J915" s="62"/>
      <c r="K915" s="62"/>
      <c r="L915" s="62"/>
      <c r="M915" s="62"/>
      <c r="N915" s="62"/>
      <c r="O915" s="62"/>
      <c r="P915" s="62"/>
      <c r="Q915" s="62"/>
      <c r="R915" s="62"/>
      <c r="S915" s="62"/>
      <c r="T915" s="62"/>
      <c r="U915" s="74"/>
      <c r="V915" s="62"/>
      <c r="W915" s="74"/>
      <c r="X915" s="62"/>
      <c r="Y915" s="61"/>
      <c r="Z915" s="201"/>
      <c r="AA915" s="201"/>
      <c r="AB915" s="201"/>
      <c r="AC915" s="201"/>
      <c r="AD915" s="201"/>
      <c r="AE915" s="201"/>
      <c r="AF915" s="201"/>
      <c r="AG915" s="201"/>
      <c r="AH915" s="201"/>
      <c r="AI915" s="201"/>
      <c r="AJ915" s="201"/>
      <c r="AK915" s="201"/>
      <c r="AL915" s="201"/>
      <c r="AM915" s="201"/>
      <c r="AN915" s="201"/>
      <c r="AO915" s="201"/>
    </row>
    <row r="916">
      <c r="A916" s="197"/>
      <c r="B916" s="197"/>
      <c r="C916" s="199"/>
      <c r="D916" s="197"/>
      <c r="E916" s="197"/>
      <c r="F916" s="197"/>
      <c r="G916" s="197"/>
      <c r="H916" s="199"/>
      <c r="I916" s="199"/>
      <c r="J916" s="62"/>
      <c r="K916" s="62"/>
      <c r="L916" s="62"/>
      <c r="M916" s="62"/>
      <c r="N916" s="62"/>
      <c r="O916" s="62"/>
      <c r="P916" s="62"/>
      <c r="Q916" s="62"/>
      <c r="R916" s="62"/>
      <c r="S916" s="62"/>
      <c r="T916" s="62"/>
      <c r="U916" s="74"/>
      <c r="V916" s="62"/>
      <c r="W916" s="74"/>
      <c r="X916" s="62"/>
      <c r="Y916" s="61"/>
      <c r="Z916" s="201"/>
      <c r="AA916" s="201"/>
      <c r="AB916" s="201"/>
      <c r="AC916" s="201"/>
      <c r="AD916" s="201"/>
      <c r="AE916" s="201"/>
      <c r="AF916" s="201"/>
      <c r="AG916" s="201"/>
      <c r="AH916" s="201"/>
      <c r="AI916" s="201"/>
      <c r="AJ916" s="201"/>
      <c r="AK916" s="201"/>
      <c r="AL916" s="201"/>
      <c r="AM916" s="201"/>
      <c r="AN916" s="201"/>
      <c r="AO916" s="201"/>
    </row>
    <row r="917">
      <c r="A917" s="197"/>
      <c r="B917" s="197"/>
      <c r="C917" s="199"/>
      <c r="D917" s="197"/>
      <c r="E917" s="197"/>
      <c r="F917" s="197"/>
      <c r="G917" s="197"/>
      <c r="H917" s="199"/>
      <c r="I917" s="199"/>
      <c r="J917" s="62"/>
      <c r="K917" s="62"/>
      <c r="L917" s="62"/>
      <c r="M917" s="62"/>
      <c r="N917" s="62"/>
      <c r="O917" s="62"/>
      <c r="P917" s="62"/>
      <c r="Q917" s="62"/>
      <c r="R917" s="62"/>
      <c r="S917" s="62"/>
      <c r="T917" s="62"/>
      <c r="U917" s="74"/>
      <c r="V917" s="62"/>
      <c r="W917" s="74"/>
      <c r="X917" s="62"/>
      <c r="Y917" s="61"/>
      <c r="Z917" s="201"/>
      <c r="AA917" s="201"/>
      <c r="AB917" s="201"/>
      <c r="AC917" s="201"/>
      <c r="AD917" s="201"/>
      <c r="AE917" s="201"/>
      <c r="AF917" s="201"/>
      <c r="AG917" s="201"/>
      <c r="AH917" s="201"/>
      <c r="AI917" s="201"/>
      <c r="AJ917" s="201"/>
      <c r="AK917" s="201"/>
      <c r="AL917" s="201"/>
      <c r="AM917" s="201"/>
      <c r="AN917" s="201"/>
      <c r="AO917" s="201"/>
    </row>
    <row r="918">
      <c r="A918" s="197"/>
      <c r="B918" s="197"/>
      <c r="C918" s="199"/>
      <c r="D918" s="197"/>
      <c r="E918" s="197"/>
      <c r="F918" s="197"/>
      <c r="G918" s="197"/>
      <c r="H918" s="199"/>
      <c r="I918" s="199"/>
      <c r="J918" s="62"/>
      <c r="K918" s="62"/>
      <c r="L918" s="62"/>
      <c r="M918" s="62"/>
      <c r="N918" s="62"/>
      <c r="O918" s="62"/>
      <c r="P918" s="62"/>
      <c r="Q918" s="62"/>
      <c r="R918" s="62"/>
      <c r="S918" s="62"/>
      <c r="T918" s="62"/>
      <c r="U918" s="74"/>
      <c r="V918" s="62"/>
      <c r="W918" s="74"/>
      <c r="X918" s="62"/>
      <c r="Y918" s="61"/>
      <c r="Z918" s="201"/>
      <c r="AA918" s="201"/>
      <c r="AB918" s="201"/>
      <c r="AC918" s="201"/>
      <c r="AD918" s="201"/>
      <c r="AE918" s="201"/>
      <c r="AF918" s="201"/>
      <c r="AG918" s="201"/>
      <c r="AH918" s="201"/>
      <c r="AI918" s="201"/>
      <c r="AJ918" s="201"/>
      <c r="AK918" s="201"/>
      <c r="AL918" s="201"/>
      <c r="AM918" s="201"/>
      <c r="AN918" s="201"/>
      <c r="AO918" s="201"/>
    </row>
    <row r="919">
      <c r="A919" s="197"/>
      <c r="B919" s="197"/>
      <c r="C919" s="199"/>
      <c r="D919" s="197"/>
      <c r="E919" s="197"/>
      <c r="F919" s="197"/>
      <c r="G919" s="197"/>
      <c r="H919" s="199"/>
      <c r="I919" s="199"/>
      <c r="J919" s="62"/>
      <c r="K919" s="62"/>
      <c r="L919" s="62"/>
      <c r="M919" s="62"/>
      <c r="N919" s="62"/>
      <c r="O919" s="62"/>
      <c r="P919" s="62"/>
      <c r="Q919" s="62"/>
      <c r="R919" s="62"/>
      <c r="S919" s="62"/>
      <c r="T919" s="62"/>
      <c r="U919" s="74"/>
      <c r="V919" s="62"/>
      <c r="W919" s="74"/>
      <c r="X919" s="62"/>
      <c r="Y919" s="61"/>
      <c r="Z919" s="201"/>
      <c r="AA919" s="201"/>
      <c r="AB919" s="201"/>
      <c r="AC919" s="201"/>
      <c r="AD919" s="201"/>
      <c r="AE919" s="201"/>
      <c r="AF919" s="201"/>
      <c r="AG919" s="201"/>
      <c r="AH919" s="201"/>
      <c r="AI919" s="201"/>
      <c r="AJ919" s="201"/>
      <c r="AK919" s="201"/>
      <c r="AL919" s="201"/>
      <c r="AM919" s="201"/>
      <c r="AN919" s="201"/>
      <c r="AO919" s="201"/>
    </row>
    <row r="920">
      <c r="A920" s="197"/>
      <c r="B920" s="197"/>
      <c r="C920" s="199"/>
      <c r="D920" s="197"/>
      <c r="E920" s="197"/>
      <c r="F920" s="197"/>
      <c r="G920" s="197"/>
      <c r="H920" s="199"/>
      <c r="I920" s="199"/>
      <c r="J920" s="62"/>
      <c r="K920" s="62"/>
      <c r="L920" s="62"/>
      <c r="M920" s="62"/>
      <c r="N920" s="62"/>
      <c r="O920" s="62"/>
      <c r="P920" s="62"/>
      <c r="Q920" s="62"/>
      <c r="R920" s="62"/>
      <c r="S920" s="62"/>
      <c r="T920" s="62"/>
      <c r="U920" s="74"/>
      <c r="V920" s="62"/>
      <c r="W920" s="74"/>
      <c r="X920" s="62"/>
      <c r="Y920" s="61"/>
      <c r="Z920" s="201"/>
      <c r="AA920" s="201"/>
      <c r="AB920" s="201"/>
      <c r="AC920" s="201"/>
      <c r="AD920" s="201"/>
      <c r="AE920" s="201"/>
      <c r="AF920" s="201"/>
      <c r="AG920" s="201"/>
      <c r="AH920" s="201"/>
      <c r="AI920" s="201"/>
      <c r="AJ920" s="201"/>
      <c r="AK920" s="201"/>
      <c r="AL920" s="201"/>
      <c r="AM920" s="201"/>
      <c r="AN920" s="201"/>
      <c r="AO920" s="201"/>
    </row>
    <row r="921">
      <c r="A921" s="197"/>
      <c r="B921" s="197"/>
      <c r="C921" s="199"/>
      <c r="D921" s="197"/>
      <c r="E921" s="197"/>
      <c r="F921" s="197"/>
      <c r="G921" s="197"/>
      <c r="H921" s="199"/>
      <c r="I921" s="199"/>
      <c r="J921" s="62"/>
      <c r="K921" s="62"/>
      <c r="L921" s="62"/>
      <c r="M921" s="62"/>
      <c r="N921" s="62"/>
      <c r="O921" s="62"/>
      <c r="P921" s="62"/>
      <c r="Q921" s="62"/>
      <c r="R921" s="62"/>
      <c r="S921" s="62"/>
      <c r="T921" s="62"/>
      <c r="U921" s="74"/>
      <c r="V921" s="62"/>
      <c r="W921" s="74"/>
      <c r="X921" s="62"/>
      <c r="Y921" s="61"/>
      <c r="Z921" s="201"/>
      <c r="AA921" s="201"/>
      <c r="AB921" s="201"/>
      <c r="AC921" s="201"/>
      <c r="AD921" s="201"/>
      <c r="AE921" s="201"/>
      <c r="AF921" s="201"/>
      <c r="AG921" s="201"/>
      <c r="AH921" s="201"/>
      <c r="AI921" s="201"/>
      <c r="AJ921" s="201"/>
      <c r="AK921" s="201"/>
      <c r="AL921" s="201"/>
      <c r="AM921" s="201"/>
      <c r="AN921" s="201"/>
      <c r="AO921" s="201"/>
    </row>
    <row r="922">
      <c r="A922" s="197"/>
      <c r="B922" s="197"/>
      <c r="C922" s="199"/>
      <c r="D922" s="197"/>
      <c r="E922" s="197"/>
      <c r="F922" s="197"/>
      <c r="G922" s="197"/>
      <c r="H922" s="199"/>
      <c r="I922" s="199"/>
      <c r="J922" s="62"/>
      <c r="K922" s="62"/>
      <c r="L922" s="62"/>
      <c r="M922" s="62"/>
      <c r="N922" s="62"/>
      <c r="O922" s="62"/>
      <c r="P922" s="62"/>
      <c r="Q922" s="62"/>
      <c r="R922" s="62"/>
      <c r="S922" s="62"/>
      <c r="T922" s="62"/>
      <c r="U922" s="74"/>
      <c r="V922" s="62"/>
      <c r="W922" s="74"/>
      <c r="X922" s="62"/>
      <c r="Y922" s="61"/>
      <c r="Z922" s="201"/>
      <c r="AA922" s="201"/>
      <c r="AB922" s="201"/>
      <c r="AC922" s="201"/>
      <c r="AD922" s="201"/>
      <c r="AE922" s="201"/>
      <c r="AF922" s="201"/>
      <c r="AG922" s="201"/>
      <c r="AH922" s="201"/>
      <c r="AI922" s="201"/>
      <c r="AJ922" s="201"/>
      <c r="AK922" s="201"/>
      <c r="AL922" s="201"/>
      <c r="AM922" s="201"/>
      <c r="AN922" s="201"/>
      <c r="AO922" s="201"/>
    </row>
    <row r="923">
      <c r="A923" s="197"/>
      <c r="B923" s="197"/>
      <c r="C923" s="199"/>
      <c r="D923" s="197"/>
      <c r="E923" s="197"/>
      <c r="F923" s="197"/>
      <c r="G923" s="197"/>
      <c r="H923" s="199"/>
      <c r="I923" s="199"/>
      <c r="J923" s="62"/>
      <c r="K923" s="62"/>
      <c r="L923" s="62"/>
      <c r="M923" s="62"/>
      <c r="N923" s="62"/>
      <c r="O923" s="62"/>
      <c r="P923" s="62"/>
      <c r="Q923" s="62"/>
      <c r="R923" s="62"/>
      <c r="S923" s="62"/>
      <c r="T923" s="62"/>
      <c r="U923" s="74"/>
      <c r="V923" s="62"/>
      <c r="W923" s="74"/>
      <c r="X923" s="62"/>
      <c r="Y923" s="61"/>
      <c r="Z923" s="201"/>
      <c r="AA923" s="201"/>
      <c r="AB923" s="201"/>
      <c r="AC923" s="201"/>
      <c r="AD923" s="201"/>
      <c r="AE923" s="201"/>
      <c r="AF923" s="201"/>
      <c r="AG923" s="201"/>
      <c r="AH923" s="201"/>
      <c r="AI923" s="201"/>
      <c r="AJ923" s="201"/>
      <c r="AK923" s="201"/>
      <c r="AL923" s="201"/>
      <c r="AM923" s="201"/>
      <c r="AN923" s="201"/>
      <c r="AO923" s="201"/>
    </row>
    <row r="924">
      <c r="A924" s="197"/>
      <c r="B924" s="197"/>
      <c r="C924" s="199"/>
      <c r="D924" s="197"/>
      <c r="E924" s="197"/>
      <c r="F924" s="197"/>
      <c r="G924" s="197"/>
      <c r="H924" s="199"/>
      <c r="I924" s="199"/>
      <c r="J924" s="62"/>
      <c r="K924" s="62"/>
      <c r="L924" s="62"/>
      <c r="M924" s="62"/>
      <c r="N924" s="62"/>
      <c r="O924" s="62"/>
      <c r="P924" s="62"/>
      <c r="Q924" s="62"/>
      <c r="R924" s="62"/>
      <c r="S924" s="62"/>
      <c r="T924" s="62"/>
      <c r="U924" s="74"/>
      <c r="V924" s="62"/>
      <c r="W924" s="74"/>
      <c r="X924" s="62"/>
      <c r="Y924" s="61"/>
      <c r="Z924" s="201"/>
      <c r="AA924" s="201"/>
      <c r="AB924" s="201"/>
      <c r="AC924" s="201"/>
      <c r="AD924" s="201"/>
      <c r="AE924" s="201"/>
      <c r="AF924" s="201"/>
      <c r="AG924" s="201"/>
      <c r="AH924" s="201"/>
      <c r="AI924" s="201"/>
      <c r="AJ924" s="201"/>
      <c r="AK924" s="201"/>
      <c r="AL924" s="201"/>
      <c r="AM924" s="201"/>
      <c r="AN924" s="201"/>
      <c r="AO924" s="201"/>
    </row>
    <row r="925">
      <c r="A925" s="197"/>
      <c r="B925" s="197"/>
      <c r="C925" s="199"/>
      <c r="D925" s="197"/>
      <c r="E925" s="197"/>
      <c r="F925" s="197"/>
      <c r="G925" s="197"/>
      <c r="H925" s="199"/>
      <c r="I925" s="199"/>
      <c r="J925" s="62"/>
      <c r="K925" s="62"/>
      <c r="L925" s="62"/>
      <c r="M925" s="62"/>
      <c r="N925" s="62"/>
      <c r="O925" s="62"/>
      <c r="P925" s="62"/>
      <c r="Q925" s="62"/>
      <c r="R925" s="62"/>
      <c r="S925" s="62"/>
      <c r="T925" s="62"/>
      <c r="U925" s="74"/>
      <c r="V925" s="62"/>
      <c r="W925" s="74"/>
      <c r="X925" s="62"/>
      <c r="Y925" s="61"/>
      <c r="Z925" s="201"/>
      <c r="AA925" s="201"/>
      <c r="AB925" s="201"/>
      <c r="AC925" s="201"/>
      <c r="AD925" s="201"/>
      <c r="AE925" s="201"/>
      <c r="AF925" s="201"/>
      <c r="AG925" s="201"/>
      <c r="AH925" s="201"/>
      <c r="AI925" s="201"/>
      <c r="AJ925" s="201"/>
      <c r="AK925" s="201"/>
      <c r="AL925" s="201"/>
      <c r="AM925" s="201"/>
      <c r="AN925" s="201"/>
      <c r="AO925" s="201"/>
    </row>
    <row r="926">
      <c r="A926" s="197"/>
      <c r="B926" s="197"/>
      <c r="C926" s="199"/>
      <c r="D926" s="197"/>
      <c r="E926" s="197"/>
      <c r="F926" s="197"/>
      <c r="G926" s="197"/>
      <c r="H926" s="199"/>
      <c r="I926" s="199"/>
      <c r="J926" s="62"/>
      <c r="K926" s="62"/>
      <c r="L926" s="62"/>
      <c r="M926" s="62"/>
      <c r="N926" s="62"/>
      <c r="O926" s="62"/>
      <c r="P926" s="62"/>
      <c r="Q926" s="62"/>
      <c r="R926" s="62"/>
      <c r="S926" s="62"/>
      <c r="T926" s="62"/>
      <c r="U926" s="74"/>
      <c r="V926" s="62"/>
      <c r="W926" s="74"/>
      <c r="X926" s="62"/>
      <c r="Y926" s="61"/>
      <c r="Z926" s="201"/>
      <c r="AA926" s="201"/>
      <c r="AB926" s="201"/>
      <c r="AC926" s="201"/>
      <c r="AD926" s="201"/>
      <c r="AE926" s="201"/>
      <c r="AF926" s="201"/>
      <c r="AG926" s="201"/>
      <c r="AH926" s="201"/>
      <c r="AI926" s="201"/>
      <c r="AJ926" s="201"/>
      <c r="AK926" s="201"/>
      <c r="AL926" s="201"/>
      <c r="AM926" s="201"/>
      <c r="AN926" s="201"/>
      <c r="AO926" s="201"/>
    </row>
    <row r="927">
      <c r="A927" s="197"/>
      <c r="B927" s="197"/>
      <c r="C927" s="199"/>
      <c r="D927" s="197"/>
      <c r="E927" s="197"/>
      <c r="F927" s="197"/>
      <c r="G927" s="197"/>
      <c r="H927" s="199"/>
      <c r="I927" s="199"/>
      <c r="J927" s="62"/>
      <c r="K927" s="62"/>
      <c r="L927" s="62"/>
      <c r="M927" s="62"/>
      <c r="N927" s="62"/>
      <c r="O927" s="62"/>
      <c r="P927" s="62"/>
      <c r="Q927" s="62"/>
      <c r="R927" s="62"/>
      <c r="S927" s="62"/>
      <c r="T927" s="62"/>
      <c r="U927" s="74"/>
      <c r="V927" s="62"/>
      <c r="W927" s="74"/>
      <c r="X927" s="62"/>
      <c r="Y927" s="61"/>
      <c r="Z927" s="201"/>
      <c r="AA927" s="201"/>
      <c r="AB927" s="201"/>
      <c r="AC927" s="201"/>
      <c r="AD927" s="201"/>
      <c r="AE927" s="201"/>
      <c r="AF927" s="201"/>
      <c r="AG927" s="201"/>
      <c r="AH927" s="201"/>
      <c r="AI927" s="201"/>
      <c r="AJ927" s="201"/>
      <c r="AK927" s="201"/>
      <c r="AL927" s="201"/>
      <c r="AM927" s="201"/>
      <c r="AN927" s="201"/>
      <c r="AO927" s="201"/>
    </row>
    <row r="928">
      <c r="A928" s="197"/>
      <c r="B928" s="197"/>
      <c r="C928" s="199"/>
      <c r="D928" s="197"/>
      <c r="E928" s="197"/>
      <c r="F928" s="197"/>
      <c r="G928" s="197"/>
      <c r="H928" s="199"/>
      <c r="I928" s="199"/>
      <c r="J928" s="62"/>
      <c r="K928" s="62"/>
      <c r="L928" s="62"/>
      <c r="M928" s="62"/>
      <c r="N928" s="62"/>
      <c r="O928" s="62"/>
      <c r="P928" s="62"/>
      <c r="Q928" s="62"/>
      <c r="R928" s="62"/>
      <c r="S928" s="62"/>
      <c r="T928" s="62"/>
      <c r="U928" s="74"/>
      <c r="V928" s="62"/>
      <c r="W928" s="74"/>
      <c r="X928" s="62"/>
      <c r="Y928" s="61"/>
      <c r="Z928" s="201"/>
      <c r="AA928" s="201"/>
      <c r="AB928" s="201"/>
      <c r="AC928" s="201"/>
      <c r="AD928" s="201"/>
      <c r="AE928" s="201"/>
      <c r="AF928" s="201"/>
      <c r="AG928" s="201"/>
      <c r="AH928" s="201"/>
      <c r="AI928" s="201"/>
      <c r="AJ928" s="201"/>
      <c r="AK928" s="201"/>
      <c r="AL928" s="201"/>
      <c r="AM928" s="201"/>
      <c r="AN928" s="201"/>
      <c r="AO928" s="201"/>
    </row>
    <row r="929">
      <c r="A929" s="197"/>
      <c r="B929" s="197"/>
      <c r="C929" s="199"/>
      <c r="D929" s="197"/>
      <c r="E929" s="197"/>
      <c r="F929" s="197"/>
      <c r="G929" s="197"/>
      <c r="H929" s="199"/>
      <c r="I929" s="199"/>
      <c r="J929" s="62"/>
      <c r="K929" s="62"/>
      <c r="L929" s="62"/>
      <c r="M929" s="62"/>
      <c r="N929" s="62"/>
      <c r="O929" s="62"/>
      <c r="P929" s="62"/>
      <c r="Q929" s="62"/>
      <c r="R929" s="62"/>
      <c r="S929" s="62"/>
      <c r="T929" s="62"/>
      <c r="U929" s="74"/>
      <c r="V929" s="62"/>
      <c r="W929" s="74"/>
      <c r="X929" s="62"/>
      <c r="Y929" s="61"/>
      <c r="Z929" s="201"/>
      <c r="AA929" s="201"/>
      <c r="AB929" s="201"/>
      <c r="AC929" s="201"/>
      <c r="AD929" s="201"/>
      <c r="AE929" s="201"/>
      <c r="AF929" s="201"/>
      <c r="AG929" s="201"/>
      <c r="AH929" s="201"/>
      <c r="AI929" s="201"/>
      <c r="AJ929" s="201"/>
      <c r="AK929" s="201"/>
      <c r="AL929" s="201"/>
      <c r="AM929" s="201"/>
      <c r="AN929" s="201"/>
      <c r="AO929" s="201"/>
    </row>
    <row r="930">
      <c r="A930" s="197"/>
      <c r="B930" s="197"/>
      <c r="C930" s="199"/>
      <c r="D930" s="197"/>
      <c r="E930" s="197"/>
      <c r="F930" s="197"/>
      <c r="G930" s="197"/>
      <c r="H930" s="199"/>
      <c r="I930" s="199"/>
      <c r="J930" s="62"/>
      <c r="K930" s="62"/>
      <c r="L930" s="62"/>
      <c r="M930" s="62"/>
      <c r="N930" s="62"/>
      <c r="O930" s="62"/>
      <c r="P930" s="62"/>
      <c r="Q930" s="62"/>
      <c r="R930" s="62"/>
      <c r="S930" s="62"/>
      <c r="T930" s="62"/>
      <c r="U930" s="74"/>
      <c r="V930" s="62"/>
      <c r="W930" s="74"/>
      <c r="X930" s="62"/>
      <c r="Y930" s="61"/>
      <c r="Z930" s="201"/>
      <c r="AA930" s="201"/>
      <c r="AB930" s="201"/>
      <c r="AC930" s="201"/>
      <c r="AD930" s="201"/>
      <c r="AE930" s="201"/>
      <c r="AF930" s="201"/>
      <c r="AG930" s="201"/>
      <c r="AH930" s="201"/>
      <c r="AI930" s="201"/>
      <c r="AJ930" s="201"/>
      <c r="AK930" s="201"/>
      <c r="AL930" s="201"/>
      <c r="AM930" s="201"/>
      <c r="AN930" s="201"/>
      <c r="AO930" s="201"/>
    </row>
    <row r="931">
      <c r="A931" s="197"/>
      <c r="B931" s="197"/>
      <c r="C931" s="199"/>
      <c r="D931" s="197"/>
      <c r="E931" s="197"/>
      <c r="F931" s="197"/>
      <c r="G931" s="197"/>
      <c r="H931" s="199"/>
      <c r="I931" s="199"/>
      <c r="J931" s="62"/>
      <c r="K931" s="62"/>
      <c r="L931" s="62"/>
      <c r="M931" s="62"/>
      <c r="N931" s="62"/>
      <c r="O931" s="62"/>
      <c r="P931" s="62"/>
      <c r="Q931" s="62"/>
      <c r="R931" s="62"/>
      <c r="S931" s="62"/>
      <c r="T931" s="62"/>
      <c r="U931" s="74"/>
      <c r="V931" s="62"/>
      <c r="W931" s="74"/>
      <c r="X931" s="62"/>
      <c r="Y931" s="61"/>
      <c r="Z931" s="201"/>
      <c r="AA931" s="201"/>
      <c r="AB931" s="201"/>
      <c r="AC931" s="201"/>
      <c r="AD931" s="201"/>
      <c r="AE931" s="201"/>
      <c r="AF931" s="201"/>
      <c r="AG931" s="201"/>
      <c r="AH931" s="201"/>
      <c r="AI931" s="201"/>
      <c r="AJ931" s="201"/>
      <c r="AK931" s="201"/>
      <c r="AL931" s="201"/>
      <c r="AM931" s="201"/>
      <c r="AN931" s="201"/>
      <c r="AO931" s="201"/>
    </row>
    <row r="932">
      <c r="A932" s="197"/>
      <c r="B932" s="197"/>
      <c r="C932" s="199"/>
      <c r="D932" s="197"/>
      <c r="E932" s="197"/>
      <c r="F932" s="197"/>
      <c r="G932" s="197"/>
      <c r="H932" s="199"/>
      <c r="I932" s="199"/>
      <c r="J932" s="62"/>
      <c r="K932" s="62"/>
      <c r="L932" s="62"/>
      <c r="M932" s="62"/>
      <c r="N932" s="62"/>
      <c r="O932" s="62"/>
      <c r="P932" s="62"/>
      <c r="Q932" s="62"/>
      <c r="R932" s="62"/>
      <c r="S932" s="62"/>
      <c r="T932" s="62"/>
      <c r="U932" s="74"/>
      <c r="V932" s="62"/>
      <c r="W932" s="74"/>
      <c r="X932" s="62"/>
      <c r="Y932" s="61"/>
      <c r="Z932" s="201"/>
      <c r="AA932" s="201"/>
      <c r="AB932" s="201"/>
      <c r="AC932" s="201"/>
      <c r="AD932" s="201"/>
      <c r="AE932" s="201"/>
      <c r="AF932" s="201"/>
      <c r="AG932" s="201"/>
      <c r="AH932" s="201"/>
      <c r="AI932" s="201"/>
      <c r="AJ932" s="201"/>
      <c r="AK932" s="201"/>
      <c r="AL932" s="201"/>
      <c r="AM932" s="201"/>
      <c r="AN932" s="201"/>
      <c r="AO932" s="201"/>
    </row>
    <row r="933">
      <c r="A933" s="197"/>
      <c r="B933" s="197"/>
      <c r="C933" s="199"/>
      <c r="D933" s="197"/>
      <c r="E933" s="197"/>
      <c r="F933" s="197"/>
      <c r="G933" s="197"/>
      <c r="H933" s="199"/>
      <c r="I933" s="199"/>
      <c r="J933" s="62"/>
      <c r="K933" s="62"/>
      <c r="L933" s="62"/>
      <c r="M933" s="62"/>
      <c r="N933" s="62"/>
      <c r="O933" s="62"/>
      <c r="P933" s="62"/>
      <c r="Q933" s="62"/>
      <c r="R933" s="62"/>
      <c r="S933" s="62"/>
      <c r="T933" s="62"/>
      <c r="U933" s="74"/>
      <c r="V933" s="62"/>
      <c r="W933" s="74"/>
      <c r="X933" s="62"/>
      <c r="Y933" s="61"/>
      <c r="Z933" s="201"/>
      <c r="AA933" s="201"/>
      <c r="AB933" s="201"/>
      <c r="AC933" s="201"/>
      <c r="AD933" s="201"/>
      <c r="AE933" s="201"/>
      <c r="AF933" s="201"/>
      <c r="AG933" s="201"/>
      <c r="AH933" s="201"/>
      <c r="AI933" s="201"/>
      <c r="AJ933" s="201"/>
      <c r="AK933" s="201"/>
      <c r="AL933" s="201"/>
      <c r="AM933" s="201"/>
      <c r="AN933" s="201"/>
      <c r="AO933" s="201"/>
    </row>
    <row r="934">
      <c r="A934" s="197"/>
      <c r="B934" s="197"/>
      <c r="C934" s="199"/>
      <c r="D934" s="197"/>
      <c r="E934" s="197"/>
      <c r="F934" s="197"/>
      <c r="G934" s="197"/>
      <c r="H934" s="199"/>
      <c r="I934" s="199"/>
      <c r="J934" s="62"/>
      <c r="K934" s="62"/>
      <c r="L934" s="62"/>
      <c r="M934" s="62"/>
      <c r="N934" s="62"/>
      <c r="O934" s="62"/>
      <c r="P934" s="62"/>
      <c r="Q934" s="62"/>
      <c r="R934" s="62"/>
      <c r="S934" s="62"/>
      <c r="T934" s="62"/>
      <c r="U934" s="74"/>
      <c r="V934" s="62"/>
      <c r="W934" s="74"/>
      <c r="X934" s="62"/>
      <c r="Y934" s="61"/>
      <c r="Z934" s="201"/>
      <c r="AA934" s="201"/>
      <c r="AB934" s="201"/>
      <c r="AC934" s="201"/>
      <c r="AD934" s="201"/>
      <c r="AE934" s="201"/>
      <c r="AF934" s="201"/>
      <c r="AG934" s="201"/>
      <c r="AH934" s="201"/>
      <c r="AI934" s="201"/>
      <c r="AJ934" s="201"/>
      <c r="AK934" s="201"/>
      <c r="AL934" s="201"/>
      <c r="AM934" s="201"/>
      <c r="AN934" s="201"/>
      <c r="AO934" s="201"/>
    </row>
    <row r="935">
      <c r="A935" s="197"/>
      <c r="B935" s="197"/>
      <c r="C935" s="199"/>
      <c r="D935" s="197"/>
      <c r="E935" s="197"/>
      <c r="F935" s="197"/>
      <c r="G935" s="197"/>
      <c r="H935" s="199"/>
      <c r="I935" s="199"/>
      <c r="J935" s="62"/>
      <c r="K935" s="62"/>
      <c r="L935" s="62"/>
      <c r="M935" s="62"/>
      <c r="N935" s="62"/>
      <c r="O935" s="62"/>
      <c r="P935" s="62"/>
      <c r="Q935" s="62"/>
      <c r="R935" s="62"/>
      <c r="S935" s="62"/>
      <c r="T935" s="62"/>
      <c r="U935" s="74"/>
      <c r="V935" s="62"/>
      <c r="W935" s="74"/>
      <c r="X935" s="62"/>
      <c r="Y935" s="61"/>
      <c r="Z935" s="201"/>
      <c r="AA935" s="201"/>
      <c r="AB935" s="201"/>
      <c r="AC935" s="201"/>
      <c r="AD935" s="201"/>
      <c r="AE935" s="201"/>
      <c r="AF935" s="201"/>
      <c r="AG935" s="201"/>
      <c r="AH935" s="201"/>
      <c r="AI935" s="201"/>
      <c r="AJ935" s="201"/>
      <c r="AK935" s="201"/>
      <c r="AL935" s="201"/>
      <c r="AM935" s="201"/>
      <c r="AN935" s="201"/>
      <c r="AO935" s="201"/>
    </row>
    <row r="936">
      <c r="A936" s="197"/>
      <c r="B936" s="197"/>
      <c r="C936" s="199"/>
      <c r="D936" s="197"/>
      <c r="E936" s="197"/>
      <c r="F936" s="197"/>
      <c r="G936" s="197"/>
      <c r="H936" s="199"/>
      <c r="I936" s="199"/>
      <c r="J936" s="62"/>
      <c r="K936" s="62"/>
      <c r="L936" s="62"/>
      <c r="M936" s="62"/>
      <c r="N936" s="62"/>
      <c r="O936" s="62"/>
      <c r="P936" s="62"/>
      <c r="Q936" s="62"/>
      <c r="R936" s="62"/>
      <c r="S936" s="62"/>
      <c r="T936" s="62"/>
      <c r="U936" s="74"/>
      <c r="V936" s="62"/>
      <c r="W936" s="74"/>
      <c r="X936" s="62"/>
      <c r="Y936" s="61"/>
      <c r="Z936" s="201"/>
      <c r="AA936" s="201"/>
      <c r="AB936" s="201"/>
      <c r="AC936" s="201"/>
      <c r="AD936" s="201"/>
      <c r="AE936" s="201"/>
      <c r="AF936" s="201"/>
      <c r="AG936" s="201"/>
      <c r="AH936" s="201"/>
      <c r="AI936" s="201"/>
      <c r="AJ936" s="201"/>
      <c r="AK936" s="201"/>
      <c r="AL936" s="201"/>
      <c r="AM936" s="201"/>
      <c r="AN936" s="201"/>
      <c r="AO936" s="201"/>
    </row>
    <row r="937">
      <c r="A937" s="197"/>
      <c r="B937" s="197"/>
      <c r="C937" s="199"/>
      <c r="D937" s="197"/>
      <c r="E937" s="197"/>
      <c r="F937" s="197"/>
      <c r="G937" s="197"/>
      <c r="H937" s="199"/>
      <c r="I937" s="199"/>
      <c r="J937" s="62"/>
      <c r="K937" s="62"/>
      <c r="L937" s="62"/>
      <c r="M937" s="62"/>
      <c r="N937" s="62"/>
      <c r="O937" s="62"/>
      <c r="P937" s="62"/>
      <c r="Q937" s="62"/>
      <c r="R937" s="62"/>
      <c r="S937" s="62"/>
      <c r="T937" s="62"/>
      <c r="U937" s="74"/>
      <c r="V937" s="62"/>
      <c r="W937" s="74"/>
      <c r="X937" s="62"/>
      <c r="Y937" s="61"/>
      <c r="Z937" s="201"/>
      <c r="AA937" s="201"/>
      <c r="AB937" s="201"/>
      <c r="AC937" s="201"/>
      <c r="AD937" s="201"/>
      <c r="AE937" s="201"/>
      <c r="AF937" s="201"/>
      <c r="AG937" s="201"/>
      <c r="AH937" s="201"/>
      <c r="AI937" s="201"/>
      <c r="AJ937" s="201"/>
      <c r="AK937" s="201"/>
      <c r="AL937" s="201"/>
      <c r="AM937" s="201"/>
      <c r="AN937" s="201"/>
      <c r="AO937" s="201"/>
    </row>
    <row r="938">
      <c r="A938" s="197"/>
      <c r="B938" s="197"/>
      <c r="C938" s="199"/>
      <c r="D938" s="197"/>
      <c r="E938" s="197"/>
      <c r="F938" s="197"/>
      <c r="G938" s="197"/>
      <c r="H938" s="199"/>
      <c r="I938" s="199"/>
      <c r="J938" s="62"/>
      <c r="K938" s="62"/>
      <c r="L938" s="62"/>
      <c r="M938" s="62"/>
      <c r="N938" s="62"/>
      <c r="O938" s="62"/>
      <c r="P938" s="62"/>
      <c r="Q938" s="62"/>
      <c r="R938" s="62"/>
      <c r="S938" s="62"/>
      <c r="T938" s="62"/>
      <c r="U938" s="74"/>
      <c r="V938" s="62"/>
      <c r="W938" s="74"/>
      <c r="X938" s="62"/>
      <c r="Y938" s="61"/>
      <c r="Z938" s="201"/>
      <c r="AA938" s="201"/>
      <c r="AB938" s="201"/>
      <c r="AC938" s="201"/>
      <c r="AD938" s="201"/>
      <c r="AE938" s="201"/>
      <c r="AF938" s="201"/>
      <c r="AG938" s="201"/>
      <c r="AH938" s="201"/>
      <c r="AI938" s="201"/>
      <c r="AJ938" s="201"/>
      <c r="AK938" s="201"/>
      <c r="AL938" s="201"/>
      <c r="AM938" s="201"/>
      <c r="AN938" s="201"/>
      <c r="AO938" s="201"/>
    </row>
    <row r="939">
      <c r="A939" s="197"/>
      <c r="B939" s="197"/>
      <c r="C939" s="199"/>
      <c r="D939" s="197"/>
      <c r="E939" s="197"/>
      <c r="F939" s="197"/>
      <c r="G939" s="197"/>
      <c r="H939" s="199"/>
      <c r="I939" s="199"/>
      <c r="J939" s="62"/>
      <c r="K939" s="62"/>
      <c r="L939" s="62"/>
      <c r="M939" s="62"/>
      <c r="N939" s="62"/>
      <c r="O939" s="62"/>
      <c r="P939" s="62"/>
      <c r="Q939" s="62"/>
      <c r="R939" s="62"/>
      <c r="S939" s="62"/>
      <c r="T939" s="62"/>
      <c r="U939" s="74"/>
      <c r="V939" s="62"/>
      <c r="W939" s="74"/>
      <c r="X939" s="62"/>
      <c r="Y939" s="61"/>
      <c r="Z939" s="201"/>
      <c r="AA939" s="201"/>
      <c r="AB939" s="201"/>
      <c r="AC939" s="201"/>
      <c r="AD939" s="201"/>
      <c r="AE939" s="201"/>
      <c r="AF939" s="201"/>
      <c r="AG939" s="201"/>
      <c r="AH939" s="201"/>
      <c r="AI939" s="201"/>
      <c r="AJ939" s="201"/>
      <c r="AK939" s="201"/>
      <c r="AL939" s="201"/>
      <c r="AM939" s="201"/>
      <c r="AN939" s="201"/>
      <c r="AO939" s="201"/>
    </row>
    <row r="940">
      <c r="A940" s="197"/>
      <c r="B940" s="197"/>
      <c r="C940" s="199"/>
      <c r="D940" s="197"/>
      <c r="E940" s="197"/>
      <c r="F940" s="197"/>
      <c r="G940" s="197"/>
      <c r="H940" s="199"/>
      <c r="I940" s="199"/>
      <c r="J940" s="62"/>
      <c r="K940" s="62"/>
      <c r="L940" s="62"/>
      <c r="M940" s="62"/>
      <c r="N940" s="62"/>
      <c r="O940" s="62"/>
      <c r="P940" s="62"/>
      <c r="Q940" s="62"/>
      <c r="R940" s="62"/>
      <c r="S940" s="62"/>
      <c r="T940" s="62"/>
      <c r="U940" s="74"/>
      <c r="V940" s="62"/>
      <c r="W940" s="74"/>
      <c r="X940" s="62"/>
      <c r="Y940" s="61"/>
      <c r="Z940" s="201"/>
      <c r="AA940" s="201"/>
      <c r="AB940" s="201"/>
      <c r="AC940" s="201"/>
      <c r="AD940" s="201"/>
      <c r="AE940" s="201"/>
      <c r="AF940" s="201"/>
      <c r="AG940" s="201"/>
      <c r="AH940" s="201"/>
      <c r="AI940" s="201"/>
      <c r="AJ940" s="201"/>
      <c r="AK940" s="201"/>
      <c r="AL940" s="201"/>
      <c r="AM940" s="201"/>
      <c r="AN940" s="201"/>
      <c r="AO940" s="201"/>
    </row>
    <row r="941">
      <c r="A941" s="197"/>
      <c r="B941" s="197"/>
      <c r="C941" s="199"/>
      <c r="D941" s="197"/>
      <c r="E941" s="197"/>
      <c r="F941" s="197"/>
      <c r="G941" s="197"/>
      <c r="H941" s="199"/>
      <c r="I941" s="199"/>
      <c r="J941" s="62"/>
      <c r="K941" s="62"/>
      <c r="L941" s="62"/>
      <c r="M941" s="62"/>
      <c r="N941" s="62"/>
      <c r="O941" s="62"/>
      <c r="P941" s="62"/>
      <c r="Q941" s="62"/>
      <c r="R941" s="62"/>
      <c r="S941" s="62"/>
      <c r="T941" s="62"/>
      <c r="U941" s="74"/>
      <c r="V941" s="62"/>
      <c r="W941" s="74"/>
      <c r="X941" s="62"/>
      <c r="Y941" s="61"/>
      <c r="Z941" s="201"/>
      <c r="AA941" s="201"/>
      <c r="AB941" s="201"/>
      <c r="AC941" s="201"/>
      <c r="AD941" s="201"/>
      <c r="AE941" s="201"/>
      <c r="AF941" s="201"/>
      <c r="AG941" s="201"/>
      <c r="AH941" s="201"/>
      <c r="AI941" s="201"/>
      <c r="AJ941" s="201"/>
      <c r="AK941" s="201"/>
      <c r="AL941" s="201"/>
      <c r="AM941" s="201"/>
      <c r="AN941" s="201"/>
      <c r="AO941" s="201"/>
    </row>
    <row r="942">
      <c r="A942" s="197"/>
      <c r="B942" s="197"/>
      <c r="C942" s="199"/>
      <c r="D942" s="197"/>
      <c r="E942" s="197"/>
      <c r="F942" s="197"/>
      <c r="G942" s="197"/>
      <c r="H942" s="199"/>
      <c r="I942" s="199"/>
      <c r="J942" s="62"/>
      <c r="K942" s="62"/>
      <c r="L942" s="62"/>
      <c r="M942" s="62"/>
      <c r="N942" s="62"/>
      <c r="O942" s="62"/>
      <c r="P942" s="62"/>
      <c r="Q942" s="62"/>
      <c r="R942" s="62"/>
      <c r="S942" s="62"/>
      <c r="T942" s="62"/>
      <c r="U942" s="74"/>
      <c r="V942" s="62"/>
      <c r="W942" s="74"/>
      <c r="X942" s="62"/>
      <c r="Y942" s="61"/>
      <c r="Z942" s="201"/>
      <c r="AA942" s="201"/>
      <c r="AB942" s="201"/>
      <c r="AC942" s="201"/>
      <c r="AD942" s="201"/>
      <c r="AE942" s="201"/>
      <c r="AF942" s="201"/>
      <c r="AG942" s="201"/>
      <c r="AH942" s="201"/>
      <c r="AI942" s="201"/>
      <c r="AJ942" s="201"/>
      <c r="AK942" s="201"/>
      <c r="AL942" s="201"/>
      <c r="AM942" s="201"/>
      <c r="AN942" s="201"/>
      <c r="AO942" s="201"/>
    </row>
    <row r="943">
      <c r="A943" s="197"/>
      <c r="B943" s="197"/>
      <c r="C943" s="199"/>
      <c r="D943" s="197"/>
      <c r="E943" s="197"/>
      <c r="F943" s="197"/>
      <c r="G943" s="197"/>
      <c r="H943" s="199"/>
      <c r="I943" s="199"/>
      <c r="J943" s="62"/>
      <c r="K943" s="62"/>
      <c r="L943" s="62"/>
      <c r="M943" s="62"/>
      <c r="N943" s="62"/>
      <c r="O943" s="62"/>
      <c r="P943" s="62"/>
      <c r="Q943" s="62"/>
      <c r="R943" s="62"/>
      <c r="S943" s="62"/>
      <c r="T943" s="62"/>
      <c r="U943" s="74"/>
      <c r="V943" s="62"/>
      <c r="W943" s="74"/>
      <c r="X943" s="62"/>
      <c r="Y943" s="61"/>
      <c r="Z943" s="201"/>
      <c r="AA943" s="201"/>
      <c r="AB943" s="201"/>
      <c r="AC943" s="201"/>
      <c r="AD943" s="201"/>
      <c r="AE943" s="201"/>
      <c r="AF943" s="201"/>
      <c r="AG943" s="201"/>
      <c r="AH943" s="201"/>
      <c r="AI943" s="201"/>
      <c r="AJ943" s="201"/>
      <c r="AK943" s="201"/>
      <c r="AL943" s="201"/>
      <c r="AM943" s="201"/>
      <c r="AN943" s="201"/>
      <c r="AO943" s="201"/>
    </row>
    <row r="944">
      <c r="A944" s="197"/>
      <c r="B944" s="197"/>
      <c r="C944" s="199"/>
      <c r="D944" s="197"/>
      <c r="E944" s="197"/>
      <c r="F944" s="197"/>
      <c r="G944" s="197"/>
      <c r="H944" s="199"/>
      <c r="I944" s="199"/>
      <c r="J944" s="62"/>
      <c r="K944" s="62"/>
      <c r="L944" s="62"/>
      <c r="M944" s="62"/>
      <c r="N944" s="62"/>
      <c r="O944" s="62"/>
      <c r="P944" s="62"/>
      <c r="Q944" s="62"/>
      <c r="R944" s="62"/>
      <c r="S944" s="62"/>
      <c r="T944" s="62"/>
      <c r="U944" s="74"/>
      <c r="V944" s="62"/>
      <c r="W944" s="74"/>
      <c r="X944" s="62"/>
      <c r="Y944" s="61"/>
      <c r="Z944" s="201"/>
      <c r="AA944" s="201"/>
      <c r="AB944" s="201"/>
      <c r="AC944" s="201"/>
      <c r="AD944" s="201"/>
      <c r="AE944" s="201"/>
      <c r="AF944" s="201"/>
      <c r="AG944" s="201"/>
      <c r="AH944" s="201"/>
      <c r="AI944" s="201"/>
      <c r="AJ944" s="201"/>
      <c r="AK944" s="201"/>
      <c r="AL944" s="201"/>
      <c r="AM944" s="201"/>
      <c r="AN944" s="201"/>
      <c r="AO944" s="201"/>
    </row>
    <row r="945">
      <c r="A945" s="197"/>
      <c r="B945" s="197"/>
      <c r="C945" s="199"/>
      <c r="D945" s="197"/>
      <c r="E945" s="197"/>
      <c r="F945" s="197"/>
      <c r="G945" s="197"/>
      <c r="H945" s="199"/>
      <c r="I945" s="199"/>
      <c r="J945" s="62"/>
      <c r="K945" s="62"/>
      <c r="L945" s="62"/>
      <c r="M945" s="62"/>
      <c r="N945" s="62"/>
      <c r="O945" s="62"/>
      <c r="P945" s="62"/>
      <c r="Q945" s="62"/>
      <c r="R945" s="62"/>
      <c r="S945" s="62"/>
      <c r="T945" s="62"/>
      <c r="U945" s="74"/>
      <c r="V945" s="62"/>
      <c r="W945" s="74"/>
      <c r="X945" s="62"/>
      <c r="Y945" s="61"/>
      <c r="Z945" s="201"/>
      <c r="AA945" s="201"/>
      <c r="AB945" s="201"/>
      <c r="AC945" s="201"/>
      <c r="AD945" s="201"/>
      <c r="AE945" s="201"/>
      <c r="AF945" s="201"/>
      <c r="AG945" s="201"/>
      <c r="AH945" s="201"/>
      <c r="AI945" s="201"/>
      <c r="AJ945" s="201"/>
      <c r="AK945" s="201"/>
      <c r="AL945" s="201"/>
      <c r="AM945" s="201"/>
      <c r="AN945" s="201"/>
      <c r="AO945" s="201"/>
    </row>
    <row r="946">
      <c r="A946" s="197"/>
      <c r="B946" s="197"/>
      <c r="C946" s="199"/>
      <c r="D946" s="197"/>
      <c r="E946" s="197"/>
      <c r="F946" s="197"/>
      <c r="G946" s="197"/>
      <c r="H946" s="199"/>
      <c r="I946" s="199"/>
      <c r="J946" s="62"/>
      <c r="K946" s="62"/>
      <c r="L946" s="62"/>
      <c r="M946" s="62"/>
      <c r="N946" s="62"/>
      <c r="O946" s="62"/>
      <c r="P946" s="62"/>
      <c r="Q946" s="62"/>
      <c r="R946" s="62"/>
      <c r="S946" s="62"/>
      <c r="T946" s="62"/>
      <c r="U946" s="74"/>
      <c r="V946" s="62"/>
      <c r="W946" s="74"/>
      <c r="X946" s="62"/>
      <c r="Y946" s="61"/>
      <c r="Z946" s="201"/>
      <c r="AA946" s="201"/>
      <c r="AB946" s="201"/>
      <c r="AC946" s="201"/>
      <c r="AD946" s="201"/>
      <c r="AE946" s="201"/>
      <c r="AF946" s="201"/>
      <c r="AG946" s="201"/>
      <c r="AH946" s="201"/>
      <c r="AI946" s="201"/>
      <c r="AJ946" s="201"/>
      <c r="AK946" s="201"/>
      <c r="AL946" s="201"/>
      <c r="AM946" s="201"/>
      <c r="AN946" s="201"/>
      <c r="AO946" s="201"/>
    </row>
    <row r="947">
      <c r="A947" s="197"/>
      <c r="B947" s="197"/>
      <c r="C947" s="199"/>
      <c r="D947" s="197"/>
      <c r="E947" s="197"/>
      <c r="F947" s="197"/>
      <c r="G947" s="197"/>
      <c r="H947" s="199"/>
      <c r="I947" s="199"/>
      <c r="J947" s="62"/>
      <c r="K947" s="62"/>
      <c r="L947" s="62"/>
      <c r="M947" s="62"/>
      <c r="N947" s="62"/>
      <c r="O947" s="62"/>
      <c r="P947" s="62"/>
      <c r="Q947" s="62"/>
      <c r="R947" s="62"/>
      <c r="S947" s="62"/>
      <c r="T947" s="62"/>
      <c r="U947" s="74"/>
      <c r="V947" s="62"/>
      <c r="W947" s="74"/>
      <c r="X947" s="62"/>
      <c r="Y947" s="61"/>
      <c r="Z947" s="201"/>
      <c r="AA947" s="201"/>
      <c r="AB947" s="201"/>
      <c r="AC947" s="201"/>
      <c r="AD947" s="201"/>
      <c r="AE947" s="201"/>
      <c r="AF947" s="201"/>
      <c r="AG947" s="201"/>
      <c r="AH947" s="201"/>
      <c r="AI947" s="201"/>
      <c r="AJ947" s="201"/>
      <c r="AK947" s="201"/>
      <c r="AL947" s="201"/>
      <c r="AM947" s="201"/>
      <c r="AN947" s="201"/>
      <c r="AO947" s="201"/>
    </row>
    <row r="948">
      <c r="A948" s="197"/>
      <c r="B948" s="197"/>
      <c r="C948" s="199"/>
      <c r="D948" s="197"/>
      <c r="E948" s="197"/>
      <c r="F948" s="197"/>
      <c r="G948" s="197"/>
      <c r="H948" s="199"/>
      <c r="I948" s="199"/>
      <c r="J948" s="62"/>
      <c r="K948" s="62"/>
      <c r="L948" s="62"/>
      <c r="M948" s="62"/>
      <c r="N948" s="62"/>
      <c r="O948" s="62"/>
      <c r="P948" s="62"/>
      <c r="Q948" s="62"/>
      <c r="R948" s="62"/>
      <c r="S948" s="62"/>
      <c r="T948" s="62"/>
      <c r="U948" s="74"/>
      <c r="V948" s="62"/>
      <c r="W948" s="74"/>
      <c r="X948" s="62"/>
      <c r="Y948" s="61"/>
      <c r="Z948" s="201"/>
      <c r="AA948" s="201"/>
      <c r="AB948" s="201"/>
      <c r="AC948" s="201"/>
      <c r="AD948" s="201"/>
      <c r="AE948" s="201"/>
      <c r="AF948" s="201"/>
      <c r="AG948" s="201"/>
      <c r="AH948" s="201"/>
      <c r="AI948" s="201"/>
      <c r="AJ948" s="201"/>
      <c r="AK948" s="201"/>
      <c r="AL948" s="201"/>
      <c r="AM948" s="201"/>
      <c r="AN948" s="201"/>
      <c r="AO948" s="201"/>
    </row>
    <row r="949">
      <c r="A949" s="197"/>
      <c r="B949" s="197"/>
      <c r="C949" s="199"/>
      <c r="D949" s="197"/>
      <c r="E949" s="197"/>
      <c r="F949" s="197"/>
      <c r="G949" s="197"/>
      <c r="H949" s="199"/>
      <c r="I949" s="199"/>
      <c r="J949" s="62"/>
      <c r="K949" s="62"/>
      <c r="L949" s="62"/>
      <c r="M949" s="62"/>
      <c r="N949" s="62"/>
      <c r="O949" s="62"/>
      <c r="P949" s="62"/>
      <c r="Q949" s="62"/>
      <c r="R949" s="62"/>
      <c r="S949" s="62"/>
      <c r="T949" s="62"/>
      <c r="U949" s="74"/>
      <c r="V949" s="62"/>
      <c r="W949" s="74"/>
      <c r="X949" s="62"/>
      <c r="Y949" s="61"/>
      <c r="Z949" s="201"/>
      <c r="AA949" s="201"/>
      <c r="AB949" s="201"/>
      <c r="AC949" s="201"/>
      <c r="AD949" s="201"/>
      <c r="AE949" s="201"/>
      <c r="AF949" s="201"/>
      <c r="AG949" s="201"/>
      <c r="AH949" s="201"/>
      <c r="AI949" s="201"/>
      <c r="AJ949" s="201"/>
      <c r="AK949" s="201"/>
      <c r="AL949" s="201"/>
      <c r="AM949" s="201"/>
      <c r="AN949" s="201"/>
      <c r="AO949" s="201"/>
    </row>
    <row r="950">
      <c r="A950" s="197"/>
      <c r="B950" s="197"/>
      <c r="C950" s="199"/>
      <c r="D950" s="197"/>
      <c r="E950" s="197"/>
      <c r="F950" s="197"/>
      <c r="G950" s="197"/>
      <c r="H950" s="199"/>
      <c r="I950" s="199"/>
      <c r="J950" s="62"/>
      <c r="K950" s="62"/>
      <c r="L950" s="62"/>
      <c r="M950" s="62"/>
      <c r="N950" s="62"/>
      <c r="O950" s="62"/>
      <c r="P950" s="62"/>
      <c r="Q950" s="62"/>
      <c r="R950" s="62"/>
      <c r="S950" s="62"/>
      <c r="T950" s="62"/>
      <c r="U950" s="74"/>
      <c r="V950" s="62"/>
      <c r="W950" s="74"/>
      <c r="X950" s="62"/>
      <c r="Y950" s="61"/>
      <c r="Z950" s="201"/>
      <c r="AA950" s="201"/>
      <c r="AB950" s="201"/>
      <c r="AC950" s="201"/>
      <c r="AD950" s="201"/>
      <c r="AE950" s="201"/>
      <c r="AF950" s="201"/>
      <c r="AG950" s="201"/>
      <c r="AH950" s="201"/>
      <c r="AI950" s="201"/>
      <c r="AJ950" s="201"/>
      <c r="AK950" s="201"/>
      <c r="AL950" s="201"/>
      <c r="AM950" s="201"/>
      <c r="AN950" s="201"/>
      <c r="AO950" s="201"/>
    </row>
    <row r="951">
      <c r="A951" s="197"/>
      <c r="B951" s="197"/>
      <c r="C951" s="199"/>
      <c r="D951" s="197"/>
      <c r="E951" s="197"/>
      <c r="F951" s="197"/>
      <c r="G951" s="197"/>
      <c r="H951" s="199"/>
      <c r="I951" s="199"/>
      <c r="J951" s="62"/>
      <c r="K951" s="62"/>
      <c r="L951" s="62"/>
      <c r="M951" s="62"/>
      <c r="N951" s="62"/>
      <c r="O951" s="62"/>
      <c r="P951" s="62"/>
      <c r="Q951" s="62"/>
      <c r="R951" s="62"/>
      <c r="S951" s="62"/>
      <c r="T951" s="62"/>
      <c r="U951" s="74"/>
      <c r="V951" s="62"/>
      <c r="W951" s="74"/>
      <c r="X951" s="62"/>
      <c r="Y951" s="61"/>
      <c r="Z951" s="201"/>
      <c r="AA951" s="201"/>
      <c r="AB951" s="201"/>
      <c r="AC951" s="201"/>
      <c r="AD951" s="201"/>
      <c r="AE951" s="201"/>
      <c r="AF951" s="201"/>
      <c r="AG951" s="201"/>
      <c r="AH951" s="201"/>
      <c r="AI951" s="201"/>
      <c r="AJ951" s="201"/>
      <c r="AK951" s="201"/>
      <c r="AL951" s="201"/>
      <c r="AM951" s="201"/>
      <c r="AN951" s="201"/>
      <c r="AO951" s="201"/>
    </row>
    <row r="952">
      <c r="A952" s="197"/>
      <c r="B952" s="197"/>
      <c r="C952" s="199"/>
      <c r="D952" s="197"/>
      <c r="E952" s="197"/>
      <c r="F952" s="197"/>
      <c r="G952" s="197"/>
      <c r="H952" s="199"/>
      <c r="I952" s="199"/>
      <c r="J952" s="62"/>
      <c r="K952" s="62"/>
      <c r="L952" s="62"/>
      <c r="M952" s="62"/>
      <c r="N952" s="62"/>
      <c r="O952" s="62"/>
      <c r="P952" s="62"/>
      <c r="Q952" s="62"/>
      <c r="R952" s="62"/>
      <c r="S952" s="62"/>
      <c r="T952" s="62"/>
      <c r="U952" s="74"/>
      <c r="V952" s="62"/>
      <c r="W952" s="74"/>
      <c r="X952" s="62"/>
      <c r="Y952" s="61"/>
      <c r="Z952" s="201"/>
      <c r="AA952" s="201"/>
      <c r="AB952" s="201"/>
      <c r="AC952" s="201"/>
      <c r="AD952" s="201"/>
      <c r="AE952" s="201"/>
      <c r="AF952" s="201"/>
      <c r="AG952" s="201"/>
      <c r="AH952" s="201"/>
      <c r="AI952" s="201"/>
      <c r="AJ952" s="201"/>
      <c r="AK952" s="201"/>
      <c r="AL952" s="201"/>
      <c r="AM952" s="201"/>
      <c r="AN952" s="201"/>
      <c r="AO952" s="201"/>
    </row>
    <row r="953">
      <c r="A953" s="197"/>
      <c r="B953" s="197"/>
      <c r="C953" s="199"/>
      <c r="D953" s="197"/>
      <c r="E953" s="197"/>
      <c r="F953" s="197"/>
      <c r="G953" s="197"/>
      <c r="H953" s="199"/>
      <c r="I953" s="199"/>
      <c r="J953" s="62"/>
      <c r="K953" s="62"/>
      <c r="L953" s="62"/>
      <c r="M953" s="62"/>
      <c r="N953" s="62"/>
      <c r="O953" s="62"/>
      <c r="P953" s="62"/>
      <c r="Q953" s="62"/>
      <c r="R953" s="62"/>
      <c r="S953" s="62"/>
      <c r="T953" s="62"/>
      <c r="U953" s="74"/>
      <c r="V953" s="62"/>
      <c r="W953" s="74"/>
      <c r="X953" s="62"/>
      <c r="Y953" s="61"/>
      <c r="Z953" s="201"/>
      <c r="AA953" s="201"/>
      <c r="AB953" s="201"/>
      <c r="AC953" s="201"/>
      <c r="AD953" s="201"/>
      <c r="AE953" s="201"/>
      <c r="AF953" s="201"/>
      <c r="AG953" s="201"/>
      <c r="AH953" s="201"/>
      <c r="AI953" s="201"/>
      <c r="AJ953" s="201"/>
      <c r="AK953" s="201"/>
      <c r="AL953" s="201"/>
      <c r="AM953" s="201"/>
      <c r="AN953" s="201"/>
      <c r="AO953" s="201"/>
    </row>
    <row r="954">
      <c r="A954" s="197"/>
      <c r="B954" s="197"/>
      <c r="C954" s="199"/>
      <c r="D954" s="197"/>
      <c r="E954" s="197"/>
      <c r="F954" s="197"/>
      <c r="G954" s="197"/>
      <c r="H954" s="199"/>
      <c r="I954" s="199"/>
      <c r="J954" s="62"/>
      <c r="K954" s="62"/>
      <c r="L954" s="62"/>
      <c r="M954" s="62"/>
      <c r="N954" s="62"/>
      <c r="O954" s="62"/>
      <c r="P954" s="62"/>
      <c r="Q954" s="62"/>
      <c r="R954" s="62"/>
      <c r="S954" s="62"/>
      <c r="T954" s="62"/>
      <c r="U954" s="74"/>
      <c r="V954" s="62"/>
      <c r="W954" s="74"/>
      <c r="X954" s="62"/>
      <c r="Y954" s="61"/>
      <c r="Z954" s="201"/>
      <c r="AA954" s="201"/>
      <c r="AB954" s="201"/>
      <c r="AC954" s="201"/>
      <c r="AD954" s="201"/>
      <c r="AE954" s="201"/>
      <c r="AF954" s="201"/>
      <c r="AG954" s="201"/>
      <c r="AH954" s="201"/>
      <c r="AI954" s="201"/>
      <c r="AJ954" s="201"/>
      <c r="AK954" s="201"/>
      <c r="AL954" s="201"/>
      <c r="AM954" s="201"/>
      <c r="AN954" s="201"/>
      <c r="AO954" s="201"/>
    </row>
    <row r="955">
      <c r="A955" s="197"/>
      <c r="B955" s="197"/>
      <c r="C955" s="199"/>
      <c r="D955" s="197"/>
      <c r="E955" s="197"/>
      <c r="F955" s="197"/>
      <c r="G955" s="197"/>
      <c r="H955" s="199"/>
      <c r="I955" s="199"/>
      <c r="J955" s="62"/>
      <c r="K955" s="62"/>
      <c r="L955" s="62"/>
      <c r="M955" s="62"/>
      <c r="N955" s="62"/>
      <c r="O955" s="62"/>
      <c r="P955" s="62"/>
      <c r="Q955" s="62"/>
      <c r="R955" s="62"/>
      <c r="S955" s="62"/>
      <c r="T955" s="62"/>
      <c r="U955" s="74"/>
      <c r="V955" s="62"/>
      <c r="W955" s="74"/>
      <c r="X955" s="62"/>
      <c r="Y955" s="61"/>
      <c r="Z955" s="201"/>
      <c r="AA955" s="201"/>
      <c r="AB955" s="201"/>
      <c r="AC955" s="201"/>
      <c r="AD955" s="201"/>
      <c r="AE955" s="201"/>
      <c r="AF955" s="201"/>
      <c r="AG955" s="201"/>
      <c r="AH955" s="201"/>
      <c r="AI955" s="201"/>
      <c r="AJ955" s="201"/>
      <c r="AK955" s="201"/>
      <c r="AL955" s="201"/>
      <c r="AM955" s="201"/>
      <c r="AN955" s="201"/>
      <c r="AO955" s="201"/>
    </row>
    <row r="956">
      <c r="A956" s="197"/>
      <c r="B956" s="197"/>
      <c r="C956" s="199"/>
      <c r="D956" s="197"/>
      <c r="E956" s="197"/>
      <c r="F956" s="197"/>
      <c r="G956" s="197"/>
      <c r="H956" s="199"/>
      <c r="I956" s="199"/>
      <c r="J956" s="62"/>
      <c r="K956" s="62"/>
      <c r="L956" s="62"/>
      <c r="M956" s="62"/>
      <c r="N956" s="62"/>
      <c r="O956" s="62"/>
      <c r="P956" s="62"/>
      <c r="Q956" s="62"/>
      <c r="R956" s="62"/>
      <c r="S956" s="62"/>
      <c r="T956" s="62"/>
      <c r="U956" s="74"/>
      <c r="V956" s="62"/>
      <c r="W956" s="74"/>
      <c r="X956" s="62"/>
      <c r="Y956" s="61"/>
      <c r="Z956" s="201"/>
      <c r="AA956" s="201"/>
      <c r="AB956" s="201"/>
      <c r="AC956" s="201"/>
      <c r="AD956" s="201"/>
      <c r="AE956" s="201"/>
      <c r="AF956" s="201"/>
      <c r="AG956" s="201"/>
      <c r="AH956" s="201"/>
      <c r="AI956" s="201"/>
      <c r="AJ956" s="201"/>
      <c r="AK956" s="201"/>
      <c r="AL956" s="201"/>
      <c r="AM956" s="201"/>
      <c r="AN956" s="201"/>
      <c r="AO956" s="201"/>
    </row>
    <row r="957">
      <c r="A957" s="197"/>
      <c r="B957" s="197"/>
      <c r="C957" s="199"/>
      <c r="D957" s="197"/>
      <c r="E957" s="197"/>
      <c r="F957" s="197"/>
      <c r="G957" s="197"/>
      <c r="H957" s="199"/>
      <c r="I957" s="199"/>
      <c r="J957" s="62"/>
      <c r="K957" s="62"/>
      <c r="L957" s="62"/>
      <c r="M957" s="62"/>
      <c r="N957" s="62"/>
      <c r="O957" s="62"/>
      <c r="P957" s="62"/>
      <c r="Q957" s="62"/>
      <c r="R957" s="62"/>
      <c r="S957" s="62"/>
      <c r="T957" s="62"/>
      <c r="U957" s="74"/>
      <c r="V957" s="62"/>
      <c r="W957" s="74"/>
      <c r="X957" s="62"/>
      <c r="Y957" s="61"/>
      <c r="Z957" s="201"/>
      <c r="AA957" s="201"/>
      <c r="AB957" s="201"/>
      <c r="AC957" s="201"/>
      <c r="AD957" s="201"/>
      <c r="AE957" s="201"/>
      <c r="AF957" s="201"/>
      <c r="AG957" s="201"/>
      <c r="AH957" s="201"/>
      <c r="AI957" s="201"/>
      <c r="AJ957" s="201"/>
      <c r="AK957" s="201"/>
      <c r="AL957" s="201"/>
      <c r="AM957" s="201"/>
      <c r="AN957" s="201"/>
      <c r="AO957" s="201"/>
    </row>
    <row r="958">
      <c r="A958" s="197"/>
      <c r="B958" s="197"/>
      <c r="C958" s="199"/>
      <c r="D958" s="197"/>
      <c r="E958" s="197"/>
      <c r="F958" s="197"/>
      <c r="G958" s="197"/>
      <c r="H958" s="199"/>
      <c r="I958" s="199"/>
      <c r="J958" s="62"/>
      <c r="K958" s="62"/>
      <c r="L958" s="62"/>
      <c r="M958" s="62"/>
      <c r="N958" s="62"/>
      <c r="O958" s="62"/>
      <c r="P958" s="62"/>
      <c r="Q958" s="62"/>
      <c r="R958" s="62"/>
      <c r="S958" s="62"/>
      <c r="T958" s="62"/>
      <c r="U958" s="74"/>
      <c r="V958" s="62"/>
      <c r="W958" s="74"/>
      <c r="X958" s="62"/>
      <c r="Y958" s="61"/>
      <c r="Z958" s="201"/>
      <c r="AA958" s="201"/>
      <c r="AB958" s="201"/>
      <c r="AC958" s="201"/>
      <c r="AD958" s="201"/>
      <c r="AE958" s="201"/>
      <c r="AF958" s="201"/>
      <c r="AG958" s="201"/>
      <c r="AH958" s="201"/>
      <c r="AI958" s="201"/>
      <c r="AJ958" s="201"/>
      <c r="AK958" s="201"/>
      <c r="AL958" s="201"/>
      <c r="AM958" s="201"/>
      <c r="AN958" s="201"/>
      <c r="AO958" s="201"/>
    </row>
    <row r="959">
      <c r="A959" s="197"/>
      <c r="B959" s="197"/>
      <c r="C959" s="199"/>
      <c r="D959" s="197"/>
      <c r="E959" s="197"/>
      <c r="F959" s="197"/>
      <c r="G959" s="197"/>
      <c r="H959" s="199"/>
      <c r="I959" s="199"/>
      <c r="J959" s="62"/>
      <c r="K959" s="62"/>
      <c r="L959" s="62"/>
      <c r="M959" s="62"/>
      <c r="N959" s="62"/>
      <c r="O959" s="62"/>
      <c r="P959" s="62"/>
      <c r="Q959" s="62"/>
      <c r="R959" s="62"/>
      <c r="S959" s="62"/>
      <c r="T959" s="62"/>
      <c r="U959" s="74"/>
      <c r="V959" s="62"/>
      <c r="W959" s="74"/>
      <c r="X959" s="62"/>
      <c r="Y959" s="61"/>
      <c r="Z959" s="201"/>
      <c r="AA959" s="201"/>
      <c r="AB959" s="201"/>
      <c r="AC959" s="201"/>
      <c r="AD959" s="201"/>
      <c r="AE959" s="201"/>
      <c r="AF959" s="201"/>
      <c r="AG959" s="201"/>
      <c r="AH959" s="201"/>
      <c r="AI959" s="201"/>
      <c r="AJ959" s="201"/>
      <c r="AK959" s="201"/>
      <c r="AL959" s="201"/>
      <c r="AM959" s="201"/>
      <c r="AN959" s="201"/>
      <c r="AO959" s="201"/>
    </row>
    <row r="960">
      <c r="A960" s="197"/>
      <c r="B960" s="197"/>
      <c r="C960" s="199"/>
      <c r="D960" s="197"/>
      <c r="E960" s="197"/>
      <c r="F960" s="197"/>
      <c r="G960" s="197"/>
      <c r="H960" s="199"/>
      <c r="I960" s="199"/>
      <c r="J960" s="62"/>
      <c r="K960" s="62"/>
      <c r="L960" s="62"/>
      <c r="M960" s="62"/>
      <c r="N960" s="62"/>
      <c r="O960" s="62"/>
      <c r="P960" s="62"/>
      <c r="Q960" s="62"/>
      <c r="R960" s="62"/>
      <c r="S960" s="62"/>
      <c r="T960" s="62"/>
      <c r="U960" s="74"/>
      <c r="V960" s="62"/>
      <c r="W960" s="74"/>
      <c r="X960" s="62"/>
      <c r="Y960" s="61"/>
      <c r="Z960" s="201"/>
      <c r="AA960" s="201"/>
      <c r="AB960" s="201"/>
      <c r="AC960" s="201"/>
      <c r="AD960" s="201"/>
      <c r="AE960" s="201"/>
      <c r="AF960" s="201"/>
      <c r="AG960" s="201"/>
      <c r="AH960" s="201"/>
      <c r="AI960" s="201"/>
      <c r="AJ960" s="201"/>
      <c r="AK960" s="201"/>
      <c r="AL960" s="201"/>
      <c r="AM960" s="201"/>
      <c r="AN960" s="201"/>
      <c r="AO960" s="201"/>
    </row>
    <row r="961">
      <c r="A961" s="197"/>
      <c r="B961" s="197"/>
      <c r="C961" s="199"/>
      <c r="D961" s="197"/>
      <c r="E961" s="197"/>
      <c r="F961" s="197"/>
      <c r="G961" s="197"/>
      <c r="H961" s="199"/>
      <c r="I961" s="199"/>
      <c r="J961" s="62"/>
      <c r="K961" s="62"/>
      <c r="L961" s="62"/>
      <c r="M961" s="62"/>
      <c r="N961" s="62"/>
      <c r="O961" s="62"/>
      <c r="P961" s="62"/>
      <c r="Q961" s="62"/>
      <c r="R961" s="62"/>
      <c r="S961" s="62"/>
      <c r="T961" s="62"/>
      <c r="U961" s="74"/>
      <c r="V961" s="62"/>
      <c r="W961" s="74"/>
      <c r="X961" s="62"/>
      <c r="Y961" s="61"/>
      <c r="Z961" s="201"/>
      <c r="AA961" s="201"/>
      <c r="AB961" s="201"/>
      <c r="AC961" s="201"/>
      <c r="AD961" s="201"/>
      <c r="AE961" s="201"/>
      <c r="AF961" s="201"/>
      <c r="AG961" s="201"/>
      <c r="AH961" s="201"/>
      <c r="AI961" s="201"/>
      <c r="AJ961" s="201"/>
      <c r="AK961" s="201"/>
      <c r="AL961" s="201"/>
      <c r="AM961" s="201"/>
      <c r="AN961" s="201"/>
      <c r="AO961" s="201"/>
    </row>
    <row r="962">
      <c r="A962" s="197"/>
      <c r="B962" s="197"/>
      <c r="C962" s="199"/>
      <c r="D962" s="197"/>
      <c r="E962" s="197"/>
      <c r="F962" s="197"/>
      <c r="G962" s="197"/>
      <c r="H962" s="199"/>
      <c r="I962" s="199"/>
      <c r="J962" s="62"/>
      <c r="K962" s="62"/>
      <c r="L962" s="62"/>
      <c r="M962" s="62"/>
      <c r="N962" s="62"/>
      <c r="O962" s="62"/>
      <c r="P962" s="62"/>
      <c r="Q962" s="62"/>
      <c r="R962" s="62"/>
      <c r="S962" s="62"/>
      <c r="T962" s="62"/>
      <c r="U962" s="74"/>
      <c r="V962" s="62"/>
      <c r="W962" s="74"/>
      <c r="X962" s="62"/>
      <c r="Y962" s="61"/>
      <c r="Z962" s="201"/>
      <c r="AA962" s="201"/>
      <c r="AB962" s="201"/>
      <c r="AC962" s="201"/>
      <c r="AD962" s="201"/>
      <c r="AE962" s="201"/>
      <c r="AF962" s="201"/>
      <c r="AG962" s="201"/>
      <c r="AH962" s="201"/>
      <c r="AI962" s="201"/>
      <c r="AJ962" s="201"/>
      <c r="AK962" s="201"/>
      <c r="AL962" s="201"/>
      <c r="AM962" s="201"/>
      <c r="AN962" s="201"/>
      <c r="AO962" s="201"/>
    </row>
    <row r="963">
      <c r="A963" s="197"/>
      <c r="B963" s="197"/>
      <c r="C963" s="199"/>
      <c r="D963" s="197"/>
      <c r="E963" s="197"/>
      <c r="F963" s="197"/>
      <c r="G963" s="197"/>
      <c r="H963" s="199"/>
      <c r="I963" s="199"/>
      <c r="J963" s="62"/>
      <c r="K963" s="62"/>
      <c r="L963" s="62"/>
      <c r="M963" s="62"/>
      <c r="N963" s="62"/>
      <c r="O963" s="62"/>
      <c r="P963" s="62"/>
      <c r="Q963" s="62"/>
      <c r="R963" s="62"/>
      <c r="S963" s="62"/>
      <c r="T963" s="62"/>
      <c r="U963" s="74"/>
      <c r="V963" s="62"/>
      <c r="W963" s="74"/>
      <c r="X963" s="62"/>
      <c r="Y963" s="61"/>
      <c r="Z963" s="201"/>
      <c r="AA963" s="201"/>
      <c r="AB963" s="201"/>
      <c r="AC963" s="201"/>
      <c r="AD963" s="201"/>
      <c r="AE963" s="201"/>
      <c r="AF963" s="201"/>
      <c r="AG963" s="201"/>
      <c r="AH963" s="201"/>
      <c r="AI963" s="201"/>
      <c r="AJ963" s="201"/>
      <c r="AK963" s="201"/>
      <c r="AL963" s="201"/>
      <c r="AM963" s="201"/>
      <c r="AN963" s="201"/>
      <c r="AO963" s="201"/>
    </row>
    <row r="964">
      <c r="A964" s="197"/>
      <c r="B964" s="197"/>
      <c r="C964" s="199"/>
      <c r="D964" s="197"/>
      <c r="E964" s="197"/>
      <c r="F964" s="197"/>
      <c r="G964" s="197"/>
      <c r="H964" s="199"/>
      <c r="I964" s="199"/>
      <c r="J964" s="62"/>
      <c r="K964" s="62"/>
      <c r="L964" s="62"/>
      <c r="M964" s="62"/>
      <c r="N964" s="62"/>
      <c r="O964" s="62"/>
      <c r="P964" s="62"/>
      <c r="Q964" s="62"/>
      <c r="R964" s="62"/>
      <c r="S964" s="62"/>
      <c r="T964" s="62"/>
      <c r="U964" s="74"/>
      <c r="V964" s="62"/>
      <c r="W964" s="74"/>
      <c r="X964" s="62"/>
      <c r="Y964" s="61"/>
      <c r="Z964" s="201"/>
      <c r="AA964" s="201"/>
      <c r="AB964" s="201"/>
      <c r="AC964" s="201"/>
      <c r="AD964" s="201"/>
      <c r="AE964" s="201"/>
      <c r="AF964" s="201"/>
      <c r="AG964" s="201"/>
      <c r="AH964" s="201"/>
      <c r="AI964" s="201"/>
      <c r="AJ964" s="201"/>
      <c r="AK964" s="201"/>
      <c r="AL964" s="201"/>
      <c r="AM964" s="201"/>
      <c r="AN964" s="201"/>
      <c r="AO964" s="201"/>
    </row>
    <row r="965">
      <c r="A965" s="197"/>
      <c r="B965" s="197"/>
      <c r="C965" s="199"/>
      <c r="D965" s="197"/>
      <c r="E965" s="197"/>
      <c r="F965" s="197"/>
      <c r="G965" s="197"/>
      <c r="H965" s="199"/>
      <c r="I965" s="199"/>
      <c r="J965" s="62"/>
      <c r="K965" s="62"/>
      <c r="L965" s="62"/>
      <c r="M965" s="62"/>
      <c r="N965" s="62"/>
      <c r="O965" s="62"/>
      <c r="P965" s="62"/>
      <c r="Q965" s="62"/>
      <c r="R965" s="62"/>
      <c r="S965" s="62"/>
      <c r="T965" s="62"/>
      <c r="U965" s="74"/>
      <c r="V965" s="62"/>
      <c r="W965" s="74"/>
      <c r="X965" s="62"/>
      <c r="Y965" s="61"/>
      <c r="Z965" s="201"/>
      <c r="AA965" s="201"/>
      <c r="AB965" s="201"/>
      <c r="AC965" s="201"/>
      <c r="AD965" s="201"/>
      <c r="AE965" s="201"/>
      <c r="AF965" s="201"/>
      <c r="AG965" s="201"/>
      <c r="AH965" s="201"/>
      <c r="AI965" s="201"/>
      <c r="AJ965" s="201"/>
      <c r="AK965" s="201"/>
      <c r="AL965" s="201"/>
      <c r="AM965" s="201"/>
      <c r="AN965" s="201"/>
      <c r="AO965" s="201"/>
    </row>
    <row r="966">
      <c r="A966" s="197"/>
      <c r="B966" s="197"/>
      <c r="C966" s="199"/>
      <c r="D966" s="197"/>
      <c r="E966" s="197"/>
      <c r="F966" s="197"/>
      <c r="G966" s="197"/>
      <c r="H966" s="199"/>
      <c r="I966" s="199"/>
      <c r="J966" s="62"/>
      <c r="K966" s="62"/>
      <c r="L966" s="62"/>
      <c r="M966" s="62"/>
      <c r="N966" s="62"/>
      <c r="O966" s="62"/>
      <c r="P966" s="62"/>
      <c r="Q966" s="62"/>
      <c r="R966" s="62"/>
      <c r="S966" s="62"/>
      <c r="T966" s="62"/>
      <c r="U966" s="74"/>
      <c r="V966" s="62"/>
      <c r="W966" s="74"/>
      <c r="X966" s="62"/>
      <c r="Y966" s="61"/>
      <c r="Z966" s="201"/>
      <c r="AA966" s="201"/>
      <c r="AB966" s="201"/>
      <c r="AC966" s="201"/>
      <c r="AD966" s="201"/>
      <c r="AE966" s="201"/>
      <c r="AF966" s="201"/>
      <c r="AG966" s="201"/>
      <c r="AH966" s="201"/>
      <c r="AI966" s="201"/>
      <c r="AJ966" s="201"/>
      <c r="AK966" s="201"/>
      <c r="AL966" s="201"/>
      <c r="AM966" s="201"/>
      <c r="AN966" s="201"/>
      <c r="AO966" s="201"/>
    </row>
    <row r="967">
      <c r="A967" s="197"/>
      <c r="B967" s="197"/>
      <c r="C967" s="199"/>
      <c r="D967" s="197"/>
      <c r="E967" s="197"/>
      <c r="F967" s="197"/>
      <c r="G967" s="197"/>
      <c r="H967" s="199"/>
      <c r="I967" s="199"/>
      <c r="J967" s="62"/>
      <c r="K967" s="62"/>
      <c r="L967" s="62"/>
      <c r="M967" s="62"/>
      <c r="N967" s="62"/>
      <c r="O967" s="62"/>
      <c r="P967" s="62"/>
      <c r="Q967" s="62"/>
      <c r="R967" s="62"/>
      <c r="S967" s="62"/>
      <c r="T967" s="62"/>
      <c r="U967" s="74"/>
      <c r="V967" s="62"/>
      <c r="W967" s="74"/>
      <c r="X967" s="62"/>
      <c r="Y967" s="61"/>
      <c r="Z967" s="201"/>
      <c r="AA967" s="201"/>
      <c r="AB967" s="201"/>
      <c r="AC967" s="201"/>
      <c r="AD967" s="201"/>
      <c r="AE967" s="201"/>
      <c r="AF967" s="201"/>
      <c r="AG967" s="201"/>
      <c r="AH967" s="201"/>
      <c r="AI967" s="201"/>
      <c r="AJ967" s="201"/>
      <c r="AK967" s="201"/>
      <c r="AL967" s="201"/>
      <c r="AM967" s="201"/>
      <c r="AN967" s="201"/>
      <c r="AO967" s="201"/>
    </row>
    <row r="968">
      <c r="A968" s="197"/>
      <c r="B968" s="197"/>
      <c r="C968" s="199"/>
      <c r="D968" s="197"/>
      <c r="E968" s="197"/>
      <c r="F968" s="197"/>
      <c r="G968" s="197"/>
      <c r="H968" s="199"/>
      <c r="I968" s="199"/>
      <c r="J968" s="62"/>
      <c r="K968" s="62"/>
      <c r="L968" s="62"/>
      <c r="M968" s="62"/>
      <c r="N968" s="62"/>
      <c r="O968" s="62"/>
      <c r="P968" s="62"/>
      <c r="Q968" s="62"/>
      <c r="R968" s="62"/>
      <c r="S968" s="62"/>
      <c r="T968" s="62"/>
      <c r="U968" s="74"/>
      <c r="V968" s="62"/>
      <c r="W968" s="74"/>
      <c r="X968" s="62"/>
      <c r="Y968" s="61"/>
      <c r="Z968" s="201"/>
      <c r="AA968" s="201"/>
      <c r="AB968" s="201"/>
      <c r="AC968" s="201"/>
      <c r="AD968" s="201"/>
      <c r="AE968" s="201"/>
      <c r="AF968" s="201"/>
      <c r="AG968" s="201"/>
      <c r="AH968" s="201"/>
      <c r="AI968" s="201"/>
      <c r="AJ968" s="201"/>
      <c r="AK968" s="201"/>
      <c r="AL968" s="201"/>
      <c r="AM968" s="201"/>
      <c r="AN968" s="201"/>
      <c r="AO968" s="201"/>
    </row>
    <row r="969">
      <c r="A969" s="197"/>
      <c r="B969" s="197"/>
      <c r="C969" s="199"/>
      <c r="D969" s="197"/>
      <c r="E969" s="197"/>
      <c r="F969" s="197"/>
      <c r="G969" s="197"/>
      <c r="H969" s="199"/>
      <c r="I969" s="199"/>
      <c r="J969" s="62"/>
      <c r="K969" s="62"/>
      <c r="L969" s="62"/>
      <c r="M969" s="62"/>
      <c r="N969" s="62"/>
      <c r="O969" s="62"/>
      <c r="P969" s="62"/>
      <c r="Q969" s="62"/>
      <c r="R969" s="62"/>
      <c r="S969" s="62"/>
      <c r="T969" s="62"/>
      <c r="U969" s="74"/>
      <c r="V969" s="62"/>
      <c r="W969" s="74"/>
      <c r="X969" s="62"/>
      <c r="Y969" s="61"/>
      <c r="Z969" s="201"/>
      <c r="AA969" s="201"/>
      <c r="AB969" s="201"/>
      <c r="AC969" s="201"/>
      <c r="AD969" s="201"/>
      <c r="AE969" s="201"/>
      <c r="AF969" s="201"/>
      <c r="AG969" s="201"/>
      <c r="AH969" s="201"/>
      <c r="AI969" s="201"/>
      <c r="AJ969" s="201"/>
      <c r="AK969" s="201"/>
      <c r="AL969" s="201"/>
      <c r="AM969" s="201"/>
      <c r="AN969" s="201"/>
      <c r="AO969" s="201"/>
    </row>
    <row r="970">
      <c r="A970" s="197"/>
      <c r="B970" s="197"/>
      <c r="C970" s="199"/>
      <c r="D970" s="197"/>
      <c r="E970" s="197"/>
      <c r="F970" s="197"/>
      <c r="G970" s="197"/>
      <c r="H970" s="199"/>
      <c r="I970" s="199"/>
      <c r="J970" s="62"/>
      <c r="K970" s="62"/>
      <c r="L970" s="62"/>
      <c r="M970" s="62"/>
      <c r="N970" s="62"/>
      <c r="O970" s="62"/>
      <c r="P970" s="62"/>
      <c r="Q970" s="62"/>
      <c r="R970" s="62"/>
      <c r="S970" s="62"/>
      <c r="T970" s="62"/>
      <c r="U970" s="74"/>
      <c r="V970" s="62"/>
      <c r="W970" s="74"/>
      <c r="X970" s="62"/>
      <c r="Y970" s="61"/>
      <c r="Z970" s="201"/>
      <c r="AA970" s="201"/>
      <c r="AB970" s="201"/>
      <c r="AC970" s="201"/>
      <c r="AD970" s="201"/>
      <c r="AE970" s="201"/>
      <c r="AF970" s="201"/>
      <c r="AG970" s="201"/>
      <c r="AH970" s="201"/>
      <c r="AI970" s="201"/>
      <c r="AJ970" s="201"/>
      <c r="AK970" s="201"/>
      <c r="AL970" s="201"/>
      <c r="AM970" s="201"/>
      <c r="AN970" s="201"/>
      <c r="AO970" s="201"/>
    </row>
    <row r="971">
      <c r="A971" s="197"/>
      <c r="B971" s="197"/>
      <c r="C971" s="199"/>
      <c r="D971" s="197"/>
      <c r="E971" s="197"/>
      <c r="F971" s="197"/>
      <c r="G971" s="197"/>
      <c r="H971" s="199"/>
      <c r="I971" s="199"/>
      <c r="J971" s="62"/>
      <c r="K971" s="62"/>
      <c r="L971" s="62"/>
      <c r="M971" s="62"/>
      <c r="N971" s="62"/>
      <c r="O971" s="62"/>
      <c r="P971" s="62"/>
      <c r="Q971" s="62"/>
      <c r="R971" s="62"/>
      <c r="S971" s="62"/>
      <c r="T971" s="62"/>
      <c r="U971" s="74"/>
      <c r="V971" s="62"/>
      <c r="W971" s="74"/>
      <c r="X971" s="62"/>
      <c r="Y971" s="61"/>
      <c r="Z971" s="201"/>
      <c r="AA971" s="201"/>
      <c r="AB971" s="201"/>
      <c r="AC971" s="201"/>
      <c r="AD971" s="201"/>
      <c r="AE971" s="201"/>
      <c r="AF971" s="201"/>
      <c r="AG971" s="201"/>
      <c r="AH971" s="201"/>
      <c r="AI971" s="201"/>
      <c r="AJ971" s="201"/>
      <c r="AK971" s="201"/>
      <c r="AL971" s="201"/>
      <c r="AM971" s="201"/>
      <c r="AN971" s="201"/>
      <c r="AO971" s="201"/>
    </row>
    <row r="972">
      <c r="A972" s="197"/>
      <c r="B972" s="197"/>
      <c r="C972" s="199"/>
      <c r="D972" s="197"/>
      <c r="E972" s="197"/>
      <c r="F972" s="197"/>
      <c r="G972" s="197"/>
      <c r="H972" s="199"/>
      <c r="I972" s="199"/>
      <c r="J972" s="62"/>
      <c r="K972" s="62"/>
      <c r="L972" s="62"/>
      <c r="M972" s="62"/>
      <c r="N972" s="62"/>
      <c r="O972" s="62"/>
      <c r="P972" s="62"/>
      <c r="Q972" s="62"/>
      <c r="R972" s="62"/>
      <c r="S972" s="62"/>
      <c r="T972" s="62"/>
      <c r="U972" s="74"/>
      <c r="V972" s="62"/>
      <c r="W972" s="74"/>
      <c r="X972" s="62"/>
      <c r="Y972" s="61"/>
      <c r="Z972" s="201"/>
      <c r="AA972" s="201"/>
      <c r="AB972" s="201"/>
      <c r="AC972" s="201"/>
      <c r="AD972" s="201"/>
      <c r="AE972" s="201"/>
      <c r="AF972" s="201"/>
      <c r="AG972" s="201"/>
      <c r="AH972" s="201"/>
      <c r="AI972" s="201"/>
      <c r="AJ972" s="201"/>
      <c r="AK972" s="201"/>
      <c r="AL972" s="201"/>
      <c r="AM972" s="201"/>
      <c r="AN972" s="201"/>
      <c r="AO972" s="201"/>
    </row>
    <row r="973">
      <c r="A973" s="197"/>
      <c r="B973" s="197"/>
      <c r="C973" s="199"/>
      <c r="D973" s="197"/>
      <c r="E973" s="197"/>
      <c r="F973" s="197"/>
      <c r="G973" s="197"/>
      <c r="H973" s="199"/>
      <c r="I973" s="199"/>
      <c r="J973" s="62"/>
      <c r="K973" s="62"/>
      <c r="L973" s="62"/>
      <c r="M973" s="62"/>
      <c r="N973" s="62"/>
      <c r="O973" s="62"/>
      <c r="P973" s="62"/>
      <c r="Q973" s="62"/>
      <c r="R973" s="62"/>
      <c r="S973" s="62"/>
      <c r="T973" s="62"/>
      <c r="U973" s="74"/>
      <c r="V973" s="62"/>
      <c r="W973" s="74"/>
      <c r="X973" s="62"/>
      <c r="Y973" s="61"/>
      <c r="Z973" s="201"/>
      <c r="AA973" s="201"/>
      <c r="AB973" s="201"/>
      <c r="AC973" s="201"/>
      <c r="AD973" s="201"/>
      <c r="AE973" s="201"/>
      <c r="AF973" s="201"/>
      <c r="AG973" s="201"/>
      <c r="AH973" s="201"/>
      <c r="AI973" s="201"/>
      <c r="AJ973" s="201"/>
      <c r="AK973" s="201"/>
      <c r="AL973" s="201"/>
      <c r="AM973" s="201"/>
      <c r="AN973" s="201"/>
      <c r="AO973" s="201"/>
    </row>
    <row r="974">
      <c r="A974" s="197"/>
      <c r="B974" s="197"/>
      <c r="C974" s="199"/>
      <c r="D974" s="197"/>
      <c r="E974" s="197"/>
      <c r="F974" s="197"/>
      <c r="G974" s="197"/>
      <c r="H974" s="199"/>
      <c r="I974" s="199"/>
      <c r="J974" s="62"/>
      <c r="K974" s="62"/>
      <c r="L974" s="62"/>
      <c r="M974" s="62"/>
      <c r="N974" s="62"/>
      <c r="O974" s="62"/>
      <c r="P974" s="62"/>
      <c r="Q974" s="62"/>
      <c r="R974" s="62"/>
      <c r="S974" s="62"/>
      <c r="T974" s="62"/>
      <c r="U974" s="74"/>
      <c r="V974" s="62"/>
      <c r="W974" s="74"/>
      <c r="X974" s="62"/>
      <c r="Y974" s="61"/>
      <c r="Z974" s="201"/>
      <c r="AA974" s="201"/>
      <c r="AB974" s="201"/>
      <c r="AC974" s="201"/>
      <c r="AD974" s="201"/>
      <c r="AE974" s="201"/>
      <c r="AF974" s="201"/>
      <c r="AG974" s="201"/>
      <c r="AH974" s="201"/>
      <c r="AI974" s="201"/>
      <c r="AJ974" s="201"/>
      <c r="AK974" s="201"/>
      <c r="AL974" s="201"/>
      <c r="AM974" s="201"/>
      <c r="AN974" s="201"/>
      <c r="AO974" s="201"/>
    </row>
    <row r="975">
      <c r="A975" s="197"/>
      <c r="B975" s="197"/>
      <c r="C975" s="199"/>
      <c r="D975" s="197"/>
      <c r="E975" s="197"/>
      <c r="F975" s="197"/>
      <c r="G975" s="197"/>
      <c r="H975" s="199"/>
      <c r="I975" s="199"/>
      <c r="J975" s="62"/>
      <c r="K975" s="62"/>
      <c r="L975" s="62"/>
      <c r="M975" s="62"/>
      <c r="N975" s="62"/>
      <c r="O975" s="62"/>
      <c r="P975" s="62"/>
      <c r="Q975" s="62"/>
      <c r="R975" s="62"/>
      <c r="S975" s="62"/>
      <c r="T975" s="62"/>
      <c r="U975" s="74"/>
      <c r="V975" s="62"/>
      <c r="W975" s="74"/>
      <c r="X975" s="62"/>
      <c r="Y975" s="61"/>
      <c r="Z975" s="201"/>
      <c r="AA975" s="201"/>
      <c r="AB975" s="201"/>
      <c r="AC975" s="201"/>
      <c r="AD975" s="201"/>
      <c r="AE975" s="201"/>
      <c r="AF975" s="201"/>
      <c r="AG975" s="201"/>
      <c r="AH975" s="201"/>
      <c r="AI975" s="201"/>
      <c r="AJ975" s="201"/>
      <c r="AK975" s="201"/>
      <c r="AL975" s="201"/>
      <c r="AM975" s="201"/>
      <c r="AN975" s="201"/>
      <c r="AO975" s="201"/>
    </row>
    <row r="976">
      <c r="A976" s="197"/>
      <c r="B976" s="197"/>
      <c r="C976" s="199"/>
      <c r="D976" s="197"/>
      <c r="E976" s="197"/>
      <c r="F976" s="197"/>
      <c r="G976" s="197"/>
      <c r="H976" s="199"/>
      <c r="I976" s="199"/>
      <c r="J976" s="62"/>
      <c r="K976" s="62"/>
      <c r="L976" s="62"/>
      <c r="M976" s="62"/>
      <c r="N976" s="62"/>
      <c r="O976" s="62"/>
      <c r="P976" s="62"/>
      <c r="Q976" s="62"/>
      <c r="R976" s="62"/>
      <c r="S976" s="62"/>
      <c r="T976" s="62"/>
      <c r="U976" s="74"/>
      <c r="V976" s="62"/>
      <c r="W976" s="74"/>
      <c r="X976" s="62"/>
      <c r="Y976" s="61"/>
      <c r="Z976" s="201"/>
      <c r="AA976" s="201"/>
      <c r="AB976" s="201"/>
      <c r="AC976" s="201"/>
      <c r="AD976" s="201"/>
      <c r="AE976" s="201"/>
      <c r="AF976" s="201"/>
      <c r="AG976" s="201"/>
      <c r="AH976" s="201"/>
      <c r="AI976" s="201"/>
      <c r="AJ976" s="201"/>
      <c r="AK976" s="201"/>
      <c r="AL976" s="201"/>
      <c r="AM976" s="201"/>
      <c r="AN976" s="201"/>
      <c r="AO976" s="201"/>
    </row>
    <row r="977">
      <c r="A977" s="197"/>
      <c r="B977" s="197"/>
      <c r="C977" s="199"/>
      <c r="D977" s="197"/>
      <c r="E977" s="197"/>
      <c r="F977" s="197"/>
      <c r="G977" s="197"/>
      <c r="H977" s="199"/>
      <c r="I977" s="199"/>
      <c r="J977" s="62"/>
      <c r="K977" s="62"/>
      <c r="L977" s="62"/>
      <c r="M977" s="62"/>
      <c r="N977" s="62"/>
      <c r="O977" s="62"/>
      <c r="P977" s="62"/>
      <c r="Q977" s="62"/>
      <c r="R977" s="62"/>
      <c r="S977" s="62"/>
      <c r="T977" s="62"/>
      <c r="U977" s="74"/>
      <c r="V977" s="62"/>
      <c r="W977" s="74"/>
      <c r="X977" s="62"/>
      <c r="Y977" s="61"/>
      <c r="Z977" s="201"/>
      <c r="AA977" s="201"/>
      <c r="AB977" s="201"/>
      <c r="AC977" s="201"/>
      <c r="AD977" s="201"/>
      <c r="AE977" s="201"/>
      <c r="AF977" s="201"/>
      <c r="AG977" s="201"/>
      <c r="AH977" s="201"/>
      <c r="AI977" s="201"/>
      <c r="AJ977" s="201"/>
      <c r="AK977" s="201"/>
      <c r="AL977" s="201"/>
      <c r="AM977" s="201"/>
      <c r="AN977" s="201"/>
      <c r="AO977" s="201"/>
    </row>
    <row r="978">
      <c r="A978" s="197"/>
      <c r="B978" s="197"/>
      <c r="C978" s="199"/>
      <c r="D978" s="197"/>
      <c r="E978" s="197"/>
      <c r="F978" s="197"/>
      <c r="G978" s="197"/>
      <c r="H978" s="199"/>
      <c r="I978" s="199"/>
      <c r="J978" s="62"/>
      <c r="K978" s="62"/>
      <c r="L978" s="62"/>
      <c r="M978" s="62"/>
      <c r="N978" s="62"/>
      <c r="O978" s="62"/>
      <c r="P978" s="62"/>
      <c r="Q978" s="62"/>
      <c r="R978" s="62"/>
      <c r="S978" s="62"/>
      <c r="T978" s="62"/>
      <c r="U978" s="74"/>
      <c r="V978" s="62"/>
      <c r="W978" s="74"/>
      <c r="X978" s="62"/>
      <c r="Y978" s="61"/>
      <c r="Z978" s="201"/>
      <c r="AA978" s="201"/>
      <c r="AB978" s="201"/>
      <c r="AC978" s="201"/>
      <c r="AD978" s="201"/>
      <c r="AE978" s="201"/>
      <c r="AF978" s="201"/>
      <c r="AG978" s="201"/>
      <c r="AH978" s="201"/>
      <c r="AI978" s="201"/>
      <c r="AJ978" s="201"/>
      <c r="AK978" s="201"/>
      <c r="AL978" s="201"/>
      <c r="AM978" s="201"/>
      <c r="AN978" s="201"/>
      <c r="AO978" s="201"/>
    </row>
    <row r="979">
      <c r="A979" s="197"/>
      <c r="B979" s="197"/>
      <c r="C979" s="199"/>
      <c r="D979" s="197"/>
      <c r="E979" s="197"/>
      <c r="F979" s="197"/>
      <c r="G979" s="197"/>
      <c r="H979" s="199"/>
      <c r="I979" s="199"/>
      <c r="J979" s="62"/>
      <c r="K979" s="62"/>
      <c r="L979" s="62"/>
      <c r="M979" s="62"/>
      <c r="N979" s="62"/>
      <c r="O979" s="62"/>
      <c r="P979" s="62"/>
      <c r="Q979" s="62"/>
      <c r="R979" s="62"/>
      <c r="S979" s="62"/>
      <c r="T979" s="62"/>
      <c r="U979" s="74"/>
      <c r="V979" s="62"/>
      <c r="W979" s="74"/>
      <c r="X979" s="62"/>
      <c r="Y979" s="61"/>
      <c r="Z979" s="201"/>
      <c r="AA979" s="201"/>
      <c r="AB979" s="201"/>
      <c r="AC979" s="201"/>
      <c r="AD979" s="201"/>
      <c r="AE979" s="201"/>
      <c r="AF979" s="201"/>
      <c r="AG979" s="201"/>
      <c r="AH979" s="201"/>
      <c r="AI979" s="201"/>
      <c r="AJ979" s="201"/>
      <c r="AK979" s="201"/>
      <c r="AL979" s="201"/>
      <c r="AM979" s="201"/>
      <c r="AN979" s="201"/>
      <c r="AO979" s="201"/>
    </row>
    <row r="980">
      <c r="A980" s="197"/>
      <c r="B980" s="197"/>
      <c r="C980" s="199"/>
      <c r="D980" s="197"/>
      <c r="E980" s="197"/>
      <c r="F980" s="197"/>
      <c r="G980" s="197"/>
      <c r="H980" s="199"/>
      <c r="I980" s="199"/>
      <c r="J980" s="62"/>
      <c r="K980" s="62"/>
      <c r="L980" s="62"/>
      <c r="M980" s="62"/>
      <c r="N980" s="62"/>
      <c r="O980" s="62"/>
      <c r="P980" s="62"/>
      <c r="Q980" s="62"/>
      <c r="R980" s="62"/>
      <c r="S980" s="62"/>
      <c r="T980" s="62"/>
      <c r="U980" s="74"/>
      <c r="V980" s="62"/>
      <c r="W980" s="74"/>
      <c r="X980" s="62"/>
      <c r="Y980" s="61"/>
      <c r="Z980" s="201"/>
      <c r="AA980" s="201"/>
      <c r="AB980" s="201"/>
      <c r="AC980" s="201"/>
      <c r="AD980" s="201"/>
      <c r="AE980" s="201"/>
      <c r="AF980" s="201"/>
      <c r="AG980" s="201"/>
      <c r="AH980" s="201"/>
      <c r="AI980" s="201"/>
      <c r="AJ980" s="201"/>
      <c r="AK980" s="201"/>
      <c r="AL980" s="201"/>
      <c r="AM980" s="201"/>
      <c r="AN980" s="201"/>
      <c r="AO980" s="201"/>
    </row>
    <row r="981">
      <c r="A981" s="197"/>
      <c r="B981" s="197"/>
      <c r="C981" s="199"/>
      <c r="D981" s="197"/>
      <c r="E981" s="197"/>
      <c r="F981" s="197"/>
      <c r="G981" s="197"/>
      <c r="H981" s="199"/>
      <c r="I981" s="199"/>
      <c r="J981" s="62"/>
      <c r="K981" s="62"/>
      <c r="L981" s="62"/>
      <c r="M981" s="62"/>
      <c r="N981" s="62"/>
      <c r="O981" s="62"/>
      <c r="P981" s="62"/>
      <c r="Q981" s="62"/>
      <c r="R981" s="62"/>
      <c r="S981" s="62"/>
      <c r="T981" s="62"/>
      <c r="U981" s="74"/>
      <c r="V981" s="62"/>
      <c r="W981" s="74"/>
      <c r="X981" s="62"/>
      <c r="Y981" s="61"/>
      <c r="Z981" s="201"/>
      <c r="AA981" s="201"/>
      <c r="AB981" s="201"/>
      <c r="AC981" s="201"/>
      <c r="AD981" s="201"/>
      <c r="AE981" s="201"/>
      <c r="AF981" s="201"/>
      <c r="AG981" s="201"/>
      <c r="AH981" s="201"/>
      <c r="AI981" s="201"/>
      <c r="AJ981" s="201"/>
      <c r="AK981" s="201"/>
      <c r="AL981" s="201"/>
      <c r="AM981" s="201"/>
      <c r="AN981" s="201"/>
      <c r="AO981" s="201"/>
    </row>
    <row r="982">
      <c r="A982" s="197"/>
      <c r="B982" s="197"/>
      <c r="C982" s="199"/>
      <c r="D982" s="197"/>
      <c r="E982" s="197"/>
      <c r="F982" s="197"/>
      <c r="G982" s="197"/>
      <c r="H982" s="199"/>
      <c r="I982" s="199"/>
      <c r="J982" s="62"/>
      <c r="K982" s="62"/>
      <c r="L982" s="62"/>
      <c r="M982" s="62"/>
      <c r="N982" s="62"/>
      <c r="O982" s="62"/>
      <c r="P982" s="62"/>
      <c r="Q982" s="62"/>
      <c r="R982" s="62"/>
      <c r="S982" s="62"/>
      <c r="T982" s="62"/>
      <c r="U982" s="74"/>
      <c r="V982" s="62"/>
      <c r="W982" s="74"/>
      <c r="X982" s="62"/>
      <c r="Y982" s="61"/>
      <c r="Z982" s="201"/>
      <c r="AA982" s="201"/>
      <c r="AB982" s="201"/>
      <c r="AC982" s="201"/>
      <c r="AD982" s="201"/>
      <c r="AE982" s="201"/>
      <c r="AF982" s="201"/>
      <c r="AG982" s="201"/>
      <c r="AH982" s="201"/>
      <c r="AI982" s="201"/>
      <c r="AJ982" s="201"/>
      <c r="AK982" s="201"/>
      <c r="AL982" s="201"/>
      <c r="AM982" s="201"/>
      <c r="AN982" s="201"/>
      <c r="AO982" s="201"/>
    </row>
    <row r="983">
      <c r="A983" s="197"/>
      <c r="B983" s="197"/>
      <c r="C983" s="199"/>
      <c r="D983" s="197"/>
      <c r="E983" s="197"/>
      <c r="F983" s="197"/>
      <c r="G983" s="197"/>
      <c r="H983" s="199"/>
      <c r="I983" s="199"/>
      <c r="J983" s="62"/>
      <c r="K983" s="62"/>
      <c r="L983" s="62"/>
      <c r="M983" s="62"/>
      <c r="N983" s="62"/>
      <c r="O983" s="62"/>
      <c r="P983" s="62"/>
      <c r="Q983" s="62"/>
      <c r="R983" s="62"/>
      <c r="S983" s="62"/>
      <c r="T983" s="62"/>
      <c r="U983" s="74"/>
      <c r="V983" s="62"/>
      <c r="W983" s="74"/>
      <c r="X983" s="62"/>
      <c r="Y983" s="61"/>
      <c r="Z983" s="201"/>
      <c r="AA983" s="201"/>
      <c r="AB983" s="201"/>
      <c r="AC983" s="201"/>
      <c r="AD983" s="201"/>
      <c r="AE983" s="201"/>
      <c r="AF983" s="201"/>
      <c r="AG983" s="201"/>
      <c r="AH983" s="201"/>
      <c r="AI983" s="201"/>
      <c r="AJ983" s="201"/>
      <c r="AK983" s="201"/>
      <c r="AL983" s="201"/>
      <c r="AM983" s="201"/>
      <c r="AN983" s="201"/>
      <c r="AO983" s="201"/>
    </row>
    <row r="984">
      <c r="A984" s="197"/>
      <c r="B984" s="197"/>
      <c r="C984" s="199"/>
      <c r="D984" s="197"/>
      <c r="E984" s="197"/>
      <c r="F984" s="197"/>
      <c r="G984" s="197"/>
      <c r="H984" s="199"/>
      <c r="I984" s="199"/>
      <c r="J984" s="62"/>
      <c r="K984" s="62"/>
      <c r="L984" s="62"/>
      <c r="M984" s="62"/>
      <c r="N984" s="62"/>
      <c r="O984" s="62"/>
      <c r="P984" s="62"/>
      <c r="Q984" s="62"/>
      <c r="R984" s="62"/>
      <c r="S984" s="62"/>
      <c r="T984" s="62"/>
      <c r="U984" s="74"/>
      <c r="V984" s="62"/>
      <c r="W984" s="74"/>
      <c r="X984" s="62"/>
      <c r="Y984" s="61"/>
      <c r="Z984" s="201"/>
      <c r="AA984" s="201"/>
      <c r="AB984" s="201"/>
      <c r="AC984" s="201"/>
      <c r="AD984" s="201"/>
      <c r="AE984" s="201"/>
      <c r="AF984" s="201"/>
      <c r="AG984" s="201"/>
      <c r="AH984" s="201"/>
      <c r="AI984" s="201"/>
      <c r="AJ984" s="201"/>
      <c r="AK984" s="201"/>
      <c r="AL984" s="201"/>
      <c r="AM984" s="201"/>
      <c r="AN984" s="201"/>
      <c r="AO984" s="201"/>
    </row>
    <row r="985">
      <c r="A985" s="197"/>
      <c r="B985" s="197"/>
      <c r="C985" s="199"/>
      <c r="D985" s="197"/>
      <c r="E985" s="197"/>
      <c r="F985" s="197"/>
      <c r="G985" s="197"/>
      <c r="H985" s="199"/>
      <c r="I985" s="199"/>
      <c r="J985" s="62"/>
      <c r="K985" s="62"/>
      <c r="L985" s="62"/>
      <c r="M985" s="62"/>
      <c r="N985" s="62"/>
      <c r="O985" s="62"/>
      <c r="P985" s="62"/>
      <c r="Q985" s="62"/>
      <c r="R985" s="62"/>
      <c r="S985" s="62"/>
      <c r="T985" s="62"/>
      <c r="U985" s="74"/>
      <c r="V985" s="62"/>
      <c r="W985" s="74"/>
      <c r="X985" s="62"/>
      <c r="Y985" s="61"/>
      <c r="Z985" s="201"/>
      <c r="AA985" s="201"/>
      <c r="AB985" s="201"/>
      <c r="AC985" s="201"/>
      <c r="AD985" s="201"/>
      <c r="AE985" s="201"/>
      <c r="AF985" s="201"/>
      <c r="AG985" s="201"/>
      <c r="AH985" s="201"/>
      <c r="AI985" s="201"/>
      <c r="AJ985" s="201"/>
      <c r="AK985" s="201"/>
      <c r="AL985" s="201"/>
      <c r="AM985" s="201"/>
      <c r="AN985" s="201"/>
      <c r="AO985" s="201"/>
    </row>
    <row r="986">
      <c r="A986" s="197"/>
      <c r="B986" s="197"/>
      <c r="C986" s="199"/>
      <c r="D986" s="197"/>
      <c r="E986" s="197"/>
      <c r="F986" s="197"/>
      <c r="G986" s="197"/>
      <c r="H986" s="199"/>
      <c r="I986" s="199"/>
      <c r="J986" s="62"/>
      <c r="K986" s="62"/>
      <c r="L986" s="62"/>
      <c r="M986" s="62"/>
      <c r="N986" s="62"/>
      <c r="O986" s="62"/>
      <c r="P986" s="62"/>
      <c r="Q986" s="62"/>
      <c r="R986" s="62"/>
      <c r="S986" s="62"/>
      <c r="T986" s="62"/>
      <c r="U986" s="74"/>
      <c r="V986" s="62"/>
      <c r="W986" s="74"/>
      <c r="X986" s="62"/>
      <c r="Y986" s="61"/>
      <c r="Z986" s="201"/>
      <c r="AA986" s="201"/>
      <c r="AB986" s="201"/>
      <c r="AC986" s="201"/>
      <c r="AD986" s="201"/>
      <c r="AE986" s="201"/>
      <c r="AF986" s="201"/>
      <c r="AG986" s="201"/>
      <c r="AH986" s="201"/>
      <c r="AI986" s="201"/>
      <c r="AJ986" s="201"/>
      <c r="AK986" s="201"/>
      <c r="AL986" s="201"/>
      <c r="AM986" s="201"/>
      <c r="AN986" s="201"/>
      <c r="AO986" s="201"/>
    </row>
    <row r="987">
      <c r="A987" s="197"/>
      <c r="B987" s="197"/>
      <c r="C987" s="199"/>
      <c r="D987" s="197"/>
      <c r="E987" s="197"/>
      <c r="F987" s="197"/>
      <c r="G987" s="197"/>
      <c r="H987" s="199"/>
      <c r="I987" s="199"/>
      <c r="J987" s="62"/>
      <c r="K987" s="62"/>
      <c r="L987" s="62"/>
      <c r="M987" s="62"/>
      <c r="N987" s="62"/>
      <c r="O987" s="62"/>
      <c r="P987" s="62"/>
      <c r="Q987" s="62"/>
      <c r="R987" s="62"/>
      <c r="S987" s="62"/>
      <c r="T987" s="62"/>
      <c r="U987" s="74"/>
      <c r="V987" s="62"/>
      <c r="W987" s="74"/>
      <c r="X987" s="62"/>
      <c r="Y987" s="61"/>
      <c r="Z987" s="201"/>
      <c r="AA987" s="201"/>
      <c r="AB987" s="201"/>
      <c r="AC987" s="201"/>
      <c r="AD987" s="201"/>
      <c r="AE987" s="201"/>
      <c r="AF987" s="201"/>
      <c r="AG987" s="201"/>
      <c r="AH987" s="201"/>
      <c r="AI987" s="201"/>
      <c r="AJ987" s="201"/>
      <c r="AK987" s="201"/>
      <c r="AL987" s="201"/>
      <c r="AM987" s="201"/>
      <c r="AN987" s="201"/>
      <c r="AO987" s="201"/>
    </row>
    <row r="988">
      <c r="A988" s="197"/>
      <c r="B988" s="197"/>
      <c r="C988" s="199"/>
      <c r="D988" s="197"/>
      <c r="E988" s="197"/>
      <c r="F988" s="197"/>
      <c r="G988" s="197"/>
      <c r="H988" s="199"/>
      <c r="I988" s="199"/>
      <c r="J988" s="62"/>
      <c r="K988" s="62"/>
      <c r="L988" s="62"/>
      <c r="M988" s="62"/>
      <c r="N988" s="62"/>
      <c r="O988" s="62"/>
      <c r="P988" s="62"/>
      <c r="Q988" s="62"/>
      <c r="R988" s="62"/>
      <c r="S988" s="62"/>
      <c r="T988" s="62"/>
      <c r="U988" s="74"/>
      <c r="V988" s="62"/>
      <c r="W988" s="74"/>
      <c r="X988" s="62"/>
      <c r="Y988" s="61"/>
      <c r="Z988" s="201"/>
      <c r="AA988" s="201"/>
      <c r="AB988" s="201"/>
      <c r="AC988" s="201"/>
      <c r="AD988" s="201"/>
      <c r="AE988" s="201"/>
      <c r="AF988" s="201"/>
      <c r="AG988" s="201"/>
      <c r="AH988" s="201"/>
      <c r="AI988" s="201"/>
      <c r="AJ988" s="201"/>
      <c r="AK988" s="201"/>
      <c r="AL988" s="201"/>
      <c r="AM988" s="201"/>
      <c r="AN988" s="201"/>
      <c r="AO988" s="201"/>
    </row>
    <row r="989">
      <c r="A989" s="197"/>
      <c r="B989" s="197"/>
      <c r="C989" s="199"/>
      <c r="D989" s="197"/>
      <c r="E989" s="197"/>
      <c r="F989" s="197"/>
      <c r="G989" s="197"/>
      <c r="H989" s="199"/>
      <c r="I989" s="199"/>
      <c r="J989" s="62"/>
      <c r="K989" s="62"/>
      <c r="L989" s="62"/>
      <c r="M989" s="62"/>
      <c r="N989" s="62"/>
      <c r="O989" s="62"/>
      <c r="P989" s="62"/>
      <c r="Q989" s="62"/>
      <c r="R989" s="62"/>
      <c r="S989" s="62"/>
      <c r="T989" s="62"/>
      <c r="U989" s="74"/>
      <c r="V989" s="62"/>
      <c r="W989" s="74"/>
      <c r="X989" s="62"/>
      <c r="Y989" s="61"/>
      <c r="Z989" s="201"/>
      <c r="AA989" s="201"/>
      <c r="AB989" s="201"/>
      <c r="AC989" s="201"/>
      <c r="AD989" s="201"/>
      <c r="AE989" s="201"/>
      <c r="AF989" s="201"/>
      <c r="AG989" s="201"/>
      <c r="AH989" s="201"/>
      <c r="AI989" s="201"/>
      <c r="AJ989" s="201"/>
      <c r="AK989" s="201"/>
      <c r="AL989" s="201"/>
      <c r="AM989" s="201"/>
      <c r="AN989" s="201"/>
      <c r="AO989" s="201"/>
    </row>
  </sheetData>
  <mergeCells count="5">
    <mergeCell ref="B1:H1"/>
    <mergeCell ref="J1:K1"/>
    <mergeCell ref="L1:N1"/>
    <mergeCell ref="P1:T1"/>
    <mergeCell ref="W1:W2"/>
  </mergeCells>
  <conditionalFormatting sqref="B1:B222 B224:B989">
    <cfRule type="containsText" dxfId="0" priority="1" operator="containsText" text="Unassigned">
      <formula>NOT(ISERROR(SEARCH(("Unassigned"),(B1))))</formula>
    </cfRule>
  </conditionalFormatting>
  <dataValidations>
    <dataValidation type="list" allowBlank="1" sqref="I1:I222 I224:I989">
      <formula1>"Only,First,Second,Third,Archived"</formula1>
    </dataValidation>
    <dataValidation type="list" allowBlank="1" sqref="G3:G222 G224:G989">
      <formula1>"Actionability,Gene Disease Validity,Variant Pathogenicity,Dosage Sensitivity,Somatic Cancer,Baseline,NA"</formula1>
    </dataValidation>
    <dataValidation type="list" allowBlank="1" sqref="E3:F222 E224:F989">
      <formula1>"Yes,No"</formula1>
    </dataValidation>
    <dataValidation type="list" allowBlank="1" sqref="B3:B989">
      <formula1>"Assigned,Contacted,Follow up email,Declined,Unassigned,Unresponsive,Recontact Later"</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29"/>
    <col customWidth="1" min="2" max="2" width="16.43"/>
    <col customWidth="1" min="3" max="3" width="11.0"/>
    <col customWidth="1" min="4" max="4" width="11.14"/>
    <col customWidth="1" min="5" max="5" width="11.0"/>
    <col customWidth="1" min="6" max="6" width="12.71"/>
    <col customWidth="1" min="7" max="7" width="21.29"/>
    <col customWidth="1" min="8" max="8" width="18.57"/>
    <col customWidth="1" min="9" max="9" width="16.71"/>
    <col customWidth="1" min="10" max="11" width="18.57"/>
    <col customWidth="1" min="12" max="12" width="27.86"/>
    <col customWidth="1" min="13" max="13" width="28.14"/>
    <col customWidth="1" min="14" max="14" width="27.71"/>
    <col customWidth="1" min="15" max="15" width="24.43"/>
    <col customWidth="1" min="16" max="16" width="32.14"/>
    <col customWidth="1" min="17" max="17" width="16.43"/>
    <col customWidth="1" min="18" max="18" width="13.86"/>
    <col customWidth="1" min="19" max="19" width="16.86"/>
    <col customWidth="1" min="20" max="20" width="12.71"/>
    <col customWidth="1" min="21" max="21" width="101.43"/>
    <col customWidth="1" min="22" max="22" width="11.71"/>
    <col customWidth="1" min="23" max="23" width="110.29"/>
    <col customWidth="1" min="24" max="24" width="74.71"/>
    <col customWidth="1" min="25" max="25" width="119.71"/>
  </cols>
  <sheetData>
    <row r="1">
      <c r="A1" s="7"/>
      <c r="B1" s="8" t="s">
        <v>12</v>
      </c>
      <c r="C1" s="9"/>
      <c r="D1" s="9"/>
      <c r="E1" s="9"/>
      <c r="F1" s="9"/>
      <c r="G1" s="9"/>
      <c r="H1" s="10"/>
      <c r="I1" s="19"/>
      <c r="J1" s="20" t="s">
        <v>24</v>
      </c>
      <c r="K1" s="10"/>
      <c r="L1" s="8" t="s">
        <v>25</v>
      </c>
      <c r="M1" s="9"/>
      <c r="N1" s="10"/>
      <c r="O1" s="36" t="s">
        <v>53</v>
      </c>
      <c r="P1" s="8" t="s">
        <v>55</v>
      </c>
      <c r="Q1" s="9"/>
      <c r="R1" s="9"/>
      <c r="S1" s="9"/>
      <c r="T1" s="10"/>
      <c r="U1" s="39"/>
      <c r="V1" s="40"/>
      <c r="W1" s="42" t="s">
        <v>57</v>
      </c>
      <c r="X1" s="44"/>
      <c r="Y1" s="45"/>
      <c r="Z1" s="44"/>
      <c r="AA1" s="44"/>
      <c r="AB1" s="44"/>
      <c r="AC1" s="44"/>
      <c r="AD1" s="44"/>
      <c r="AE1" s="44"/>
      <c r="AF1" s="44"/>
      <c r="AG1" s="44"/>
      <c r="AH1" s="44"/>
      <c r="AI1" s="44"/>
      <c r="AJ1" s="44"/>
      <c r="AK1" s="44"/>
      <c r="AL1" s="44"/>
      <c r="AM1" s="44"/>
      <c r="AN1" s="44"/>
      <c r="AO1" s="44"/>
    </row>
    <row r="2">
      <c r="A2" s="46" t="s">
        <v>65</v>
      </c>
      <c r="B2" s="47" t="s">
        <v>0</v>
      </c>
      <c r="C2" s="47" t="s">
        <v>73</v>
      </c>
      <c r="D2" s="47" t="s">
        <v>74</v>
      </c>
      <c r="E2" s="51" t="s">
        <v>75</v>
      </c>
      <c r="F2" s="51" t="s">
        <v>83</v>
      </c>
      <c r="G2" s="47" t="s">
        <v>84</v>
      </c>
      <c r="H2" s="51" t="s">
        <v>85</v>
      </c>
      <c r="I2" s="51" t="s">
        <v>86</v>
      </c>
      <c r="J2" s="51" t="s">
        <v>87</v>
      </c>
      <c r="K2" s="51" t="s">
        <v>88</v>
      </c>
      <c r="L2" s="51" t="s">
        <v>89</v>
      </c>
      <c r="M2" s="47" t="s">
        <v>90</v>
      </c>
      <c r="N2" s="47" t="s">
        <v>91</v>
      </c>
      <c r="O2" s="51" t="s">
        <v>92</v>
      </c>
      <c r="P2" s="46" t="s">
        <v>94</v>
      </c>
      <c r="Q2" s="51" t="s">
        <v>95</v>
      </c>
      <c r="R2" s="51" t="s">
        <v>96</v>
      </c>
      <c r="S2" s="51" t="s">
        <v>98</v>
      </c>
      <c r="T2" s="51" t="s">
        <v>99</v>
      </c>
      <c r="U2" s="39" t="s">
        <v>101</v>
      </c>
      <c r="V2" s="46" t="s">
        <v>102</v>
      </c>
      <c r="W2" s="52"/>
      <c r="X2" s="53" t="s">
        <v>104</v>
      </c>
      <c r="Y2" s="54" t="s">
        <v>105</v>
      </c>
      <c r="Z2" s="45"/>
      <c r="AA2" s="45"/>
      <c r="AB2" s="45"/>
      <c r="AC2" s="45"/>
      <c r="AD2" s="45"/>
      <c r="AE2" s="45"/>
      <c r="AF2" s="45"/>
      <c r="AG2" s="45"/>
      <c r="AH2" s="45"/>
      <c r="AI2" s="45"/>
      <c r="AJ2" s="45"/>
      <c r="AK2" s="45"/>
      <c r="AL2" s="45"/>
      <c r="AM2" s="45"/>
      <c r="AN2" s="45"/>
      <c r="AO2" s="45"/>
    </row>
    <row r="3">
      <c r="A3" s="59">
        <f>IFERROR(__xludf.DUMMYFUNCTION("QUERY('Volunteer Survey'!A2)"),43442.51732141204)</f>
        <v>43442.51732</v>
      </c>
      <c r="B3" s="60" t="s">
        <v>178</v>
      </c>
      <c r="C3" s="61"/>
      <c r="D3" s="62"/>
      <c r="E3" s="60" t="s">
        <v>182</v>
      </c>
      <c r="F3" s="60" t="s">
        <v>182</v>
      </c>
      <c r="G3" s="60" t="s">
        <v>150</v>
      </c>
      <c r="H3" s="63" t="s">
        <v>185</v>
      </c>
      <c r="I3" s="63" t="s">
        <v>189</v>
      </c>
      <c r="J3" s="62"/>
      <c r="K3" s="62"/>
      <c r="L3" s="62" t="str">
        <f>IFERROR(__xludf.DUMMYFUNCTION("QUERY('Volunteer Survey'!B2)"),"Suneeta Mandava")</f>
        <v>Suneeta Mandava</v>
      </c>
      <c r="M3" s="62" t="str">
        <f>IFERROR(__xludf.DUMMYFUNCTION("QUERY('Volunteer Survey'!E2)"),"suneeta.mandava@gmail.com")</f>
        <v>suneeta.mandava@gmail.com</v>
      </c>
      <c r="N3" s="62" t="str">
        <f>IFERROR(__xludf.DUMMYFUNCTION("QUERY('Volunteer Survey'!F2)"),"Variant Analyst/Scientist")</f>
        <v>Variant Analyst/Scientist</v>
      </c>
      <c r="O3" s="60" t="str">
        <f>IFERROR(__xludf.DUMMYFUNCTION("QUERY('Volunteer Survey'!H2)"),"Comprehensive")</f>
        <v>Comprehensive</v>
      </c>
      <c r="P3" s="62" t="str">
        <f>IFERROR(__xludf.DUMMYFUNCTION("QUERY('Volunteer Survey'!I2)"),"Somatic Cancer")</f>
        <v>Somatic Cancer</v>
      </c>
      <c r="Q3" s="66" t="str">
        <f>IFERROR(__xludf.DUMMYFUNCTION("QUERY('Volunteer Survey'!J2)"),"Gene-Disease Validity")</f>
        <v>Gene-Disease Validity</v>
      </c>
      <c r="R3" s="62" t="str">
        <f>IFERROR(__xludf.DUMMYFUNCTION("QUERY('Volunteer Survey'!K2)"),"Variant Pathogenicity")</f>
        <v>Variant Pathogenicity</v>
      </c>
      <c r="S3" s="62" t="str">
        <f>IFERROR(__xludf.DUMMYFUNCTION("QUERY('Volunteer Survey'!L2)"),"Clinical Actionability")</f>
        <v>Clinical Actionability</v>
      </c>
      <c r="T3" s="62" t="str">
        <f>IFERROR(__xludf.DUMMYFUNCTION("QUERY('Volunteer Survey'!M2)"),"Dosage Sensitivity")</f>
        <v>Dosage Sensitivity</v>
      </c>
      <c r="U3" s="74" t="str">
        <f>IFERROR(__xludf.DUMMYFUNCTION("QUERY('Volunteer Survey'!N2)"),"I am clinical genomics variant scientist in somatic cancers for the last almost 5 years")</f>
        <v>I am clinical genomics variant scientist in somatic cancers for the last almost 5 years</v>
      </c>
      <c r="V3" s="62" t="str">
        <f>IFERROR(__xludf.DUMMYFUNCTION("QUERY('Volunteer Survey'!O2)"),"Possibly")</f>
        <v>Possibly</v>
      </c>
      <c r="W3" s="75" t="str">
        <f>IFERROR(__xludf.DUMMYFUNCTION("QUERY('Volunteer Survey'!P2)"),"somatic cancer TP53")</f>
        <v>somatic cancer TP53</v>
      </c>
      <c r="X3" s="74" t="str">
        <f>IFERROR(__xludf.DUMMYFUNCTION("QUERY('Volunteer Survey'!R2)"),"Maybe -- please contact me with other options, and I will decide based on what is available")</f>
        <v>Maybe -- please contact me with other options, and I will decide based on what is available</v>
      </c>
      <c r="Y3" s="61"/>
      <c r="Z3" s="67"/>
      <c r="AA3" s="62"/>
      <c r="AB3" s="62"/>
      <c r="AC3" s="62"/>
      <c r="AD3" s="62"/>
      <c r="AE3" s="62"/>
      <c r="AF3" s="62"/>
      <c r="AG3" s="62"/>
      <c r="AH3" s="62"/>
      <c r="AI3" s="62"/>
      <c r="AJ3" s="62"/>
      <c r="AK3" s="62"/>
      <c r="AL3" s="62"/>
      <c r="AM3" s="62"/>
      <c r="AN3" s="62"/>
      <c r="AO3" s="62"/>
    </row>
    <row r="4">
      <c r="A4" s="59">
        <f>IFERROR(__xludf.DUMMYFUNCTION("QUERY('Volunteer Survey'!A3)"),43444.75724069444)</f>
        <v>43444.75724</v>
      </c>
      <c r="B4" s="60" t="s">
        <v>274</v>
      </c>
      <c r="C4" s="61"/>
      <c r="D4" s="62"/>
      <c r="E4" s="60" t="s">
        <v>182</v>
      </c>
      <c r="F4" s="60" t="s">
        <v>182</v>
      </c>
      <c r="G4" s="60" t="s">
        <v>27</v>
      </c>
      <c r="H4" s="76"/>
      <c r="I4" s="76" t="s">
        <v>189</v>
      </c>
      <c r="J4" s="62"/>
      <c r="K4" s="62"/>
      <c r="L4" s="62" t="str">
        <f>IFERROR(__xludf.DUMMYFUNCTION("QUERY('Volunteer Survey'!B3)"),"Edwin Kim")</f>
        <v>Edwin Kim</v>
      </c>
      <c r="M4" s="62" t="str">
        <f>IFERROR(__xludf.DUMMYFUNCTION("QUERY('Volunteer Survey'!E3)"),"Edwinkimmd@gmail.com")</f>
        <v>Edwinkimmd@gmail.com</v>
      </c>
      <c r="N4" s="62" t="str">
        <f>IFERROR(__xludf.DUMMYFUNCTION("QUERY('Volunteer Survey'!F3)"),"Physician (Non-geneticist)")</f>
        <v>Physician (Non-geneticist)</v>
      </c>
      <c r="O4" s="60" t="str">
        <f>IFERROR(__xludf.DUMMYFUNCTION("QUERY('Volunteer Survey'!H3)"),"Comprehensive")</f>
        <v>Comprehensive</v>
      </c>
      <c r="P4" s="62" t="str">
        <f>IFERROR(__xludf.DUMMYFUNCTION("QUERY('Volunteer Survey'!I3)"),"Clinical Actionability")</f>
        <v>Clinical Actionability</v>
      </c>
      <c r="Q4" s="66" t="str">
        <f>IFERROR(__xludf.DUMMYFUNCTION("QUERY('Volunteer Survey'!J3)"),"Dosage Sensitivity")</f>
        <v>Dosage Sensitivity</v>
      </c>
      <c r="R4" s="62" t="str">
        <f>IFERROR(__xludf.DUMMYFUNCTION("QUERY('Volunteer Survey'!K3)"),"Gene-Disease Validity")</f>
        <v>Gene-Disease Validity</v>
      </c>
      <c r="S4" s="62" t="str">
        <f>IFERROR(__xludf.DUMMYFUNCTION("QUERY('Volunteer Survey'!L3)"),"Variant Pathogenicity")</f>
        <v>Variant Pathogenicity</v>
      </c>
      <c r="T4" s="62" t="str">
        <f>IFERROR(__xludf.DUMMYFUNCTION("QUERY('Volunteer Survey'!M3)"),"Somatic Cancer")</f>
        <v>Somatic Cancer</v>
      </c>
      <c r="U4" s="74" t="str">
        <f>IFERROR(__xludf.DUMMYFUNCTION("QUERY('Volunteer Survey'!N3)"),"Working with Bioinformaticians and microbial researchers at the Lawrence Berkeley/Livermore DOE Joint Genome Institute and curating in-house data for output to public research databases.")</f>
        <v>Working with Bioinformaticians and microbial researchers at the Lawrence Berkeley/Livermore DOE Joint Genome Institute and curating in-house data for output to public research databases.</v>
      </c>
      <c r="V4" s="62" t="str">
        <f>IFERROR(__xludf.DUMMYFUNCTION("QUERY('Volunteer Survey'!O3)"),"Possibly")</f>
        <v>Possibly</v>
      </c>
      <c r="W4" s="75" t="str">
        <f>IFERROR(__xludf.DUMMYFUNCTION("QUERY('Volunteer Survey'!P3)"),"Possibly after gaining some more exposure and increasing experience.")</f>
        <v>Possibly after gaining some more exposure and increasing experience.</v>
      </c>
      <c r="X4" s="74" t="str">
        <f>IFERROR(__xludf.DUMMYFUNCTION("QUERY('Volunteer Survey'!R3)"),"Maybe -- please contact me with other options, and I will decide based on what is available")</f>
        <v>Maybe -- please contact me with other options, and I will decide based on what is available</v>
      </c>
      <c r="Y4" s="61"/>
      <c r="Z4" s="67"/>
      <c r="AA4" s="62"/>
      <c r="AB4" s="62"/>
      <c r="AC4" s="62"/>
      <c r="AD4" s="62"/>
      <c r="AE4" s="62"/>
      <c r="AF4" s="62"/>
      <c r="AG4" s="62"/>
      <c r="AH4" s="62"/>
      <c r="AI4" s="62"/>
      <c r="AJ4" s="62"/>
      <c r="AK4" s="62"/>
      <c r="AL4" s="62"/>
      <c r="AM4" s="62"/>
      <c r="AN4" s="62"/>
      <c r="AO4" s="62"/>
    </row>
    <row r="5">
      <c r="A5" s="59">
        <f>IFERROR(__xludf.DUMMYFUNCTION("QUERY('Volunteer Survey'!A4)"),43446.43219766204)</f>
        <v>43446.4322</v>
      </c>
      <c r="B5" s="60" t="s">
        <v>275</v>
      </c>
      <c r="C5" s="61"/>
      <c r="D5" s="62"/>
      <c r="E5" s="60" t="s">
        <v>182</v>
      </c>
      <c r="F5" s="60" t="s">
        <v>182</v>
      </c>
      <c r="G5" s="60" t="s">
        <v>276</v>
      </c>
      <c r="H5" s="61"/>
      <c r="I5" s="63" t="s">
        <v>189</v>
      </c>
      <c r="J5" s="62"/>
      <c r="K5" s="62"/>
      <c r="L5" s="62" t="str">
        <f>IFERROR(__xludf.DUMMYFUNCTION("QUERY('Volunteer Survey'!B4)"),"Julyann Pérez Mayoral")</f>
        <v>Julyann Pérez Mayoral</v>
      </c>
      <c r="M5" s="62" t="str">
        <f>IFERROR(__xludf.DUMMYFUNCTION("QUERY('Volunteer Survey'!E4)"),"julyann.perez@upr.edu")</f>
        <v>julyann.perez@upr.edu</v>
      </c>
      <c r="N5" s="62" t="str">
        <f>IFERROR(__xludf.DUMMYFUNCTION("QUERY('Volunteer Survey'!F4)"),"Post Doc/Resident/Fellow (MD and/or PhD)")</f>
        <v>Post Doc/Resident/Fellow (MD and/or PhD)</v>
      </c>
      <c r="O5" s="60" t="str">
        <f>IFERROR(__xludf.DUMMYFUNCTION("QUERY('Volunteer Survey'!H4)"),"Baseline")</f>
        <v>Baseline</v>
      </c>
      <c r="P5" s="62" t="str">
        <f>IFERROR(__xludf.DUMMYFUNCTION("QUERY('Volunteer Survey'!I4)"),"Variant Pathogenicity")</f>
        <v>Variant Pathogenicity</v>
      </c>
      <c r="Q5" s="66" t="str">
        <f>IFERROR(__xludf.DUMMYFUNCTION("QUERY('Volunteer Survey'!J4)"),"Somatic Cancer")</f>
        <v>Somatic Cancer</v>
      </c>
      <c r="R5" s="62" t="str">
        <f>IFERROR(__xludf.DUMMYFUNCTION("QUERY('Volunteer Survey'!K4)"),"")</f>
        <v/>
      </c>
      <c r="S5" s="62" t="str">
        <f>IFERROR(__xludf.DUMMYFUNCTION("QUERY('Volunteer Survey'!L4)"),"")</f>
        <v/>
      </c>
      <c r="T5" s="62" t="str">
        <f>IFERROR(__xludf.DUMMYFUNCTION("QUERY('Volunteer Survey'!M4)"),"")</f>
        <v/>
      </c>
      <c r="U5" s="74" t="str">
        <f>IFERROR(__xludf.DUMMYFUNCTION("QUERY('Volunteer Survey'!N4)"),"No")</f>
        <v>No</v>
      </c>
      <c r="V5" s="62" t="str">
        <f>IFERROR(__xludf.DUMMYFUNCTION("QUERY('Volunteer Survey'!O4)"),"Possibly")</f>
        <v>Possibly</v>
      </c>
      <c r="W5" s="75" t="str">
        <f>IFERROR(__xludf.DUMMYFUNCTION("QUERY('Volunteer Survey'!P4)"),"Variant Curation Panel")</f>
        <v>Variant Curation Panel</v>
      </c>
      <c r="X5" s="74" t="str">
        <f>IFERROR(__xludf.DUMMYFUNCTION("QUERY('Volunteer Survey'!R4)"),"Maybe -- please contact me with other options, and I will decide based on what is available")</f>
        <v>Maybe -- please contact me with other options, and I will decide based on what is available</v>
      </c>
      <c r="Y5" s="61"/>
      <c r="Z5" s="67"/>
      <c r="AA5" s="62"/>
      <c r="AB5" s="62"/>
      <c r="AC5" s="62"/>
      <c r="AD5" s="62"/>
      <c r="AE5" s="62"/>
      <c r="AF5" s="62"/>
      <c r="AG5" s="62"/>
      <c r="AH5" s="62"/>
      <c r="AI5" s="62"/>
      <c r="AJ5" s="62"/>
      <c r="AK5" s="62"/>
      <c r="AL5" s="62"/>
      <c r="AM5" s="62"/>
      <c r="AN5" s="62"/>
      <c r="AO5" s="62"/>
    </row>
    <row r="6">
      <c r="A6" s="59">
        <f>IFERROR(__xludf.DUMMYFUNCTION("QUERY('Volunteer Survey'!A5)"),43446.65079341435)</f>
        <v>43446.65079</v>
      </c>
      <c r="B6" s="60" t="s">
        <v>275</v>
      </c>
      <c r="C6" s="61"/>
      <c r="D6" s="78">
        <v>43570.0</v>
      </c>
      <c r="E6" s="60" t="s">
        <v>277</v>
      </c>
      <c r="F6" s="60" t="s">
        <v>277</v>
      </c>
      <c r="G6" s="60" t="s">
        <v>278</v>
      </c>
      <c r="H6" s="63" t="s">
        <v>107</v>
      </c>
      <c r="I6" s="63" t="s">
        <v>189</v>
      </c>
      <c r="J6" s="79">
        <v>43712.0</v>
      </c>
      <c r="K6" s="79"/>
      <c r="L6" s="62" t="str">
        <f>IFERROR(__xludf.DUMMYFUNCTION("QUERY('Volunteer Survey'!B5)"),"Xiaodong Wang")</f>
        <v>Xiaodong Wang</v>
      </c>
      <c r="M6" s="62" t="str">
        <f>IFERROR(__xludf.DUMMYFUNCTION("QUERY('Volunteer Survey'!E5)"),"xdwang@ciphergene.com")</f>
        <v>xdwang@ciphergene.com</v>
      </c>
      <c r="N6" s="62" t="str">
        <f>IFERROR(__xludf.DUMMYFUNCTION("QUERY('Volunteer Survey'!F5)"),"Variant Analyst/Scientist")</f>
        <v>Variant Analyst/Scientist</v>
      </c>
      <c r="O6" s="60" t="str">
        <f>IFERROR(__xludf.DUMMYFUNCTION("QUERY('Volunteer Survey'!H5)"),"Comprehensive")</f>
        <v>Comprehensive</v>
      </c>
      <c r="P6" s="62" t="str">
        <f>IFERROR(__xludf.DUMMYFUNCTION("QUERY('Volunteer Survey'!I5)"),"Gene-Disease Validity")</f>
        <v>Gene-Disease Validity</v>
      </c>
      <c r="Q6" s="66" t="str">
        <f>IFERROR(__xludf.DUMMYFUNCTION("QUERY('Volunteer Survey'!J5)"),"Variant Pathogenicity")</f>
        <v>Variant Pathogenicity</v>
      </c>
      <c r="R6" s="62" t="str">
        <f>IFERROR(__xludf.DUMMYFUNCTION("QUERY('Volunteer Survey'!K5)"),"Clinical Actionability")</f>
        <v>Clinical Actionability</v>
      </c>
      <c r="S6" s="62" t="str">
        <f>IFERROR(__xludf.DUMMYFUNCTION("QUERY('Volunteer Survey'!L5)"),"")</f>
        <v/>
      </c>
      <c r="T6" s="62" t="str">
        <f>IFERROR(__xludf.DUMMYFUNCTION("QUERY('Volunteer Survey'!M5)"),"")</f>
        <v/>
      </c>
      <c r="U6" s="74" t="str">
        <f>IFERROR(__xludf.DUMMYFUNCTION("QUERY('Volunteer Survey'!N5)"),"I am familiar with ACMG for variant classification, which I do daily. ")</f>
        <v>I am familiar with ACMG for variant classification, which I do daily. </v>
      </c>
      <c r="V6" s="62" t="str">
        <f>IFERROR(__xludf.DUMMYFUNCTION("QUERY('Volunteer Survey'!O5)"),"Possibly")</f>
        <v>Possibly</v>
      </c>
      <c r="W6" s="75" t="str">
        <f>IFERROR(__xludf.DUMMYFUNCTION("QUERY('Volunteer Survey'!P5)"),"Epilepsy group")</f>
        <v>Epilepsy group</v>
      </c>
      <c r="X6" s="74" t="str">
        <f>IFERROR(__xludf.DUMMYFUNCTION("QUERY('Volunteer Survey'!R5)"),"Maybe -- please contact me with other options, and I will decide based on what is available")</f>
        <v>Maybe -- please contact me with other options, and I will decide based on what is available</v>
      </c>
      <c r="Y6" s="61"/>
      <c r="Z6" s="67"/>
      <c r="AA6" s="62"/>
      <c r="AB6" s="62"/>
      <c r="AC6" s="62"/>
      <c r="AD6" s="62"/>
      <c r="AE6" s="62"/>
      <c r="AF6" s="62"/>
      <c r="AG6" s="62"/>
      <c r="AH6" s="62"/>
      <c r="AI6" s="62"/>
      <c r="AJ6" s="62"/>
      <c r="AK6" s="62"/>
      <c r="AL6" s="62"/>
      <c r="AM6" s="62"/>
      <c r="AN6" s="62"/>
      <c r="AO6" s="62"/>
    </row>
    <row r="7">
      <c r="A7" s="59">
        <f>IFERROR(__xludf.DUMMYFUNCTION("QUERY('Volunteer Survey'!A6)"),43446.70358693287)</f>
        <v>43446.70359</v>
      </c>
      <c r="B7" s="60" t="s">
        <v>275</v>
      </c>
      <c r="C7" s="61"/>
      <c r="D7" s="62"/>
      <c r="E7" s="60" t="s">
        <v>182</v>
      </c>
      <c r="F7" s="60" t="s">
        <v>182</v>
      </c>
      <c r="G7" s="60" t="s">
        <v>276</v>
      </c>
      <c r="H7" s="61"/>
      <c r="I7" s="63" t="s">
        <v>189</v>
      </c>
      <c r="J7" s="62"/>
      <c r="K7" s="62"/>
      <c r="L7" s="62" t="str">
        <f>IFERROR(__xludf.DUMMYFUNCTION("QUERY('Volunteer Survey'!B6)"),"Jun Shen")</f>
        <v>Jun Shen</v>
      </c>
      <c r="M7" s="62" t="str">
        <f>IFERROR(__xludf.DUMMYFUNCTION("QUERY('Volunteer Survey'!E6)"),"jshen5@bwh.harvard.edu")</f>
        <v>jshen5@bwh.harvard.edu</v>
      </c>
      <c r="N7" s="62" t="str">
        <f>IFERROR(__xludf.DUMMYFUNCTION("QUERY('Volunteer Survey'!F6)"),"Clinical laboratory geneticist")</f>
        <v>Clinical laboratory geneticist</v>
      </c>
      <c r="O7" s="60" t="str">
        <f>IFERROR(__xludf.DUMMYFUNCTION("QUERY('Volunteer Survey'!H6)"),"Baseline")</f>
        <v>Baseline</v>
      </c>
      <c r="P7" s="62" t="str">
        <f>IFERROR(__xludf.DUMMYFUNCTION("QUERY('Volunteer Survey'!I6)"),"Variant Pathogenicity")</f>
        <v>Variant Pathogenicity</v>
      </c>
      <c r="Q7" s="66" t="str">
        <f>IFERROR(__xludf.DUMMYFUNCTION("QUERY('Volunteer Survey'!J6)"),"Gene-Disease Validity")</f>
        <v>Gene-Disease Validity</v>
      </c>
      <c r="R7" s="62" t="str">
        <f>IFERROR(__xludf.DUMMYFUNCTION("QUERY('Volunteer Survey'!K6)"),"Clinical Actionability")</f>
        <v>Clinical Actionability</v>
      </c>
      <c r="S7" s="62" t="str">
        <f>IFERROR(__xludf.DUMMYFUNCTION("QUERY('Volunteer Survey'!L6)"),"Dosage Sensitivity")</f>
        <v>Dosage Sensitivity</v>
      </c>
      <c r="T7" s="62" t="str">
        <f>IFERROR(__xludf.DUMMYFUNCTION("QUERY('Volunteer Survey'!M6)"),"Somatic Cancer")</f>
        <v>Somatic Cancer</v>
      </c>
      <c r="U7" s="74" t="str">
        <f>IFERROR(__xludf.DUMMYFUNCTION("QUERY('Volunteer Survey'!N6)"),"I work on the HL-EP")</f>
        <v>I work on the HL-EP</v>
      </c>
      <c r="V7" s="62" t="str">
        <f>IFERROR(__xludf.DUMMYFUNCTION("QUERY('Volunteer Survey'!O6)"),"Yes")</f>
        <v>Yes</v>
      </c>
      <c r="W7" s="75" t="str">
        <f>IFERROR(__xludf.DUMMYFUNCTION("QUERY('Volunteer Survey'!P6)"),"I'm already on the HL-EP")</f>
        <v>I'm already on the HL-EP</v>
      </c>
      <c r="X7" s="74" t="str">
        <f>IFERROR(__xludf.DUMMYFUNCTION("QUERY('Volunteer Survey'!R6)"),"Maybe -- please contact me with other options, and I will decide based on what is available")</f>
        <v>Maybe -- please contact me with other options, and I will decide based on what is available</v>
      </c>
      <c r="Y7" s="61"/>
      <c r="Z7" s="67"/>
      <c r="AA7" s="62"/>
      <c r="AB7" s="62"/>
      <c r="AC7" s="62"/>
      <c r="AD7" s="62"/>
      <c r="AE7" s="62"/>
      <c r="AF7" s="62"/>
      <c r="AG7" s="62"/>
      <c r="AH7" s="62"/>
      <c r="AI7" s="62"/>
      <c r="AJ7" s="62"/>
      <c r="AK7" s="62"/>
      <c r="AL7" s="62"/>
      <c r="AM7" s="62"/>
      <c r="AN7" s="62"/>
      <c r="AO7" s="62"/>
    </row>
    <row r="8" ht="37.5" customHeight="1">
      <c r="A8" s="59">
        <f>IFERROR(__xludf.DUMMYFUNCTION("QUERY('Volunteer Survey'!A7)"),43447.421107152775)</f>
        <v>43447.42111</v>
      </c>
      <c r="B8" s="60" t="s">
        <v>178</v>
      </c>
      <c r="C8" s="80">
        <v>43437.0</v>
      </c>
      <c r="D8" s="79">
        <v>43446.0</v>
      </c>
      <c r="E8" s="60" t="s">
        <v>277</v>
      </c>
      <c r="F8" s="60" t="s">
        <v>277</v>
      </c>
      <c r="G8" s="60" t="s">
        <v>278</v>
      </c>
      <c r="H8" s="63" t="s">
        <v>279</v>
      </c>
      <c r="I8" s="63" t="s">
        <v>189</v>
      </c>
      <c r="J8" s="79">
        <v>43592.0</v>
      </c>
      <c r="K8" s="79">
        <v>43713.0</v>
      </c>
      <c r="L8" s="62" t="str">
        <f>IFERROR(__xludf.DUMMYFUNCTION("QUERY('Volunteer Survey'!B7)"),"Jennifer Howe")</f>
        <v>Jennifer Howe</v>
      </c>
      <c r="M8" s="62" t="str">
        <f>IFERROR(__xludf.DUMMYFUNCTION("QUERY('Volunteer Survey'!E7)"),"jhowe@sickkids.ca")</f>
        <v>jhowe@sickkids.ca</v>
      </c>
      <c r="N8" s="62" t="str">
        <f>IFERROR(__xludf.DUMMYFUNCTION("QUERY('Volunteer Survey'!F7)"),"Senior Project Manager")</f>
        <v>Senior Project Manager</v>
      </c>
      <c r="O8" s="60" t="str">
        <f>IFERROR(__xludf.DUMMYFUNCTION("QUERY('Volunteer Survey'!H7)"),"Comprehensive")</f>
        <v>Comprehensive</v>
      </c>
      <c r="P8" s="62" t="str">
        <f>IFERROR(__xludf.DUMMYFUNCTION("QUERY('Volunteer Survey'!I7)"),"Gene-Disease Validity")</f>
        <v>Gene-Disease Validity</v>
      </c>
      <c r="Q8" s="66" t="str">
        <f>IFERROR(__xludf.DUMMYFUNCTION("QUERY('Volunteer Survey'!J7)"),"")</f>
        <v/>
      </c>
      <c r="R8" s="62" t="str">
        <f>IFERROR(__xludf.DUMMYFUNCTION("QUERY('Volunteer Survey'!K7)"),"")</f>
        <v/>
      </c>
      <c r="S8" s="62" t="str">
        <f>IFERROR(__xludf.DUMMYFUNCTION("QUERY('Volunteer Survey'!L7)"),"")</f>
        <v/>
      </c>
      <c r="T8" s="62" t="str">
        <f>IFERROR(__xludf.DUMMYFUNCTION("QUERY('Volunteer Survey'!M7)"),"")</f>
        <v/>
      </c>
      <c r="U8" s="74" t="str">
        <f>IFERROR(__xludf.DUMMYFUNCTION("QUERY('Volunteer Survey'!N7)"),"")</f>
        <v/>
      </c>
      <c r="V8" s="62" t="str">
        <f>IFERROR(__xludf.DUMMYFUNCTION("QUERY('Volunteer Survey'!O7)"),"No")</f>
        <v>No</v>
      </c>
      <c r="W8" s="75" t="str">
        <f>IFERROR(__xludf.DUMMYFUNCTION("QUERY('Volunteer Survey'!P7)"),"Autism and Intellectual Disability")</f>
        <v>Autism and Intellectual Disability</v>
      </c>
      <c r="X8" s="74" t="str">
        <f>IFERROR(__xludf.DUMMYFUNCTION("QUERY('Volunteer Survey'!R7)"),"No - I am only interested in the group(s) I previously indicated")</f>
        <v>No - I am only interested in the group(s) I previously indicated</v>
      </c>
      <c r="Y8" s="63" t="s">
        <v>280</v>
      </c>
      <c r="Z8" s="67"/>
      <c r="AA8" s="62"/>
      <c r="AB8" s="62"/>
      <c r="AC8" s="62"/>
      <c r="AD8" s="62"/>
      <c r="AE8" s="62"/>
      <c r="AF8" s="62"/>
      <c r="AG8" s="62"/>
      <c r="AH8" s="62"/>
      <c r="AI8" s="62"/>
      <c r="AJ8" s="62"/>
      <c r="AK8" s="62"/>
      <c r="AL8" s="62"/>
      <c r="AM8" s="62"/>
      <c r="AN8" s="62"/>
      <c r="AO8" s="62"/>
    </row>
    <row r="9">
      <c r="A9" s="59">
        <f>IFERROR(__xludf.DUMMYFUNCTION("QUERY('Volunteer Survey'!A8)"),43378.48075231482)</f>
        <v>43378.48075</v>
      </c>
      <c r="B9" s="60" t="s">
        <v>178</v>
      </c>
      <c r="C9" s="80">
        <v>43411.0</v>
      </c>
      <c r="D9" s="79">
        <v>43446.0</v>
      </c>
      <c r="E9" s="60" t="s">
        <v>277</v>
      </c>
      <c r="F9" s="60" t="s">
        <v>277</v>
      </c>
      <c r="G9" s="60" t="s">
        <v>278</v>
      </c>
      <c r="H9" s="63" t="s">
        <v>17</v>
      </c>
      <c r="I9" s="63" t="s">
        <v>189</v>
      </c>
      <c r="J9" s="79">
        <v>43592.0</v>
      </c>
      <c r="K9" s="79">
        <v>43713.0</v>
      </c>
      <c r="L9" s="62" t="str">
        <f>IFERROR(__xludf.DUMMYFUNCTION("QUERY('Volunteer Survey'!B8)"),"Kalpana Panneerselvam")</f>
        <v>Kalpana Panneerselvam</v>
      </c>
      <c r="M9" s="62" t="str">
        <f>IFERROR(__xludf.DUMMYFUNCTION("QUERY('Volunteer Survey'!E8)"),"kalpanarpanneerselvam@gmail.com")</f>
        <v>kalpanarpanneerselvam@gmail.com</v>
      </c>
      <c r="N9" s="62" t="str">
        <f>IFERROR(__xludf.DUMMYFUNCTION("QUERY('Volunteer Survey'!F8)"),"Biocurator")</f>
        <v>Biocurator</v>
      </c>
      <c r="O9" s="60" t="str">
        <f>IFERROR(__xludf.DUMMYFUNCTION("QUERY('Volunteer Survey'!H8)"),"Comprehensive")</f>
        <v>Comprehensive</v>
      </c>
      <c r="P9" s="62" t="str">
        <f>IFERROR(__xludf.DUMMYFUNCTION("QUERY('Volunteer Survey'!I8)"),"Gene-Disease Validity")</f>
        <v>Gene-Disease Validity</v>
      </c>
      <c r="Q9" s="66" t="str">
        <f>IFERROR(__xludf.DUMMYFUNCTION("QUERY('Volunteer Survey'!J8)"),"Clinical Actionability")</f>
        <v>Clinical Actionability</v>
      </c>
      <c r="R9" s="62" t="str">
        <f>IFERROR(__xludf.DUMMYFUNCTION("QUERY('Volunteer Survey'!K8)"),"Variant Pathogenicity")</f>
        <v>Variant Pathogenicity</v>
      </c>
      <c r="S9" s="62" t="str">
        <f>IFERROR(__xludf.DUMMYFUNCTION("QUERY('Volunteer Survey'!L8)"),"Dosage Sensitivity")</f>
        <v>Dosage Sensitivity</v>
      </c>
      <c r="T9" s="62" t="str">
        <f>IFERROR(__xludf.DUMMYFUNCTION("QUERY('Volunteer Survey'!M8)"),"Somatic Cancer")</f>
        <v>Somatic Cancer</v>
      </c>
      <c r="U9" s="74" t="str">
        <f>IFERROR(__xludf.DUMMYFUNCTION("QUERY('Volunteer Survey'!N8)"),"I have worked as curator for Ingenuity Variant Analysis product by Qiagen ")</f>
        <v>I have worked as curator for Ingenuity Variant Analysis product by Qiagen </v>
      </c>
      <c r="V9" s="62" t="str">
        <f>IFERROR(__xludf.DUMMYFUNCTION("QUERY('Volunteer Survey'!O8)"),"Possibly")</f>
        <v>Possibly</v>
      </c>
      <c r="W9" s="75" t="str">
        <f>IFERROR(__xludf.DUMMYFUNCTION("QUERY('Volunteer Survey'!P8)"),"Mitochondrial diseases ")</f>
        <v>Mitochondrial diseases </v>
      </c>
      <c r="X9" s="74" t="str">
        <f>IFERROR(__xludf.DUMMYFUNCTION("QUERY('Volunteer Survey'!R8)"),"Yes- I am willing to volunteer with any available ClinGen group")</f>
        <v>Yes- I am willing to volunteer with any available ClinGen group</v>
      </c>
      <c r="Y9" s="63" t="s">
        <v>281</v>
      </c>
      <c r="Z9" s="67"/>
      <c r="AA9" s="62"/>
      <c r="AB9" s="62"/>
      <c r="AC9" s="62"/>
      <c r="AD9" s="62"/>
      <c r="AE9" s="62"/>
      <c r="AF9" s="62"/>
      <c r="AG9" s="62"/>
      <c r="AH9" s="62"/>
      <c r="AI9" s="62"/>
      <c r="AJ9" s="62"/>
      <c r="AK9" s="62"/>
      <c r="AL9" s="62"/>
      <c r="AM9" s="62"/>
      <c r="AN9" s="62"/>
      <c r="AO9" s="62"/>
    </row>
    <row r="10">
      <c r="A10" s="59">
        <f>IFERROR(__xludf.DUMMYFUNCTION("QUERY('Volunteer Survey'!A9)"),43447.71939452546)</f>
        <v>43447.71939</v>
      </c>
      <c r="B10" s="60" t="s">
        <v>282</v>
      </c>
      <c r="C10" s="61"/>
      <c r="D10" s="82">
        <v>43580.0</v>
      </c>
      <c r="E10" s="60" t="s">
        <v>277</v>
      </c>
      <c r="F10" s="60" t="s">
        <v>277</v>
      </c>
      <c r="G10" s="60" t="s">
        <v>283</v>
      </c>
      <c r="H10" s="63" t="s">
        <v>284</v>
      </c>
      <c r="I10" s="63" t="s">
        <v>189</v>
      </c>
      <c r="J10" s="79">
        <v>43712.0</v>
      </c>
      <c r="K10" s="79"/>
      <c r="L10" s="62" t="str">
        <f>IFERROR(__xludf.DUMMYFUNCTION("QUERY('Volunteer Survey'!B9)"),"Justin Schleede Phd")</f>
        <v>Justin Schleede Phd</v>
      </c>
      <c r="M10" s="62" t="str">
        <f>IFERROR(__xludf.DUMMYFUNCTION("QUERY('Volunteer Survey'!E9)"),"schleej@labcorp.com")</f>
        <v>schleej@labcorp.com</v>
      </c>
      <c r="N10" s="62" t="str">
        <f>IFERROR(__xludf.DUMMYFUNCTION("QUERY('Volunteer Survey'!F9)"),"Clinical laboratory geneticist")</f>
        <v>Clinical laboratory geneticist</v>
      </c>
      <c r="O10" s="60" t="str">
        <f>IFERROR(__xludf.DUMMYFUNCTION("QUERY('Volunteer Survey'!H9)"),"Comprehensive")</f>
        <v>Comprehensive</v>
      </c>
      <c r="P10" s="62" t="str">
        <f>IFERROR(__xludf.DUMMYFUNCTION("QUERY('Volunteer Survey'!I9)"),"Dosage Sensitivity")</f>
        <v>Dosage Sensitivity</v>
      </c>
      <c r="Q10" s="66" t="str">
        <f>IFERROR(__xludf.DUMMYFUNCTION("QUERY('Volunteer Survey'!J9)"),"Variant Pathogenicity")</f>
        <v>Variant Pathogenicity</v>
      </c>
      <c r="R10" s="62" t="str">
        <f>IFERROR(__xludf.DUMMYFUNCTION("QUERY('Volunteer Survey'!K9)"),"Somatic Cancer")</f>
        <v>Somatic Cancer</v>
      </c>
      <c r="S10" s="62" t="str">
        <f>IFERROR(__xludf.DUMMYFUNCTION("QUERY('Volunteer Survey'!L9)"),"Clinical Actionability")</f>
        <v>Clinical Actionability</v>
      </c>
      <c r="T10" s="62" t="str">
        <f>IFERROR(__xludf.DUMMYFUNCTION("QUERY('Volunteer Survey'!M9)"),"Gene-Disease Validity")</f>
        <v>Gene-Disease Validity</v>
      </c>
      <c r="U10" s="74" t="str">
        <f>IFERROR(__xludf.DUMMYFUNCTION("QUERY('Volunteer Survey'!N9)"),"Yes, I review literature and classify genes as part of my daily workflow")</f>
        <v>Yes, I review literature and classify genes as part of my daily workflow</v>
      </c>
      <c r="V10" s="62" t="str">
        <f>IFERROR(__xludf.DUMMYFUNCTION("QUERY('Volunteer Survey'!O9)"),"No")</f>
        <v>No</v>
      </c>
      <c r="W10" s="75" t="str">
        <f>IFERROR(__xludf.DUMMYFUNCTION("QUERY('Volunteer Survey'!P9)"),"")</f>
        <v/>
      </c>
      <c r="X10" s="74" t="str">
        <f>IFERROR(__xludf.DUMMYFUNCTION("QUERY('Volunteer Survey'!R9)"),"Maybe -- please contact me with other options, and I will decide based on what is available")</f>
        <v>Maybe -- please contact me with other options, and I will decide based on what is available</v>
      </c>
      <c r="Y10" s="61"/>
      <c r="Z10" s="67"/>
      <c r="AA10" s="62"/>
      <c r="AB10" s="62"/>
      <c r="AC10" s="62"/>
      <c r="AD10" s="62"/>
      <c r="AE10" s="62"/>
      <c r="AF10" s="62"/>
      <c r="AG10" s="62"/>
      <c r="AH10" s="62"/>
      <c r="AI10" s="62"/>
      <c r="AJ10" s="62"/>
      <c r="AK10" s="62"/>
      <c r="AL10" s="62"/>
      <c r="AM10" s="62"/>
      <c r="AN10" s="62"/>
      <c r="AO10" s="62"/>
    </row>
    <row r="11">
      <c r="A11" s="59">
        <f>IFERROR(__xludf.DUMMYFUNCTION("QUERY('Volunteer Survey'!A11)"),43452.62491731482)</f>
        <v>43452.62492</v>
      </c>
      <c r="B11" s="60" t="s">
        <v>275</v>
      </c>
      <c r="C11" s="61"/>
      <c r="D11" s="82">
        <v>43678.0</v>
      </c>
      <c r="E11" s="60" t="s">
        <v>277</v>
      </c>
      <c r="F11" s="60" t="s">
        <v>182</v>
      </c>
      <c r="G11" s="60" t="s">
        <v>27</v>
      </c>
      <c r="H11" s="76"/>
      <c r="I11" s="76" t="s">
        <v>189</v>
      </c>
      <c r="J11" s="62"/>
      <c r="K11" s="62"/>
      <c r="L11" s="62" t="str">
        <f>IFERROR(__xludf.DUMMYFUNCTION("QUERY('Volunteer Survey'!B11)"),"Juan Carlos Diaz ")</f>
        <v>Juan Carlos Diaz </v>
      </c>
      <c r="M11" s="62" t="str">
        <f>IFERROR(__xludf.DUMMYFUNCTION("QUERY('Volunteer Survey'!E11)"),"cuallijuan@hotmail.com ")</f>
        <v>cuallijuan@hotmail.com </v>
      </c>
      <c r="N11" s="62" t="str">
        <f>IFERROR(__xludf.DUMMYFUNCTION("QUERY('Volunteer Survey'!F11)"),"Scientific Researcher")</f>
        <v>Scientific Researcher</v>
      </c>
      <c r="O11" s="60" t="str">
        <f>IFERROR(__xludf.DUMMYFUNCTION("QUERY('Volunteer Survey'!H11)"),"Comprehensive")</f>
        <v>Comprehensive</v>
      </c>
      <c r="P11" s="62" t="str">
        <f>IFERROR(__xludf.DUMMYFUNCTION("QUERY('Volunteer Survey'!I11)"),"Clinical Actionability")</f>
        <v>Clinical Actionability</v>
      </c>
      <c r="Q11" s="66" t="str">
        <f>IFERROR(__xludf.DUMMYFUNCTION("QUERY('Volunteer Survey'!J11)"),"Dosage Sensitivity")</f>
        <v>Dosage Sensitivity</v>
      </c>
      <c r="R11" s="62" t="str">
        <f>IFERROR(__xludf.DUMMYFUNCTION("QUERY('Volunteer Survey'!K11)"),"Somatic Cancer")</f>
        <v>Somatic Cancer</v>
      </c>
      <c r="S11" s="62" t="str">
        <f>IFERROR(__xludf.DUMMYFUNCTION("QUERY('Volunteer Survey'!L11)"),"Gene-Disease Validity")</f>
        <v>Gene-Disease Validity</v>
      </c>
      <c r="T11" s="62" t="str">
        <f>IFERROR(__xludf.DUMMYFUNCTION("QUERY('Volunteer Survey'!M11)"),"Variant Pathogenicity")</f>
        <v>Variant Pathogenicity</v>
      </c>
      <c r="U11" s="74" t="str">
        <f>IFERROR(__xludf.DUMMYFUNCTION("QUERY('Volunteer Survey'!N11)"),"No ")</f>
        <v>No </v>
      </c>
      <c r="V11" s="62" t="str">
        <f>IFERROR(__xludf.DUMMYFUNCTION("QUERY('Volunteer Survey'!O11)"),"Yes")</f>
        <v>Yes</v>
      </c>
      <c r="W11" s="75" t="str">
        <f>IFERROR(__xludf.DUMMYFUNCTION("QUERY('Volunteer Survey'!P11)"),"Gene Curation Expert Panels")</f>
        <v>Gene Curation Expert Panels</v>
      </c>
      <c r="X11" s="74" t="str">
        <f>IFERROR(__xludf.DUMMYFUNCTION("QUERY('Volunteer Survey'!R11)"),"Yes- I am willing to volunteer with any available ClinGen group")</f>
        <v>Yes- I am willing to volunteer with any available ClinGen group</v>
      </c>
      <c r="Y11" s="61"/>
      <c r="Z11" s="67"/>
      <c r="AA11" s="62"/>
      <c r="AB11" s="62"/>
      <c r="AC11" s="62"/>
      <c r="AD11" s="62"/>
      <c r="AE11" s="62"/>
      <c r="AF11" s="62"/>
      <c r="AG11" s="62"/>
      <c r="AH11" s="62"/>
      <c r="AI11" s="62"/>
      <c r="AJ11" s="62"/>
      <c r="AK11" s="62"/>
      <c r="AL11" s="62"/>
      <c r="AM11" s="62"/>
      <c r="AN11" s="62"/>
      <c r="AO11" s="62"/>
    </row>
    <row r="12">
      <c r="A12" s="59">
        <f>IFERROR(__xludf.DUMMYFUNCTION("QUERY('Volunteer Survey'!A12)"),43453.176856516206)</f>
        <v>43453.17686</v>
      </c>
      <c r="B12" s="60" t="s">
        <v>275</v>
      </c>
      <c r="C12" s="61"/>
      <c r="D12" s="62"/>
      <c r="E12" s="60" t="s">
        <v>182</v>
      </c>
      <c r="F12" s="60" t="s">
        <v>182</v>
      </c>
      <c r="G12" s="60" t="s">
        <v>276</v>
      </c>
      <c r="H12" s="61"/>
      <c r="I12" s="63" t="s">
        <v>189</v>
      </c>
      <c r="J12" s="62"/>
      <c r="K12" s="62"/>
      <c r="L12" s="62" t="str">
        <f>IFERROR(__xludf.DUMMYFUNCTION("QUERY('Volunteer Survey'!B12)"),"Indu Raja")</f>
        <v>Indu Raja</v>
      </c>
      <c r="M12" s="62" t="str">
        <f>IFERROR(__xludf.DUMMYFUNCTION("QUERY('Volunteer Survey'!E12)"),"indudraja@gmail.com")</f>
        <v>indudraja@gmail.com</v>
      </c>
      <c r="N12" s="62" t="str">
        <f>IFERROR(__xludf.DUMMYFUNCTION("QUERY('Volunteer Survey'!F12)"),"laboratory technologist")</f>
        <v>laboratory technologist</v>
      </c>
      <c r="O12" s="60" t="str">
        <f>IFERROR(__xludf.DUMMYFUNCTION("QUERY('Volunteer Survey'!H12)"),"Baseline")</f>
        <v>Baseline</v>
      </c>
      <c r="P12" s="62" t="str">
        <f>IFERROR(__xludf.DUMMYFUNCTION("QUERY('Volunteer Survey'!I12)"),"Clinical Actionability")</f>
        <v>Clinical Actionability</v>
      </c>
      <c r="Q12" s="66" t="str">
        <f>IFERROR(__xludf.DUMMYFUNCTION("QUERY('Volunteer Survey'!J12)"),"Variant Pathogenicity")</f>
        <v>Variant Pathogenicity</v>
      </c>
      <c r="R12" s="62" t="str">
        <f>IFERROR(__xludf.DUMMYFUNCTION("QUERY('Volunteer Survey'!K12)"),"Dosage Sensitivity")</f>
        <v>Dosage Sensitivity</v>
      </c>
      <c r="S12" s="62" t="str">
        <f>IFERROR(__xludf.DUMMYFUNCTION("QUERY('Volunteer Survey'!L12)"),"Gene-Disease Validity")</f>
        <v>Gene-Disease Validity</v>
      </c>
      <c r="T12" s="62" t="str">
        <f>IFERROR(__xludf.DUMMYFUNCTION("QUERY('Volunteer Survey'!M12)"),"")</f>
        <v/>
      </c>
      <c r="U12" s="74" t="str">
        <f>IFERROR(__xludf.DUMMYFUNCTION("QUERY('Volunteer Survey'!N12)"),"No")</f>
        <v>No</v>
      </c>
      <c r="V12" s="62" t="str">
        <f>IFERROR(__xludf.DUMMYFUNCTION("QUERY('Volunteer Survey'!O12)"),"Possibly")</f>
        <v>Possibly</v>
      </c>
      <c r="W12" s="75" t="str">
        <f>IFERROR(__xludf.DUMMYFUNCTION("QUERY('Volunteer Survey'!P12)"),"")</f>
        <v/>
      </c>
      <c r="X12" s="74" t="str">
        <f>IFERROR(__xludf.DUMMYFUNCTION("QUERY('Volunteer Survey'!R12)"),"Maybe -- please contact me with other options, and I will decide based on what is available")</f>
        <v>Maybe -- please contact me with other options, and I will decide based on what is available</v>
      </c>
      <c r="Y12" s="61"/>
      <c r="Z12" s="67"/>
      <c r="AA12" s="62"/>
      <c r="AB12" s="62"/>
      <c r="AC12" s="62"/>
      <c r="AD12" s="62"/>
      <c r="AE12" s="62"/>
      <c r="AF12" s="62"/>
      <c r="AG12" s="62"/>
      <c r="AH12" s="62"/>
      <c r="AI12" s="62"/>
      <c r="AJ12" s="62"/>
      <c r="AK12" s="62"/>
      <c r="AL12" s="62"/>
      <c r="AM12" s="62"/>
      <c r="AN12" s="62"/>
      <c r="AO12" s="62"/>
    </row>
    <row r="13">
      <c r="A13" s="59">
        <f>IFERROR(__xludf.DUMMYFUNCTION("QUERY('Volunteer Survey'!A13)"),43453.554362870374)</f>
        <v>43453.55436</v>
      </c>
      <c r="B13" s="60" t="s">
        <v>275</v>
      </c>
      <c r="C13" s="61"/>
      <c r="D13" s="82">
        <v>43570.0</v>
      </c>
      <c r="E13" s="60" t="s">
        <v>277</v>
      </c>
      <c r="F13" s="60" t="s">
        <v>277</v>
      </c>
      <c r="G13" s="60" t="s">
        <v>278</v>
      </c>
      <c r="H13" s="63" t="s">
        <v>97</v>
      </c>
      <c r="I13" s="63" t="s">
        <v>285</v>
      </c>
      <c r="J13" s="79">
        <v>43712.0</v>
      </c>
      <c r="K13" s="79"/>
      <c r="L13" s="62" t="str">
        <f>IFERROR(__xludf.DUMMYFUNCTION("QUERY('Volunteer Survey'!B13)"),"Tomohiko Ai")</f>
        <v>Tomohiko Ai</v>
      </c>
      <c r="M13" s="62" t="str">
        <f>IFERROR(__xludf.DUMMYFUNCTION("QUERY('Volunteer Survey'!E13)"),"Tomohiko.Ai@osumc.edu")</f>
        <v>Tomohiko.Ai@osumc.edu</v>
      </c>
      <c r="N13" s="62" t="str">
        <f>IFERROR(__xludf.DUMMYFUNCTION("QUERY('Volunteer Survey'!F13)"),"Scientific Researcher")</f>
        <v>Scientific Researcher</v>
      </c>
      <c r="O13" s="60" t="str">
        <f>IFERROR(__xludf.DUMMYFUNCTION("QUERY('Volunteer Survey'!H13)"),"Comprehensive")</f>
        <v>Comprehensive</v>
      </c>
      <c r="P13" s="62" t="str">
        <f>IFERROR(__xludf.DUMMYFUNCTION("QUERY('Volunteer Survey'!I13)"),"Gene-Disease Validity")</f>
        <v>Gene-Disease Validity</v>
      </c>
      <c r="Q13" s="66" t="str">
        <f>IFERROR(__xludf.DUMMYFUNCTION("QUERY('Volunteer Survey'!J13)"),"Variant Pathogenicity")</f>
        <v>Variant Pathogenicity</v>
      </c>
      <c r="R13" s="62" t="str">
        <f>IFERROR(__xludf.DUMMYFUNCTION("QUERY('Volunteer Survey'!K13)"),"")</f>
        <v/>
      </c>
      <c r="S13" s="62" t="str">
        <f>IFERROR(__xludf.DUMMYFUNCTION("QUERY('Volunteer Survey'!L13)"),"")</f>
        <v/>
      </c>
      <c r="T13" s="62" t="str">
        <f>IFERROR(__xludf.DUMMYFUNCTION("QUERY('Volunteer Survey'!M13)"),"")</f>
        <v/>
      </c>
      <c r="U13" s="74" t="str">
        <f>IFERROR(__xludf.DUMMYFUNCTION("QUERY('Volunteer Survey'!N13)"),"I have experiences with variant pathogenicity.")</f>
        <v>I have experiences with variant pathogenicity.</v>
      </c>
      <c r="V13" s="62" t="str">
        <f>IFERROR(__xludf.DUMMYFUNCTION("QUERY('Volunteer Survey'!O13)"),"Possibly")</f>
        <v>Possibly</v>
      </c>
      <c r="W13" s="75" t="str">
        <f>IFERROR(__xludf.DUMMYFUNCTION("QUERY('Volunteer Survey'!P13)"),"Cardiovascular")</f>
        <v>Cardiovascular</v>
      </c>
      <c r="X13" s="74" t="str">
        <f>IFERROR(__xludf.DUMMYFUNCTION("QUERY('Volunteer Survey'!R13)"),"Maybe -- please contact me with other options, and I will decide based on what is available")</f>
        <v>Maybe -- please contact me with other options, and I will decide based on what is available</v>
      </c>
      <c r="Y13" s="61"/>
      <c r="Z13" s="67"/>
      <c r="AA13" s="62"/>
      <c r="AB13" s="62"/>
      <c r="AC13" s="62"/>
      <c r="AD13" s="62"/>
      <c r="AE13" s="62"/>
      <c r="AF13" s="62"/>
      <c r="AG13" s="62"/>
      <c r="AH13" s="62"/>
      <c r="AI13" s="62"/>
      <c r="AJ13" s="62"/>
      <c r="AK13" s="62"/>
      <c r="AL13" s="62"/>
      <c r="AM13" s="62"/>
      <c r="AN13" s="62"/>
      <c r="AO13" s="62"/>
    </row>
    <row r="14">
      <c r="A14" s="59">
        <f>IFERROR(__xludf.DUMMYFUNCTION("QUERY('Volunteer Survey'!A14)"),43404.87436342593)</f>
        <v>43404.87436</v>
      </c>
      <c r="B14" s="60" t="s">
        <v>274</v>
      </c>
      <c r="C14" s="80">
        <v>43474.0</v>
      </c>
      <c r="D14" s="78">
        <v>43476.0</v>
      </c>
      <c r="E14" s="60" t="s">
        <v>277</v>
      </c>
      <c r="F14" s="60" t="s">
        <v>182</v>
      </c>
      <c r="G14" s="60" t="s">
        <v>150</v>
      </c>
      <c r="H14" s="63" t="s">
        <v>286</v>
      </c>
      <c r="I14" s="63" t="s">
        <v>189</v>
      </c>
      <c r="J14" s="79">
        <v>43592.0</v>
      </c>
      <c r="K14" s="60" t="s">
        <v>287</v>
      </c>
      <c r="L14" s="62" t="str">
        <f>IFERROR(__xludf.DUMMYFUNCTION("QUERY('Volunteer Survey'!B14)"),"Rajavarman Kittu")</f>
        <v>Rajavarman Kittu</v>
      </c>
      <c r="M14" s="62" t="str">
        <f>IFERROR(__xludf.DUMMYFUNCTION("QUERY('Volunteer Survey'!E14)"),"rajavarman21@gmail.com")</f>
        <v>rajavarman21@gmail.com</v>
      </c>
      <c r="N14" s="62" t="str">
        <f>IFERROR(__xludf.DUMMYFUNCTION("QUERY('Volunteer Survey'!F14)"),"Variant Analyst/Scientist")</f>
        <v>Variant Analyst/Scientist</v>
      </c>
      <c r="O14" s="60" t="str">
        <f>IFERROR(__xludf.DUMMYFUNCTION("QUERY('Volunteer Survey'!H14)"),"Comprehensive")</f>
        <v>Comprehensive</v>
      </c>
      <c r="P14" s="60" t="s">
        <v>150</v>
      </c>
      <c r="Q14" s="83" t="s">
        <v>288</v>
      </c>
      <c r="R14" s="62" t="str">
        <f>IFERROR(__xludf.DUMMYFUNCTION("QUERY('Volunteer Survey'!K14)"),"Clinical Actionability")</f>
        <v>Clinical Actionability</v>
      </c>
      <c r="S14" s="62" t="str">
        <f>IFERROR(__xludf.DUMMYFUNCTION("QUERY('Volunteer Survey'!L14)"),"Gene-Disease Validity")</f>
        <v>Gene-Disease Validity</v>
      </c>
      <c r="T14" s="62" t="str">
        <f>IFERROR(__xludf.DUMMYFUNCTION("QUERY('Volunteer Survey'!M14)"),"Dosage Sensitivity")</f>
        <v>Dosage Sensitivity</v>
      </c>
      <c r="U14" s="74" t="str">
        <f>IFERROR(__xludf.DUMMYFUNCTION("QUERY('Volunteer Survey'!N14)"),"Yea being variant analyst I'm doing curation in and out before reporting any patient observed in patient")</f>
        <v>Yea being variant analyst I'm doing curation in and out before reporting any patient observed in patient</v>
      </c>
      <c r="V14" s="62" t="str">
        <f>IFERROR(__xludf.DUMMYFUNCTION("QUERY('Volunteer Survey'!O14)"),"Possibly")</f>
        <v>Possibly</v>
      </c>
      <c r="W14" s="75" t="str">
        <f>IFERROR(__xludf.DUMMYFUNCTION("QUERY('Volunteer Survey'!P14)"),"As mentioned above in the table( ranking) i prefer to contribute. if that is not possible i would like to be any ClinGen Expert Panel/Working Group where there is need for help.")</f>
        <v>As mentioned above in the table( ranking) i prefer to contribute. if that is not possible i would like to be any ClinGen Expert Panel/Working Group where there is need for help.</v>
      </c>
      <c r="X14" s="74" t="str">
        <f>IFERROR(__xludf.DUMMYFUNCTION("QUERY('Volunteer Survey'!R14)"),"Yes- I am willing to volunteer with any available ClinGen group")</f>
        <v>Yes- I am willing to volunteer with any available ClinGen group</v>
      </c>
      <c r="Y14" s="84" t="s">
        <v>289</v>
      </c>
      <c r="Z14" s="67"/>
      <c r="AA14" s="62"/>
      <c r="AB14" s="62"/>
      <c r="AC14" s="62"/>
      <c r="AD14" s="62"/>
      <c r="AE14" s="62"/>
      <c r="AF14" s="62"/>
      <c r="AG14" s="62"/>
      <c r="AH14" s="62"/>
      <c r="AI14" s="62"/>
      <c r="AJ14" s="62"/>
      <c r="AK14" s="62"/>
      <c r="AL14" s="62"/>
      <c r="AM14" s="62"/>
      <c r="AN14" s="62"/>
      <c r="AO14" s="62"/>
    </row>
    <row r="15">
      <c r="A15" s="59">
        <f>IFERROR(__xludf.DUMMYFUNCTION("QUERY('Volunteer Survey'!A15)"),43454.651333263886)</f>
        <v>43454.65133</v>
      </c>
      <c r="B15" s="60" t="s">
        <v>275</v>
      </c>
      <c r="C15" s="61"/>
      <c r="D15" s="82">
        <v>43678.0</v>
      </c>
      <c r="E15" s="60" t="s">
        <v>277</v>
      </c>
      <c r="F15" s="60" t="s">
        <v>182</v>
      </c>
      <c r="G15" s="60" t="s">
        <v>27</v>
      </c>
      <c r="H15" s="76"/>
      <c r="I15" s="76" t="s">
        <v>189</v>
      </c>
      <c r="J15" s="62"/>
      <c r="K15" s="62"/>
      <c r="L15" s="62" t="str">
        <f>IFERROR(__xludf.DUMMYFUNCTION("QUERY('Volunteer Survey'!B15)"),"Rhea Vallente")</f>
        <v>Rhea Vallente</v>
      </c>
      <c r="M15" s="62" t="str">
        <f>IFERROR(__xludf.DUMMYFUNCTION("QUERY('Volunteer Survey'!E15)"),"rvallente@fulgentgenetics.com")</f>
        <v>rvallente@fulgentgenetics.com</v>
      </c>
      <c r="N15" s="62" t="str">
        <f>IFERROR(__xludf.DUMMYFUNCTION("QUERY('Volunteer Survey'!F15)"),"Variant Analyst/Scientist")</f>
        <v>Variant Analyst/Scientist</v>
      </c>
      <c r="O15" s="60" t="str">
        <f>IFERROR(__xludf.DUMMYFUNCTION("QUERY('Volunteer Survey'!H15)"),"Comprehensive")</f>
        <v>Comprehensive</v>
      </c>
      <c r="P15" s="62" t="str">
        <f>IFERROR(__xludf.DUMMYFUNCTION("QUERY('Volunteer Survey'!I15)"),"Clinical Actionability")</f>
        <v>Clinical Actionability</v>
      </c>
      <c r="Q15" s="66" t="str">
        <f>IFERROR(__xludf.DUMMYFUNCTION("QUERY('Volunteer Survey'!J15)"),"Gene-Disease Validity")</f>
        <v>Gene-Disease Validity</v>
      </c>
      <c r="R15" s="62" t="str">
        <f>IFERROR(__xludf.DUMMYFUNCTION("QUERY('Volunteer Survey'!K15)"),"Variant Pathogenicity")</f>
        <v>Variant Pathogenicity</v>
      </c>
      <c r="S15" s="62" t="str">
        <f>IFERROR(__xludf.DUMMYFUNCTION("QUERY('Volunteer Survey'!L15)"),"Dosage Sensitivity")</f>
        <v>Dosage Sensitivity</v>
      </c>
      <c r="T15" s="62" t="str">
        <f>IFERROR(__xludf.DUMMYFUNCTION("QUERY('Volunteer Survey'!M15)"),"Somatic Cancer")</f>
        <v>Somatic Cancer</v>
      </c>
      <c r="U15" s="74" t="str">
        <f>IFERROR(__xludf.DUMMYFUNCTION("QUERY('Volunteer Survey'!N15)"),"Yes. I have been curating variants for five years, starting at PreventionGenetics, then I moved to EGL Genetics, and now I'm working for Fulgent Genetics.")</f>
        <v>Yes. I have been curating variants for five years, starting at PreventionGenetics, then I moved to EGL Genetics, and now I'm working for Fulgent Genetics.</v>
      </c>
      <c r="V15" s="62" t="str">
        <f>IFERROR(__xludf.DUMMYFUNCTION("QUERY('Volunteer Survey'!O15)"),"Yes")</f>
        <v>Yes</v>
      </c>
      <c r="W15" s="75" t="str">
        <f>IFERROR(__xludf.DUMMYFUNCTION("QUERY('Volunteer Survey'!P15)"),"Hearing loss")</f>
        <v>Hearing loss</v>
      </c>
      <c r="X15" s="74" t="str">
        <f>IFERROR(__xludf.DUMMYFUNCTION("QUERY('Volunteer Survey'!R15)"),"Yes- I am willing to volunteer with any available ClinGen group")</f>
        <v>Yes- I am willing to volunteer with any available ClinGen group</v>
      </c>
      <c r="Y15" s="61"/>
      <c r="Z15" s="67"/>
      <c r="AA15" s="62"/>
      <c r="AB15" s="62"/>
      <c r="AC15" s="62"/>
      <c r="AD15" s="62"/>
      <c r="AE15" s="62"/>
      <c r="AF15" s="62"/>
      <c r="AG15" s="62"/>
      <c r="AH15" s="62"/>
      <c r="AI15" s="62"/>
      <c r="AJ15" s="62"/>
      <c r="AK15" s="62"/>
      <c r="AL15" s="62"/>
      <c r="AM15" s="62"/>
      <c r="AN15" s="62"/>
      <c r="AO15" s="62"/>
    </row>
    <row r="16">
      <c r="A16" s="59">
        <f>IFERROR(__xludf.DUMMYFUNCTION("QUERY('Volunteer Survey'!A16)"),43462.7220768287)</f>
        <v>43462.72208</v>
      </c>
      <c r="B16" s="60" t="s">
        <v>178</v>
      </c>
      <c r="C16" s="61"/>
      <c r="D16" s="79">
        <v>43585.0</v>
      </c>
      <c r="E16" s="60" t="s">
        <v>277</v>
      </c>
      <c r="F16" s="60" t="s">
        <v>277</v>
      </c>
      <c r="G16" s="60" t="s">
        <v>278</v>
      </c>
      <c r="H16" s="63" t="s">
        <v>290</v>
      </c>
      <c r="I16" s="63" t="s">
        <v>189</v>
      </c>
      <c r="J16" s="79">
        <v>43712.0</v>
      </c>
      <c r="K16" s="79"/>
      <c r="L16" s="62" t="str">
        <f>IFERROR(__xludf.DUMMYFUNCTION("QUERY('Volunteer Survey'!B16)"),"Caitlin Hale")</f>
        <v>Caitlin Hale</v>
      </c>
      <c r="M16" s="62" t="str">
        <f>IFERROR(__xludf.DUMMYFUNCTION("QUERY('Volunteer Survey'!E16)"),"CHale@stanfordchildrens.org")</f>
        <v>CHale@stanfordchildrens.org</v>
      </c>
      <c r="N16" s="62" t="str">
        <f>IFERROR(__xludf.DUMMYFUNCTION("QUERY('Volunteer Survey'!F16)"),"Genetic counselor")</f>
        <v>Genetic counselor</v>
      </c>
      <c r="O16" s="60" t="str">
        <f>IFERROR(__xludf.DUMMYFUNCTION("QUERY('Volunteer Survey'!H16)"),"Comprehensive")</f>
        <v>Comprehensive</v>
      </c>
      <c r="P16" s="62" t="str">
        <f>IFERROR(__xludf.DUMMYFUNCTION("QUERY('Volunteer Survey'!I16)"),"Gene-Disease Validity")</f>
        <v>Gene-Disease Validity</v>
      </c>
      <c r="Q16" s="66" t="str">
        <f>IFERROR(__xludf.DUMMYFUNCTION("QUERY('Volunteer Survey'!J16)"),"Variant Pathogenicity")</f>
        <v>Variant Pathogenicity</v>
      </c>
      <c r="R16" s="62" t="str">
        <f>IFERROR(__xludf.DUMMYFUNCTION("QUERY('Volunteer Survey'!K16)"),"Dosage Sensitivity")</f>
        <v>Dosage Sensitivity</v>
      </c>
      <c r="S16" s="62" t="str">
        <f>IFERROR(__xludf.DUMMYFUNCTION("QUERY('Volunteer Survey'!L16)"),"Clinical Actionability")</f>
        <v>Clinical Actionability</v>
      </c>
      <c r="T16" s="62" t="str">
        <f>IFERROR(__xludf.DUMMYFUNCTION("QUERY('Volunteer Survey'!M16)"),"Somatic Cancer")</f>
        <v>Somatic Cancer</v>
      </c>
      <c r="U16" s="74" t="str">
        <f>IFERROR(__xludf.DUMMYFUNCTION("QUERY('Volunteer Survey'!N16)"),"I have 3.5 years of experience as a pediatric genetic counselor. In this position, I have gained significant experience in interpreting lab results and conducting curation activity via literature searches, database searches, etc. to ensure that our clinic"&amp;"al interpretation is in agreement with the lab's interpretation.")</f>
        <v>I have 3.5 years of experience as a pediatric genetic counselor. In this position, I have gained significant experience in interpreting lab results and conducting curation activity via literature searches, database searches, etc. to ensure that our clinical interpretation is in agreement with the lab's interpretation.</v>
      </c>
      <c r="V16" s="62" t="str">
        <f>IFERROR(__xludf.DUMMYFUNCTION("QUERY('Volunteer Survey'!O16)"),"Possibly")</f>
        <v>Possibly</v>
      </c>
      <c r="W16" s="75" t="str">
        <f>IFERROR(__xludf.DUMMYFUNCTION("QUERY('Volunteer Survey'!P16)"),"I would be most interested in areas related to pediatric medical genetics (autism, ID, neurodevelopmental disorders), but I am open to  any group that is accepting volunteers.")</f>
        <v>I would be most interested in areas related to pediatric medical genetics (autism, ID, neurodevelopmental disorders), but I am open to  any group that is accepting volunteers.</v>
      </c>
      <c r="X16" s="74" t="str">
        <f>IFERROR(__xludf.DUMMYFUNCTION("QUERY('Volunteer Survey'!R16)"),"Yes- I am willing to volunteer with any available ClinGen group")</f>
        <v>Yes- I am willing to volunteer with any available ClinGen group</v>
      </c>
      <c r="Y16" s="61"/>
      <c r="Z16" s="67"/>
      <c r="AA16" s="62"/>
      <c r="AB16" s="62"/>
      <c r="AC16" s="62"/>
      <c r="AD16" s="62"/>
      <c r="AE16" s="62"/>
      <c r="AF16" s="62"/>
      <c r="AG16" s="62"/>
      <c r="AH16" s="62"/>
      <c r="AI16" s="62"/>
      <c r="AJ16" s="62"/>
      <c r="AK16" s="62"/>
      <c r="AL16" s="62"/>
      <c r="AM16" s="62"/>
      <c r="AN16" s="62"/>
      <c r="AO16" s="62"/>
    </row>
    <row r="17">
      <c r="A17" s="59">
        <f>IFERROR(__xludf.DUMMYFUNCTION("QUERY('Volunteer Survey'!A17)"),43465.469464884256)</f>
        <v>43465.46946</v>
      </c>
      <c r="B17" s="60" t="s">
        <v>275</v>
      </c>
      <c r="C17" s="61"/>
      <c r="D17" s="85">
        <v>43567.0</v>
      </c>
      <c r="E17" s="60" t="s">
        <v>277</v>
      </c>
      <c r="F17" s="60" t="s">
        <v>277</v>
      </c>
      <c r="G17" s="60" t="s">
        <v>27</v>
      </c>
      <c r="H17" s="76" t="s">
        <v>27</v>
      </c>
      <c r="I17" s="76" t="s">
        <v>189</v>
      </c>
      <c r="J17" s="79">
        <v>43712.0</v>
      </c>
      <c r="K17" s="79"/>
      <c r="L17" s="62" t="str">
        <f>IFERROR(__xludf.DUMMYFUNCTION("QUERY('Volunteer Survey'!B17)"),"Melissa Murfin")</f>
        <v>Melissa Murfin</v>
      </c>
      <c r="M17" s="62" t="str">
        <f>IFERROR(__xludf.DUMMYFUNCTION("QUERY('Volunteer Survey'!E17)"),"mmurfin@elon.edu")</f>
        <v>mmurfin@elon.edu</v>
      </c>
      <c r="N17" s="62" t="str">
        <f>IFERROR(__xludf.DUMMYFUNCTION("QUERY('Volunteer Survey'!F17)"),"Pharmacist/PA-C, PA program director")</f>
        <v>Pharmacist/PA-C, PA program director</v>
      </c>
      <c r="O17" s="60" t="str">
        <f>IFERROR(__xludf.DUMMYFUNCTION("QUERY('Volunteer Survey'!H17)"),"Comprehensive")</f>
        <v>Comprehensive</v>
      </c>
      <c r="P17" s="62" t="str">
        <f>IFERROR(__xludf.DUMMYFUNCTION("QUERY('Volunteer Survey'!I17)"),"Clinical Actionability")</f>
        <v>Clinical Actionability</v>
      </c>
      <c r="Q17" s="66" t="str">
        <f>IFERROR(__xludf.DUMMYFUNCTION("QUERY('Volunteer Survey'!J17)"),"Dosage Sensitivity")</f>
        <v>Dosage Sensitivity</v>
      </c>
      <c r="R17" s="62" t="str">
        <f>IFERROR(__xludf.DUMMYFUNCTION("QUERY('Volunteer Survey'!K17)"),"Gene-Disease Validity")</f>
        <v>Gene-Disease Validity</v>
      </c>
      <c r="S17" s="62" t="str">
        <f>IFERROR(__xludf.DUMMYFUNCTION("QUERY('Volunteer Survey'!L17)"),"Variant Pathogenicity")</f>
        <v>Variant Pathogenicity</v>
      </c>
      <c r="T17" s="62" t="str">
        <f>IFERROR(__xludf.DUMMYFUNCTION("QUERY('Volunteer Survey'!M17)"),"Somatic Cancer")</f>
        <v>Somatic Cancer</v>
      </c>
      <c r="U17" s="74" t="str">
        <f>IFERROR(__xludf.DUMMYFUNCTION("QUERY('Volunteer Survey'!N17)"),"")</f>
        <v/>
      </c>
      <c r="V17" s="62" t="str">
        <f>IFERROR(__xludf.DUMMYFUNCTION("QUERY('Volunteer Survey'!O17)"),"Possibly")</f>
        <v>Possibly</v>
      </c>
      <c r="W17" s="75" t="str">
        <f>IFERROR(__xludf.DUMMYFUNCTION("QUERY('Volunteer Survey'!P17)"),"I am open to any opportunity")</f>
        <v>I am open to any opportunity</v>
      </c>
      <c r="X17" s="74" t="str">
        <f>IFERROR(__xludf.DUMMYFUNCTION("QUERY('Volunteer Survey'!R17)"),"Yes- I am willing to volunteer with any available ClinGen group")</f>
        <v>Yes- I am willing to volunteer with any available ClinGen group</v>
      </c>
      <c r="Y17" s="61"/>
      <c r="Z17" s="67"/>
      <c r="AA17" s="62"/>
      <c r="AB17" s="62"/>
      <c r="AC17" s="62"/>
      <c r="AD17" s="62"/>
      <c r="AE17" s="62"/>
      <c r="AF17" s="62"/>
      <c r="AG17" s="62"/>
      <c r="AH17" s="62"/>
      <c r="AI17" s="62"/>
      <c r="AJ17" s="62"/>
      <c r="AK17" s="62"/>
      <c r="AL17" s="62"/>
      <c r="AM17" s="62"/>
      <c r="AN17" s="62"/>
      <c r="AO17" s="62"/>
    </row>
    <row r="18">
      <c r="A18" s="59">
        <f>IFERROR(__xludf.DUMMYFUNCTION("QUERY('Volunteer Survey'!A18)"),43467.289876111114)</f>
        <v>43467.28988</v>
      </c>
      <c r="B18" s="60" t="s">
        <v>275</v>
      </c>
      <c r="C18" s="61"/>
      <c r="D18" s="82">
        <v>43585.0</v>
      </c>
      <c r="E18" s="60" t="s">
        <v>277</v>
      </c>
      <c r="F18" s="60" t="s">
        <v>277</v>
      </c>
      <c r="G18" s="60" t="s">
        <v>278</v>
      </c>
      <c r="H18" s="63" t="s">
        <v>291</v>
      </c>
      <c r="I18" s="63" t="s">
        <v>189</v>
      </c>
      <c r="J18" s="79">
        <v>43712.0</v>
      </c>
      <c r="K18" s="79"/>
      <c r="L18" s="62" t="str">
        <f>IFERROR(__xludf.DUMMYFUNCTION("QUERY('Volunteer Survey'!B18)"),"Ana León")</f>
        <v>Ana León</v>
      </c>
      <c r="M18" s="62" t="str">
        <f>IFERROR(__xludf.DUMMYFUNCTION("QUERY('Volunteer Survey'!E18)"),"aleon@pros.upv.es")</f>
        <v>aleon@pros.upv.es</v>
      </c>
      <c r="N18" s="62" t="str">
        <f>IFERROR(__xludf.DUMMYFUNCTION("QUERY('Volunteer Survey'!F18)"),"PhD Student")</f>
        <v>PhD Student</v>
      </c>
      <c r="O18" s="60" t="str">
        <f>IFERROR(__xludf.DUMMYFUNCTION("QUERY('Volunteer Survey'!H18)"),"Comprehensive")</f>
        <v>Comprehensive</v>
      </c>
      <c r="P18" s="62" t="str">
        <f>IFERROR(__xludf.DUMMYFUNCTION("QUERY('Volunteer Survey'!I18)"),"Gene-Disease Validity")</f>
        <v>Gene-Disease Validity</v>
      </c>
      <c r="Q18" s="66" t="str">
        <f>IFERROR(__xludf.DUMMYFUNCTION("QUERY('Volunteer Survey'!J18)"),"")</f>
        <v/>
      </c>
      <c r="R18" s="62" t="str">
        <f>IFERROR(__xludf.DUMMYFUNCTION("QUERY('Volunteer Survey'!K18)"),"")</f>
        <v/>
      </c>
      <c r="S18" s="62" t="str">
        <f>IFERROR(__xludf.DUMMYFUNCTION("QUERY('Volunteer Survey'!L18)"),"")</f>
        <v/>
      </c>
      <c r="T18" s="62" t="str">
        <f>IFERROR(__xludf.DUMMYFUNCTION("QUERY('Volunteer Survey'!M18)"),"")</f>
        <v/>
      </c>
      <c r="U18" s="74" t="str">
        <f>IFERROR(__xludf.DUMMYFUNCTION("QUERY('Volunteer Survey'!N18)"),"During my research I worked in the identification of variants and genes associated with the studied diseases.")</f>
        <v>During my research I worked in the identification of variants and genes associated with the studied diseases.</v>
      </c>
      <c r="V18" s="62" t="str">
        <f>IFERROR(__xludf.DUMMYFUNCTION("QUERY('Volunteer Survey'!O18)"),"Yes")</f>
        <v>Yes</v>
      </c>
      <c r="W18" s="75" t="str">
        <f>IFERROR(__xludf.DUMMYFUNCTION("QUERY('Volunteer Survey'!P18)"),"")</f>
        <v/>
      </c>
      <c r="X18" s="74" t="str">
        <f>IFERROR(__xludf.DUMMYFUNCTION("QUERY('Volunteer Survey'!R18)"),"Maybe -- please contact me with other options, and I will decide based on what is available")</f>
        <v>Maybe -- please contact me with other options, and I will decide based on what is available</v>
      </c>
      <c r="Y18" s="61"/>
      <c r="Z18" s="67"/>
      <c r="AA18" s="62"/>
      <c r="AB18" s="62"/>
      <c r="AC18" s="62"/>
      <c r="AD18" s="62"/>
      <c r="AE18" s="62"/>
      <c r="AF18" s="62"/>
      <c r="AG18" s="62"/>
      <c r="AH18" s="62"/>
      <c r="AI18" s="62"/>
      <c r="AJ18" s="62"/>
      <c r="AK18" s="62"/>
      <c r="AL18" s="62"/>
      <c r="AM18" s="62"/>
      <c r="AN18" s="62"/>
      <c r="AO18" s="62"/>
    </row>
    <row r="19">
      <c r="A19" s="59">
        <f>IFERROR(__xludf.DUMMYFUNCTION("QUERY('Volunteer Survey'!A19)"),43469.322247662036)</f>
        <v>43469.32225</v>
      </c>
      <c r="B19" s="60" t="s">
        <v>282</v>
      </c>
      <c r="C19" s="80">
        <v>43437.0</v>
      </c>
      <c r="D19" s="79">
        <v>43446.0</v>
      </c>
      <c r="E19" s="60" t="s">
        <v>277</v>
      </c>
      <c r="F19" s="60" t="s">
        <v>277</v>
      </c>
      <c r="G19" s="60" t="s">
        <v>278</v>
      </c>
      <c r="H19" s="63" t="s">
        <v>279</v>
      </c>
      <c r="I19" s="63" t="s">
        <v>189</v>
      </c>
      <c r="J19" s="60"/>
      <c r="K19" s="60"/>
      <c r="L19" s="62" t="str">
        <f>IFERROR(__xludf.DUMMYFUNCTION("QUERY('Volunteer Survey'!B19)"),"Catalina Betancur")</f>
        <v>Catalina Betancur</v>
      </c>
      <c r="M19" s="62" t="str">
        <f>IFERROR(__xludf.DUMMYFUNCTION("QUERY('Volunteer Survey'!E19)"),"Catalina.Betancur@inserm.fr")</f>
        <v>Catalina.Betancur@inserm.fr</v>
      </c>
      <c r="N19" s="62" t="str">
        <f>IFERROR(__xludf.DUMMYFUNCTION("QUERY('Volunteer Survey'!F19)"),"NA")</f>
        <v>NA</v>
      </c>
      <c r="O19" s="60" t="str">
        <f>IFERROR(__xludf.DUMMYFUNCTION("QUERY('Volunteer Survey'!H19)"),"Comprehensive")</f>
        <v>Comprehensive</v>
      </c>
      <c r="P19" s="62" t="str">
        <f>IFERROR(__xludf.DUMMYFUNCTION("QUERY('Volunteer Survey'!I19)"),"Gene-Disease Validity")</f>
        <v>Gene-Disease Validity</v>
      </c>
      <c r="Q19" s="66" t="str">
        <f>IFERROR(__xludf.DUMMYFUNCTION("QUERY('Volunteer Survey'!J19)"),"")</f>
        <v/>
      </c>
      <c r="R19" s="62" t="str">
        <f>IFERROR(__xludf.DUMMYFUNCTION("QUERY('Volunteer Survey'!K19)"),"")</f>
        <v/>
      </c>
      <c r="S19" s="62" t="str">
        <f>IFERROR(__xludf.DUMMYFUNCTION("QUERY('Volunteer Survey'!L19)"),"")</f>
        <v/>
      </c>
      <c r="T19" s="62" t="str">
        <f>IFERROR(__xludf.DUMMYFUNCTION("QUERY('Volunteer Survey'!M19)"),"")</f>
        <v/>
      </c>
      <c r="U19" s="74" t="str">
        <f>IFERROR(__xludf.DUMMYFUNCTION("QUERY('Volunteer Survey'!N19)"),"")</f>
        <v/>
      </c>
      <c r="V19" s="62" t="str">
        <f>IFERROR(__xludf.DUMMYFUNCTION("QUERY('Volunteer Survey'!O19)"),"")</f>
        <v/>
      </c>
      <c r="W19" s="75" t="str">
        <f>IFERROR(__xludf.DUMMYFUNCTION("QUERY('Volunteer Survey'!P19)"),"ID Autism")</f>
        <v>ID Autism</v>
      </c>
      <c r="X19" s="74" t="str">
        <f>IFERROR(__xludf.DUMMYFUNCTION("QUERY('Volunteer Survey'!R19)"),"")</f>
        <v/>
      </c>
      <c r="Y19" s="63" t="s">
        <v>292</v>
      </c>
      <c r="Z19" s="67"/>
      <c r="AA19" s="62"/>
      <c r="AB19" s="62"/>
      <c r="AC19" s="62"/>
      <c r="AD19" s="62"/>
      <c r="AE19" s="62"/>
      <c r="AF19" s="62"/>
      <c r="AG19" s="62"/>
      <c r="AH19" s="62"/>
      <c r="AI19" s="62"/>
      <c r="AJ19" s="62"/>
      <c r="AK19" s="62"/>
      <c r="AL19" s="62"/>
      <c r="AM19" s="62"/>
      <c r="AN19" s="62"/>
      <c r="AO19" s="62"/>
    </row>
    <row r="20">
      <c r="A20" s="59">
        <f>IFERROR(__xludf.DUMMYFUNCTION("QUERY('Volunteer Survey'!A20)"),43469.47069386574)</f>
        <v>43469.47069</v>
      </c>
      <c r="B20" s="60" t="s">
        <v>275</v>
      </c>
      <c r="C20" s="61"/>
      <c r="D20" s="62"/>
      <c r="E20" s="60" t="s">
        <v>182</v>
      </c>
      <c r="F20" s="60" t="s">
        <v>182</v>
      </c>
      <c r="G20" s="60" t="s">
        <v>276</v>
      </c>
      <c r="H20" s="61"/>
      <c r="I20" s="63" t="s">
        <v>189</v>
      </c>
      <c r="J20" s="62"/>
      <c r="K20" s="62"/>
      <c r="L20" s="62" t="str">
        <f>IFERROR(__xludf.DUMMYFUNCTION("QUERY('Volunteer Survey'!B20)"),"Casey Brew")</f>
        <v>Casey Brew</v>
      </c>
      <c r="M20" s="62" t="str">
        <f>IFERROR(__xludf.DUMMYFUNCTION("QUERY('Volunteer Survey'!E20)"),"cbrew@luriechildrens.org")</f>
        <v>cbrew@luriechildrens.org</v>
      </c>
      <c r="N20" s="62" t="str">
        <f>IFERROR(__xludf.DUMMYFUNCTION("QUERY('Volunteer Survey'!F20)"),"Genetic counselor")</f>
        <v>Genetic counselor</v>
      </c>
      <c r="O20" s="60" t="str">
        <f>IFERROR(__xludf.DUMMYFUNCTION("QUERY('Volunteer Survey'!H20)"),"Baseline")</f>
        <v>Baseline</v>
      </c>
      <c r="P20" s="62" t="str">
        <f>IFERROR(__xludf.DUMMYFUNCTION("QUERY('Volunteer Survey'!I20)"),"Variant Pathogenicity")</f>
        <v>Variant Pathogenicity</v>
      </c>
      <c r="Q20" s="66" t="str">
        <f>IFERROR(__xludf.DUMMYFUNCTION("QUERY('Volunteer Survey'!J20)"),"Gene-Disease Validity")</f>
        <v>Gene-Disease Validity</v>
      </c>
      <c r="R20" s="62" t="str">
        <f>IFERROR(__xludf.DUMMYFUNCTION("QUERY('Volunteer Survey'!K20)"),"Clinical Actionability")</f>
        <v>Clinical Actionability</v>
      </c>
      <c r="S20" s="62" t="str">
        <f>IFERROR(__xludf.DUMMYFUNCTION("QUERY('Volunteer Survey'!L20)"),"")</f>
        <v/>
      </c>
      <c r="T20" s="62" t="str">
        <f>IFERROR(__xludf.DUMMYFUNCTION("QUERY('Volunteer Survey'!M20)"),"")</f>
        <v/>
      </c>
      <c r="U20" s="74" t="str">
        <f>IFERROR(__xludf.DUMMYFUNCTION("QUERY('Volunteer Survey'!N20)"),"I have experience in sequence variant interpretation and report writing for clinical cases through our in-house molecular diagnostics lab. ")</f>
        <v>I have experience in sequence variant interpretation and report writing for clinical cases through our in-house molecular diagnostics lab. </v>
      </c>
      <c r="V20" s="62" t="str">
        <f>IFERROR(__xludf.DUMMYFUNCTION("QUERY('Volunteer Survey'!O20)"),"Possibly")</f>
        <v>Possibly</v>
      </c>
      <c r="W20" s="75" t="str">
        <f>IFERROR(__xludf.DUMMYFUNCTION("QUERY('Volunteer Survey'!P20)"),"I would be most interested in the Inherited Cardiomyopathy Variant Curation Expert Panel, but I am open to just about anything.")</f>
        <v>I would be most interested in the Inherited Cardiomyopathy Variant Curation Expert Panel, but I am open to just about anything.</v>
      </c>
      <c r="X20" s="74" t="str">
        <f>IFERROR(__xludf.DUMMYFUNCTION("QUERY('Volunteer Survey'!R20)"),"Yes- I am willing to volunteer with any available ClinGen group")</f>
        <v>Yes- I am willing to volunteer with any available ClinGen group</v>
      </c>
      <c r="Y20" s="61"/>
      <c r="Z20" s="67"/>
      <c r="AA20" s="62"/>
      <c r="AB20" s="62"/>
      <c r="AC20" s="62"/>
      <c r="AD20" s="62"/>
      <c r="AE20" s="62"/>
      <c r="AF20" s="62"/>
      <c r="AG20" s="62"/>
      <c r="AH20" s="62"/>
      <c r="AI20" s="62"/>
      <c r="AJ20" s="62"/>
      <c r="AK20" s="62"/>
      <c r="AL20" s="62"/>
      <c r="AM20" s="62"/>
      <c r="AN20" s="62"/>
      <c r="AO20" s="62"/>
    </row>
    <row r="21">
      <c r="A21" s="59">
        <f>IFERROR(__xludf.DUMMYFUNCTION("QUERY('Volunteer Survey'!A21)"),43472.425777592594)</f>
        <v>43472.42578</v>
      </c>
      <c r="B21" s="60" t="s">
        <v>275</v>
      </c>
      <c r="C21" s="61"/>
      <c r="D21" s="82">
        <v>43580.0</v>
      </c>
      <c r="E21" s="60" t="s">
        <v>277</v>
      </c>
      <c r="F21" s="60" t="s">
        <v>277</v>
      </c>
      <c r="G21" s="60" t="s">
        <v>283</v>
      </c>
      <c r="H21" s="61"/>
      <c r="I21" s="63" t="s">
        <v>189</v>
      </c>
      <c r="J21" s="79">
        <v>43712.0</v>
      </c>
      <c r="K21" s="79"/>
      <c r="L21" s="62" t="str">
        <f>IFERROR(__xludf.DUMMYFUNCTION("QUERY('Volunteer Survey'!B21)"),"Shulin Zhang")</f>
        <v>Shulin Zhang</v>
      </c>
      <c r="M21" s="62" t="str">
        <f>IFERROR(__xludf.DUMMYFUNCTION("QUERY('Volunteer Survey'!E21)"),"shulin.zhang@uky.edu")</f>
        <v>shulin.zhang@uky.edu</v>
      </c>
      <c r="N21" s="62" t="str">
        <f>IFERROR(__xludf.DUMMYFUNCTION("QUERY('Volunteer Survey'!F21)"),"Clinical laboratory geneticist")</f>
        <v>Clinical laboratory geneticist</v>
      </c>
      <c r="O21" s="60" t="str">
        <f>IFERROR(__xludf.DUMMYFUNCTION("QUERY('Volunteer Survey'!H21)"),"Comprehensive")</f>
        <v>Comprehensive</v>
      </c>
      <c r="P21" s="62" t="str">
        <f>IFERROR(__xludf.DUMMYFUNCTION("QUERY('Volunteer Survey'!I21)"),"Dosage Sensitivity")</f>
        <v>Dosage Sensitivity</v>
      </c>
      <c r="Q21" s="66" t="str">
        <f>IFERROR(__xludf.DUMMYFUNCTION("QUERY('Volunteer Survey'!J21)"),"Variant Pathogenicity")</f>
        <v>Variant Pathogenicity</v>
      </c>
      <c r="R21" s="62" t="str">
        <f>IFERROR(__xludf.DUMMYFUNCTION("QUERY('Volunteer Survey'!K21)"),"Gene-Disease Validity")</f>
        <v>Gene-Disease Validity</v>
      </c>
      <c r="S21" s="62" t="str">
        <f>IFERROR(__xludf.DUMMYFUNCTION("QUERY('Volunteer Survey'!L21)"),"Somatic Cancer")</f>
        <v>Somatic Cancer</v>
      </c>
      <c r="T21" s="62" t="str">
        <f>IFERROR(__xludf.DUMMYFUNCTION("QUERY('Volunteer Survey'!M21)"),"Clinical Actionability")</f>
        <v>Clinical Actionability</v>
      </c>
      <c r="U21" s="74" t="str">
        <f>IFERROR(__xludf.DUMMYFUNCTION("QUERY('Volunteer Survey'!N21)"),"No")</f>
        <v>No</v>
      </c>
      <c r="V21" s="62" t="str">
        <f>IFERROR(__xludf.DUMMYFUNCTION("QUERY('Volunteer Survey'!O21)"),"No")</f>
        <v>No</v>
      </c>
      <c r="W21" s="75" t="str">
        <f>IFERROR(__xludf.DUMMYFUNCTION("QUERY('Volunteer Survey'!P21)"),"1) Dosage sensitivity working group expert panel (inherited cancers) 2) Colorectal cancer 3) mitochondrial diseases")</f>
        <v>1) Dosage sensitivity working group expert panel (inherited cancers) 2) Colorectal cancer 3) mitochondrial diseases</v>
      </c>
      <c r="X21" s="74" t="str">
        <f>IFERROR(__xludf.DUMMYFUNCTION("QUERY('Volunteer Survey'!R21)"),"Maybe -- please contact me with other options, and I will decide based on what is available")</f>
        <v>Maybe -- please contact me with other options, and I will decide based on what is available</v>
      </c>
      <c r="Y21" s="61"/>
      <c r="Z21" s="67"/>
      <c r="AA21" s="62"/>
      <c r="AB21" s="62"/>
      <c r="AC21" s="62"/>
      <c r="AD21" s="62"/>
      <c r="AE21" s="62"/>
      <c r="AF21" s="62"/>
      <c r="AG21" s="62"/>
      <c r="AH21" s="62"/>
      <c r="AI21" s="62"/>
      <c r="AJ21" s="62"/>
      <c r="AK21" s="62"/>
      <c r="AL21" s="62"/>
      <c r="AM21" s="62"/>
      <c r="AN21" s="62"/>
      <c r="AO21" s="62"/>
    </row>
    <row r="22">
      <c r="A22" s="59">
        <f>IFERROR(__xludf.DUMMYFUNCTION("QUERY('Volunteer Survey'!A22)"),43472.537255601856)</f>
        <v>43472.53726</v>
      </c>
      <c r="B22" s="60" t="s">
        <v>275</v>
      </c>
      <c r="C22" s="61"/>
      <c r="D22" s="85">
        <v>43567.0</v>
      </c>
      <c r="E22" s="60" t="s">
        <v>277</v>
      </c>
      <c r="F22" s="60" t="s">
        <v>182</v>
      </c>
      <c r="G22" s="60" t="s">
        <v>27</v>
      </c>
      <c r="H22" s="76"/>
      <c r="I22" s="76" t="s">
        <v>189</v>
      </c>
      <c r="J22" s="62"/>
      <c r="K22" s="62"/>
      <c r="L22" s="62" t="str">
        <f>IFERROR(__xludf.DUMMYFUNCTION("QUERY('Volunteer Survey'!B22)"),"Marwan Shinawi")</f>
        <v>Marwan Shinawi</v>
      </c>
      <c r="M22" s="62" t="str">
        <f>IFERROR(__xludf.DUMMYFUNCTION("QUERY('Volunteer Survey'!E22)"),"mshinawi@wustl.edu")</f>
        <v>mshinawi@wustl.edu</v>
      </c>
      <c r="N22" s="62" t="str">
        <f>IFERROR(__xludf.DUMMYFUNCTION("QUERY('Volunteer Survey'!F22)"),"Clinical Medical Geneticist")</f>
        <v>Clinical Medical Geneticist</v>
      </c>
      <c r="O22" s="60" t="str">
        <f>IFERROR(__xludf.DUMMYFUNCTION("QUERY('Volunteer Survey'!H22)"),"Comprehensive")</f>
        <v>Comprehensive</v>
      </c>
      <c r="P22" s="62" t="str">
        <f>IFERROR(__xludf.DUMMYFUNCTION("QUERY('Volunteer Survey'!I22)"),"Clinical Actionability")</f>
        <v>Clinical Actionability</v>
      </c>
      <c r="Q22" s="66" t="str">
        <f>IFERROR(__xludf.DUMMYFUNCTION("QUERY('Volunteer Survey'!J22)"),"Gene-Disease Validity")</f>
        <v>Gene-Disease Validity</v>
      </c>
      <c r="R22" s="62" t="str">
        <f>IFERROR(__xludf.DUMMYFUNCTION("QUERY('Volunteer Survey'!K22)"),"Variant Pathogenicity")</f>
        <v>Variant Pathogenicity</v>
      </c>
      <c r="S22" s="62" t="str">
        <f>IFERROR(__xludf.DUMMYFUNCTION("QUERY('Volunteer Survey'!L22)"),"Dosage Sensitivity")</f>
        <v>Dosage Sensitivity</v>
      </c>
      <c r="T22" s="62" t="str">
        <f>IFERROR(__xludf.DUMMYFUNCTION("QUERY('Volunteer Survey'!M22)"),"Somatic Cancer")</f>
        <v>Somatic Cancer</v>
      </c>
      <c r="U22" s="74" t="str">
        <f>IFERROR(__xludf.DUMMYFUNCTION("QUERY('Volunteer Survey'!N22)"),"To some extent")</f>
        <v>To some extent</v>
      </c>
      <c r="V22" s="62" t="str">
        <f>IFERROR(__xludf.DUMMYFUNCTION("QUERY('Volunteer Survey'!O22)"),"Yes")</f>
        <v>Yes</v>
      </c>
      <c r="W22" s="75" t="str">
        <f>IFERROR(__xludf.DUMMYFUNCTION("QUERY('Volunteer Survey'!P22)"),"Autism and Intellectual Disability Gene Curation Expert Panel")</f>
        <v>Autism and Intellectual Disability Gene Curation Expert Panel</v>
      </c>
      <c r="X22" s="74" t="str">
        <f>IFERROR(__xludf.DUMMYFUNCTION("QUERY('Volunteer Survey'!R22)"),"No - I am only interested in the group(s) I previously indicated")</f>
        <v>No - I am only interested in the group(s) I previously indicated</v>
      </c>
      <c r="Y22" s="61"/>
      <c r="Z22" s="67"/>
      <c r="AA22" s="62"/>
      <c r="AB22" s="62"/>
      <c r="AC22" s="62"/>
      <c r="AD22" s="62"/>
      <c r="AE22" s="62"/>
      <c r="AF22" s="62"/>
      <c r="AG22" s="62"/>
      <c r="AH22" s="62"/>
      <c r="AI22" s="62"/>
      <c r="AJ22" s="62"/>
      <c r="AK22" s="62"/>
      <c r="AL22" s="62"/>
      <c r="AM22" s="62"/>
      <c r="AN22" s="62"/>
      <c r="AO22" s="62"/>
    </row>
    <row r="23">
      <c r="A23" s="59">
        <f>IFERROR(__xludf.DUMMYFUNCTION("QUERY('Volunteer Survey'!A23)"),43473.39076508102)</f>
        <v>43473.39077</v>
      </c>
      <c r="B23" s="60" t="s">
        <v>275</v>
      </c>
      <c r="C23" s="61"/>
      <c r="D23" s="82">
        <v>43605.0</v>
      </c>
      <c r="E23" s="60" t="s">
        <v>277</v>
      </c>
      <c r="F23" s="60" t="s">
        <v>277</v>
      </c>
      <c r="G23" s="60" t="s">
        <v>288</v>
      </c>
      <c r="H23" s="63" t="s">
        <v>213</v>
      </c>
      <c r="I23" s="63" t="s">
        <v>189</v>
      </c>
      <c r="J23" s="79">
        <v>43712.0</v>
      </c>
      <c r="K23" s="79"/>
      <c r="L23" s="62" t="str">
        <f>IFERROR(__xludf.DUMMYFUNCTION("QUERY('Volunteer Survey'!B23)"),"Adam Coovadia")</f>
        <v>Adam Coovadia</v>
      </c>
      <c r="M23" s="62" t="str">
        <f>IFERROR(__xludf.DUMMYFUNCTION("QUERY('Volunteer Survey'!E23)"),"coovadiaa@gmail.com")</f>
        <v>coovadiaa@gmail.com</v>
      </c>
      <c r="N23" s="62" t="str">
        <f>IFERROR(__xludf.DUMMYFUNCTION("QUERY('Volunteer Survey'!F23)"),"Former Lab Operations Director/Molecular Genetics Lab Supervisor and College Professor of Bioinformatics, Genetics, Cell Biology, Biotechnology")</f>
        <v>Former Lab Operations Director/Molecular Genetics Lab Supervisor and College Professor of Bioinformatics, Genetics, Cell Biology, Biotechnology</v>
      </c>
      <c r="O23" s="60" t="str">
        <f>IFERROR(__xludf.DUMMYFUNCTION("QUERY('Volunteer Survey'!H23)"),"Comprehensive")</f>
        <v>Comprehensive</v>
      </c>
      <c r="P23" s="62" t="str">
        <f>IFERROR(__xludf.DUMMYFUNCTION("QUERY('Volunteer Survey'!I23)"),"Variant Pathogenicity")</f>
        <v>Variant Pathogenicity</v>
      </c>
      <c r="Q23" s="66" t="str">
        <f>IFERROR(__xludf.DUMMYFUNCTION("QUERY('Volunteer Survey'!J23)"),"Gene-Disease Validity")</f>
        <v>Gene-Disease Validity</v>
      </c>
      <c r="R23" s="62" t="str">
        <f>IFERROR(__xludf.DUMMYFUNCTION("QUERY('Volunteer Survey'!K23)"),"Somatic Cancer")</f>
        <v>Somatic Cancer</v>
      </c>
      <c r="S23" s="62" t="str">
        <f>IFERROR(__xludf.DUMMYFUNCTION("QUERY('Volunteer Survey'!L23)"),"Clinical Actionability")</f>
        <v>Clinical Actionability</v>
      </c>
      <c r="T23" s="62" t="str">
        <f>IFERROR(__xludf.DUMMYFUNCTION("QUERY('Volunteer Survey'!M23)"),"Dosage Sensitivity")</f>
        <v>Dosage Sensitivity</v>
      </c>
      <c r="U23" s="74" t="str">
        <f>IFERROR(__xludf.DUMMYFUNCTION("QUERY('Volunteer Survey'!N23)"),"")</f>
        <v/>
      </c>
      <c r="V23" s="62" t="str">
        <f>IFERROR(__xludf.DUMMYFUNCTION("QUERY('Volunteer Survey'!O23)"),"Yes")</f>
        <v>Yes</v>
      </c>
      <c r="W23" s="75" t="str">
        <f>IFERROR(__xludf.DUMMYFUNCTION("QUERY('Volunteer Survey'!P23)"),"")</f>
        <v/>
      </c>
      <c r="X23" s="74" t="str">
        <f>IFERROR(__xludf.DUMMYFUNCTION("QUERY('Volunteer Survey'!R23)"),"Yes- I am willing to volunteer with any available ClinGen group")</f>
        <v>Yes- I am willing to volunteer with any available ClinGen group</v>
      </c>
      <c r="Y23" s="61"/>
      <c r="Z23" s="67"/>
      <c r="AA23" s="62"/>
      <c r="AB23" s="62"/>
      <c r="AC23" s="62"/>
      <c r="AD23" s="62"/>
      <c r="AE23" s="62"/>
      <c r="AF23" s="62"/>
      <c r="AG23" s="62"/>
      <c r="AH23" s="62"/>
      <c r="AI23" s="62"/>
      <c r="AJ23" s="62"/>
      <c r="AK23" s="62"/>
      <c r="AL23" s="62"/>
      <c r="AM23" s="62"/>
      <c r="AN23" s="62"/>
      <c r="AO23" s="62"/>
    </row>
    <row r="24">
      <c r="A24" s="59">
        <f>IFERROR(__xludf.DUMMYFUNCTION("QUERY('Volunteer Survey'!A24)"),43332.58121527778)</f>
        <v>43332.58122</v>
      </c>
      <c r="B24" s="60" t="s">
        <v>282</v>
      </c>
      <c r="C24" s="80">
        <v>43446.0</v>
      </c>
      <c r="D24" s="79">
        <v>43446.0</v>
      </c>
      <c r="E24" s="60" t="s">
        <v>277</v>
      </c>
      <c r="F24" s="60" t="s">
        <v>277</v>
      </c>
      <c r="G24" s="60" t="s">
        <v>278</v>
      </c>
      <c r="H24" s="63" t="s">
        <v>17</v>
      </c>
      <c r="I24" s="63" t="s">
        <v>189</v>
      </c>
      <c r="J24" s="79">
        <v>43592.0</v>
      </c>
      <c r="K24" s="79">
        <v>43713.0</v>
      </c>
      <c r="L24" s="62" t="str">
        <f>IFERROR(__xludf.DUMMYFUNCTION("QUERY('Volunteer Survey'!B24)"),"Volkan Okur")</f>
        <v>Volkan Okur</v>
      </c>
      <c r="M24" s="62" t="str">
        <f>IFERROR(__xludf.DUMMYFUNCTION("QUERY('Volunteer Survey'!E24)"),"vokur@bcm.edu")</f>
        <v>vokur@bcm.edu</v>
      </c>
      <c r="N24" s="62" t="str">
        <f>IFERROR(__xludf.DUMMYFUNCTION("QUERY('Volunteer Survey'!F24)"),"Clinical medical geneticist/Clinical laboratory geneticist/Post Doc/Resident/Fellow (MD and/or Phd)/Scientific Researcher/Variant Analyst/Scientist")</f>
        <v>Clinical medical geneticist/Clinical laboratory geneticist/Post Doc/Resident/Fellow (MD and/or Phd)/Scientific Researcher/Variant Analyst/Scientist</v>
      </c>
      <c r="O24" s="60" t="str">
        <f>IFERROR(__xludf.DUMMYFUNCTION("QUERY('Volunteer Survey'!H24)"),"Comprehensive")</f>
        <v>Comprehensive</v>
      </c>
      <c r="P24" s="62" t="str">
        <f>IFERROR(__xludf.DUMMYFUNCTION("QUERY('Volunteer Survey'!I24)"),"Gene-Disease Validity")</f>
        <v>Gene-Disease Validity</v>
      </c>
      <c r="Q24" s="66" t="str">
        <f>IFERROR(__xludf.DUMMYFUNCTION("QUERY('Volunteer Survey'!J24)"),"Variant Pathogenicity")</f>
        <v>Variant Pathogenicity</v>
      </c>
      <c r="R24" s="62" t="str">
        <f>IFERROR(__xludf.DUMMYFUNCTION("QUERY('Volunteer Survey'!K24)"),"Actionability")</f>
        <v>Actionability</v>
      </c>
      <c r="S24" s="62" t="str">
        <f>IFERROR(__xludf.DUMMYFUNCTION("QUERY('Volunteer Survey'!L24)"),"Somatic Cancer")</f>
        <v>Somatic Cancer</v>
      </c>
      <c r="T24" s="62" t="str">
        <f>IFERROR(__xludf.DUMMYFUNCTION("QUERY('Volunteer Survey'!M24)"),"Dosage Sensitivity")</f>
        <v>Dosage Sensitivity</v>
      </c>
      <c r="U24" s="74" t="str">
        <f>IFERROR(__xludf.DUMMYFUNCTION("QUERY('Volunteer Survey'!N24)"),"Yes")</f>
        <v>Yes</v>
      </c>
      <c r="V24" s="62" t="str">
        <f>IFERROR(__xludf.DUMMYFUNCTION("QUERY('Volunteer Survey'!O24)"),"")</f>
        <v/>
      </c>
      <c r="W24" s="75" t="str">
        <f>IFERROR(__xludf.DUMMYFUNCTION("QUERY('Volunteer Survey'!P24)"),"any expert panel of hereditary cancer and/or inborn errors of metabolism domains. ClinVar experts can decide where I would be of the most help.")</f>
        <v>any expert panel of hereditary cancer and/or inborn errors of metabolism domains. ClinVar experts can decide where I would be of the most help.</v>
      </c>
      <c r="X24" s="74" t="str">
        <f>IFERROR(__xludf.DUMMYFUNCTION("QUERY('Volunteer Survey'!R24)"),"")</f>
        <v/>
      </c>
      <c r="Y24" s="61"/>
      <c r="Z24" s="67"/>
      <c r="AA24" s="62"/>
      <c r="AB24" s="62"/>
      <c r="AC24" s="62"/>
      <c r="AD24" s="62"/>
      <c r="AE24" s="62"/>
      <c r="AF24" s="62"/>
      <c r="AG24" s="62"/>
      <c r="AH24" s="62"/>
      <c r="AI24" s="62"/>
      <c r="AJ24" s="62"/>
      <c r="AK24" s="62"/>
      <c r="AL24" s="62"/>
      <c r="AM24" s="62"/>
      <c r="AN24" s="62"/>
      <c r="AO24" s="62"/>
    </row>
    <row r="25">
      <c r="A25" s="59">
        <f>IFERROR(__xludf.DUMMYFUNCTION("QUERY('Volunteer Survey'!A25)"),43332.58226851852)</f>
        <v>43332.58227</v>
      </c>
      <c r="B25" s="60" t="s">
        <v>282</v>
      </c>
      <c r="C25" s="80">
        <v>43411.0</v>
      </c>
      <c r="D25" s="79">
        <v>43446.0</v>
      </c>
      <c r="E25" s="60" t="s">
        <v>277</v>
      </c>
      <c r="F25" s="60" t="s">
        <v>277</v>
      </c>
      <c r="G25" s="60" t="s">
        <v>278</v>
      </c>
      <c r="H25" s="63" t="s">
        <v>290</v>
      </c>
      <c r="I25" s="63" t="s">
        <v>189</v>
      </c>
      <c r="J25" s="79">
        <v>43592.0</v>
      </c>
      <c r="K25" s="79">
        <v>43713.0</v>
      </c>
      <c r="L25" s="62" t="str">
        <f>IFERROR(__xludf.DUMMYFUNCTION("QUERY('Volunteer Survey'!B25)"),"Mythily Ganapathi")</f>
        <v>Mythily Ganapathi</v>
      </c>
      <c r="M25" s="62" t="str">
        <f>IFERROR(__xludf.DUMMYFUNCTION("QUERY('Volunteer Survey'!E25)"),"mg3560@cumc.columbia.edu")</f>
        <v>mg3560@cumc.columbia.edu</v>
      </c>
      <c r="N25" s="62" t="str">
        <f>IFERROR(__xludf.DUMMYFUNCTION("QUERY('Volunteer Survey'!F25)"),"Clinical laboratory geneticist")</f>
        <v>Clinical laboratory geneticist</v>
      </c>
      <c r="O25" s="60" t="str">
        <f>IFERROR(__xludf.DUMMYFUNCTION("QUERY('Volunteer Survey'!H25)"),"Comprehensive")</f>
        <v>Comprehensive</v>
      </c>
      <c r="P25" s="62" t="str">
        <f>IFERROR(__xludf.DUMMYFUNCTION("QUERY('Volunteer Survey'!I25)"),"Gene-Disease Validity")</f>
        <v>Gene-Disease Validity</v>
      </c>
      <c r="Q25" s="66" t="str">
        <f>IFERROR(__xludf.DUMMYFUNCTION("QUERY('Volunteer Survey'!J25)"),"Variant Pathogenicity")</f>
        <v>Variant Pathogenicity</v>
      </c>
      <c r="R25" s="62" t="str">
        <f>IFERROR(__xludf.DUMMYFUNCTION("QUERY('Volunteer Survey'!K25)"),"Actionability")</f>
        <v>Actionability</v>
      </c>
      <c r="S25" s="62" t="str">
        <f>IFERROR(__xludf.DUMMYFUNCTION("QUERY('Volunteer Survey'!L25)"),"")</f>
        <v/>
      </c>
      <c r="T25" s="62" t="str">
        <f>IFERROR(__xludf.DUMMYFUNCTION("QUERY('Volunteer Survey'!M25)"),"")</f>
        <v/>
      </c>
      <c r="U25" s="74" t="str">
        <f>IFERROR(__xludf.DUMMYFUNCTION("QUERY('Volunteer Survey'!N25)"),"Yes")</f>
        <v>Yes</v>
      </c>
      <c r="V25" s="62" t="str">
        <f>IFERROR(__xludf.DUMMYFUNCTION("QUERY('Volunteer Survey'!O25)"),"")</f>
        <v/>
      </c>
      <c r="W25" s="75" t="str">
        <f>IFERROR(__xludf.DUMMYFUNCTION("QUERY('Volunteer Survey'!P25)"),"Cardiovascular Dilated Cardiomyopathy Gene Curation Expert Panel (In progress) Cardiovascular Familial Hypercholesterolemia Variant Curation Expert Panel (In progress) Cardiovascular KCNQ1 Variant Curation Expert Panel (In progress) Cardiovascular LQTS Ge"&amp;"ne Curation Expert Panel (In progress) Cardiovascular KCNQ1 Variant Curation Expert Panel")</f>
        <v>Cardiovascular Dilated Cardiomyopathy Gene Curation Expert Panel (In progress) Cardiovascular Familial Hypercholesterolemia Variant Curation Expert Panel (In progress) Cardiovascular KCNQ1 Variant Curation Expert Panel (In progress) Cardiovascular LQTS Gene Curation Expert Panel (In progress) Cardiovascular KCNQ1 Variant Curation Expert Panel</v>
      </c>
      <c r="X25" s="74" t="str">
        <f>IFERROR(__xludf.DUMMYFUNCTION("QUERY('Volunteer Survey'!R25)"),"")</f>
        <v/>
      </c>
      <c r="Y25" s="61"/>
      <c r="Z25" s="67"/>
      <c r="AA25" s="62"/>
      <c r="AB25" s="62"/>
      <c r="AC25" s="62"/>
      <c r="AD25" s="62"/>
      <c r="AE25" s="62"/>
      <c r="AF25" s="62"/>
      <c r="AG25" s="62"/>
      <c r="AH25" s="62"/>
      <c r="AI25" s="62"/>
      <c r="AJ25" s="62"/>
      <c r="AK25" s="62"/>
      <c r="AL25" s="62"/>
      <c r="AM25" s="62"/>
      <c r="AN25" s="62"/>
      <c r="AO25" s="62"/>
    </row>
    <row r="26">
      <c r="A26" s="86">
        <f>IFERROR(__xludf.DUMMYFUNCTION("QUERY('Volunteer Survey'!A26)"),43332.58315972222)</f>
        <v>43332.58316</v>
      </c>
      <c r="B26" s="60" t="s">
        <v>274</v>
      </c>
      <c r="C26" s="87"/>
      <c r="D26" s="82">
        <v>43585.0</v>
      </c>
      <c r="E26" s="60" t="s">
        <v>277</v>
      </c>
      <c r="F26" s="60" t="s">
        <v>182</v>
      </c>
      <c r="G26" s="60" t="s">
        <v>278</v>
      </c>
      <c r="H26" s="61"/>
      <c r="I26" s="63" t="s">
        <v>189</v>
      </c>
      <c r="J26" s="62"/>
      <c r="K26" s="62"/>
      <c r="L26" s="62" t="str">
        <f>IFERROR(__xludf.DUMMYFUNCTION("QUERY('Volunteer Survey'!B26)"),"Leslie Oldfield")</f>
        <v>Leslie Oldfield</v>
      </c>
      <c r="M26" s="62" t="str">
        <f>IFERROR(__xludf.DUMMYFUNCTION("QUERY('Volunteer Survey'!E26)"),"leslie.oldfield@gmail.com")</f>
        <v>leslie.oldfield@gmail.com</v>
      </c>
      <c r="N26" s="62" t="str">
        <f>IFERROR(__xludf.DUMMYFUNCTION("QUERY('Volunteer Survey'!F26)"),"Research Associate")</f>
        <v>Research Associate</v>
      </c>
      <c r="O26" s="60" t="str">
        <f>IFERROR(__xludf.DUMMYFUNCTION("QUERY('Volunteer Survey'!H26)"),"Comprehensive")</f>
        <v>Comprehensive</v>
      </c>
      <c r="P26" s="62" t="str">
        <f>IFERROR(__xludf.DUMMYFUNCTION("QUERY('Volunteer Survey'!I26)"),"Gene-Disease Validity")</f>
        <v>Gene-Disease Validity</v>
      </c>
      <c r="Q26" s="66" t="str">
        <f>IFERROR(__xludf.DUMMYFUNCTION("QUERY('Volunteer Survey'!J26)"),"Variant Pathogenicity")</f>
        <v>Variant Pathogenicity</v>
      </c>
      <c r="R26" s="62" t="str">
        <f>IFERROR(__xludf.DUMMYFUNCTION("QUERY('Volunteer Survey'!K26)"),"Actionability")</f>
        <v>Actionability</v>
      </c>
      <c r="S26" s="62" t="str">
        <f>IFERROR(__xludf.DUMMYFUNCTION("QUERY('Volunteer Survey'!L26)"),"Somatic Cancer")</f>
        <v>Somatic Cancer</v>
      </c>
      <c r="T26" s="62" t="str">
        <f>IFERROR(__xludf.DUMMYFUNCTION("QUERY('Volunteer Survey'!M26)"),"")</f>
        <v/>
      </c>
      <c r="U26" s="74" t="str">
        <f>IFERROR(__xludf.DUMMYFUNCTION("QUERY('Volunteer Survey'!N26)"),"Yes")</f>
        <v>Yes</v>
      </c>
      <c r="V26" s="62" t="str">
        <f>IFERROR(__xludf.DUMMYFUNCTION("QUERY('Volunteer Survey'!O26)"),"")</f>
        <v/>
      </c>
      <c r="W26" s="75" t="str">
        <f>IFERROR(__xludf.DUMMYFUNCTION("QUERY('Volunteer Survey'!P26)"),"Breast and Ovarian Cancer Gene Curation Expert Panel, Colon Cancer and Polyposis Gene Curation Expert Panel, and the Hereditary Cancer Gene Curation Expert Pane")</f>
        <v>Breast and Ovarian Cancer Gene Curation Expert Panel, Colon Cancer and Polyposis Gene Curation Expert Panel, and the Hereditary Cancer Gene Curation Expert Pane</v>
      </c>
      <c r="X26" s="74" t="str">
        <f>IFERROR(__xludf.DUMMYFUNCTION("QUERY('Volunteer Survey'!R26)"),"")</f>
        <v/>
      </c>
      <c r="Y26" s="61"/>
      <c r="Z26" s="67"/>
      <c r="AA26" s="62"/>
      <c r="AB26" s="62"/>
      <c r="AC26" s="62"/>
      <c r="AD26" s="62"/>
      <c r="AE26" s="62"/>
      <c r="AF26" s="62"/>
      <c r="AG26" s="62"/>
      <c r="AH26" s="62"/>
      <c r="AI26" s="62"/>
      <c r="AJ26" s="62"/>
      <c r="AK26" s="62"/>
      <c r="AL26" s="62"/>
      <c r="AM26" s="62"/>
      <c r="AN26" s="62"/>
      <c r="AO26" s="62"/>
    </row>
    <row r="27">
      <c r="A27" s="59">
        <f>IFERROR(__xludf.DUMMYFUNCTION("QUERY('Volunteer Survey'!A27)"),43333.58667824074)</f>
        <v>43333.58668</v>
      </c>
      <c r="B27" s="60" t="s">
        <v>282</v>
      </c>
      <c r="C27" s="87">
        <v>43411.0</v>
      </c>
      <c r="D27" s="79">
        <v>43446.0</v>
      </c>
      <c r="E27" s="60" t="s">
        <v>277</v>
      </c>
      <c r="F27" s="60" t="s">
        <v>277</v>
      </c>
      <c r="G27" s="60" t="s">
        <v>278</v>
      </c>
      <c r="H27" s="63" t="s">
        <v>293</v>
      </c>
      <c r="I27" s="63" t="s">
        <v>189</v>
      </c>
      <c r="J27" s="79">
        <v>43592.0</v>
      </c>
      <c r="K27" s="79">
        <v>43713.0</v>
      </c>
      <c r="L27" s="62" t="str">
        <f>IFERROR(__xludf.DUMMYFUNCTION("QUERY('Volunteer Survey'!B27)"),"John Shoffner")</f>
        <v>John Shoffner</v>
      </c>
      <c r="M27" s="62" t="str">
        <f>IFERROR(__xludf.DUMMYFUNCTION("QUERY('Volunteer Survey'!E27)"),"jmsiv9903@icloud.com")</f>
        <v>jmsiv9903@icloud.com</v>
      </c>
      <c r="N27" s="62" t="str">
        <f>IFERROR(__xludf.DUMMYFUNCTION("QUERY('Volunteer Survey'!F27)"),"Clinical medical geneticist/Clinical laboratory geneticist and Neurology, Biochemical and Molecular Genetics")</f>
        <v>Clinical medical geneticist/Clinical laboratory geneticist and Neurology, Biochemical and Molecular Genetics</v>
      </c>
      <c r="O27" s="60" t="str">
        <f>IFERROR(__xludf.DUMMYFUNCTION("QUERY('Volunteer Survey'!H27)"),"Comprehensive")</f>
        <v>Comprehensive</v>
      </c>
      <c r="P27" s="62" t="str">
        <f>IFERROR(__xludf.DUMMYFUNCTION("QUERY('Volunteer Survey'!I27)"),"Gene-Disease Validity")</f>
        <v>Gene-Disease Validity</v>
      </c>
      <c r="Q27" s="66" t="str">
        <f>IFERROR(__xludf.DUMMYFUNCTION("QUERY('Volunteer Survey'!J27)"),"Variant Pathogenicity")</f>
        <v>Variant Pathogenicity</v>
      </c>
      <c r="R27" s="62" t="str">
        <f>IFERROR(__xludf.DUMMYFUNCTION("QUERY('Volunteer Survey'!K27)"),"Actionability")</f>
        <v>Actionability</v>
      </c>
      <c r="S27" s="62" t="str">
        <f>IFERROR(__xludf.DUMMYFUNCTION("QUERY('Volunteer Survey'!L27)"),"Dosage Sensitivity")</f>
        <v>Dosage Sensitivity</v>
      </c>
      <c r="T27" s="62" t="str">
        <f>IFERROR(__xludf.DUMMYFUNCTION("QUERY('Volunteer Survey'!M27)"),"")</f>
        <v/>
      </c>
      <c r="U27" s="74" t="str">
        <f>IFERROR(__xludf.DUMMYFUNCTION("QUERY('Volunteer Survey'!N27)"),"Yes")</f>
        <v>Yes</v>
      </c>
      <c r="V27" s="62" t="str">
        <f>IFERROR(__xludf.DUMMYFUNCTION("QUERY('Volunteer Survey'!O27)"),"")</f>
        <v/>
      </c>
      <c r="W27" s="75" t="str">
        <f>IFERROR(__xludf.DUMMYFUNCTION("QUERY('Volunteer Survey'!P27)"),"Mitochondrial disease gene and variant expert curation panel; Dilated cardiomyopathy; Fatty acid oxidation; Neuromuscular disease")</f>
        <v>Mitochondrial disease gene and variant expert curation panel; Dilated cardiomyopathy; Fatty acid oxidation; Neuromuscular disease</v>
      </c>
      <c r="X27" s="74" t="str">
        <f>IFERROR(__xludf.DUMMYFUNCTION("QUERY('Volunteer Survey'!R27)"),"")</f>
        <v/>
      </c>
      <c r="Y27" s="61"/>
      <c r="Z27" s="67"/>
      <c r="AA27" s="62"/>
      <c r="AB27" s="62"/>
      <c r="AC27" s="62"/>
      <c r="AD27" s="62"/>
      <c r="AE27" s="62"/>
      <c r="AF27" s="62"/>
      <c r="AG27" s="62"/>
      <c r="AH27" s="62"/>
      <c r="AI27" s="62"/>
      <c r="AJ27" s="62"/>
      <c r="AK27" s="62"/>
      <c r="AL27" s="62"/>
      <c r="AM27" s="62"/>
      <c r="AN27" s="62"/>
      <c r="AO27" s="62"/>
    </row>
    <row r="28">
      <c r="A28" s="59">
        <f>IFERROR(__xludf.DUMMYFUNCTION("QUERY('Volunteer Survey'!A28)"),43335.587488425925)</f>
        <v>43335.58749</v>
      </c>
      <c r="B28" s="60" t="s">
        <v>282</v>
      </c>
      <c r="C28" s="87">
        <v>43411.0</v>
      </c>
      <c r="D28" s="79">
        <v>43446.0</v>
      </c>
      <c r="E28" s="60" t="s">
        <v>277</v>
      </c>
      <c r="F28" s="60" t="s">
        <v>277</v>
      </c>
      <c r="G28" s="60" t="s">
        <v>278</v>
      </c>
      <c r="H28" s="63" t="s">
        <v>293</v>
      </c>
      <c r="I28" s="63" t="s">
        <v>189</v>
      </c>
      <c r="J28" s="79">
        <v>43592.0</v>
      </c>
      <c r="K28" s="79">
        <v>43713.0</v>
      </c>
      <c r="L28" s="62" t="str">
        <f>IFERROR(__xludf.DUMMYFUNCTION("QUERY('Volunteer Survey'!B28)"),"Isabelle Thiffault")</f>
        <v>Isabelle Thiffault</v>
      </c>
      <c r="M28" s="62" t="str">
        <f>IFERROR(__xludf.DUMMYFUNCTION("QUERY('Volunteer Survey'!E28)"),"ithiffault@cmh.edu")</f>
        <v>ithiffault@cmh.edu</v>
      </c>
      <c r="N28" s="62" t="str">
        <f>IFERROR(__xludf.DUMMYFUNCTION("QUERY('Volunteer Survey'!F28)"),"Undergraduate")</f>
        <v>Undergraduate</v>
      </c>
      <c r="O28" s="60" t="str">
        <f>IFERROR(__xludf.DUMMYFUNCTION("QUERY('Volunteer Survey'!H28)"),"Comprehensive")</f>
        <v>Comprehensive</v>
      </c>
      <c r="P28" s="62" t="str">
        <f>IFERROR(__xludf.DUMMYFUNCTION("QUERY('Volunteer Survey'!I28)"),"Gene-Disease Validity")</f>
        <v>Gene-Disease Validity</v>
      </c>
      <c r="Q28" s="66" t="str">
        <f>IFERROR(__xludf.DUMMYFUNCTION("QUERY('Volunteer Survey'!J28)"),"Variant Pathogenicity")</f>
        <v>Variant Pathogenicity</v>
      </c>
      <c r="R28" s="62" t="str">
        <f>IFERROR(__xludf.DUMMYFUNCTION("QUERY('Volunteer Survey'!K28)"),"Actionability")</f>
        <v>Actionability</v>
      </c>
      <c r="S28" s="62" t="str">
        <f>IFERROR(__xludf.DUMMYFUNCTION("QUERY('Volunteer Survey'!L28)"),"Dosage Sensitivity")</f>
        <v>Dosage Sensitivity</v>
      </c>
      <c r="T28" s="62" t="str">
        <f>IFERROR(__xludf.DUMMYFUNCTION("QUERY('Volunteer Survey'!M28)"),"Somatic Cancer")</f>
        <v>Somatic Cancer</v>
      </c>
      <c r="U28" s="74" t="str">
        <f>IFERROR(__xludf.DUMMYFUNCTION("QUERY('Volunteer Survey'!N28)"),"Yes")</f>
        <v>Yes</v>
      </c>
      <c r="V28" s="62" t="str">
        <f>IFERROR(__xludf.DUMMYFUNCTION("QUERY('Volunteer Survey'!O28)"),"")</f>
        <v/>
      </c>
      <c r="W28" s="75" t="str">
        <f>IFERROR(__xludf.DUMMYFUNCTION("QUERY('Volunteer Survey'!P28)"),"Mitochondrial or ASD/ID")</f>
        <v>Mitochondrial or ASD/ID</v>
      </c>
      <c r="X28" s="74" t="str">
        <f>IFERROR(__xludf.DUMMYFUNCTION("QUERY('Volunteer Survey'!R28)"),"")</f>
        <v/>
      </c>
      <c r="Y28" s="61"/>
      <c r="Z28" s="67"/>
      <c r="AA28" s="62"/>
      <c r="AB28" s="62"/>
      <c r="AC28" s="62"/>
      <c r="AD28" s="62"/>
      <c r="AE28" s="62"/>
      <c r="AF28" s="62"/>
      <c r="AG28" s="62"/>
      <c r="AH28" s="62"/>
      <c r="AI28" s="62"/>
      <c r="AJ28" s="62"/>
      <c r="AK28" s="62"/>
      <c r="AL28" s="62"/>
      <c r="AM28" s="62"/>
      <c r="AN28" s="62"/>
      <c r="AO28" s="62"/>
    </row>
    <row r="29">
      <c r="A29" s="59">
        <f>IFERROR(__xludf.DUMMYFUNCTION("QUERY('Volunteer Survey'!A29)"),43339.58819444444)</f>
        <v>43339.58819</v>
      </c>
      <c r="B29" s="60" t="s">
        <v>282</v>
      </c>
      <c r="C29" s="63" t="s">
        <v>294</v>
      </c>
      <c r="D29" s="60" t="s">
        <v>295</v>
      </c>
      <c r="E29" s="60" t="s">
        <v>182</v>
      </c>
      <c r="F29" s="60" t="s">
        <v>182</v>
      </c>
      <c r="G29" s="60" t="s">
        <v>278</v>
      </c>
      <c r="H29" s="63" t="s">
        <v>17</v>
      </c>
      <c r="I29" s="63" t="s">
        <v>189</v>
      </c>
      <c r="J29" s="79">
        <v>43592.0</v>
      </c>
      <c r="K29" s="79">
        <v>43713.0</v>
      </c>
      <c r="L29" s="62" t="str">
        <f>IFERROR(__xludf.DUMMYFUNCTION("QUERY('Volunteer Survey'!B29)"),"Ye Cao")</f>
        <v>Ye Cao</v>
      </c>
      <c r="M29" s="62" t="str">
        <f>IFERROR(__xludf.DUMMYFUNCTION("QUERY('Volunteer Survey'!E29)"),"ye.cao@bcm.edu")</f>
        <v>ye.cao@bcm.edu</v>
      </c>
      <c r="N29" s="62" t="str">
        <f>IFERROR(__xludf.DUMMYFUNCTION("QUERY('Volunteer Survey'!F29)"),"Clinical laboratory geneticist and Post Doc/Resident/Fellow (MD and/or PhD)")</f>
        <v>Clinical laboratory geneticist and Post Doc/Resident/Fellow (MD and/or PhD)</v>
      </c>
      <c r="O29" s="60" t="str">
        <f>IFERROR(__xludf.DUMMYFUNCTION("QUERY('Volunteer Survey'!H29)"),"Comprehensive")</f>
        <v>Comprehensive</v>
      </c>
      <c r="P29" s="62" t="str">
        <f>IFERROR(__xludf.DUMMYFUNCTION("QUERY('Volunteer Survey'!I29)"),"Gene-Disease Validity")</f>
        <v>Gene-Disease Validity</v>
      </c>
      <c r="Q29" s="66" t="str">
        <f>IFERROR(__xludf.DUMMYFUNCTION("QUERY('Volunteer Survey'!J29)"),"Dosage Sensitivity")</f>
        <v>Dosage Sensitivity</v>
      </c>
      <c r="R29" s="62" t="str">
        <f>IFERROR(__xludf.DUMMYFUNCTION("QUERY('Volunteer Survey'!K29)"),"")</f>
        <v/>
      </c>
      <c r="S29" s="62" t="str">
        <f>IFERROR(__xludf.DUMMYFUNCTION("QUERY('Volunteer Survey'!L29)"),"")</f>
        <v/>
      </c>
      <c r="T29" s="62" t="str">
        <f>IFERROR(__xludf.DUMMYFUNCTION("QUERY('Volunteer Survey'!M29)"),"")</f>
        <v/>
      </c>
      <c r="U29" s="74" t="str">
        <f>IFERROR(__xludf.DUMMYFUNCTION("QUERY('Volunteer Survey'!N29)"),"Yes")</f>
        <v>Yes</v>
      </c>
      <c r="V29" s="62" t="str">
        <f>IFERROR(__xludf.DUMMYFUNCTION("QUERY('Volunteer Survey'!O29)"),"")</f>
        <v/>
      </c>
      <c r="W29" s="75" t="str">
        <f>IFERROR(__xludf.DUMMYFUNCTION("QUERY('Volunteer Survey'!P29)"),"Hereditary Cancer Gene Curation Expert Panel")</f>
        <v>Hereditary Cancer Gene Curation Expert Panel</v>
      </c>
      <c r="X29" s="74" t="str">
        <f>IFERROR(__xludf.DUMMYFUNCTION("QUERY('Volunteer Survey'!R29)"),"")</f>
        <v/>
      </c>
      <c r="Y29" s="61"/>
      <c r="Z29" s="67"/>
      <c r="AA29" s="62"/>
      <c r="AB29" s="62"/>
      <c r="AC29" s="62"/>
      <c r="AD29" s="62"/>
      <c r="AE29" s="62"/>
      <c r="AF29" s="62"/>
      <c r="AG29" s="62"/>
      <c r="AH29" s="62"/>
      <c r="AI29" s="62"/>
      <c r="AJ29" s="62"/>
      <c r="AK29" s="62"/>
      <c r="AL29" s="62"/>
      <c r="AM29" s="62"/>
      <c r="AN29" s="62"/>
      <c r="AO29" s="62"/>
    </row>
    <row r="30">
      <c r="A30" s="59">
        <f>IFERROR(__xludf.DUMMYFUNCTION("QUERY('Volunteer Survey'!A30)"),43343.589641203704)</f>
        <v>43343.58964</v>
      </c>
      <c r="B30" s="60" t="s">
        <v>274</v>
      </c>
      <c r="C30" s="87">
        <v>43411.0</v>
      </c>
      <c r="D30" s="79">
        <v>43446.0</v>
      </c>
      <c r="E30" s="60" t="s">
        <v>182</v>
      </c>
      <c r="F30" s="60" t="s">
        <v>182</v>
      </c>
      <c r="G30" s="60" t="s">
        <v>278</v>
      </c>
      <c r="H30" s="61"/>
      <c r="I30" s="63" t="s">
        <v>189</v>
      </c>
      <c r="J30" s="62"/>
      <c r="K30" s="62"/>
      <c r="L30" s="62" t="str">
        <f>IFERROR(__xludf.DUMMYFUNCTION("QUERY('Volunteer Survey'!B30)"),"Samar Khalefa")</f>
        <v>Samar Khalefa</v>
      </c>
      <c r="M30" s="62" t="str">
        <f>IFERROR(__xludf.DUMMYFUNCTION("QUERY('Volunteer Survey'!E30)"),"samarkhalifa@hotmail.com")</f>
        <v>samarkhalifa@hotmail.com</v>
      </c>
      <c r="N30" s="62" t="str">
        <f>IFERROR(__xludf.DUMMYFUNCTION("QUERY('Volunteer Survey'!F30)"),"High School Student")</f>
        <v>High School Student</v>
      </c>
      <c r="O30" s="60" t="str">
        <f>IFERROR(__xludf.DUMMYFUNCTION("QUERY('Volunteer Survey'!H30)"),"Comprehensive")</f>
        <v>Comprehensive</v>
      </c>
      <c r="P30" s="62" t="str">
        <f>IFERROR(__xludf.DUMMYFUNCTION("QUERY('Volunteer Survey'!I30)"),"Gene-Disease Validity")</f>
        <v>Gene-Disease Validity</v>
      </c>
      <c r="Q30" s="66" t="str">
        <f>IFERROR(__xludf.DUMMYFUNCTION("QUERY('Volunteer Survey'!J30)"),"Actionability")</f>
        <v>Actionability</v>
      </c>
      <c r="R30" s="62" t="str">
        <f>IFERROR(__xludf.DUMMYFUNCTION("QUERY('Volunteer Survey'!K30)"),"Dosage Sensitivity")</f>
        <v>Dosage Sensitivity</v>
      </c>
      <c r="S30" s="62" t="str">
        <f>IFERROR(__xludf.DUMMYFUNCTION("QUERY('Volunteer Survey'!L30)"),"Somatic Cancer")</f>
        <v>Somatic Cancer</v>
      </c>
      <c r="T30" s="62" t="str">
        <f>IFERROR(__xludf.DUMMYFUNCTION("QUERY('Volunteer Survey'!M30)"),"Variant Pathogenicity")</f>
        <v>Variant Pathogenicity</v>
      </c>
      <c r="U30" s="74" t="str">
        <f>IFERROR(__xludf.DUMMYFUNCTION("QUERY('Volunteer Survey'!N30)"),"No")</f>
        <v>No</v>
      </c>
      <c r="V30" s="62" t="str">
        <f>IFERROR(__xludf.DUMMYFUNCTION("QUERY('Volunteer Survey'!O30)"),"")</f>
        <v/>
      </c>
      <c r="W30" s="75" t="str">
        <f>IFERROR(__xludf.DUMMYFUNCTION("QUERY('Volunteer Survey'!P30)"),"Autism and Intellectual Disability Gene Curation Expert Panel. I hope to involve in all Expert Panels/Working Groups related to brain genome.")</f>
        <v>Autism and Intellectual Disability Gene Curation Expert Panel. I hope to involve in all Expert Panels/Working Groups related to brain genome.</v>
      </c>
      <c r="X30" s="74" t="str">
        <f>IFERROR(__xludf.DUMMYFUNCTION("QUERY('Volunteer Survey'!R30)"),"")</f>
        <v/>
      </c>
      <c r="Y30" s="63" t="s">
        <v>296</v>
      </c>
      <c r="Z30" s="67"/>
      <c r="AA30" s="62"/>
      <c r="AB30" s="62"/>
      <c r="AC30" s="62"/>
      <c r="AD30" s="62"/>
      <c r="AE30" s="62"/>
      <c r="AF30" s="62"/>
      <c r="AG30" s="62"/>
      <c r="AH30" s="62"/>
      <c r="AI30" s="62"/>
      <c r="AJ30" s="62"/>
      <c r="AK30" s="62"/>
      <c r="AL30" s="62"/>
      <c r="AM30" s="62"/>
      <c r="AN30" s="62"/>
      <c r="AO30" s="62"/>
    </row>
    <row r="31">
      <c r="A31" s="59">
        <f>IFERROR(__xludf.DUMMYFUNCTION("QUERY('Volunteer Survey'!A31)"),43350.59027777778)</f>
        <v>43350.59028</v>
      </c>
      <c r="B31" s="60" t="s">
        <v>282</v>
      </c>
      <c r="C31" s="87">
        <v>43350.0</v>
      </c>
      <c r="D31" s="79">
        <v>43446.0</v>
      </c>
      <c r="E31" s="60" t="s">
        <v>277</v>
      </c>
      <c r="F31" s="60" t="s">
        <v>277</v>
      </c>
      <c r="G31" s="60" t="s">
        <v>278</v>
      </c>
      <c r="H31" s="63" t="s">
        <v>297</v>
      </c>
      <c r="I31" s="63" t="s">
        <v>189</v>
      </c>
      <c r="J31" s="79">
        <v>43592.0</v>
      </c>
      <c r="K31" s="79">
        <v>43713.0</v>
      </c>
      <c r="L31" s="62" t="str">
        <f>IFERROR(__xludf.DUMMYFUNCTION("QUERY('Volunteer Survey'!B31)"),"Colin Ellis")</f>
        <v>Colin Ellis</v>
      </c>
      <c r="M31" s="62" t="str">
        <f>IFERROR(__xludf.DUMMYFUNCTION("QUERY('Volunteer Survey'!E31)"),"colin.ellis@uphs.upenn.edu")</f>
        <v>colin.ellis@uphs.upenn.edu</v>
      </c>
      <c r="N31" s="62" t="str">
        <f>IFERROR(__xludf.DUMMYFUNCTION("QUERY('Volunteer Survey'!F31)"),"Physician (Non-geneticist)")</f>
        <v>Physician (Non-geneticist)</v>
      </c>
      <c r="O31" s="60" t="str">
        <f>IFERROR(__xludf.DUMMYFUNCTION("QUERY('Volunteer Survey'!H31)"),"Comprehensive")</f>
        <v>Comprehensive</v>
      </c>
      <c r="P31" s="62" t="str">
        <f>IFERROR(__xludf.DUMMYFUNCTION("QUERY('Volunteer Survey'!I31)"),"Gene-Disease Validity")</f>
        <v>Gene-Disease Validity</v>
      </c>
      <c r="Q31" s="66" t="str">
        <f>IFERROR(__xludf.DUMMYFUNCTION("QUERY('Volunteer Survey'!J31)"),"Dosage Sensitivity")</f>
        <v>Dosage Sensitivity</v>
      </c>
      <c r="R31" s="62" t="str">
        <f>IFERROR(__xludf.DUMMYFUNCTION("QUERY('Volunteer Survey'!K31)"),"Variant Pathogenicity")</f>
        <v>Variant Pathogenicity</v>
      </c>
      <c r="S31" s="62" t="str">
        <f>IFERROR(__xludf.DUMMYFUNCTION("QUERY('Volunteer Survey'!L31)"),"")</f>
        <v/>
      </c>
      <c r="T31" s="62" t="str">
        <f>IFERROR(__xludf.DUMMYFUNCTION("QUERY('Volunteer Survey'!M31)"),"")</f>
        <v/>
      </c>
      <c r="U31" s="74" t="str">
        <f>IFERROR(__xludf.DUMMYFUNCTION("QUERY('Volunteer Survey'!N31)"),"Yes")</f>
        <v>Yes</v>
      </c>
      <c r="V31" s="62" t="str">
        <f>IFERROR(__xludf.DUMMYFUNCTION("QUERY('Volunteer Survey'!O31)"),"")</f>
        <v/>
      </c>
      <c r="W31" s="75" t="str">
        <f>IFERROR(__xludf.DUMMYFUNCTION("QUERY('Volunteer Survey'!P31)"),"Epilepsy WG")</f>
        <v>Epilepsy WG</v>
      </c>
      <c r="X31" s="74" t="str">
        <f>IFERROR(__xludf.DUMMYFUNCTION("QUERY('Volunteer Survey'!R31)"),"")</f>
        <v/>
      </c>
      <c r="Y31" s="61"/>
      <c r="Z31" s="67"/>
      <c r="AA31" s="62"/>
      <c r="AB31" s="62"/>
      <c r="AC31" s="62"/>
      <c r="AD31" s="62"/>
      <c r="AE31" s="62"/>
      <c r="AF31" s="62"/>
      <c r="AG31" s="62"/>
      <c r="AH31" s="62"/>
      <c r="AI31" s="62"/>
      <c r="AJ31" s="62"/>
      <c r="AK31" s="62"/>
      <c r="AL31" s="62"/>
      <c r="AM31" s="62"/>
      <c r="AN31" s="62"/>
      <c r="AO31" s="62"/>
    </row>
    <row r="32">
      <c r="A32" s="59">
        <f>IFERROR(__xludf.DUMMYFUNCTION("QUERY('Volunteer Survey'!A32)"),43354.59087962963)</f>
        <v>43354.59088</v>
      </c>
      <c r="B32" s="60" t="s">
        <v>178</v>
      </c>
      <c r="C32" s="87">
        <v>43411.0</v>
      </c>
      <c r="D32" s="79">
        <v>43446.0</v>
      </c>
      <c r="E32" s="60" t="s">
        <v>277</v>
      </c>
      <c r="F32" s="60" t="s">
        <v>277</v>
      </c>
      <c r="G32" s="60" t="s">
        <v>278</v>
      </c>
      <c r="H32" s="63" t="s">
        <v>17</v>
      </c>
      <c r="I32" s="63" t="s">
        <v>189</v>
      </c>
      <c r="J32" s="79">
        <v>43592.0</v>
      </c>
      <c r="K32" s="79">
        <v>43713.0</v>
      </c>
      <c r="L32" s="62" t="str">
        <f>IFERROR(__xludf.DUMMYFUNCTION("QUERY('Volunteer Survey'!B32)"),"Mansour Zamanpoor")</f>
        <v>Mansour Zamanpoor</v>
      </c>
      <c r="M32" s="62" t="str">
        <f>IFERROR(__xludf.DUMMYFUNCTION("QUERY('Volunteer Survey'!E32)"),"mansour.zamanpoor@ccdhb.org.nz")</f>
        <v>mansour.zamanpoor@ccdhb.org.nz</v>
      </c>
      <c r="N32" s="62" t="str">
        <f>IFERROR(__xludf.DUMMYFUNCTION("QUERY('Volunteer Survey'!F32)"),"Clinical laboratory genetist, PhD candidate")</f>
        <v>Clinical laboratory genetist, PhD candidate</v>
      </c>
      <c r="O32" s="60" t="str">
        <f>IFERROR(__xludf.DUMMYFUNCTION("QUERY('Volunteer Survey'!H32)"),"Comprehensive")</f>
        <v>Comprehensive</v>
      </c>
      <c r="P32" s="62" t="str">
        <f>IFERROR(__xludf.DUMMYFUNCTION("QUERY('Volunteer Survey'!I32)"),"Gene-Disease Validity")</f>
        <v>Gene-Disease Validity</v>
      </c>
      <c r="Q32" s="66" t="str">
        <f>IFERROR(__xludf.DUMMYFUNCTION("QUERY('Volunteer Survey'!J32)"),"Variant Pathogenicity")</f>
        <v>Variant Pathogenicity</v>
      </c>
      <c r="R32" s="62" t="str">
        <f>IFERROR(__xludf.DUMMYFUNCTION("QUERY('Volunteer Survey'!K32)"),"")</f>
        <v/>
      </c>
      <c r="S32" s="62" t="str">
        <f>IFERROR(__xludf.DUMMYFUNCTION("QUERY('Volunteer Survey'!L32)"),"")</f>
        <v/>
      </c>
      <c r="T32" s="62" t="str">
        <f>IFERROR(__xludf.DUMMYFUNCTION("QUERY('Volunteer Survey'!M32)"),"")</f>
        <v/>
      </c>
      <c r="U32" s="74" t="str">
        <f>IFERROR(__xludf.DUMMYFUNCTION("QUERY('Volunteer Survey'!N32)"),"Yes")</f>
        <v>Yes</v>
      </c>
      <c r="V32" s="62" t="str">
        <f>IFERROR(__xludf.DUMMYFUNCTION("QUERY('Volunteer Survey'!O32)"),"")</f>
        <v/>
      </c>
      <c r="W32" s="75" t="str">
        <f>IFERROR(__xludf.DUMMYFUNCTION("QUERY('Volunteer Survey'!P32)"),"Hereditary cancer and neuro-developmental disorders")</f>
        <v>Hereditary cancer and neuro-developmental disorders</v>
      </c>
      <c r="X32" s="74" t="str">
        <f>IFERROR(__xludf.DUMMYFUNCTION("QUERY('Volunteer Survey'!R32)"),"")</f>
        <v/>
      </c>
      <c r="Y32" s="88" t="s">
        <v>298</v>
      </c>
      <c r="Z32" s="67"/>
      <c r="AA32" s="62"/>
      <c r="AB32" s="62"/>
      <c r="AC32" s="62"/>
      <c r="AD32" s="62"/>
      <c r="AE32" s="62"/>
      <c r="AF32" s="62"/>
      <c r="AG32" s="62"/>
      <c r="AH32" s="62"/>
      <c r="AI32" s="62"/>
      <c r="AJ32" s="62"/>
      <c r="AK32" s="62"/>
      <c r="AL32" s="62"/>
      <c r="AM32" s="62"/>
      <c r="AN32" s="62"/>
      <c r="AO32" s="62"/>
    </row>
    <row r="33">
      <c r="A33" s="59">
        <f>IFERROR(__xludf.DUMMYFUNCTION("QUERY('Volunteer Survey'!A33)"),43356.59159722222)</f>
        <v>43356.5916</v>
      </c>
      <c r="B33" s="60" t="s">
        <v>282</v>
      </c>
      <c r="C33" s="87">
        <v>43411.0</v>
      </c>
      <c r="D33" s="79">
        <v>43446.0</v>
      </c>
      <c r="E33" s="60" t="s">
        <v>277</v>
      </c>
      <c r="F33" s="60" t="s">
        <v>277</v>
      </c>
      <c r="G33" s="60" t="s">
        <v>278</v>
      </c>
      <c r="H33" s="63" t="s">
        <v>299</v>
      </c>
      <c r="I33" s="63" t="s">
        <v>189</v>
      </c>
      <c r="J33" s="79">
        <v>43592.0</v>
      </c>
      <c r="K33" s="79">
        <v>43713.0</v>
      </c>
      <c r="L33" s="62" t="str">
        <f>IFERROR(__xludf.DUMMYFUNCTION("QUERY('Volunteer Survey'!B33)"),"Benjamin Kang")</f>
        <v>Benjamin Kang</v>
      </c>
      <c r="M33" s="62" t="str">
        <f>IFERROR(__xludf.DUMMYFUNCTION("QUERY('Volunteer Survey'!E33)"),"bekang@emory.edu")</f>
        <v>bekang@emory.edu</v>
      </c>
      <c r="N33" s="62" t="str">
        <f>IFERROR(__xludf.DUMMYFUNCTION("QUERY('Volunteer Survey'!F33)"),"Post Doc/Resident/Fellow (MD and/or PhD)")</f>
        <v>Post Doc/Resident/Fellow (MD and/or PhD)</v>
      </c>
      <c r="O33" s="60" t="str">
        <f>IFERROR(__xludf.DUMMYFUNCTION("QUERY('Volunteer Survey'!H33)"),"Comprehensive")</f>
        <v>Comprehensive</v>
      </c>
      <c r="P33" s="62" t="str">
        <f>IFERROR(__xludf.DUMMYFUNCTION("QUERY('Volunteer Survey'!I33)"),"Gene-Disease Validity")</f>
        <v>Gene-Disease Validity</v>
      </c>
      <c r="Q33" s="66" t="str">
        <f>IFERROR(__xludf.DUMMYFUNCTION("QUERY('Volunteer Survey'!J33)"),"Variant Pathogenicity")</f>
        <v>Variant Pathogenicity</v>
      </c>
      <c r="R33" s="62" t="str">
        <f>IFERROR(__xludf.DUMMYFUNCTION("QUERY('Volunteer Survey'!K33)"),"Dosage Sensitivity")</f>
        <v>Dosage Sensitivity</v>
      </c>
      <c r="S33" s="62" t="str">
        <f>IFERROR(__xludf.DUMMYFUNCTION("QUERY('Volunteer Survey'!L33)"),"Actionability")</f>
        <v>Actionability</v>
      </c>
      <c r="T33" s="62" t="str">
        <f>IFERROR(__xludf.DUMMYFUNCTION("QUERY('Volunteer Survey'!M33)"),"Somatic Cancer")</f>
        <v>Somatic Cancer</v>
      </c>
      <c r="U33" s="74" t="str">
        <f>IFERROR(__xludf.DUMMYFUNCTION("QUERY('Volunteer Survey'!N33)"),"Yes")</f>
        <v>Yes</v>
      </c>
      <c r="V33" s="62" t="str">
        <f>IFERROR(__xludf.DUMMYFUNCTION("QUERY('Volunteer Survey'!O33)"),"")</f>
        <v/>
      </c>
      <c r="W33" s="75" t="str">
        <f>IFERROR(__xludf.DUMMYFUNCTION("QUERY('Volunteer Survey'!P33)"),"I am interested in a couple of ClinGen Expert Panel/Working Group, 1)Cardiovascular Dilated Cardiomyopathy Gene Curation Expert Panel, 2) Rett Angelman Variant Curation Expert Panel. However, if there is any other expert panel/working group needs my help,"&amp;" I am more than happy to participate in it.")</f>
        <v>I am interested in a couple of ClinGen Expert Panel/Working Group, 1)Cardiovascular Dilated Cardiomyopathy Gene Curation Expert Panel, 2) Rett Angelman Variant Curation Expert Panel. However, if there is any other expert panel/working group needs my help, I am more than happy to participate in it.</v>
      </c>
      <c r="X33" s="74" t="str">
        <f>IFERROR(__xludf.DUMMYFUNCTION("QUERY('Volunteer Survey'!R33)"),"")</f>
        <v/>
      </c>
      <c r="Y33" s="61"/>
      <c r="Z33" s="67"/>
      <c r="AA33" s="62"/>
      <c r="AB33" s="62"/>
      <c r="AC33" s="62"/>
      <c r="AD33" s="62"/>
      <c r="AE33" s="62"/>
      <c r="AF33" s="62"/>
      <c r="AG33" s="62"/>
      <c r="AH33" s="62"/>
      <c r="AI33" s="62"/>
      <c r="AJ33" s="62"/>
      <c r="AK33" s="62"/>
      <c r="AL33" s="62"/>
      <c r="AM33" s="62"/>
      <c r="AN33" s="62"/>
      <c r="AO33" s="62"/>
    </row>
    <row r="34">
      <c r="A34" s="59">
        <f>IFERROR(__xludf.DUMMYFUNCTION("QUERY('Volunteer Survey'!A34)"),43357.59306712963)</f>
        <v>43357.59307</v>
      </c>
      <c r="B34" s="60" t="s">
        <v>275</v>
      </c>
      <c r="C34" s="61"/>
      <c r="D34" s="79">
        <v>43585.0</v>
      </c>
      <c r="E34" s="60" t="s">
        <v>277</v>
      </c>
      <c r="F34" s="60" t="s">
        <v>277</v>
      </c>
      <c r="G34" s="60" t="s">
        <v>278</v>
      </c>
      <c r="H34" s="63" t="s">
        <v>43</v>
      </c>
      <c r="I34" s="63" t="s">
        <v>285</v>
      </c>
      <c r="J34" s="62"/>
      <c r="K34" s="62"/>
      <c r="L34" s="62" t="str">
        <f>IFERROR(__xludf.DUMMYFUNCTION("QUERY('Volunteer Survey'!B34)"),"Ljubica Caldovic")</f>
        <v>Ljubica Caldovic</v>
      </c>
      <c r="M34" s="62" t="str">
        <f>IFERROR(__xludf.DUMMYFUNCTION("QUERY('Volunteer Survey'!E34)"),"lcaldovic@childrensnational.org")</f>
        <v>lcaldovic@childrensnational.org</v>
      </c>
      <c r="N34" s="62" t="str">
        <f>IFERROR(__xludf.DUMMYFUNCTION("QUERY('Volunteer Survey'!F34)"),"Scientific Researcher, Variant Analyst/Scientist")</f>
        <v>Scientific Researcher, Variant Analyst/Scientist</v>
      </c>
      <c r="O34" s="60" t="str">
        <f>IFERROR(__xludf.DUMMYFUNCTION("QUERY('Volunteer Survey'!H34)"),"Comprehensive")</f>
        <v>Comprehensive</v>
      </c>
      <c r="P34" s="62" t="str">
        <f>IFERROR(__xludf.DUMMYFUNCTION("QUERY('Volunteer Survey'!I34)"),"Gene-Disease Validity")</f>
        <v>Gene-Disease Validity</v>
      </c>
      <c r="Q34" s="66" t="str">
        <f>IFERROR(__xludf.DUMMYFUNCTION("QUERY('Volunteer Survey'!J34)"),"Variant Pathogenicity")</f>
        <v>Variant Pathogenicity</v>
      </c>
      <c r="R34" s="62" t="str">
        <f>IFERROR(__xludf.DUMMYFUNCTION("QUERY('Volunteer Survey'!K34)"),"Dosage Sensitivity")</f>
        <v>Dosage Sensitivity</v>
      </c>
      <c r="S34" s="62" t="str">
        <f>IFERROR(__xludf.DUMMYFUNCTION("QUERY('Volunteer Survey'!L34)"),"")</f>
        <v/>
      </c>
      <c r="T34" s="62" t="str">
        <f>IFERROR(__xludf.DUMMYFUNCTION("QUERY('Volunteer Survey'!M34)"),"")</f>
        <v/>
      </c>
      <c r="U34" s="74" t="str">
        <f>IFERROR(__xludf.DUMMYFUNCTION("QUERY('Volunteer Survey'!N34)"),"No")</f>
        <v>No</v>
      </c>
      <c r="V34" s="62" t="str">
        <f>IFERROR(__xludf.DUMMYFUNCTION("QUERY('Volunteer Survey'!O34)"),"")</f>
        <v/>
      </c>
      <c r="W34" s="75" t="str">
        <f>IFERROR(__xludf.DUMMYFUNCTION("QUERY('Volunteer Survey'!P34)"),"Aminoacidopathy working group/expert panel; Metabolism expert panel")</f>
        <v>Aminoacidopathy working group/expert panel; Metabolism expert panel</v>
      </c>
      <c r="X34" s="74" t="str">
        <f>IFERROR(__xludf.DUMMYFUNCTION("QUERY('Volunteer Survey'!R34)"),"")</f>
        <v/>
      </c>
      <c r="Y34" s="61"/>
      <c r="Z34" s="67"/>
      <c r="AA34" s="62"/>
      <c r="AB34" s="62"/>
      <c r="AC34" s="62"/>
      <c r="AD34" s="62"/>
      <c r="AE34" s="62"/>
      <c r="AF34" s="62"/>
      <c r="AG34" s="62"/>
      <c r="AH34" s="62"/>
      <c r="AI34" s="62"/>
      <c r="AJ34" s="62"/>
      <c r="AK34" s="62"/>
      <c r="AL34" s="62"/>
      <c r="AM34" s="62"/>
      <c r="AN34" s="62"/>
      <c r="AO34" s="62"/>
    </row>
    <row r="35">
      <c r="A35" s="59">
        <f>IFERROR(__xludf.DUMMYFUNCTION("QUERY('Volunteer Survey'!A35)"),43359.59390046296)</f>
        <v>43359.5939</v>
      </c>
      <c r="B35" s="60" t="s">
        <v>282</v>
      </c>
      <c r="C35" s="87">
        <v>43347.0</v>
      </c>
      <c r="D35" s="79">
        <v>43446.0</v>
      </c>
      <c r="E35" s="60" t="s">
        <v>182</v>
      </c>
      <c r="F35" s="60" t="s">
        <v>182</v>
      </c>
      <c r="G35" s="60" t="s">
        <v>278</v>
      </c>
      <c r="H35" s="63" t="s">
        <v>299</v>
      </c>
      <c r="I35" s="63" t="s">
        <v>189</v>
      </c>
      <c r="J35" s="60"/>
      <c r="K35" s="60"/>
      <c r="L35" s="62" t="str">
        <f>IFERROR(__xludf.DUMMYFUNCTION("QUERY('Volunteer Survey'!B35)"),"John Millichap")</f>
        <v>John Millichap</v>
      </c>
      <c r="M35" s="62" t="str">
        <f>IFERROR(__xludf.DUMMYFUNCTION("QUERY('Volunteer Survey'!E35)"),"jmillichap@luriechildrens.org")</f>
        <v>jmillichap@luriechildrens.org</v>
      </c>
      <c r="N35" s="62" t="str">
        <f>IFERROR(__xludf.DUMMYFUNCTION("QUERY('Volunteer Survey'!F35)"),"Physician (Non-geneticist)")</f>
        <v>Physician (Non-geneticist)</v>
      </c>
      <c r="O35" s="60" t="str">
        <f>IFERROR(__xludf.DUMMYFUNCTION("QUERY('Volunteer Survey'!H35)"),"Comprehensive")</f>
        <v>Comprehensive</v>
      </c>
      <c r="P35" s="62" t="str">
        <f>IFERROR(__xludf.DUMMYFUNCTION("QUERY('Volunteer Survey'!I35)"),"Gene-Disease Validity")</f>
        <v>Gene-Disease Validity</v>
      </c>
      <c r="Q35" s="66" t="str">
        <f>IFERROR(__xludf.DUMMYFUNCTION("QUERY('Volunteer Survey'!J35)"),"Actionability")</f>
        <v>Actionability</v>
      </c>
      <c r="R35" s="62" t="str">
        <f>IFERROR(__xludf.DUMMYFUNCTION("QUERY('Volunteer Survey'!K35)"),"Variant Pathogenicity")</f>
        <v>Variant Pathogenicity</v>
      </c>
      <c r="S35" s="62" t="str">
        <f>IFERROR(__xludf.DUMMYFUNCTION("QUERY('Volunteer Survey'!L35)"),"Dosage Sensitivity")</f>
        <v>Dosage Sensitivity</v>
      </c>
      <c r="T35" s="62" t="str">
        <f>IFERROR(__xludf.DUMMYFUNCTION("QUERY('Volunteer Survey'!M35)"),"")</f>
        <v/>
      </c>
      <c r="U35" s="74" t="str">
        <f>IFERROR(__xludf.DUMMYFUNCTION("QUERY('Volunteer Survey'!N35)"),"Yes")</f>
        <v>Yes</v>
      </c>
      <c r="V35" s="62" t="str">
        <f>IFERROR(__xludf.DUMMYFUNCTION("QUERY('Volunteer Survey'!O35)"),"")</f>
        <v/>
      </c>
      <c r="W35" s="75" t="str">
        <f>IFERROR(__xludf.DUMMYFUNCTION("QUERY('Volunteer Survey'!P35)"),"Epilepsy WG/EP")</f>
        <v>Epilepsy WG/EP</v>
      </c>
      <c r="X35" s="74" t="str">
        <f>IFERROR(__xludf.DUMMYFUNCTION("QUERY('Volunteer Survey'!R35)"),"")</f>
        <v/>
      </c>
      <c r="Y35" s="63" t="s">
        <v>300</v>
      </c>
      <c r="Z35" s="67"/>
      <c r="AA35" s="62"/>
      <c r="AB35" s="62"/>
      <c r="AC35" s="62"/>
      <c r="AD35" s="62"/>
      <c r="AE35" s="62"/>
      <c r="AF35" s="62"/>
      <c r="AG35" s="62"/>
      <c r="AH35" s="62"/>
      <c r="AI35" s="62"/>
      <c r="AJ35" s="62"/>
      <c r="AK35" s="62"/>
      <c r="AL35" s="62"/>
      <c r="AM35" s="62"/>
      <c r="AN35" s="62"/>
      <c r="AO35" s="62"/>
    </row>
    <row r="36">
      <c r="A36" s="59">
        <f>IFERROR(__xludf.DUMMYFUNCTION("QUERY('Volunteer Survey'!A36)"),43363.59516203703)</f>
        <v>43363.59516</v>
      </c>
      <c r="B36" s="60" t="s">
        <v>275</v>
      </c>
      <c r="C36" s="87">
        <v>43411.0</v>
      </c>
      <c r="D36" s="79">
        <v>43446.0</v>
      </c>
      <c r="E36" s="60" t="s">
        <v>182</v>
      </c>
      <c r="F36" s="60" t="s">
        <v>182</v>
      </c>
      <c r="G36" s="60" t="s">
        <v>301</v>
      </c>
      <c r="H36" s="61"/>
      <c r="I36" s="63" t="s">
        <v>189</v>
      </c>
      <c r="J36" s="62"/>
      <c r="K36" s="62"/>
      <c r="L36" s="62" t="str">
        <f>IFERROR(__xludf.DUMMYFUNCTION("QUERY('Volunteer Survey'!B36)"),"Vladimir Lialine")</f>
        <v>Vladimir Lialine</v>
      </c>
      <c r="M36" s="62" t="str">
        <f>IFERROR(__xludf.DUMMYFUNCTION("QUERY('Volunteer Survey'!E36)"),"vlad@twixsoft.com")</f>
        <v>vlad@twixsoft.com</v>
      </c>
      <c r="N36" s="62" t="str">
        <f>IFERROR(__xludf.DUMMYFUNCTION("QUERY('Volunteer Survey'!F36)"),"Scientific Researcher, Graduate Student, Citizen Scientist/Patient Advocate")</f>
        <v>Scientific Researcher, Graduate Student, Citizen Scientist/Patient Advocate</v>
      </c>
      <c r="O36" s="62" t="str">
        <f>IFERROR(__xludf.DUMMYFUNCTION("QUERY('Volunteer Survey'!H36)"),"Comprehensive")</f>
        <v>Comprehensive</v>
      </c>
      <c r="P36" s="62" t="str">
        <f>IFERROR(__xludf.DUMMYFUNCTION("QUERY('Volunteer Survey'!I36)"),"Gene-Disease Validity")</f>
        <v>Gene-Disease Validity</v>
      </c>
      <c r="Q36" s="66" t="str">
        <f>IFERROR(__xludf.DUMMYFUNCTION("QUERY('Volunteer Survey'!J36)"),"Somatic Cancer")</f>
        <v>Somatic Cancer</v>
      </c>
      <c r="R36" s="62" t="str">
        <f>IFERROR(__xludf.DUMMYFUNCTION("QUERY('Volunteer Survey'!K36)"),"Dosage Sensitivity")</f>
        <v>Dosage Sensitivity</v>
      </c>
      <c r="S36" s="62" t="str">
        <f>IFERROR(__xludf.DUMMYFUNCTION("QUERY('Volunteer Survey'!L36)"),"Actionability")</f>
        <v>Actionability</v>
      </c>
      <c r="T36" s="62" t="str">
        <f>IFERROR(__xludf.DUMMYFUNCTION("QUERY('Volunteer Survey'!M36)"),"Variant Pathogenicity")</f>
        <v>Variant Pathogenicity</v>
      </c>
      <c r="U36" s="74" t="str">
        <f>IFERROR(__xludf.DUMMYFUNCTION("QUERY('Volunteer Survey'!N36)"),"No")</f>
        <v>No</v>
      </c>
      <c r="V36" s="62" t="str">
        <f>IFERROR(__xludf.DUMMYFUNCTION("QUERY('Volunteer Survey'!O36)"),"Yes")</f>
        <v>Yes</v>
      </c>
      <c r="W36" s="75" t="str">
        <f>IFERROR(__xludf.DUMMYFUNCTION("QUERY('Volunteer Survey'!P36)"),"No")</f>
        <v>No</v>
      </c>
      <c r="X36" s="74" t="str">
        <f>IFERROR(__xludf.DUMMYFUNCTION("QUERY('Volunteer Survey'!R36)"),"")</f>
        <v/>
      </c>
      <c r="Y36" s="61"/>
      <c r="Z36" s="67"/>
      <c r="AA36" s="62"/>
      <c r="AB36" s="62"/>
      <c r="AC36" s="62"/>
      <c r="AD36" s="62"/>
      <c r="AE36" s="62"/>
      <c r="AF36" s="62"/>
      <c r="AG36" s="62"/>
      <c r="AH36" s="62"/>
      <c r="AI36" s="62"/>
      <c r="AJ36" s="62"/>
      <c r="AK36" s="62"/>
      <c r="AL36" s="62"/>
      <c r="AM36" s="62"/>
      <c r="AN36" s="62"/>
      <c r="AO36" s="62"/>
    </row>
    <row r="37">
      <c r="A37" s="59">
        <f>IFERROR(__xludf.DUMMYFUNCTION("QUERY('Volunteer Survey'!A38)"),43384.5971412037)</f>
        <v>43384.59714</v>
      </c>
      <c r="B37" s="60" t="s">
        <v>275</v>
      </c>
      <c r="C37" s="80">
        <v>43430.0</v>
      </c>
      <c r="D37" s="79">
        <v>43446.0</v>
      </c>
      <c r="E37" s="60" t="s">
        <v>277</v>
      </c>
      <c r="F37" s="60" t="s">
        <v>182</v>
      </c>
      <c r="G37" s="60" t="s">
        <v>278</v>
      </c>
      <c r="H37" s="61"/>
      <c r="I37" s="63" t="s">
        <v>189</v>
      </c>
      <c r="J37" s="62"/>
      <c r="K37" s="62"/>
      <c r="L37" s="62" t="str">
        <f>IFERROR(__xludf.DUMMYFUNCTION("QUERY('Volunteer Survey'!B38)"),"Vaidehi Jobanputra")</f>
        <v>Vaidehi Jobanputra</v>
      </c>
      <c r="M37" s="62" t="str">
        <f>IFERROR(__xludf.DUMMYFUNCTION("QUERY('Volunteer Survey'!E38)"),"vjobanputra@nygenome.org")</f>
        <v>vjobanputra@nygenome.org</v>
      </c>
      <c r="N37" s="62" t="str">
        <f>IFERROR(__xludf.DUMMYFUNCTION("QUERY('Volunteer Survey'!F38)"),"Clinical laboratory geneticist")</f>
        <v>Clinical laboratory geneticist</v>
      </c>
      <c r="O37" s="60" t="str">
        <f>IFERROR(__xludf.DUMMYFUNCTION("QUERY('Volunteer Survey'!H38)"),"Comprehensive")</f>
        <v>Comprehensive</v>
      </c>
      <c r="P37" s="62" t="str">
        <f>IFERROR(__xludf.DUMMYFUNCTION("QUERY('Volunteer Survey'!I38)"),"Gene-Disease Validity")</f>
        <v>Gene-Disease Validity</v>
      </c>
      <c r="Q37" s="66" t="str">
        <f>IFERROR(__xludf.DUMMYFUNCTION("QUERY('Volunteer Survey'!J38)"),"")</f>
        <v/>
      </c>
      <c r="R37" s="62" t="str">
        <f>IFERROR(__xludf.DUMMYFUNCTION("QUERY('Volunteer Survey'!K38)"),"")</f>
        <v/>
      </c>
      <c r="S37" s="62" t="str">
        <f>IFERROR(__xludf.DUMMYFUNCTION("QUERY('Volunteer Survey'!L38)"),"")</f>
        <v/>
      </c>
      <c r="T37" s="62" t="str">
        <f>IFERROR(__xludf.DUMMYFUNCTION("QUERY('Volunteer Survey'!M38)"),"")</f>
        <v/>
      </c>
      <c r="U37" s="74" t="str">
        <f>IFERROR(__xludf.DUMMYFUNCTION("QUERY('Volunteer Survey'!N38)"),"Yes")</f>
        <v>Yes</v>
      </c>
      <c r="V37" s="62" t="str">
        <f>IFERROR(__xludf.DUMMYFUNCTION("QUERY('Volunteer Survey'!O38)"),"")</f>
        <v/>
      </c>
      <c r="W37" s="75" t="str">
        <f>IFERROR(__xludf.DUMMYFUNCTION("QUERY('Volunteer Survey'!P38)"),"No")</f>
        <v>No</v>
      </c>
      <c r="X37" s="74" t="str">
        <f>IFERROR(__xludf.DUMMYFUNCTION("QUERY('Volunteer Survey'!R38)"),"")</f>
        <v/>
      </c>
      <c r="Y37" s="61"/>
      <c r="Z37" s="67"/>
      <c r="AA37" s="62"/>
      <c r="AB37" s="62"/>
      <c r="AC37" s="62"/>
      <c r="AD37" s="62"/>
      <c r="AE37" s="62"/>
      <c r="AF37" s="62"/>
      <c r="AG37" s="62"/>
      <c r="AH37" s="62"/>
      <c r="AI37" s="62"/>
      <c r="AJ37" s="62"/>
      <c r="AK37" s="62"/>
      <c r="AL37" s="62"/>
      <c r="AM37" s="62"/>
      <c r="AN37" s="62"/>
      <c r="AO37" s="62"/>
    </row>
    <row r="38">
      <c r="A38" s="59">
        <f>IFERROR(__xludf.DUMMYFUNCTION("QUERY('Volunteer Survey'!A39)"),43401.5984837963)</f>
        <v>43401.59848</v>
      </c>
      <c r="B38" s="60" t="s">
        <v>275</v>
      </c>
      <c r="C38" s="63" t="s">
        <v>302</v>
      </c>
      <c r="D38" s="79">
        <v>43446.0</v>
      </c>
      <c r="E38" s="60" t="s">
        <v>182</v>
      </c>
      <c r="F38" s="60" t="s">
        <v>182</v>
      </c>
      <c r="G38" s="60" t="s">
        <v>278</v>
      </c>
      <c r="H38" s="61"/>
      <c r="I38" s="63" t="s">
        <v>189</v>
      </c>
      <c r="J38" s="62"/>
      <c r="K38" s="62"/>
      <c r="L38" s="62" t="str">
        <f>IFERROR(__xludf.DUMMYFUNCTION("QUERY('Volunteer Survey'!B39)"),"Khushnooda Ramzan")</f>
        <v>Khushnooda Ramzan</v>
      </c>
      <c r="M38" s="62" t="str">
        <f>IFERROR(__xludf.DUMMYFUNCTION("QUERY('Volunteer Survey'!E39)"),"khushnooda@gmail.com")</f>
        <v>khushnooda@gmail.com</v>
      </c>
      <c r="N38" s="62" t="str">
        <f>IFERROR(__xludf.DUMMYFUNCTION("QUERY('Volunteer Survey'!F39)"),"Scientific Research/ Variant Analyst")</f>
        <v>Scientific Research/ Variant Analyst</v>
      </c>
      <c r="O38" s="60" t="str">
        <f>IFERROR(__xludf.DUMMYFUNCTION("QUERY('Volunteer Survey'!H39)"),"Comprehensive")</f>
        <v>Comprehensive</v>
      </c>
      <c r="P38" s="62" t="str">
        <f>IFERROR(__xludf.DUMMYFUNCTION("QUERY('Volunteer Survey'!I39)"),"Gene-Disease Validity")</f>
        <v>Gene-Disease Validity</v>
      </c>
      <c r="Q38" s="66" t="str">
        <f>IFERROR(__xludf.DUMMYFUNCTION("QUERY('Volunteer Survey'!J39)"),"Variant Pathogenicity")</f>
        <v>Variant Pathogenicity</v>
      </c>
      <c r="R38" s="62" t="str">
        <f>IFERROR(__xludf.DUMMYFUNCTION("QUERY('Volunteer Survey'!K39)"),"")</f>
        <v/>
      </c>
      <c r="S38" s="62" t="str">
        <f>IFERROR(__xludf.DUMMYFUNCTION("QUERY('Volunteer Survey'!L39)"),"")</f>
        <v/>
      </c>
      <c r="T38" s="62" t="str">
        <f>IFERROR(__xludf.DUMMYFUNCTION("QUERY('Volunteer Survey'!M39)"),"")</f>
        <v/>
      </c>
      <c r="U38" s="74" t="str">
        <f>IFERROR(__xludf.DUMMYFUNCTION("QUERY('Volunteer Survey'!N39)"),"")</f>
        <v/>
      </c>
      <c r="V38" s="62" t="str">
        <f>IFERROR(__xludf.DUMMYFUNCTION("QUERY('Volunteer Survey'!O39)"),"")</f>
        <v/>
      </c>
      <c r="W38" s="75" t="str">
        <f>IFERROR(__xludf.DUMMYFUNCTION("QUERY('Volunteer Survey'!P39)"),"Experience with Mendelian disorders, not noted for curation. Hearing Loss (most experience with pubs), Cardiovascular KCNQ1 Variant
Storage Diseases Variant Curation Expert Panel")</f>
        <v>Experience with Mendelian disorders, not noted for curation. Hearing Loss (most experience with pubs), Cardiovascular KCNQ1 Variant
Storage Diseases Variant Curation Expert Panel</v>
      </c>
      <c r="X38" s="74" t="str">
        <f>IFERROR(__xludf.DUMMYFUNCTION("QUERY('Volunteer Survey'!R39)"),"")</f>
        <v/>
      </c>
      <c r="Y38" s="61"/>
      <c r="Z38" s="67"/>
      <c r="AA38" s="62"/>
      <c r="AB38" s="62"/>
      <c r="AC38" s="62"/>
      <c r="AD38" s="62"/>
      <c r="AE38" s="62"/>
      <c r="AF38" s="62"/>
      <c r="AG38" s="62"/>
      <c r="AH38" s="62"/>
      <c r="AI38" s="62"/>
      <c r="AJ38" s="62"/>
      <c r="AK38" s="62"/>
      <c r="AL38" s="62"/>
      <c r="AM38" s="62"/>
      <c r="AN38" s="62"/>
      <c r="AO38" s="62"/>
    </row>
    <row r="39">
      <c r="A39" s="59">
        <f>IFERROR(__xludf.DUMMYFUNCTION("QUERY('Volunteer Survey'!A40)"),43413.59946759259)</f>
        <v>43413.59947</v>
      </c>
      <c r="B39" s="60" t="s">
        <v>275</v>
      </c>
      <c r="C39" s="80"/>
      <c r="D39" s="82">
        <v>43585.0</v>
      </c>
      <c r="E39" s="60" t="s">
        <v>277</v>
      </c>
      <c r="F39" s="60" t="s">
        <v>182</v>
      </c>
      <c r="G39" s="60" t="s">
        <v>278</v>
      </c>
      <c r="H39" s="63" t="s">
        <v>107</v>
      </c>
      <c r="I39" s="63" t="s">
        <v>189</v>
      </c>
      <c r="J39" s="79">
        <v>43712.0</v>
      </c>
      <c r="K39" s="79"/>
      <c r="L39" s="62" t="str">
        <f>IFERROR(__xludf.DUMMYFUNCTION("QUERY('Volunteer Survey'!B40)"),"Erik Thorland")</f>
        <v>Erik Thorland</v>
      </c>
      <c r="M39" s="62" t="str">
        <f>IFERROR(__xludf.DUMMYFUNCTION("QUERY('Volunteer Survey'!E40)"),"thorland.erik@mayo.edu")</f>
        <v>thorland.erik@mayo.edu</v>
      </c>
      <c r="N39" s="62" t="str">
        <f>IFERROR(__xludf.DUMMYFUNCTION("QUERY('Volunteer Survey'!F40)"),"Clinical laboratory geneticist")</f>
        <v>Clinical laboratory geneticist</v>
      </c>
      <c r="O39" s="60" t="str">
        <f>IFERROR(__xludf.DUMMYFUNCTION("QUERY('Volunteer Survey'!H40)"),"Comprehensive")</f>
        <v>Comprehensive</v>
      </c>
      <c r="P39" s="62" t="str">
        <f>IFERROR(__xludf.DUMMYFUNCTION("QUERY('Volunteer Survey'!I40)"),"Gene-Disease Validity")</f>
        <v>Gene-Disease Validity</v>
      </c>
      <c r="Q39" s="66" t="str">
        <f>IFERROR(__xludf.DUMMYFUNCTION("QUERY('Volunteer Survey'!J40)"),"Variant Pathogenicity")</f>
        <v>Variant Pathogenicity</v>
      </c>
      <c r="R39" s="62" t="str">
        <f>IFERROR(__xludf.DUMMYFUNCTION("QUERY('Volunteer Survey'!K40)"),"")</f>
        <v/>
      </c>
      <c r="S39" s="62" t="str">
        <f>IFERROR(__xludf.DUMMYFUNCTION("QUERY('Volunteer Survey'!L40)"),"")</f>
        <v/>
      </c>
      <c r="T39" s="62" t="str">
        <f>IFERROR(__xludf.DUMMYFUNCTION("QUERY('Volunteer Survey'!M40)"),"")</f>
        <v/>
      </c>
      <c r="U39" s="74" t="str">
        <f>IFERROR(__xludf.DUMMYFUNCTION("QUERY('Volunteer Survey'!N40)"),"Yes")</f>
        <v>Yes</v>
      </c>
      <c r="V39" s="62" t="str">
        <f>IFERROR(__xludf.DUMMYFUNCTION("QUERY('Volunteer Survey'!O40)"),"")</f>
        <v/>
      </c>
      <c r="W39" s="75" t="str">
        <f>IFERROR(__xludf.DUMMYFUNCTION("QUERY('Volunteer Survey'!P40)"),"I'm specifically interested in the epilespy gene curation group.  I'm already involved in the dosage sensitivity working group.")</f>
        <v>I'm specifically interested in the epilespy gene curation group.  I'm already involved in the dosage sensitivity working group.</v>
      </c>
      <c r="X39" s="74" t="str">
        <f>IFERROR(__xludf.DUMMYFUNCTION("QUERY('Volunteer Survey'!R40)"),"")</f>
        <v/>
      </c>
      <c r="Y39" s="63" t="s">
        <v>303</v>
      </c>
      <c r="Z39" s="67"/>
      <c r="AA39" s="62"/>
      <c r="AB39" s="62"/>
      <c r="AC39" s="62"/>
      <c r="AD39" s="62"/>
      <c r="AE39" s="62"/>
      <c r="AF39" s="62"/>
      <c r="AG39" s="62"/>
      <c r="AH39" s="62"/>
      <c r="AI39" s="62"/>
      <c r="AJ39" s="62"/>
      <c r="AK39" s="62"/>
      <c r="AL39" s="62"/>
      <c r="AM39" s="62"/>
      <c r="AN39" s="62"/>
      <c r="AO39" s="62"/>
    </row>
    <row r="40">
      <c r="A40" s="59">
        <f>IFERROR(__xludf.DUMMYFUNCTION("QUERY('Volunteer Survey'!A41)"),43434.60061342592)</f>
        <v>43434.60061</v>
      </c>
      <c r="B40" s="60" t="s">
        <v>282</v>
      </c>
      <c r="C40" s="87">
        <v>43437.0</v>
      </c>
      <c r="D40" s="79">
        <v>43446.0</v>
      </c>
      <c r="E40" s="60" t="s">
        <v>277</v>
      </c>
      <c r="F40" s="60" t="s">
        <v>277</v>
      </c>
      <c r="G40" s="60" t="s">
        <v>278</v>
      </c>
      <c r="H40" s="63" t="s">
        <v>279</v>
      </c>
      <c r="I40" s="63" t="s">
        <v>285</v>
      </c>
      <c r="J40" s="79">
        <v>43592.0</v>
      </c>
      <c r="K40" s="79">
        <v>43713.0</v>
      </c>
      <c r="L40" s="62" t="str">
        <f>IFERROR(__xludf.DUMMYFUNCTION("QUERY('Volunteer Survey'!B41)"),"Olivia Rennie")</f>
        <v>Olivia Rennie</v>
      </c>
      <c r="M40" s="62" t="str">
        <f>IFERROR(__xludf.DUMMYFUNCTION("QUERY('Volunteer Survey'!E41)"),"olivia.rennie@sickkids.ca")</f>
        <v>olivia.rennie@sickkids.ca</v>
      </c>
      <c r="N40" s="62" t="str">
        <f>IFERROR(__xludf.DUMMYFUNCTION("QUERY('Volunteer Survey'!F41)"),"Variant Analyst/Scientist")</f>
        <v>Variant Analyst/Scientist</v>
      </c>
      <c r="O40" s="60" t="str">
        <f>IFERROR(__xludf.DUMMYFUNCTION("QUERY('Volunteer Survey'!H41)"),"Comprehensive")</f>
        <v>Comprehensive</v>
      </c>
      <c r="P40" s="62" t="str">
        <f>IFERROR(__xludf.DUMMYFUNCTION("QUERY('Volunteer Survey'!I41)"),"Gene-Disease Validity")</f>
        <v>Gene-Disease Validity</v>
      </c>
      <c r="Q40" s="66" t="str">
        <f>IFERROR(__xludf.DUMMYFUNCTION("QUERY('Volunteer Survey'!J41)"),"Somatic Cancer")</f>
        <v>Somatic Cancer</v>
      </c>
      <c r="R40" s="62" t="str">
        <f>IFERROR(__xludf.DUMMYFUNCTION("QUERY('Volunteer Survey'!K41)"),"Dosage Sensitivity")</f>
        <v>Dosage Sensitivity</v>
      </c>
      <c r="S40" s="62" t="str">
        <f>IFERROR(__xludf.DUMMYFUNCTION("QUERY('Volunteer Survey'!L41)"),"Variant Pathogenicity")</f>
        <v>Variant Pathogenicity</v>
      </c>
      <c r="T40" s="62" t="str">
        <f>IFERROR(__xludf.DUMMYFUNCTION("QUERY('Volunteer Survey'!M41)"),"Actionability")</f>
        <v>Actionability</v>
      </c>
      <c r="U40" s="74" t="str">
        <f>IFERROR(__xludf.DUMMYFUNCTION("QUERY('Volunteer Survey'!N41)"),"No")</f>
        <v>No</v>
      </c>
      <c r="V40" s="62" t="str">
        <f>IFERROR(__xludf.DUMMYFUNCTION("QUERY('Volunteer Survey'!O41)"),"")</f>
        <v/>
      </c>
      <c r="W40" s="75" t="str">
        <f>IFERROR(__xludf.DUMMYFUNCTION("QUERY('Volunteer Survey'!P41)"),"ID/Autism Gene Curation Expert Panel")</f>
        <v>ID/Autism Gene Curation Expert Panel</v>
      </c>
      <c r="X40" s="74" t="str">
        <f>IFERROR(__xludf.DUMMYFUNCTION("QUERY('Volunteer Survey'!R41)"),"")</f>
        <v/>
      </c>
      <c r="Y40" s="61"/>
      <c r="Z40" s="67"/>
      <c r="AA40" s="62"/>
      <c r="AB40" s="62"/>
      <c r="AC40" s="62"/>
      <c r="AD40" s="62"/>
      <c r="AE40" s="62"/>
      <c r="AF40" s="62"/>
      <c r="AG40" s="62"/>
      <c r="AH40" s="62"/>
      <c r="AI40" s="62"/>
      <c r="AJ40" s="62"/>
      <c r="AK40" s="62"/>
      <c r="AL40" s="62"/>
      <c r="AM40" s="62"/>
      <c r="AN40" s="62"/>
      <c r="AO40" s="62"/>
    </row>
    <row r="41">
      <c r="A41" s="59">
        <f>IFERROR(__xludf.DUMMYFUNCTION("QUERY('Volunteer Survey'!A42)"),43473.60137534723)</f>
        <v>43473.60138</v>
      </c>
      <c r="B41" s="60" t="s">
        <v>178</v>
      </c>
      <c r="C41" s="87">
        <v>43437.0</v>
      </c>
      <c r="D41" s="79">
        <v>43446.0</v>
      </c>
      <c r="E41" s="60" t="s">
        <v>277</v>
      </c>
      <c r="F41" s="60" t="s">
        <v>277</v>
      </c>
      <c r="G41" s="60" t="s">
        <v>278</v>
      </c>
      <c r="H41" s="63" t="s">
        <v>279</v>
      </c>
      <c r="I41" s="63" t="s">
        <v>189</v>
      </c>
      <c r="J41" s="79">
        <v>43592.0</v>
      </c>
      <c r="K41" s="79">
        <v>43713.0</v>
      </c>
      <c r="L41" s="62" t="str">
        <f>IFERROR(__xludf.DUMMYFUNCTION("QUERY('Volunteer Survey'!B42)"),"Kira Dies")</f>
        <v>Kira Dies</v>
      </c>
      <c r="M41" s="62" t="str">
        <f>IFERROR(__xludf.DUMMYFUNCTION("QUERY('Volunteer Survey'!E42)"),"Kira.Dies@childrens.harvard.edu")</f>
        <v>Kira.Dies@childrens.harvard.edu</v>
      </c>
      <c r="N41" s="62" t="str">
        <f>IFERROR(__xludf.DUMMYFUNCTION("QUERY('Volunteer Survey'!F42)"),"Genetic counselor")</f>
        <v>Genetic counselor</v>
      </c>
      <c r="O41" s="60" t="s">
        <v>63</v>
      </c>
      <c r="P41" s="62" t="str">
        <f>IFERROR(__xludf.DUMMYFUNCTION("QUERY('Volunteer Survey'!I42)"),"Gene-Disease Validity")</f>
        <v>Gene-Disease Validity</v>
      </c>
      <c r="Q41" s="66" t="str">
        <f>IFERROR(__xludf.DUMMYFUNCTION("QUERY('Volunteer Survey'!J42)"),"Actionability")</f>
        <v>Actionability</v>
      </c>
      <c r="R41" s="62" t="str">
        <f>IFERROR(__xludf.DUMMYFUNCTION("QUERY('Volunteer Survey'!K42)"),"")</f>
        <v/>
      </c>
      <c r="S41" s="62" t="str">
        <f>IFERROR(__xludf.DUMMYFUNCTION("QUERY('Volunteer Survey'!L42)"),"")</f>
        <v/>
      </c>
      <c r="T41" s="62" t="str">
        <f>IFERROR(__xludf.DUMMYFUNCTION("QUERY('Volunteer Survey'!M42)"),"")</f>
        <v/>
      </c>
      <c r="U41" s="74" t="str">
        <f>IFERROR(__xludf.DUMMYFUNCTION("QUERY('Volunteer Survey'!N42)"),"No")</f>
        <v>No</v>
      </c>
      <c r="V41" s="62" t="str">
        <f>IFERROR(__xludf.DUMMYFUNCTION("QUERY('Volunteer Survey'!O42)"),"")</f>
        <v/>
      </c>
      <c r="W41" s="75" t="str">
        <f>IFERROR(__xludf.DUMMYFUNCTION("QUERY('Volunteer Survey'!P42)"),"ASD/NDD")</f>
        <v>ASD/NDD</v>
      </c>
      <c r="X41" s="74" t="str">
        <f>IFERROR(__xludf.DUMMYFUNCTION("QUERY('Volunteer Survey'!R42)"),"")</f>
        <v/>
      </c>
      <c r="Y41" s="63" t="s">
        <v>304</v>
      </c>
      <c r="Z41" s="67"/>
      <c r="AA41" s="62"/>
      <c r="AB41" s="62"/>
      <c r="AC41" s="62"/>
      <c r="AD41" s="62"/>
      <c r="AE41" s="62"/>
      <c r="AF41" s="62"/>
      <c r="AG41" s="62"/>
      <c r="AH41" s="62"/>
      <c r="AI41" s="62"/>
      <c r="AJ41" s="62"/>
      <c r="AK41" s="62"/>
      <c r="AL41" s="62"/>
      <c r="AM41" s="62"/>
      <c r="AN41" s="62"/>
      <c r="AO41" s="62"/>
    </row>
    <row r="42">
      <c r="A42" s="59">
        <f>IFERROR(__xludf.DUMMYFUNCTION("QUERY('Volunteer Survey'!A46)"),43335.60587962963)</f>
        <v>43335.60588</v>
      </c>
      <c r="B42" s="60" t="s">
        <v>282</v>
      </c>
      <c r="C42" s="87">
        <v>43341.0</v>
      </c>
      <c r="D42" s="85">
        <v>43341.0</v>
      </c>
      <c r="E42" s="60" t="s">
        <v>277</v>
      </c>
      <c r="F42" s="60" t="s">
        <v>277</v>
      </c>
      <c r="G42" s="60" t="s">
        <v>278</v>
      </c>
      <c r="H42" s="84" t="s">
        <v>17</v>
      </c>
      <c r="I42" s="84" t="s">
        <v>189</v>
      </c>
      <c r="J42" s="89">
        <v>43592.0</v>
      </c>
      <c r="K42" s="79">
        <v>43713.0</v>
      </c>
      <c r="L42" s="62" t="str">
        <f>IFERROR(__xludf.DUMMYFUNCTION("QUERY('Volunteer Survey'!B46)"),"Sainan Wei")</f>
        <v>Sainan Wei</v>
      </c>
      <c r="M42" s="62" t="str">
        <f>IFERROR(__xludf.DUMMYFUNCTION("QUERY('Volunteer Survey'!E46)"),"sainan.wei@uky.edu ")</f>
        <v>sainan.wei@uky.edu </v>
      </c>
      <c r="N42" s="62" t="str">
        <f>IFERROR(__xludf.DUMMYFUNCTION("QUERY('Volunteer Survey'!F46)"),"Clinical laboratory geneticist")</f>
        <v>Clinical laboratory geneticist</v>
      </c>
      <c r="O42" s="60" t="str">
        <f>IFERROR(__xludf.DUMMYFUNCTION("QUERY('Volunteer Survey'!H46)"),"Comprehensive")</f>
        <v>Comprehensive</v>
      </c>
      <c r="P42" s="62" t="str">
        <f>IFERROR(__xludf.DUMMYFUNCTION("QUERY('Volunteer Survey'!I46)"),"Gene-Disease Validity")</f>
        <v>Gene-Disease Validity</v>
      </c>
      <c r="Q42" s="66" t="str">
        <f>IFERROR(__xludf.DUMMYFUNCTION("QUERY('Volunteer Survey'!J46)"),"Dosage Sensitivity")</f>
        <v>Dosage Sensitivity</v>
      </c>
      <c r="R42" s="62" t="str">
        <f>IFERROR(__xludf.DUMMYFUNCTION("QUERY('Volunteer Survey'!K46)"),"Variant Pathogenicity")</f>
        <v>Variant Pathogenicity</v>
      </c>
      <c r="S42" s="62" t="str">
        <f>IFERROR(__xludf.DUMMYFUNCTION("QUERY('Volunteer Survey'!L46)"),"Actionability")</f>
        <v>Actionability</v>
      </c>
      <c r="T42" s="62" t="str">
        <f>IFERROR(__xludf.DUMMYFUNCTION("QUERY('Volunteer Survey'!M46)"),"Somatic Cancer")</f>
        <v>Somatic Cancer</v>
      </c>
      <c r="U42" s="74" t="str">
        <f>IFERROR(__xludf.DUMMYFUNCTION("QUERY('Volunteer Survey'!N46)"),"No")</f>
        <v>No</v>
      </c>
      <c r="V42" s="62" t="str">
        <f>IFERROR(__xludf.DUMMYFUNCTION("QUERY('Volunteer Survey'!O46)"),"")</f>
        <v/>
      </c>
      <c r="W42" s="75" t="str">
        <f>IFERROR(__xludf.DUMMYFUNCTION("QUERY('Volunteer Survey'!P46)"),"Hereditary cancer gene Aminoacidopathy gene fatty acid oxidation gene")</f>
        <v>Hereditary cancer gene Aminoacidopathy gene fatty acid oxidation gene</v>
      </c>
      <c r="X42" s="74" t="str">
        <f>IFERROR(__xludf.DUMMYFUNCTION("QUERY('Volunteer Survey'!R46)"),"")</f>
        <v/>
      </c>
      <c r="Y42" s="61"/>
      <c r="Z42" s="67"/>
      <c r="AA42" s="62"/>
      <c r="AB42" s="62"/>
      <c r="AC42" s="62"/>
      <c r="AD42" s="62"/>
      <c r="AE42" s="62"/>
      <c r="AF42" s="62"/>
      <c r="AG42" s="62"/>
      <c r="AH42" s="62"/>
      <c r="AI42" s="62"/>
      <c r="AJ42" s="62"/>
      <c r="AK42" s="62"/>
      <c r="AL42" s="62"/>
      <c r="AM42" s="62"/>
      <c r="AN42" s="62"/>
      <c r="AO42" s="62"/>
    </row>
    <row r="43">
      <c r="A43" s="59">
        <f>IFERROR(__xludf.DUMMYFUNCTION("QUERY('Volunteer Survey'!A47)"),43339.60663194444)</f>
        <v>43339.60663</v>
      </c>
      <c r="B43" s="60" t="s">
        <v>282</v>
      </c>
      <c r="C43" s="87">
        <v>43411.0</v>
      </c>
      <c r="D43" s="79">
        <v>43453.0</v>
      </c>
      <c r="E43" s="60" t="s">
        <v>277</v>
      </c>
      <c r="F43" s="60" t="s">
        <v>277</v>
      </c>
      <c r="G43" s="60" t="s">
        <v>283</v>
      </c>
      <c r="H43" s="61"/>
      <c r="I43" s="63" t="s">
        <v>189</v>
      </c>
      <c r="J43" s="79">
        <v>43592.0</v>
      </c>
      <c r="K43" s="79">
        <v>43713.0</v>
      </c>
      <c r="L43" s="62" t="str">
        <f>IFERROR(__xludf.DUMMYFUNCTION("QUERY('Volunteer Survey'!B47)"),"Preti Jain")</f>
        <v>Preti Jain</v>
      </c>
      <c r="M43" s="62" t="str">
        <f>IFERROR(__xludf.DUMMYFUNCTION("QUERY('Volunteer Survey'!E47)"),"preti.jain@yale.edu")</f>
        <v>preti.jain@yale.edu</v>
      </c>
      <c r="N43" s="62" t="str">
        <f>IFERROR(__xludf.DUMMYFUNCTION("QUERY('Volunteer Survey'!F47)"),"Clinical laboratory geneticist")</f>
        <v>Clinical laboratory geneticist</v>
      </c>
      <c r="O43" s="60" t="str">
        <f>IFERROR(__xludf.DUMMYFUNCTION("QUERY('Volunteer Survey'!H47)"),"Comprehensive")</f>
        <v>Comprehensive</v>
      </c>
      <c r="P43" s="62" t="str">
        <f>IFERROR(__xludf.DUMMYFUNCTION("QUERY('Volunteer Survey'!I47)"),"Dosage Sensitivity")</f>
        <v>Dosage Sensitivity</v>
      </c>
      <c r="Q43" s="66" t="str">
        <f>IFERROR(__xludf.DUMMYFUNCTION("QUERY('Volunteer Survey'!J47)"),"")</f>
        <v/>
      </c>
      <c r="R43" s="62" t="str">
        <f>IFERROR(__xludf.DUMMYFUNCTION("QUERY('Volunteer Survey'!K47)"),"")</f>
        <v/>
      </c>
      <c r="S43" s="62" t="str">
        <f>IFERROR(__xludf.DUMMYFUNCTION("QUERY('Volunteer Survey'!L47)"),"")</f>
        <v/>
      </c>
      <c r="T43" s="62" t="str">
        <f>IFERROR(__xludf.DUMMYFUNCTION("QUERY('Volunteer Survey'!M47)"),"")</f>
        <v/>
      </c>
      <c r="U43" s="74" t="str">
        <f>IFERROR(__xludf.DUMMYFUNCTION("QUERY('Volunteer Survey'!N47)"),"Yes")</f>
        <v>Yes</v>
      </c>
      <c r="V43" s="62" t="str">
        <f>IFERROR(__xludf.DUMMYFUNCTION("QUERY('Volunteer Survey'!O47)"),"")</f>
        <v/>
      </c>
      <c r="W43" s="75" t="str">
        <f>IFERROR(__xludf.DUMMYFUNCTION("QUERY('Volunteer Survey'!P47)"),"cardiomyopathy, Somatic/Germline Variant Curation, Hereditary Cancer")</f>
        <v>cardiomyopathy, Somatic/Germline Variant Curation, Hereditary Cancer</v>
      </c>
      <c r="X43" s="74" t="str">
        <f>IFERROR(__xludf.DUMMYFUNCTION("QUERY('Volunteer Survey'!R47)"),"")</f>
        <v/>
      </c>
      <c r="Y43" s="61"/>
      <c r="Z43" s="67"/>
      <c r="AA43" s="62"/>
      <c r="AB43" s="62"/>
      <c r="AC43" s="62"/>
      <c r="AD43" s="62"/>
      <c r="AE43" s="62"/>
      <c r="AF43" s="62"/>
      <c r="AG43" s="62"/>
      <c r="AH43" s="62"/>
      <c r="AI43" s="62"/>
      <c r="AJ43" s="62"/>
      <c r="AK43" s="62"/>
      <c r="AL43" s="62"/>
      <c r="AM43" s="62"/>
      <c r="AN43" s="62"/>
      <c r="AO43" s="62"/>
    </row>
    <row r="44">
      <c r="A44" s="59">
        <f>IFERROR(__xludf.DUMMYFUNCTION("QUERY('Volunteer Survey'!A48)"),43355.61038194444)</f>
        <v>43355.61038</v>
      </c>
      <c r="B44" s="60" t="s">
        <v>282</v>
      </c>
      <c r="C44" s="87">
        <v>43356.0</v>
      </c>
      <c r="D44" s="85">
        <v>43341.0</v>
      </c>
      <c r="E44" s="60" t="s">
        <v>277</v>
      </c>
      <c r="F44" s="60" t="s">
        <v>277</v>
      </c>
      <c r="G44" s="60" t="s">
        <v>283</v>
      </c>
      <c r="H44" s="61"/>
      <c r="I44" s="63" t="s">
        <v>189</v>
      </c>
      <c r="J44" s="79">
        <v>43592.0</v>
      </c>
      <c r="K44" s="79">
        <v>43713.0</v>
      </c>
      <c r="L44" s="62" t="str">
        <f>IFERROR(__xludf.DUMMYFUNCTION("QUERY('Volunteer Survey'!B48)"),"Andrea Vaags")</f>
        <v>Andrea Vaags</v>
      </c>
      <c r="M44" s="62" t="str">
        <f>IFERROR(__xludf.DUMMYFUNCTION("QUERY('Volunteer Survey'!E48)"),"andrea.vaags@thp.ca")</f>
        <v>andrea.vaags@thp.ca</v>
      </c>
      <c r="N44" s="62" t="str">
        <f>IFERROR(__xludf.DUMMYFUNCTION("QUERY('Volunteer Survey'!F48)"),"Clinical laboratory geneticist")</f>
        <v>Clinical laboratory geneticist</v>
      </c>
      <c r="O44" s="60" t="str">
        <f>IFERROR(__xludf.DUMMYFUNCTION("QUERY('Volunteer Survey'!H48)"),"Comprehensive")</f>
        <v>Comprehensive</v>
      </c>
      <c r="P44" s="62" t="str">
        <f>IFERROR(__xludf.DUMMYFUNCTION("QUERY('Volunteer Survey'!I48)"),"Dosage Sensitivity")</f>
        <v>Dosage Sensitivity</v>
      </c>
      <c r="Q44" s="66" t="str">
        <f>IFERROR(__xludf.DUMMYFUNCTION("QUERY('Volunteer Survey'!J48)"),"")</f>
        <v/>
      </c>
      <c r="R44" s="62" t="str">
        <f>IFERROR(__xludf.DUMMYFUNCTION("QUERY('Volunteer Survey'!K48)"),"")</f>
        <v/>
      </c>
      <c r="S44" s="62" t="str">
        <f>IFERROR(__xludf.DUMMYFUNCTION("QUERY('Volunteer Survey'!L48)"),"")</f>
        <v/>
      </c>
      <c r="T44" s="62" t="str">
        <f>IFERROR(__xludf.DUMMYFUNCTION("QUERY('Volunteer Survey'!M48)"),"")</f>
        <v/>
      </c>
      <c r="U44" s="74" t="str">
        <f>IFERROR(__xludf.DUMMYFUNCTION("QUERY('Volunteer Survey'!N48)"),"Yes")</f>
        <v>Yes</v>
      </c>
      <c r="V44" s="62" t="str">
        <f>IFERROR(__xludf.DUMMYFUNCTION("QUERY('Volunteer Survey'!O48)"),"")</f>
        <v/>
      </c>
      <c r="W44" s="75" t="str">
        <f>IFERROR(__xludf.DUMMYFUNCTION("QUERY('Volunteer Survey'!P48)"),"Somatic/Germline Variant Curation Group (In progress); Breast and Ovarian Cancer Gene Curation Expert Panel; Hereditary Cancer Gene Curation Expert Panel (In progress); Somatic/Germline Variant Curation Group (In progress)")</f>
        <v>Somatic/Germline Variant Curation Group (In progress); Breast and Ovarian Cancer Gene Curation Expert Panel; Hereditary Cancer Gene Curation Expert Panel (In progress); Somatic/Germline Variant Curation Group (In progress)</v>
      </c>
      <c r="X44" s="74" t="str">
        <f>IFERROR(__xludf.DUMMYFUNCTION("QUERY('Volunteer Survey'!R48)"),"")</f>
        <v/>
      </c>
      <c r="Y44" s="61"/>
      <c r="Z44" s="67"/>
      <c r="AA44" s="62"/>
      <c r="AB44" s="62"/>
      <c r="AC44" s="62"/>
      <c r="AD44" s="62"/>
      <c r="AE44" s="62"/>
      <c r="AF44" s="62"/>
      <c r="AG44" s="62"/>
      <c r="AH44" s="62"/>
      <c r="AI44" s="62"/>
      <c r="AJ44" s="62"/>
      <c r="AK44" s="62"/>
      <c r="AL44" s="62"/>
      <c r="AM44" s="62"/>
      <c r="AN44" s="62"/>
      <c r="AO44" s="62"/>
    </row>
    <row r="45">
      <c r="A45" s="59">
        <f>IFERROR(__xludf.DUMMYFUNCTION("QUERY('Volunteer Survey'!A49)"),43402.61143518519)</f>
        <v>43402.61144</v>
      </c>
      <c r="B45" s="60" t="s">
        <v>282</v>
      </c>
      <c r="C45" s="87">
        <v>43411.0</v>
      </c>
      <c r="D45" s="79">
        <v>43453.0</v>
      </c>
      <c r="E45" s="60" t="s">
        <v>277</v>
      </c>
      <c r="F45" s="60" t="s">
        <v>277</v>
      </c>
      <c r="G45" s="60" t="s">
        <v>283</v>
      </c>
      <c r="H45" s="61"/>
      <c r="I45" s="63" t="s">
        <v>189</v>
      </c>
      <c r="J45" s="79">
        <v>43592.0</v>
      </c>
      <c r="K45" s="79">
        <v>43713.0</v>
      </c>
      <c r="L45" s="62" t="str">
        <f>IFERROR(__xludf.DUMMYFUNCTION("QUERY('Volunteer Survey'!B49)"),"George Burghel")</f>
        <v>George Burghel</v>
      </c>
      <c r="M45" s="62" t="str">
        <f>IFERROR(__xludf.DUMMYFUNCTION("QUERY('Volunteer Survey'!E49)"),"george.burghel@mft.nhs.uk")</f>
        <v>george.burghel@mft.nhs.uk</v>
      </c>
      <c r="N45" s="62" t="str">
        <f>IFERROR(__xludf.DUMMYFUNCTION("QUERY('Volunteer Survey'!F49)"),"Clinical laboratory geneticist")</f>
        <v>Clinical laboratory geneticist</v>
      </c>
      <c r="O45" s="60" t="str">
        <f>IFERROR(__xludf.DUMMYFUNCTION("QUERY('Volunteer Survey'!H49)"),"Comprehensive")</f>
        <v>Comprehensive</v>
      </c>
      <c r="P45" s="62" t="str">
        <f>IFERROR(__xludf.DUMMYFUNCTION("QUERY('Volunteer Survey'!I49)"),"Dosage Sensitivity")</f>
        <v>Dosage Sensitivity</v>
      </c>
      <c r="Q45" s="66" t="str">
        <f>IFERROR(__xludf.DUMMYFUNCTION("QUERY('Volunteer Survey'!J49)"),"")</f>
        <v/>
      </c>
      <c r="R45" s="62" t="str">
        <f>IFERROR(__xludf.DUMMYFUNCTION("QUERY('Volunteer Survey'!K49)"),"")</f>
        <v/>
      </c>
      <c r="S45" s="62" t="str">
        <f>IFERROR(__xludf.DUMMYFUNCTION("QUERY('Volunteer Survey'!L49)"),"")</f>
        <v/>
      </c>
      <c r="T45" s="62" t="str">
        <f>IFERROR(__xludf.DUMMYFUNCTION("QUERY('Volunteer Survey'!M49)"),"")</f>
        <v/>
      </c>
      <c r="U45" s="74" t="str">
        <f>IFERROR(__xludf.DUMMYFUNCTION("QUERY('Volunteer Survey'!N49)"),"Yes")</f>
        <v>Yes</v>
      </c>
      <c r="V45" s="62" t="str">
        <f>IFERROR(__xludf.DUMMYFUNCTION("QUERY('Volunteer Survey'!O49)"),"")</f>
        <v/>
      </c>
      <c r="W45" s="75" t="str">
        <f>IFERROR(__xludf.DUMMYFUNCTION("QUERY('Volunteer Survey'!P49)"),"Experience with Dosage sensistivy but not curation. ")</f>
        <v>Experience with Dosage sensistivy but not curation. </v>
      </c>
      <c r="X45" s="74" t="str">
        <f>IFERROR(__xludf.DUMMYFUNCTION("QUERY('Volunteer Survey'!R49)"),"")</f>
        <v/>
      </c>
      <c r="Y45" s="61"/>
      <c r="Z45" s="67"/>
      <c r="AA45" s="62"/>
      <c r="AB45" s="62"/>
      <c r="AC45" s="62"/>
      <c r="AD45" s="62"/>
      <c r="AE45" s="62"/>
      <c r="AF45" s="62"/>
      <c r="AG45" s="62"/>
      <c r="AH45" s="62"/>
      <c r="AI45" s="62"/>
      <c r="AJ45" s="62"/>
      <c r="AK45" s="62"/>
      <c r="AL45" s="62"/>
      <c r="AM45" s="62"/>
      <c r="AN45" s="62"/>
      <c r="AO45" s="62"/>
    </row>
    <row r="46">
      <c r="A46" s="59">
        <f>IFERROR(__xludf.DUMMYFUNCTION("QUERY('Volunteer Survey'!A50)"),43417.612164351856)</f>
        <v>43417.61216</v>
      </c>
      <c r="B46" s="60" t="s">
        <v>282</v>
      </c>
      <c r="C46" s="80">
        <v>43430.0</v>
      </c>
      <c r="D46" s="79">
        <v>43453.0</v>
      </c>
      <c r="E46" s="60" t="s">
        <v>277</v>
      </c>
      <c r="F46" s="60" t="s">
        <v>277</v>
      </c>
      <c r="G46" s="60" t="s">
        <v>283</v>
      </c>
      <c r="H46" s="63"/>
      <c r="I46" s="63" t="s">
        <v>285</v>
      </c>
      <c r="J46" s="79">
        <v>43592.0</v>
      </c>
      <c r="K46" s="79">
        <v>43713.0</v>
      </c>
      <c r="L46" s="62" t="str">
        <f>IFERROR(__xludf.DUMMYFUNCTION("QUERY('Volunteer Survey'!B50)"),"Coumarane Mani")</f>
        <v>Coumarane Mani</v>
      </c>
      <c r="M46" s="62" t="str">
        <f>IFERROR(__xludf.DUMMYFUNCTION("QUERY('Volunteer Survey'!E50)"),"coumarane.mani@aruplab.com")</f>
        <v>coumarane.mani@aruplab.com</v>
      </c>
      <c r="N46" s="62" t="str">
        <f>IFERROR(__xludf.DUMMYFUNCTION("QUERY('Volunteer Survey'!F50)"),"Variant Analyst/Scientist")</f>
        <v>Variant Analyst/Scientist</v>
      </c>
      <c r="O46" s="60" t="str">
        <f>IFERROR(__xludf.DUMMYFUNCTION("QUERY('Volunteer Survey'!H50)"),"Comprehensive")</f>
        <v>Comprehensive</v>
      </c>
      <c r="P46" s="62" t="str">
        <f>IFERROR(__xludf.DUMMYFUNCTION("QUERY('Volunteer Survey'!I50)"),"Dosage Sensitivity")</f>
        <v>Dosage Sensitivity</v>
      </c>
      <c r="Q46" s="66" t="str">
        <f>IFERROR(__xludf.DUMMYFUNCTION("QUERY('Volunteer Survey'!J50)"),"")</f>
        <v/>
      </c>
      <c r="R46" s="62" t="str">
        <f>IFERROR(__xludf.DUMMYFUNCTION("QUERY('Volunteer Survey'!K50)"),"")</f>
        <v/>
      </c>
      <c r="S46" s="62" t="str">
        <f>IFERROR(__xludf.DUMMYFUNCTION("QUERY('Volunteer Survey'!L50)"),"")</f>
        <v/>
      </c>
      <c r="T46" s="62" t="str">
        <f>IFERROR(__xludf.DUMMYFUNCTION("QUERY('Volunteer Survey'!M50)"),"")</f>
        <v/>
      </c>
      <c r="U46" s="74" t="str">
        <f>IFERROR(__xludf.DUMMYFUNCTION("QUERY('Volunteer Survey'!N50)"),"Yes")</f>
        <v>Yes</v>
      </c>
      <c r="V46" s="62" t="str">
        <f>IFERROR(__xludf.DUMMYFUNCTION("QUERY('Volunteer Survey'!O50)"),"")</f>
        <v/>
      </c>
      <c r="W46" s="75" t="str">
        <f>IFERROR(__xludf.DUMMYFUNCTION("QUERY('Volunteer Survey'!P50)"),"1. Somatic/Germline Variant Curation Group 2. Myeloid Malignancy Variant Curation Expert Panel")</f>
        <v>1. Somatic/Germline Variant Curation Group 2. Myeloid Malignancy Variant Curation Expert Panel</v>
      </c>
      <c r="X46" s="74" t="str">
        <f>IFERROR(__xludf.DUMMYFUNCTION("QUERY('Volunteer Survey'!R50)"),"")</f>
        <v/>
      </c>
      <c r="Y46" s="61"/>
      <c r="Z46" s="67"/>
      <c r="AA46" s="62"/>
      <c r="AB46" s="62"/>
      <c r="AC46" s="62"/>
      <c r="AD46" s="62"/>
      <c r="AE46" s="62"/>
      <c r="AF46" s="62"/>
      <c r="AG46" s="62"/>
      <c r="AH46" s="62"/>
      <c r="AI46" s="62"/>
      <c r="AJ46" s="62"/>
      <c r="AK46" s="62"/>
      <c r="AL46" s="62"/>
      <c r="AM46" s="62"/>
      <c r="AN46" s="62"/>
      <c r="AO46" s="62"/>
    </row>
    <row r="47">
      <c r="A47" s="59">
        <f>IFERROR(__xludf.DUMMYFUNCTION("QUERY('Volunteer Survey'!A51)"),43438.613125)</f>
        <v>43438.61313</v>
      </c>
      <c r="B47" s="60" t="s">
        <v>282</v>
      </c>
      <c r="C47" s="61"/>
      <c r="D47" s="79">
        <v>43453.0</v>
      </c>
      <c r="E47" s="60" t="s">
        <v>277</v>
      </c>
      <c r="F47" s="60" t="s">
        <v>277</v>
      </c>
      <c r="G47" s="60" t="s">
        <v>283</v>
      </c>
      <c r="H47" s="61"/>
      <c r="I47" s="63" t="s">
        <v>189</v>
      </c>
      <c r="J47" s="79">
        <v>43592.0</v>
      </c>
      <c r="K47" s="79">
        <v>43713.0</v>
      </c>
      <c r="L47" s="62" t="str">
        <f>IFERROR(__xludf.DUMMYFUNCTION("QUERY('Volunteer Survey'!B51)"),"Mahesh Iddawela")</f>
        <v>Mahesh Iddawela</v>
      </c>
      <c r="M47" s="62" t="str">
        <f>IFERROR(__xludf.DUMMYFUNCTION("QUERY('Volunteer Survey'!E51)"),"mahesh.iddawela@monash.edu")</f>
        <v>mahesh.iddawela@monash.edu</v>
      </c>
      <c r="N47" s="62" t="str">
        <f>IFERROR(__xludf.DUMMYFUNCTION("QUERY('Volunteer Survey'!F51)"),"Clinician Scientist Medical Oncology")</f>
        <v>Clinician Scientist Medical Oncology</v>
      </c>
      <c r="O47" s="60" t="str">
        <f>IFERROR(__xludf.DUMMYFUNCTION("QUERY('Volunteer Survey'!H51)"),"Comprehensive")</f>
        <v>Comprehensive</v>
      </c>
      <c r="P47" s="62" t="str">
        <f>IFERROR(__xludf.DUMMYFUNCTION("QUERY('Volunteer Survey'!I51)"),"Dosage Sensitivity")</f>
        <v>Dosage Sensitivity</v>
      </c>
      <c r="Q47" s="66" t="str">
        <f>IFERROR(__xludf.DUMMYFUNCTION("QUERY('Volunteer Survey'!J51)"),"")</f>
        <v/>
      </c>
      <c r="R47" s="62" t="str">
        <f>IFERROR(__xludf.DUMMYFUNCTION("QUERY('Volunteer Survey'!K51)"),"")</f>
        <v/>
      </c>
      <c r="S47" s="62" t="str">
        <f>IFERROR(__xludf.DUMMYFUNCTION("QUERY('Volunteer Survey'!L51)"),"")</f>
        <v/>
      </c>
      <c r="T47" s="62" t="str">
        <f>IFERROR(__xludf.DUMMYFUNCTION("QUERY('Volunteer Survey'!M51)"),"")</f>
        <v/>
      </c>
      <c r="U47" s="74" t="str">
        <f>IFERROR(__xludf.DUMMYFUNCTION("QUERY('Volunteer Survey'!N51)"),"No")</f>
        <v>No</v>
      </c>
      <c r="V47" s="62" t="str">
        <f>IFERROR(__xludf.DUMMYFUNCTION("QUERY('Volunteer Survey'!O51)"),"")</f>
        <v/>
      </c>
      <c r="W47" s="75" t="str">
        <f>IFERROR(__xludf.DUMMYFUNCTION("QUERY('Volunteer Survey'!P51)"),"Somatic Cancer (TP53), Breast/Ovarian cancer")</f>
        <v>Somatic Cancer (TP53), Breast/Ovarian cancer</v>
      </c>
      <c r="X47" s="74" t="str">
        <f>IFERROR(__xludf.DUMMYFUNCTION("QUERY('Volunteer Survey'!R51)"),"")</f>
        <v/>
      </c>
      <c r="Y47" s="61"/>
      <c r="Z47" s="67"/>
      <c r="AA47" s="62"/>
      <c r="AB47" s="62"/>
      <c r="AC47" s="62"/>
      <c r="AD47" s="62"/>
      <c r="AE47" s="62"/>
      <c r="AF47" s="62"/>
      <c r="AG47" s="62"/>
      <c r="AH47" s="62"/>
      <c r="AI47" s="62"/>
      <c r="AJ47" s="62"/>
      <c r="AK47" s="62"/>
      <c r="AL47" s="62"/>
      <c r="AM47" s="62"/>
      <c r="AN47" s="62"/>
      <c r="AO47" s="62"/>
    </row>
    <row r="48">
      <c r="A48" s="59">
        <f>IFERROR(__xludf.DUMMYFUNCTION("QUERY('Volunteer Survey'!A52)"),43440.61386574074)</f>
        <v>43440.61387</v>
      </c>
      <c r="B48" s="60" t="s">
        <v>282</v>
      </c>
      <c r="C48" s="61"/>
      <c r="D48" s="79">
        <v>43453.0</v>
      </c>
      <c r="E48" s="60" t="s">
        <v>277</v>
      </c>
      <c r="F48" s="60" t="s">
        <v>277</v>
      </c>
      <c r="G48" s="60" t="s">
        <v>283</v>
      </c>
      <c r="H48" s="63"/>
      <c r="I48" s="63" t="s">
        <v>285</v>
      </c>
      <c r="J48" s="79">
        <v>43592.0</v>
      </c>
      <c r="K48" s="79">
        <v>43713.0</v>
      </c>
      <c r="L48" s="62" t="str">
        <f>IFERROR(__xludf.DUMMYFUNCTION("QUERY('Volunteer Survey'!B52)"),"Diogo Ventura Lovato")</f>
        <v>Diogo Ventura Lovato</v>
      </c>
      <c r="M48" s="62" t="str">
        <f>IFERROR(__xludf.DUMMYFUNCTION("QUERY('Volunteer Survey'!E52)"),"diogo.v.lovato@gmail.com")</f>
        <v>diogo.v.lovato@gmail.com</v>
      </c>
      <c r="N48" s="62" t="str">
        <f>IFERROR(__xludf.DUMMYFUNCTION("QUERY('Volunteer Survey'!F52)"),"Clinical laboratory geneticist, Scientific Researcher, Biocurator, Variant Analyst/Scientist")</f>
        <v>Clinical laboratory geneticist, Scientific Researcher, Biocurator, Variant Analyst/Scientist</v>
      </c>
      <c r="O48" s="60" t="str">
        <f>IFERROR(__xludf.DUMMYFUNCTION("QUERY('Volunteer Survey'!H52)"),"Comprehensive")</f>
        <v>Comprehensive</v>
      </c>
      <c r="P48" s="62" t="str">
        <f>IFERROR(__xludf.DUMMYFUNCTION("QUERY('Volunteer Survey'!I52)"),"Dosage Sensitivity")</f>
        <v>Dosage Sensitivity</v>
      </c>
      <c r="Q48" s="66" t="str">
        <f>IFERROR(__xludf.DUMMYFUNCTION("QUERY('Volunteer Survey'!J52)"),"")</f>
        <v/>
      </c>
      <c r="R48" s="62" t="str">
        <f>IFERROR(__xludf.DUMMYFUNCTION("QUERY('Volunteer Survey'!K52)"),"")</f>
        <v/>
      </c>
      <c r="S48" s="62" t="str">
        <f>IFERROR(__xludf.DUMMYFUNCTION("QUERY('Volunteer Survey'!L52)"),"")</f>
        <v/>
      </c>
      <c r="T48" s="62" t="str">
        <f>IFERROR(__xludf.DUMMYFUNCTION("QUERY('Volunteer Survey'!M52)"),"")</f>
        <v/>
      </c>
      <c r="U48" s="74" t="str">
        <f>IFERROR(__xludf.DUMMYFUNCTION("QUERY('Volunteer Survey'!N52)"),"Yes")</f>
        <v>Yes</v>
      </c>
      <c r="V48" s="62" t="str">
        <f>IFERROR(__xludf.DUMMYFUNCTION("QUERY('Volunteer Survey'!O52)"),"")</f>
        <v/>
      </c>
      <c r="W48" s="75" t="str">
        <f>IFERROR(__xludf.DUMMYFUNCTION("QUERY('Volunteer Survey'!P52)"),"Autism and Intellectual Disability, Epilepsy")</f>
        <v>Autism and Intellectual Disability, Epilepsy</v>
      </c>
      <c r="X48" s="74" t="str">
        <f>IFERROR(__xludf.DUMMYFUNCTION("QUERY('Volunteer Survey'!R52)"),"")</f>
        <v/>
      </c>
      <c r="Y48" s="61"/>
      <c r="Z48" s="67"/>
      <c r="AA48" s="62"/>
      <c r="AB48" s="62"/>
      <c r="AC48" s="62"/>
      <c r="AD48" s="62"/>
      <c r="AE48" s="62"/>
      <c r="AF48" s="62"/>
      <c r="AG48" s="62"/>
      <c r="AH48" s="62"/>
      <c r="AI48" s="62"/>
      <c r="AJ48" s="62"/>
      <c r="AK48" s="62"/>
      <c r="AL48" s="62"/>
      <c r="AM48" s="62"/>
      <c r="AN48" s="62"/>
      <c r="AO48" s="62"/>
    </row>
    <row r="49">
      <c r="A49" s="59">
        <f>IFERROR(__xludf.DUMMYFUNCTION("QUERY('Volunteer Survey'!A54)"),43343.39832175926)</f>
        <v>43343.39832</v>
      </c>
      <c r="B49" s="60" t="s">
        <v>274</v>
      </c>
      <c r="C49" s="90">
        <v>43476.0</v>
      </c>
      <c r="D49" s="78">
        <v>43476.0</v>
      </c>
      <c r="E49" s="60" t="s">
        <v>277</v>
      </c>
      <c r="F49" s="60" t="s">
        <v>182</v>
      </c>
      <c r="G49" s="60" t="s">
        <v>150</v>
      </c>
      <c r="H49" s="63" t="s">
        <v>305</v>
      </c>
      <c r="I49" s="63" t="s">
        <v>189</v>
      </c>
      <c r="J49" s="79">
        <v>43592.0</v>
      </c>
      <c r="K49" s="60" t="s">
        <v>287</v>
      </c>
      <c r="L49" s="62" t="str">
        <f>IFERROR(__xludf.DUMMYFUNCTION("QUERY('Volunteer Survey'!B54)"),"Sameeha Shirwadkar")</f>
        <v>Sameeha Shirwadkar</v>
      </c>
      <c r="M49" s="62" t="str">
        <f>IFERROR(__xludf.DUMMYFUNCTION("QUERY('Volunteer Survey'!E54)"),"sameeha9@gmail.com")</f>
        <v>sameeha9@gmail.com</v>
      </c>
      <c r="N49" s="62" t="str">
        <f>IFERROR(__xludf.DUMMYFUNCTION("QUERY('Volunteer Survey'!F54)"),"Biocurator and Variant Analyst Scientist")</f>
        <v>Biocurator and Variant Analyst Scientist</v>
      </c>
      <c r="O49" s="60" t="str">
        <f>IFERROR(__xludf.DUMMYFUNCTION("QUERY('Volunteer Survey'!H54)"),"Comprehensive")</f>
        <v>Comprehensive</v>
      </c>
      <c r="P49" s="62" t="str">
        <f>IFERROR(__xludf.DUMMYFUNCTION("QUERY('Volunteer Survey'!I54)"),"Somatic Cancer")</f>
        <v>Somatic Cancer</v>
      </c>
      <c r="Q49" s="66" t="str">
        <f>IFERROR(__xludf.DUMMYFUNCTION("QUERY('Volunteer Survey'!J54)"),"Clinical Actionability")</f>
        <v>Clinical Actionability</v>
      </c>
      <c r="R49" s="62" t="str">
        <f>IFERROR(__xludf.DUMMYFUNCTION("QUERY('Volunteer Survey'!K54)"),"Variant Pathogenicity")</f>
        <v>Variant Pathogenicity</v>
      </c>
      <c r="S49" s="62" t="str">
        <f>IFERROR(__xludf.DUMMYFUNCTION("QUERY('Volunteer Survey'!L54)"),"Gene-Disease Validity")</f>
        <v>Gene-Disease Validity</v>
      </c>
      <c r="T49" s="62" t="str">
        <f>IFERROR(__xludf.DUMMYFUNCTION("QUERY('Volunteer Survey'!M54)"),"")</f>
        <v/>
      </c>
      <c r="U49" s="74" t="str">
        <f>IFERROR(__xludf.DUMMYFUNCTION("QUERY('Volunteer Survey'!N54)"),"yes")</f>
        <v>yes</v>
      </c>
      <c r="V49" s="62" t="str">
        <f>IFERROR(__xludf.DUMMYFUNCTION("QUERY('Volunteer Survey'!O54)"),"Yes")</f>
        <v>Yes</v>
      </c>
      <c r="W49" s="75" t="str">
        <f>IFERROR(__xludf.DUMMYFUNCTION("QUERY('Volunteer Survey'!P54)"),"Somatic/Germline Variant Curation Group and TP53 Variant Curation Expert Panel")</f>
        <v>Somatic/Germline Variant Curation Group and TP53 Variant Curation Expert Panel</v>
      </c>
      <c r="X49" s="74" t="str">
        <f>IFERROR(__xludf.DUMMYFUNCTION("QUERY('Volunteer Survey'!R54)"),"Maybe -- please contact me with other options, and I will decide based on what is available")</f>
        <v>Maybe -- please contact me with other options, and I will decide based on what is available</v>
      </c>
      <c r="Y49" s="61"/>
      <c r="Z49" s="67"/>
      <c r="AA49" s="62"/>
      <c r="AB49" s="62"/>
      <c r="AC49" s="62"/>
      <c r="AD49" s="62"/>
      <c r="AE49" s="62"/>
      <c r="AF49" s="62"/>
      <c r="AG49" s="62"/>
      <c r="AH49" s="62"/>
      <c r="AI49" s="62"/>
      <c r="AJ49" s="62"/>
      <c r="AK49" s="62"/>
      <c r="AL49" s="62"/>
      <c r="AM49" s="62"/>
      <c r="AN49" s="62"/>
      <c r="AO49" s="62"/>
    </row>
    <row r="50">
      <c r="A50" s="59">
        <f>IFERROR(__xludf.DUMMYFUNCTION("QUERY('Volunteer Survey'!A55)"),43365.400613425925)</f>
        <v>43365.40061</v>
      </c>
      <c r="B50" s="60" t="s">
        <v>274</v>
      </c>
      <c r="C50" s="61"/>
      <c r="D50" s="78"/>
      <c r="E50" s="60" t="s">
        <v>182</v>
      </c>
      <c r="F50" s="60" t="s">
        <v>182</v>
      </c>
      <c r="G50" s="60" t="s">
        <v>150</v>
      </c>
      <c r="H50" s="63" t="s">
        <v>306</v>
      </c>
      <c r="I50" s="63" t="s">
        <v>189</v>
      </c>
      <c r="J50" s="62"/>
      <c r="K50" s="62"/>
      <c r="L50" s="62" t="str">
        <f>IFERROR(__xludf.DUMMYFUNCTION("QUERY('Volunteer Survey'!B55)"),"Heather Williams")</f>
        <v>Heather Williams</v>
      </c>
      <c r="M50" s="62" t="str">
        <f>IFERROR(__xludf.DUMMYFUNCTION("QUERY('Volunteer Survey'!E55)"),"heather.williams30@nhs.net")</f>
        <v>heather.williams30@nhs.net</v>
      </c>
      <c r="N50" s="62" t="str">
        <f>IFERROR(__xludf.DUMMYFUNCTION("QUERY('Volunteer Survey'!F55)"),"Clinical laboratory geneticist")</f>
        <v>Clinical laboratory geneticist</v>
      </c>
      <c r="O50" s="60" t="str">
        <f>IFERROR(__xludf.DUMMYFUNCTION("QUERY('Volunteer Survey'!H55)"),"Comprehensive")</f>
        <v>Comprehensive</v>
      </c>
      <c r="P50" s="62" t="str">
        <f>IFERROR(__xludf.DUMMYFUNCTION("QUERY('Volunteer Survey'!I55)"),"Somatic Cancer")</f>
        <v>Somatic Cancer</v>
      </c>
      <c r="Q50" s="66" t="str">
        <f>IFERROR(__xludf.DUMMYFUNCTION("QUERY('Volunteer Survey'!J55)"),"Variant Pathogenicity")</f>
        <v>Variant Pathogenicity</v>
      </c>
      <c r="R50" s="62" t="str">
        <f>IFERROR(__xludf.DUMMYFUNCTION("QUERY('Volunteer Survey'!K55)"),"Clinical Actionability")</f>
        <v>Clinical Actionability</v>
      </c>
      <c r="S50" s="62" t="str">
        <f>IFERROR(__xludf.DUMMYFUNCTION("QUERY('Volunteer Survey'!L55)"),"Gene-Disease Validity")</f>
        <v>Gene-Disease Validity</v>
      </c>
      <c r="T50" s="62" t="str">
        <f>IFERROR(__xludf.DUMMYFUNCTION("QUERY('Volunteer Survey'!M55)"),"Dosage Sensitivity")</f>
        <v>Dosage Sensitivity</v>
      </c>
      <c r="U50" s="74" t="str">
        <f>IFERROR(__xludf.DUMMYFUNCTION("QUERY('Volunteer Survey'!N55)"),"yes")</f>
        <v>yes</v>
      </c>
      <c r="V50" s="62" t="str">
        <f>IFERROR(__xludf.DUMMYFUNCTION("QUERY('Volunteer Survey'!O55)"),"Yes")</f>
        <v>Yes</v>
      </c>
      <c r="W50" s="75" t="str">
        <f>IFERROR(__xludf.DUMMYFUNCTION("QUERY('Volunteer Survey'!P55)"),"Myeloid Malignancy Variant Curation Expert Panel Somatic/Germline Variant Curation Group")</f>
        <v>Myeloid Malignancy Variant Curation Expert Panel Somatic/Germline Variant Curation Group</v>
      </c>
      <c r="X50" s="74" t="str">
        <f>IFERROR(__xludf.DUMMYFUNCTION("QUERY('Volunteer Survey'!R55)"),"Yes- I am willing to volunteer with any available ClinGen group")</f>
        <v>Yes- I am willing to volunteer with any available ClinGen group</v>
      </c>
      <c r="Y50" s="61"/>
      <c r="Z50" s="67"/>
      <c r="AA50" s="62"/>
      <c r="AB50" s="62"/>
      <c r="AC50" s="62"/>
      <c r="AD50" s="62"/>
      <c r="AE50" s="62"/>
      <c r="AF50" s="62"/>
      <c r="AG50" s="62"/>
      <c r="AH50" s="62"/>
      <c r="AI50" s="62"/>
      <c r="AJ50" s="62"/>
      <c r="AK50" s="62"/>
      <c r="AL50" s="62"/>
      <c r="AM50" s="62"/>
      <c r="AN50" s="62"/>
      <c r="AO50" s="62"/>
    </row>
    <row r="51">
      <c r="A51" s="59">
        <f>IFERROR(__xludf.DUMMYFUNCTION("QUERY('Volunteer Survey'!A56)"),43368.40216435185)</f>
        <v>43368.40216</v>
      </c>
      <c r="B51" s="60" t="s">
        <v>274</v>
      </c>
      <c r="C51" s="87">
        <v>43411.0</v>
      </c>
      <c r="D51" s="78">
        <v>43476.0</v>
      </c>
      <c r="E51" s="60" t="s">
        <v>277</v>
      </c>
      <c r="F51" s="60" t="s">
        <v>182</v>
      </c>
      <c r="G51" s="60" t="s">
        <v>150</v>
      </c>
      <c r="H51" s="63" t="s">
        <v>306</v>
      </c>
      <c r="I51" s="63" t="s">
        <v>189</v>
      </c>
      <c r="J51" s="79">
        <v>43592.0</v>
      </c>
      <c r="K51" s="79">
        <v>43713.0</v>
      </c>
      <c r="L51" s="62" t="str">
        <f>IFERROR(__xludf.DUMMYFUNCTION("QUERY('Volunteer Survey'!B56)"),"Laura Richards")</f>
        <v>Laura Richards</v>
      </c>
      <c r="M51" s="62" t="str">
        <f>IFERROR(__xludf.DUMMYFUNCTION("QUERY('Volunteer Survey'!E56)"),"lauram.richards@mail.utoronto.ca")</f>
        <v>lauram.richards@mail.utoronto.ca</v>
      </c>
      <c r="N51" s="62" t="str">
        <f>IFERROR(__xludf.DUMMYFUNCTION("QUERY('Volunteer Survey'!F56)"),"Graduate Student")</f>
        <v>Graduate Student</v>
      </c>
      <c r="O51" s="60" t="str">
        <f>IFERROR(__xludf.DUMMYFUNCTION("QUERY('Volunteer Survey'!H56)"),"Comprehensive")</f>
        <v>Comprehensive</v>
      </c>
      <c r="P51" s="62" t="str">
        <f>IFERROR(__xludf.DUMMYFUNCTION("QUERY('Volunteer Survey'!I56)"),"Somatic Cancer")</f>
        <v>Somatic Cancer</v>
      </c>
      <c r="Q51" s="66" t="str">
        <f>IFERROR(__xludf.DUMMYFUNCTION("QUERY('Volunteer Survey'!J56)"),"Clinical Actionability")</f>
        <v>Clinical Actionability</v>
      </c>
      <c r="R51" s="62" t="str">
        <f>IFERROR(__xludf.DUMMYFUNCTION("QUERY('Volunteer Survey'!K56)"),"Variant Pathogenicity")</f>
        <v>Variant Pathogenicity</v>
      </c>
      <c r="S51" s="62" t="str">
        <f>IFERROR(__xludf.DUMMYFUNCTION("QUERY('Volunteer Survey'!L56)"),"Gene-Disease Validity")</f>
        <v>Gene-Disease Validity</v>
      </c>
      <c r="T51" s="62" t="str">
        <f>IFERROR(__xludf.DUMMYFUNCTION("QUERY('Volunteer Survey'!M56)"),"Dosage Sensitivity")</f>
        <v>Dosage Sensitivity</v>
      </c>
      <c r="U51" s="74" t="str">
        <f>IFERROR(__xludf.DUMMYFUNCTION("QUERY('Volunteer Survey'!N56)"),"yes")</f>
        <v>yes</v>
      </c>
      <c r="V51" s="62" t="str">
        <f>IFERROR(__xludf.DUMMYFUNCTION("QUERY('Volunteer Survey'!O56)"),"Yes")</f>
        <v>Yes</v>
      </c>
      <c r="W51" s="75" t="str">
        <f>IFERROR(__xludf.DUMMYFUNCTION("QUERY('Volunteer Survey'!P56)"),"All expert panels in Hereditary Cancer CDWG")</f>
        <v>All expert panels in Hereditary Cancer CDWG</v>
      </c>
      <c r="X51" s="74" t="str">
        <f>IFERROR(__xludf.DUMMYFUNCTION("QUERY('Volunteer Survey'!R56)"),"Yes- I am willing to volunteer with any available ClinGen group")</f>
        <v>Yes- I am willing to volunteer with any available ClinGen group</v>
      </c>
      <c r="Y51" s="91" t="s">
        <v>307</v>
      </c>
      <c r="Z51" s="67"/>
      <c r="AA51" s="62"/>
      <c r="AB51" s="62"/>
      <c r="AC51" s="62"/>
      <c r="AD51" s="62"/>
      <c r="AE51" s="62"/>
      <c r="AF51" s="62"/>
      <c r="AG51" s="62"/>
      <c r="AH51" s="62"/>
      <c r="AI51" s="62"/>
      <c r="AJ51" s="62"/>
      <c r="AK51" s="62"/>
      <c r="AL51" s="62"/>
      <c r="AM51" s="62"/>
      <c r="AN51" s="62"/>
      <c r="AO51" s="62"/>
    </row>
    <row r="52">
      <c r="A52" s="59">
        <f>IFERROR(__xludf.DUMMYFUNCTION("QUERY('Volunteer Survey'!A57)"),43370.40420138889)</f>
        <v>43370.4042</v>
      </c>
      <c r="B52" s="60" t="s">
        <v>274</v>
      </c>
      <c r="C52" s="87">
        <v>43411.0</v>
      </c>
      <c r="D52" s="78"/>
      <c r="E52" s="60" t="s">
        <v>182</v>
      </c>
      <c r="F52" s="60" t="s">
        <v>182</v>
      </c>
      <c r="G52" s="60" t="s">
        <v>150</v>
      </c>
      <c r="H52" s="61"/>
      <c r="I52" s="63" t="s">
        <v>189</v>
      </c>
      <c r="J52" s="62"/>
      <c r="K52" s="62"/>
      <c r="L52" s="62" t="str">
        <f>IFERROR(__xludf.DUMMYFUNCTION("QUERY('Volunteer Survey'!B57)"),"Aysegul Ozanturk")</f>
        <v>Aysegul Ozanturk</v>
      </c>
      <c r="M52" s="62" t="str">
        <f>IFERROR(__xludf.DUMMYFUNCTION("QUERY('Volunteer Survey'!E57)"),"aozanturk@gmail.com")</f>
        <v>aozanturk@gmail.com</v>
      </c>
      <c r="N52" s="62" t="str">
        <f>IFERROR(__xludf.DUMMYFUNCTION("QUERY('Volunteer Survey'!F57)"),"Scientific Researcher, Variant Analyst/Scientist")</f>
        <v>Scientific Researcher, Variant Analyst/Scientist</v>
      </c>
      <c r="O52" s="60" t="str">
        <f>IFERROR(__xludf.DUMMYFUNCTION("QUERY('Volunteer Survey'!H57)"),"Comprehensive")</f>
        <v>Comprehensive</v>
      </c>
      <c r="P52" s="62" t="str">
        <f>IFERROR(__xludf.DUMMYFUNCTION("QUERY('Volunteer Survey'!I57)"),"Somatic Cancer")</f>
        <v>Somatic Cancer</v>
      </c>
      <c r="Q52" s="66" t="str">
        <f>IFERROR(__xludf.DUMMYFUNCTION("QUERY('Volunteer Survey'!J57)"),"Dosage Sensitivity")</f>
        <v>Dosage Sensitivity</v>
      </c>
      <c r="R52" s="62" t="str">
        <f>IFERROR(__xludf.DUMMYFUNCTION("QUERY('Volunteer Survey'!K57)"),"Clinical Actionability")</f>
        <v>Clinical Actionability</v>
      </c>
      <c r="S52" s="62" t="str">
        <f>IFERROR(__xludf.DUMMYFUNCTION("QUERY('Volunteer Survey'!L57)"),"")</f>
        <v/>
      </c>
      <c r="T52" s="62" t="str">
        <f>IFERROR(__xludf.DUMMYFUNCTION("QUERY('Volunteer Survey'!M57)"),"")</f>
        <v/>
      </c>
      <c r="U52" s="74" t="str">
        <f>IFERROR(__xludf.DUMMYFUNCTION("QUERY('Volunteer Survey'!N57)"),"yes")</f>
        <v>yes</v>
      </c>
      <c r="V52" s="62" t="str">
        <f>IFERROR(__xludf.DUMMYFUNCTION("QUERY('Volunteer Survey'!O57)"),"Possibly")</f>
        <v>Possibly</v>
      </c>
      <c r="W52" s="75" t="str">
        <f>IFERROR(__xludf.DUMMYFUNCTION("QUERY('Volunteer Survey'!P57)"),"I would say mostly rare disorders. I have an expertise on ciliary disorders/ Syndromic IDs/ inborn error of metabolic disorders. Happy to share my resume.")</f>
        <v>I would say mostly rare disorders. I have an expertise on ciliary disorders/ Syndromic IDs/ inborn error of metabolic disorders. Happy to share my resume.</v>
      </c>
      <c r="X52" s="74" t="str">
        <f>IFERROR(__xludf.DUMMYFUNCTION("QUERY('Volunteer Survey'!R57)"),"Yes- I am willing to volunteer with any available ClinGen group")</f>
        <v>Yes- I am willing to volunteer with any available ClinGen group</v>
      </c>
      <c r="Y52" s="61"/>
      <c r="Z52" s="67"/>
      <c r="AA52" s="62"/>
      <c r="AB52" s="62"/>
      <c r="AC52" s="62"/>
      <c r="AD52" s="62"/>
      <c r="AE52" s="62"/>
      <c r="AF52" s="62"/>
      <c r="AG52" s="62"/>
      <c r="AH52" s="62"/>
      <c r="AI52" s="62"/>
      <c r="AJ52" s="62"/>
      <c r="AK52" s="62"/>
      <c r="AL52" s="62"/>
      <c r="AM52" s="62"/>
      <c r="AN52" s="62"/>
      <c r="AO52" s="62"/>
    </row>
    <row r="53">
      <c r="A53" s="59">
        <f>IFERROR(__xludf.DUMMYFUNCTION("QUERY('Volunteer Survey'!A58)"),43382.413773148146)</f>
        <v>43382.41377</v>
      </c>
      <c r="B53" s="60" t="s">
        <v>178</v>
      </c>
      <c r="C53" s="87">
        <v>43411.0</v>
      </c>
      <c r="D53" s="78">
        <v>43476.0</v>
      </c>
      <c r="E53" s="60" t="s">
        <v>277</v>
      </c>
      <c r="F53" s="60" t="s">
        <v>182</v>
      </c>
      <c r="G53" s="60" t="s">
        <v>150</v>
      </c>
      <c r="H53" s="63" t="s">
        <v>305</v>
      </c>
      <c r="I53" s="63" t="s">
        <v>189</v>
      </c>
      <c r="J53" s="79">
        <v>43592.0</v>
      </c>
      <c r="K53" s="60" t="s">
        <v>287</v>
      </c>
      <c r="L53" s="62" t="str">
        <f>IFERROR(__xludf.DUMMYFUNCTION("QUERY('Volunteer Survey'!B58)"),"Kaylee Barber")</f>
        <v>Kaylee Barber</v>
      </c>
      <c r="M53" s="62" t="str">
        <f>IFERROR(__xludf.DUMMYFUNCTION("QUERY('Volunteer Survey'!E58)"),"kbarber@bioreference.com")</f>
        <v>kbarber@bioreference.com</v>
      </c>
      <c r="N53" s="62" t="str">
        <f>IFERROR(__xludf.DUMMYFUNCTION("QUERY('Volunteer Survey'!F58)"),"Genetic counselor")</f>
        <v>Genetic counselor</v>
      </c>
      <c r="O53" s="60" t="str">
        <f>IFERROR(__xludf.DUMMYFUNCTION("QUERY('Volunteer Survey'!H58)"),"Comprehensive")</f>
        <v>Comprehensive</v>
      </c>
      <c r="P53" s="62" t="str">
        <f>IFERROR(__xludf.DUMMYFUNCTION("QUERY('Volunteer Survey'!I58)"),"Somatic Cancer")</f>
        <v>Somatic Cancer</v>
      </c>
      <c r="Q53" s="66" t="str">
        <f>IFERROR(__xludf.DUMMYFUNCTION("QUERY('Volunteer Survey'!J58)"),"Clinical Actionability")</f>
        <v>Clinical Actionability</v>
      </c>
      <c r="R53" s="62" t="str">
        <f>IFERROR(__xludf.DUMMYFUNCTION("QUERY('Volunteer Survey'!K58)"),"Gene-Disease Validity")</f>
        <v>Gene-Disease Validity</v>
      </c>
      <c r="S53" s="62" t="str">
        <f>IFERROR(__xludf.DUMMYFUNCTION("QUERY('Volunteer Survey'!L58)"),"")</f>
        <v/>
      </c>
      <c r="T53" s="62" t="str">
        <f>IFERROR(__xludf.DUMMYFUNCTION("QUERY('Volunteer Survey'!M58)"),"")</f>
        <v/>
      </c>
      <c r="U53" s="74" t="str">
        <f>IFERROR(__xludf.DUMMYFUNCTION("QUERY('Volunteer Survey'!N58)"),"yes")</f>
        <v>yes</v>
      </c>
      <c r="V53" s="62" t="str">
        <f>IFERROR(__xludf.DUMMYFUNCTION("QUERY('Volunteer Survey'!O58)"),"Possibly")</f>
        <v>Possibly</v>
      </c>
      <c r="W53" s="75" t="str">
        <f>IFERROR(__xludf.DUMMYFUNCTION("QUERY('Volunteer Survey'!P58)"),"Somatic Cancer Working Group, Somatic/Germline Variant Curation Group")</f>
        <v>Somatic Cancer Working Group, Somatic/Germline Variant Curation Group</v>
      </c>
      <c r="X53" s="74" t="str">
        <f>IFERROR(__xludf.DUMMYFUNCTION("QUERY('Volunteer Survey'!R58)"),"No - I am only interested in the group(s) I previously indicated")</f>
        <v>No - I am only interested in the group(s) I previously indicated</v>
      </c>
      <c r="Y53" s="91" t="s">
        <v>298</v>
      </c>
      <c r="Z53" s="67"/>
      <c r="AA53" s="62"/>
      <c r="AB53" s="62"/>
      <c r="AC53" s="62"/>
      <c r="AD53" s="62"/>
      <c r="AE53" s="62"/>
      <c r="AF53" s="62"/>
      <c r="AG53" s="62"/>
      <c r="AH53" s="62"/>
      <c r="AI53" s="62"/>
      <c r="AJ53" s="62"/>
      <c r="AK53" s="62"/>
      <c r="AL53" s="62"/>
      <c r="AM53" s="62"/>
      <c r="AN53" s="62"/>
      <c r="AO53" s="62"/>
    </row>
    <row r="54">
      <c r="A54" s="59">
        <f>IFERROR(__xludf.DUMMYFUNCTION("QUERY('Volunteer Survey'!A59)"),43395.41673611111)</f>
        <v>43395.41674</v>
      </c>
      <c r="B54" s="60" t="s">
        <v>282</v>
      </c>
      <c r="C54" s="87">
        <v>43411.0</v>
      </c>
      <c r="D54" s="78">
        <v>43476.0</v>
      </c>
      <c r="E54" s="60" t="s">
        <v>277</v>
      </c>
      <c r="F54" s="60" t="s">
        <v>182</v>
      </c>
      <c r="G54" s="60" t="s">
        <v>150</v>
      </c>
      <c r="H54" s="63" t="s">
        <v>308</v>
      </c>
      <c r="I54" s="63" t="s">
        <v>189</v>
      </c>
      <c r="J54" s="79">
        <v>43592.0</v>
      </c>
      <c r="K54" s="79">
        <v>43713.0</v>
      </c>
      <c r="L54" s="62" t="str">
        <f>IFERROR(__xludf.DUMMYFUNCTION("QUERY('Volunteer Survey'!B59)"),"Wan-Hsin Lin")</f>
        <v>Wan-Hsin Lin</v>
      </c>
      <c r="M54" s="62" t="str">
        <f>IFERROR(__xludf.DUMMYFUNCTION("QUERY('Volunteer Survey'!E59)"),"lin.wanhsin@mayo.edu")</f>
        <v>lin.wanhsin@mayo.edu</v>
      </c>
      <c r="N54" s="62" t="str">
        <f>IFERROR(__xludf.DUMMYFUNCTION("QUERY('Volunteer Survey'!F59)"),"Post Doc/Resident/Fellow (MD and/or PhD)")</f>
        <v>Post Doc/Resident/Fellow (MD and/or PhD)</v>
      </c>
      <c r="O54" s="60" t="str">
        <f>IFERROR(__xludf.DUMMYFUNCTION("QUERY('Volunteer Survey'!H59)"),"Comprehensive")</f>
        <v>Comprehensive</v>
      </c>
      <c r="P54" s="62" t="str">
        <f>IFERROR(__xludf.DUMMYFUNCTION("QUERY('Volunteer Survey'!I59)"),"Somatic Cancer")</f>
        <v>Somatic Cancer</v>
      </c>
      <c r="Q54" s="66" t="str">
        <f>IFERROR(__xludf.DUMMYFUNCTION("QUERY('Volunteer Survey'!J59)"),"Variant Pathogenicity")</f>
        <v>Variant Pathogenicity</v>
      </c>
      <c r="R54" s="62" t="str">
        <f>IFERROR(__xludf.DUMMYFUNCTION("QUERY('Volunteer Survey'!K59)"),"Clinical Actionability")</f>
        <v>Clinical Actionability</v>
      </c>
      <c r="S54" s="62" t="str">
        <f>IFERROR(__xludf.DUMMYFUNCTION("QUERY('Volunteer Survey'!L59)"),"Gene-Disease Validity")</f>
        <v>Gene-Disease Validity</v>
      </c>
      <c r="T54" s="62" t="str">
        <f>IFERROR(__xludf.DUMMYFUNCTION("QUERY('Volunteer Survey'!M59)"),"")</f>
        <v/>
      </c>
      <c r="U54" s="74" t="str">
        <f>IFERROR(__xludf.DUMMYFUNCTION("QUERY('Volunteer Survey'!N59)"),"no")</f>
        <v>no</v>
      </c>
      <c r="V54" s="62" t="str">
        <f>IFERROR(__xludf.DUMMYFUNCTION("QUERY('Volunteer Survey'!O59)"),"Possibly")</f>
        <v>Possibly</v>
      </c>
      <c r="W54" s="75" t="str">
        <f>IFERROR(__xludf.DUMMYFUNCTION("QUERY('Volunteer Survey'!P59)"),"The Expert Panels/Working Groups that I am interested in are listed below. 1. ""Clinical Domain Working Groups""-Hereditary Cancer CDWG: Hereditary Cancer Gene Curation Expert Panel, Myeloid Malignancy Variant Curation Expert Panel, Somatic/Germline Varia"&amp;"nt Curation Group. 2. Gene Curation Working Group 3. Somatic Cancer Working Group")</f>
        <v>The Expert Panels/Working Groups that I am interested in are listed below. 1. "Clinical Domain Working Groups"-Hereditary Cancer CDWG: Hereditary Cancer Gene Curation Expert Panel, Myeloid Malignancy Variant Curation Expert Panel, Somatic/Germline Variant Curation Group. 2. Gene Curation Working Group 3. Somatic Cancer Working Group</v>
      </c>
      <c r="X54" s="74" t="str">
        <f>IFERROR(__xludf.DUMMYFUNCTION("QUERY('Volunteer Survey'!R59)"),"Maybe -- please contact me with other options, and I will decide based on what is available")</f>
        <v>Maybe -- please contact me with other options, and I will decide based on what is available</v>
      </c>
      <c r="Y54" s="61"/>
      <c r="Z54" s="67"/>
      <c r="AA54" s="62"/>
      <c r="AB54" s="62"/>
      <c r="AC54" s="62"/>
      <c r="AD54" s="62"/>
      <c r="AE54" s="62"/>
      <c r="AF54" s="62"/>
      <c r="AG54" s="62"/>
      <c r="AH54" s="62"/>
      <c r="AI54" s="62"/>
      <c r="AJ54" s="62"/>
      <c r="AK54" s="62"/>
      <c r="AL54" s="62"/>
      <c r="AM54" s="62"/>
      <c r="AN54" s="62"/>
      <c r="AO54" s="62"/>
    </row>
    <row r="55" ht="20.25" customHeight="1">
      <c r="A55" s="59">
        <f>IFERROR(__xludf.DUMMYFUNCTION("QUERY('Volunteer Survey'!A60)"),43398.4188425926)</f>
        <v>43398.41884</v>
      </c>
      <c r="B55" s="60" t="s">
        <v>274</v>
      </c>
      <c r="C55" s="87">
        <v>43411.0</v>
      </c>
      <c r="D55" s="78">
        <v>43476.0</v>
      </c>
      <c r="E55" s="60" t="s">
        <v>277</v>
      </c>
      <c r="F55" s="60" t="s">
        <v>182</v>
      </c>
      <c r="G55" s="60" t="s">
        <v>150</v>
      </c>
      <c r="H55" s="63" t="s">
        <v>306</v>
      </c>
      <c r="I55" s="63" t="s">
        <v>189</v>
      </c>
      <c r="J55" s="79">
        <v>43592.0</v>
      </c>
      <c r="K55" s="79">
        <v>43713.0</v>
      </c>
      <c r="L55" s="62" t="str">
        <f>IFERROR(__xludf.DUMMYFUNCTION("QUERY('Volunteer Survey'!B60)"),"Stefan Rentas")</f>
        <v>Stefan Rentas</v>
      </c>
      <c r="M55" s="62" t="str">
        <f>IFERROR(__xludf.DUMMYFUNCTION("QUERY('Volunteer Survey'!E60)"),"rentass@email.chop.edu")</f>
        <v>rentass@email.chop.edu</v>
      </c>
      <c r="N55" s="62" t="str">
        <f>IFERROR(__xludf.DUMMYFUNCTION("QUERY('Volunteer Survey'!F60)"),"Post Doc/Resident/Fellow (MD and/or PhD)")</f>
        <v>Post Doc/Resident/Fellow (MD and/or PhD)</v>
      </c>
      <c r="O55" s="60" t="str">
        <f>IFERROR(__xludf.DUMMYFUNCTION("QUERY('Volunteer Survey'!H60)"),"Comprehensive")</f>
        <v>Comprehensive</v>
      </c>
      <c r="P55" s="62" t="str">
        <f>IFERROR(__xludf.DUMMYFUNCTION("QUERY('Volunteer Survey'!I60)"),"Somatic Cancer")</f>
        <v>Somatic Cancer</v>
      </c>
      <c r="Q55" s="66" t="str">
        <f>IFERROR(__xludf.DUMMYFUNCTION("QUERY('Volunteer Survey'!J60)"),"Dosage Sensitivity")</f>
        <v>Dosage Sensitivity</v>
      </c>
      <c r="R55" s="62" t="str">
        <f>IFERROR(__xludf.DUMMYFUNCTION("QUERY('Volunteer Survey'!K60)"),"Gene-Disease Validity")</f>
        <v>Gene-Disease Validity</v>
      </c>
      <c r="S55" s="62" t="str">
        <f>IFERROR(__xludf.DUMMYFUNCTION("QUERY('Volunteer Survey'!L60)"),"Variant Pathogenicity")</f>
        <v>Variant Pathogenicity</v>
      </c>
      <c r="T55" s="62" t="str">
        <f>IFERROR(__xludf.DUMMYFUNCTION("QUERY('Volunteer Survey'!M60)"),"Clinical Actionability")</f>
        <v>Clinical Actionability</v>
      </c>
      <c r="U55" s="74" t="str">
        <f>IFERROR(__xludf.DUMMYFUNCTION("QUERY('Volunteer Survey'!N60)"),"yes")</f>
        <v>yes</v>
      </c>
      <c r="V55" s="62" t="str">
        <f>IFERROR(__xludf.DUMMYFUNCTION("QUERY('Volunteer Survey'!O60)"),"Possibly")</f>
        <v>Possibly</v>
      </c>
      <c r="W55" s="75" t="str">
        <f>IFERROR(__xludf.DUMMYFUNCTION("QUERY('Volunteer Survey'!P60)"),"As a current trainee in laboratory genomics I think it would be a fantastic experience to get involved in the ClinGen community. I have interest in assisting and volunteering with the Hereditary Cancer Gene Curation Expert Panel, Somatic/Germline Variant "&amp;"Curation Group, Myeloid Malignancy Variant Curation Expert Panel, or the Dosage Sensitivity Curation team.")</f>
        <v>As a current trainee in laboratory genomics I think it would be a fantastic experience to get involved in the ClinGen community. I have interest in assisting and volunteering with the Hereditary Cancer Gene Curation Expert Panel, Somatic/Germline Variant Curation Group, Myeloid Malignancy Variant Curation Expert Panel, or the Dosage Sensitivity Curation team.</v>
      </c>
      <c r="X55" s="74" t="str">
        <f>IFERROR(__xludf.DUMMYFUNCTION("QUERY('Volunteer Survey'!R60)"),"Maybe -- please contact me with other options, and I will decide based on what is available")</f>
        <v>Maybe -- please contact me with other options, and I will decide based on what is available</v>
      </c>
      <c r="Y55" s="91" t="s">
        <v>307</v>
      </c>
      <c r="Z55" s="67"/>
      <c r="AA55" s="62"/>
      <c r="AB55" s="62"/>
      <c r="AC55" s="62"/>
      <c r="AD55" s="62"/>
      <c r="AE55" s="62"/>
      <c r="AF55" s="62"/>
      <c r="AG55" s="62"/>
      <c r="AH55" s="62"/>
      <c r="AI55" s="62"/>
      <c r="AJ55" s="62"/>
      <c r="AK55" s="62"/>
      <c r="AL55" s="62"/>
      <c r="AM55" s="62"/>
      <c r="AN55" s="62"/>
      <c r="AO55" s="62"/>
    </row>
    <row r="56">
      <c r="A56" s="59">
        <f>IFERROR(__xludf.DUMMYFUNCTION("QUERY('Volunteer Survey'!A61)"),43414.42046296297)</f>
        <v>43414.42046</v>
      </c>
      <c r="B56" s="60" t="s">
        <v>274</v>
      </c>
      <c r="C56" s="80">
        <v>43434.0</v>
      </c>
      <c r="D56" s="78"/>
      <c r="E56" s="60" t="s">
        <v>182</v>
      </c>
      <c r="F56" s="60" t="s">
        <v>182</v>
      </c>
      <c r="G56" s="60" t="s">
        <v>150</v>
      </c>
      <c r="H56" s="61"/>
      <c r="I56" s="63" t="s">
        <v>189</v>
      </c>
      <c r="J56" s="62"/>
      <c r="K56" s="62"/>
      <c r="L56" s="62" t="str">
        <f>IFERROR(__xludf.DUMMYFUNCTION("QUERY('Volunteer Survey'!B61)"),"Willonie Mendonca")</f>
        <v>Willonie Mendonca</v>
      </c>
      <c r="M56" s="62" t="str">
        <f>IFERROR(__xludf.DUMMYFUNCTION("QUERY('Volunteer Survey'!E61)"),"willonie@gmail.com")</f>
        <v>willonie@gmail.com</v>
      </c>
      <c r="N56" s="62" t="str">
        <f>IFERROR(__xludf.DUMMYFUNCTION("QUERY('Volunteer Survey'!F61)"),"Genetic counselor")</f>
        <v>Genetic counselor</v>
      </c>
      <c r="O56" s="60" t="str">
        <f>IFERROR(__xludf.DUMMYFUNCTION("QUERY('Volunteer Survey'!H61)"),"Comprehensive")</f>
        <v>Comprehensive</v>
      </c>
      <c r="P56" s="62" t="str">
        <f>IFERROR(__xludf.DUMMYFUNCTION("QUERY('Volunteer Survey'!I61)"),"Somatic Cancer")</f>
        <v>Somatic Cancer</v>
      </c>
      <c r="Q56" s="66" t="str">
        <f>IFERROR(__xludf.DUMMYFUNCTION("QUERY('Volunteer Survey'!J61)"),"Variant Pathogenicity")</f>
        <v>Variant Pathogenicity</v>
      </c>
      <c r="R56" s="62" t="str">
        <f>IFERROR(__xludf.DUMMYFUNCTION("QUERY('Volunteer Survey'!K61)"),"Clinical Actionability")</f>
        <v>Clinical Actionability</v>
      </c>
      <c r="S56" s="62" t="str">
        <f>IFERROR(__xludf.DUMMYFUNCTION("QUERY('Volunteer Survey'!L61)"),"Gene-Disease Validity")</f>
        <v>Gene-Disease Validity</v>
      </c>
      <c r="T56" s="62" t="str">
        <f>IFERROR(__xludf.DUMMYFUNCTION("QUERY('Volunteer Survey'!M61)"),"Dosage Sensitivity")</f>
        <v>Dosage Sensitivity</v>
      </c>
      <c r="U56" s="74" t="str">
        <f>IFERROR(__xludf.DUMMYFUNCTION("QUERY('Volunteer Survey'!N61)"),"yes")</f>
        <v>yes</v>
      </c>
      <c r="V56" s="62" t="str">
        <f>IFERROR(__xludf.DUMMYFUNCTION("QUERY('Volunteer Survey'!O61)"),"Possibly")</f>
        <v>Possibly</v>
      </c>
      <c r="W56" s="75" t="str">
        <f>IFERROR(__xludf.DUMMYFUNCTION("QUERY('Volunteer Survey'!P61)"),"Somatic cancer working groupHereditary cancer working group")</f>
        <v>Somatic cancer working groupHereditary cancer working group</v>
      </c>
      <c r="X56" s="74" t="str">
        <f>IFERROR(__xludf.DUMMYFUNCTION("QUERY('Volunteer Survey'!R61)"),"Maybe -- please contact me with other options, and I will decide based on what is available")</f>
        <v>Maybe -- please contact me with other options, and I will decide based on what is available</v>
      </c>
      <c r="Y56" s="61"/>
      <c r="Z56" s="67"/>
      <c r="AA56" s="62"/>
      <c r="AB56" s="62"/>
      <c r="AC56" s="62"/>
      <c r="AD56" s="62"/>
      <c r="AE56" s="62"/>
      <c r="AF56" s="62"/>
      <c r="AG56" s="62"/>
      <c r="AH56" s="62"/>
      <c r="AI56" s="62"/>
      <c r="AJ56" s="62"/>
      <c r="AK56" s="62"/>
      <c r="AL56" s="62"/>
      <c r="AM56" s="62"/>
      <c r="AN56" s="62"/>
      <c r="AO56" s="62"/>
    </row>
    <row r="57" ht="18.75" customHeight="1">
      <c r="A57" s="59">
        <f>IFERROR(__xludf.DUMMYFUNCTION("QUERY('Volunteer Survey'!A62)"),43422.42162037037)</f>
        <v>43422.42162</v>
      </c>
      <c r="B57" s="60" t="s">
        <v>274</v>
      </c>
      <c r="C57" s="80">
        <v>43434.0</v>
      </c>
      <c r="D57" s="78">
        <v>43476.0</v>
      </c>
      <c r="E57" s="60" t="s">
        <v>277</v>
      </c>
      <c r="F57" s="60" t="s">
        <v>182</v>
      </c>
      <c r="G57" s="60" t="s">
        <v>150</v>
      </c>
      <c r="H57" s="63" t="s">
        <v>305</v>
      </c>
      <c r="I57" s="63" t="s">
        <v>189</v>
      </c>
      <c r="J57" s="79">
        <v>43592.0</v>
      </c>
      <c r="K57" s="60" t="s">
        <v>287</v>
      </c>
      <c r="L57" s="62" t="str">
        <f>IFERROR(__xludf.DUMMYFUNCTION("QUERY('Volunteer Survey'!B62)"),"Iman Haroun")</f>
        <v>Iman Haroun</v>
      </c>
      <c r="M57" s="62" t="str">
        <f>IFERROR(__xludf.DUMMYFUNCTION("QUERY('Volunteer Survey'!E62)"),"iman.haroun@readinghealth.org")</f>
        <v>iman.haroun@readinghealth.org</v>
      </c>
      <c r="N57" s="62" t="str">
        <f>IFERROR(__xludf.DUMMYFUNCTION("QUERY('Volunteer Survey'!F62)"),"Genetic counselor")</f>
        <v>Genetic counselor</v>
      </c>
      <c r="O57" s="60" t="str">
        <f>IFERROR(__xludf.DUMMYFUNCTION("QUERY('Volunteer Survey'!H62)"),"Comprehensive")</f>
        <v>Comprehensive</v>
      </c>
      <c r="P57" s="62" t="str">
        <f>IFERROR(__xludf.DUMMYFUNCTION("QUERY('Volunteer Survey'!I62)"),"Somatic Cancer")</f>
        <v>Somatic Cancer</v>
      </c>
      <c r="Q57" s="66" t="str">
        <f>IFERROR(__xludf.DUMMYFUNCTION("QUERY('Volunteer Survey'!J62)"),"Variant Pathogenicity")</f>
        <v>Variant Pathogenicity</v>
      </c>
      <c r="R57" s="62" t="str">
        <f>IFERROR(__xludf.DUMMYFUNCTION("QUERY('Volunteer Survey'!K62)"),"Gene-Disease Validity")</f>
        <v>Gene-Disease Validity</v>
      </c>
      <c r="S57" s="62" t="str">
        <f>IFERROR(__xludf.DUMMYFUNCTION("QUERY('Volunteer Survey'!L62)"),"Dosage Sensitivity")</f>
        <v>Dosage Sensitivity</v>
      </c>
      <c r="T57" s="62" t="str">
        <f>IFERROR(__xludf.DUMMYFUNCTION("QUERY('Volunteer Survey'!M62)"),"")</f>
        <v/>
      </c>
      <c r="U57" s="74" t="str">
        <f>IFERROR(__xludf.DUMMYFUNCTION("QUERY('Volunteer Survey'!N62)"),"No")</f>
        <v>No</v>
      </c>
      <c r="V57" s="62" t="str">
        <f>IFERROR(__xludf.DUMMYFUNCTION("QUERY('Volunteer Survey'!O62)"),"Possibly")</f>
        <v>Possibly</v>
      </c>
      <c r="W57" s="75" t="str">
        <f>IFERROR(__xludf.DUMMYFUNCTION("QUERY('Volunteer Survey'!P62)"),"Somatic Cancer, Pancreatic")</f>
        <v>Somatic Cancer, Pancreatic</v>
      </c>
      <c r="X57" s="74" t="str">
        <f>IFERROR(__xludf.DUMMYFUNCTION("QUERY('Volunteer Survey'!R62)"),"Yes- I am willing to volunteer with any available ClinGen group")</f>
        <v>Yes- I am willing to volunteer with any available ClinGen group</v>
      </c>
      <c r="Y57" s="61"/>
      <c r="Z57" s="67"/>
      <c r="AA57" s="62"/>
      <c r="AB57" s="62"/>
      <c r="AC57" s="62"/>
      <c r="AD57" s="62"/>
      <c r="AE57" s="62"/>
      <c r="AF57" s="62"/>
      <c r="AG57" s="62"/>
      <c r="AH57" s="62"/>
      <c r="AI57" s="62"/>
      <c r="AJ57" s="62"/>
      <c r="AK57" s="62"/>
      <c r="AL57" s="62"/>
      <c r="AM57" s="62"/>
      <c r="AN57" s="62"/>
      <c r="AO57" s="62"/>
    </row>
    <row r="58">
      <c r="A58" s="59">
        <f>IFERROR(__xludf.DUMMYFUNCTION("QUERY('Volunteer Survey'!A63)"),43357.42855324074)</f>
        <v>43357.42855</v>
      </c>
      <c r="B58" s="60" t="s">
        <v>274</v>
      </c>
      <c r="C58" s="87">
        <v>43439.0</v>
      </c>
      <c r="D58" s="62"/>
      <c r="E58" s="60" t="s">
        <v>182</v>
      </c>
      <c r="F58" s="60" t="s">
        <v>182</v>
      </c>
      <c r="G58" s="60" t="s">
        <v>288</v>
      </c>
      <c r="H58" s="61"/>
      <c r="I58" s="63" t="s">
        <v>189</v>
      </c>
      <c r="J58" s="62"/>
      <c r="K58" s="62"/>
      <c r="L58" s="62" t="str">
        <f>IFERROR(__xludf.DUMMYFUNCTION("QUERY('Volunteer Survey'!B63)"),"Daniel Bellissimo")</f>
        <v>Daniel Bellissimo</v>
      </c>
      <c r="M58" s="62" t="str">
        <f>IFERROR(__xludf.DUMMYFUNCTION("QUERY('Volunteer Survey'!E63)"),"BELLISSIMOD@MAIL.MAGEE.EDU")</f>
        <v>BELLISSIMOD@MAIL.MAGEE.EDU</v>
      </c>
      <c r="N58" s="62" t="str">
        <f>IFERROR(__xludf.DUMMYFUNCTION("QUERY('Volunteer Survey'!F63)"),"Clinical laboratory geneticist")</f>
        <v>Clinical laboratory geneticist</v>
      </c>
      <c r="O58" s="60" t="str">
        <f>IFERROR(__xludf.DUMMYFUNCTION("QUERY('Volunteer Survey'!H63)"),"Comprehensive")</f>
        <v>Comprehensive</v>
      </c>
      <c r="P58" s="62" t="str">
        <f>IFERROR(__xludf.DUMMYFUNCTION("QUERY('Volunteer Survey'!I63)"),"Variant Pathogenicity")</f>
        <v>Variant Pathogenicity</v>
      </c>
      <c r="Q58" s="66" t="str">
        <f>IFERROR(__xludf.DUMMYFUNCTION("QUERY('Volunteer Survey'!J63)"),"Gene-Disease Validity")</f>
        <v>Gene-Disease Validity</v>
      </c>
      <c r="R58" s="62" t="str">
        <f>IFERROR(__xludf.DUMMYFUNCTION("QUERY('Volunteer Survey'!K63)"),"Clinical Actionability")</f>
        <v>Clinical Actionability</v>
      </c>
      <c r="S58" s="62" t="str">
        <f>IFERROR(__xludf.DUMMYFUNCTION("QUERY('Volunteer Survey'!L63)"),"Dosage Sensitivity")</f>
        <v>Dosage Sensitivity</v>
      </c>
      <c r="T58" s="62" t="str">
        <f>IFERROR(__xludf.DUMMYFUNCTION("QUERY('Volunteer Survey'!M63)"),"Somatic Cancer")</f>
        <v>Somatic Cancer</v>
      </c>
      <c r="U58" s="74" t="str">
        <f>IFERROR(__xludf.DUMMYFUNCTION("QUERY('Volunteer Survey'!N63)"),"yes")</f>
        <v>yes</v>
      </c>
      <c r="V58" s="62" t="str">
        <f>IFERROR(__xludf.DUMMYFUNCTION("QUERY('Volunteer Survey'!O63)"),"No")</f>
        <v>No</v>
      </c>
      <c r="W58" s="75" t="str">
        <f>IFERROR(__xludf.DUMMYFUNCTION("QUERY('Volunteer Survey'!P63)"),"I was told work groups were being formed for Platelet/Bleeding Disorders and VWD. I would be interested in those work groups.")</f>
        <v>I was told work groups were being formed for Platelet/Bleeding Disorders and VWD. I would be interested in those work groups.</v>
      </c>
      <c r="X58" s="74" t="str">
        <f>IFERROR(__xludf.DUMMYFUNCTION("QUERY('Volunteer Survey'!R63)"),"Maybe -- please contact me with other options, and I will decide based on what is available")</f>
        <v>Maybe -- please contact me with other options, and I will decide based on what is available</v>
      </c>
      <c r="Y58" s="61"/>
      <c r="Z58" s="67"/>
      <c r="AA58" s="62"/>
      <c r="AB58" s="62"/>
      <c r="AC58" s="62"/>
      <c r="AD58" s="62"/>
      <c r="AE58" s="62"/>
      <c r="AF58" s="62"/>
      <c r="AG58" s="62"/>
      <c r="AH58" s="62"/>
      <c r="AI58" s="62"/>
      <c r="AJ58" s="62"/>
      <c r="AK58" s="62"/>
      <c r="AL58" s="62"/>
      <c r="AM58" s="62"/>
      <c r="AN58" s="62"/>
      <c r="AO58" s="62"/>
    </row>
    <row r="59">
      <c r="A59" s="59">
        <f>IFERROR(__xludf.DUMMYFUNCTION("QUERY('Volunteer Survey'!A64)"),43332.43167824074)</f>
        <v>43332.43168</v>
      </c>
      <c r="B59" s="60" t="s">
        <v>275</v>
      </c>
      <c r="C59" s="87">
        <v>43439.0</v>
      </c>
      <c r="D59" s="62"/>
      <c r="E59" s="60" t="s">
        <v>182</v>
      </c>
      <c r="F59" s="60" t="s">
        <v>182</v>
      </c>
      <c r="G59" s="60" t="s">
        <v>288</v>
      </c>
      <c r="H59" s="61"/>
      <c r="I59" s="63" t="s">
        <v>189</v>
      </c>
      <c r="J59" s="62"/>
      <c r="K59" s="62"/>
      <c r="L59" s="62" t="str">
        <f>IFERROR(__xludf.DUMMYFUNCTION("QUERY('Volunteer Survey'!B64)"),"Alexa Dickson ")</f>
        <v>Alexa Dickson </v>
      </c>
      <c r="M59" s="62" t="str">
        <f>IFERROR(__xludf.DUMMYFUNCTION("QUERY('Volunteer Survey'!E64)"),"alexa.dickson@aruplab.com")</f>
        <v>alexa.dickson@aruplab.com</v>
      </c>
      <c r="N59" s="62" t="str">
        <f>IFERROR(__xludf.DUMMYFUNCTION("QUERY('Volunteer Survey'!F64)"),"Clinical laboratory geneticist")</f>
        <v>Clinical laboratory geneticist</v>
      </c>
      <c r="O59" s="60" t="str">
        <f>IFERROR(__xludf.DUMMYFUNCTION("QUERY('Volunteer Survey'!H64)"),"Comprehensive")</f>
        <v>Comprehensive</v>
      </c>
      <c r="P59" s="62" t="str">
        <f>IFERROR(__xludf.DUMMYFUNCTION("QUERY('Volunteer Survey'!I64)"),"Variant Pathogenicity")</f>
        <v>Variant Pathogenicity</v>
      </c>
      <c r="Q59" s="66" t="str">
        <f>IFERROR(__xludf.DUMMYFUNCTION("QUERY('Volunteer Survey'!J64)"),"Gene-Disease Validity")</f>
        <v>Gene-Disease Validity</v>
      </c>
      <c r="R59" s="62" t="str">
        <f>IFERROR(__xludf.DUMMYFUNCTION("QUERY('Volunteer Survey'!K64)"),"Clinical Actionability")</f>
        <v>Clinical Actionability</v>
      </c>
      <c r="S59" s="62" t="str">
        <f>IFERROR(__xludf.DUMMYFUNCTION("QUERY('Volunteer Survey'!L64)"),"Dosage Sensitivity")</f>
        <v>Dosage Sensitivity</v>
      </c>
      <c r="T59" s="62" t="str">
        <f>IFERROR(__xludf.DUMMYFUNCTION("QUERY('Volunteer Survey'!M64)"),"Somatic Cancer")</f>
        <v>Somatic Cancer</v>
      </c>
      <c r="U59" s="74" t="str">
        <f>IFERROR(__xludf.DUMMYFUNCTION("QUERY('Volunteer Survey'!N64)"),"yes")</f>
        <v>yes</v>
      </c>
      <c r="V59" s="62" t="str">
        <f>IFERROR(__xludf.DUMMYFUNCTION("QUERY('Volunteer Survey'!O64)"),"Yes")</f>
        <v>Yes</v>
      </c>
      <c r="W59" s="75" t="str">
        <f>IFERROR(__xludf.DUMMYFUNCTION("QUERY('Volunteer Survey'!P64)"),"retinal disease working group")</f>
        <v>retinal disease working group</v>
      </c>
      <c r="X59" s="74" t="str">
        <f>IFERROR(__xludf.DUMMYFUNCTION("QUERY('Volunteer Survey'!R64)"),"Yes- I am willing to volunteer with any available ClinGen group")</f>
        <v>Yes- I am willing to volunteer with any available ClinGen group</v>
      </c>
      <c r="Y59" s="61"/>
      <c r="Z59" s="67"/>
      <c r="AA59" s="62"/>
      <c r="AB59" s="62"/>
      <c r="AC59" s="62"/>
      <c r="AD59" s="62"/>
      <c r="AE59" s="62"/>
      <c r="AF59" s="62"/>
      <c r="AG59" s="62"/>
      <c r="AH59" s="62"/>
      <c r="AI59" s="62"/>
      <c r="AJ59" s="62"/>
      <c r="AK59" s="62"/>
      <c r="AL59" s="62"/>
      <c r="AM59" s="62"/>
      <c r="AN59" s="62"/>
      <c r="AO59" s="62"/>
    </row>
    <row r="60">
      <c r="A60" s="59">
        <f>IFERROR(__xludf.DUMMYFUNCTION("QUERY('Volunteer Survey'!A65)"),43334.433587962965)</f>
        <v>43334.43359</v>
      </c>
      <c r="B60" s="60" t="s">
        <v>274</v>
      </c>
      <c r="C60" s="87">
        <v>43439.0</v>
      </c>
      <c r="D60" s="82">
        <v>43605.0</v>
      </c>
      <c r="E60" s="60" t="s">
        <v>277</v>
      </c>
      <c r="F60" s="60" t="s">
        <v>277</v>
      </c>
      <c r="G60" s="60" t="s">
        <v>288</v>
      </c>
      <c r="H60" s="61"/>
      <c r="I60" s="63" t="s">
        <v>189</v>
      </c>
      <c r="J60" s="62"/>
      <c r="K60" s="62"/>
      <c r="L60" s="62" t="str">
        <f>IFERROR(__xludf.DUMMYFUNCTION("QUERY('Volunteer Survey'!B65)"),"Luke Drury")</f>
        <v>Luke Drury</v>
      </c>
      <c r="M60" s="62" t="str">
        <f>IFERROR(__xludf.DUMMYFUNCTION("QUERY('Volunteer Survey'!E65)"),"luke.drury@preventiongenetics.com")</f>
        <v>luke.drury@preventiongenetics.com</v>
      </c>
      <c r="N60" s="62" t="str">
        <f>IFERROR(__xludf.DUMMYFUNCTION("QUERY('Volunteer Survey'!F65)"),"Variant Analyst/Scientist")</f>
        <v>Variant Analyst/Scientist</v>
      </c>
      <c r="O60" s="60" t="str">
        <f>IFERROR(__xludf.DUMMYFUNCTION("QUERY('Volunteer Survey'!H65)"),"Comprehensive")</f>
        <v>Comprehensive</v>
      </c>
      <c r="P60" s="62" t="str">
        <f>IFERROR(__xludf.DUMMYFUNCTION("QUERY('Volunteer Survey'!I65)"),"Variant Pathogenicity")</f>
        <v>Variant Pathogenicity</v>
      </c>
      <c r="Q60" s="66" t="str">
        <f>IFERROR(__xludf.DUMMYFUNCTION("QUERY('Volunteer Survey'!J65)"),"Gene-Disease Validity")</f>
        <v>Gene-Disease Validity</v>
      </c>
      <c r="R60" s="62" t="str">
        <f>IFERROR(__xludf.DUMMYFUNCTION("QUERY('Volunteer Survey'!K65)"),"Clinical Actionability")</f>
        <v>Clinical Actionability</v>
      </c>
      <c r="S60" s="62" t="str">
        <f>IFERROR(__xludf.DUMMYFUNCTION("QUERY('Volunteer Survey'!L65)"),"Dosage Sensitivity")</f>
        <v>Dosage Sensitivity</v>
      </c>
      <c r="T60" s="62" t="str">
        <f>IFERROR(__xludf.DUMMYFUNCTION("QUERY('Volunteer Survey'!M65)"),"Somatic Cancer")</f>
        <v>Somatic Cancer</v>
      </c>
      <c r="U60" s="74" t="str">
        <f>IFERROR(__xludf.DUMMYFUNCTION("QUERY('Volunteer Survey'!N65)"),"yes")</f>
        <v>yes</v>
      </c>
      <c r="V60" s="62" t="str">
        <f>IFERROR(__xludf.DUMMYFUNCTION("QUERY('Volunteer Survey'!O65)"),"No")</f>
        <v>No</v>
      </c>
      <c r="W60" s="75" t="str">
        <f>IFERROR(__xludf.DUMMYFUNCTION("QUERY('Volunteer Survey'!P65)"),"any WG")</f>
        <v>any WG</v>
      </c>
      <c r="X60" s="74" t="str">
        <f>IFERROR(__xludf.DUMMYFUNCTION("QUERY('Volunteer Survey'!R65)"),"Maybe -- please contact me with other options, and I will decide based on what is available")</f>
        <v>Maybe -- please contact me with other options, and I will decide based on what is available</v>
      </c>
      <c r="Y60" s="61"/>
      <c r="Z60" s="67"/>
      <c r="AA60" s="62"/>
      <c r="AB60" s="62"/>
      <c r="AC60" s="62"/>
      <c r="AD60" s="62"/>
      <c r="AE60" s="62"/>
      <c r="AF60" s="62"/>
      <c r="AG60" s="62"/>
      <c r="AH60" s="62"/>
      <c r="AI60" s="62"/>
      <c r="AJ60" s="62"/>
      <c r="AK60" s="62"/>
      <c r="AL60" s="62"/>
      <c r="AM60" s="62"/>
      <c r="AN60" s="62"/>
      <c r="AO60" s="62"/>
    </row>
    <row r="61">
      <c r="A61" s="59">
        <f>IFERROR(__xludf.DUMMYFUNCTION("QUERY('Volunteer Survey'!A66)"),43336.43583333334)</f>
        <v>43336.43583</v>
      </c>
      <c r="B61" s="60" t="s">
        <v>282</v>
      </c>
      <c r="C61" s="87">
        <v>43439.0</v>
      </c>
      <c r="D61" s="82">
        <v>43605.0</v>
      </c>
      <c r="E61" s="60" t="s">
        <v>277</v>
      </c>
      <c r="F61" s="60" t="s">
        <v>277</v>
      </c>
      <c r="G61" s="60" t="s">
        <v>288</v>
      </c>
      <c r="H61" s="63" t="s">
        <v>309</v>
      </c>
      <c r="I61" s="63" t="s">
        <v>189</v>
      </c>
      <c r="J61" s="79">
        <v>43712.0</v>
      </c>
      <c r="K61" s="79"/>
      <c r="L61" s="62" t="str">
        <f>IFERROR(__xludf.DUMMYFUNCTION("QUERY('Volunteer Survey'!B66)"),"Lynne Rosenblum")</f>
        <v>Lynne Rosenblum</v>
      </c>
      <c r="M61" s="62" t="str">
        <f>IFERROR(__xludf.DUMMYFUNCTION("QUERY('Volunteer Survey'!E66)"),"lynne.rosenblum@integratedgenetics.com")</f>
        <v>lynne.rosenblum@integratedgenetics.com</v>
      </c>
      <c r="N61" s="62" t="str">
        <f>IFERROR(__xludf.DUMMYFUNCTION("QUERY('Volunteer Survey'!F66)"),"Clinical laboratory geneticist")</f>
        <v>Clinical laboratory geneticist</v>
      </c>
      <c r="O61" s="60" t="str">
        <f>IFERROR(__xludf.DUMMYFUNCTION("QUERY('Volunteer Survey'!H66)"),"Comprehensive")</f>
        <v>Comprehensive</v>
      </c>
      <c r="P61" s="62" t="str">
        <f>IFERROR(__xludf.DUMMYFUNCTION("QUERY('Volunteer Survey'!I66)"),"Variant Pathogenicity")</f>
        <v>Variant Pathogenicity</v>
      </c>
      <c r="Q61" s="66" t="str">
        <f>IFERROR(__xludf.DUMMYFUNCTION("QUERY('Volunteer Survey'!J66)"),"Clinical Actionability")</f>
        <v>Clinical Actionability</v>
      </c>
      <c r="R61" s="62" t="str">
        <f>IFERROR(__xludf.DUMMYFUNCTION("QUERY('Volunteer Survey'!K66)"),"Dosage Sensitivity")</f>
        <v>Dosage Sensitivity</v>
      </c>
      <c r="S61" s="62" t="str">
        <f>IFERROR(__xludf.DUMMYFUNCTION("QUERY('Volunteer Survey'!L66)"),"Gene-Disease Validity")</f>
        <v>Gene-Disease Validity</v>
      </c>
      <c r="T61" s="62" t="str">
        <f>IFERROR(__xludf.DUMMYFUNCTION("QUERY('Volunteer Survey'!M66)"),"Somatic Cancer")</f>
        <v>Somatic Cancer</v>
      </c>
      <c r="U61" s="74" t="str">
        <f>IFERROR(__xludf.DUMMYFUNCTION("QUERY('Volunteer Survey'!N66)"),"yes")</f>
        <v>yes</v>
      </c>
      <c r="V61" s="62" t="str">
        <f>IFERROR(__xludf.DUMMYFUNCTION("QUERY('Volunteer Survey'!O66)"),"Possibly")</f>
        <v>Possibly</v>
      </c>
      <c r="W61" s="75" t="str">
        <f>IFERROR(__xludf.DUMMYFUNCTION("QUERY('Volunteer Survey'!P66)"),"storage disease and somatic/germline working groups, but am open to other opportunities.")</f>
        <v>storage disease and somatic/germline working groups, but am open to other opportunities.</v>
      </c>
      <c r="X61" s="74" t="str">
        <f>IFERROR(__xludf.DUMMYFUNCTION("QUERY('Volunteer Survey'!R66)"),"Maybe -- please contact me with other options, and I will decide based on what is available")</f>
        <v>Maybe -- please contact me with other options, and I will decide based on what is available</v>
      </c>
      <c r="Y61" s="61"/>
      <c r="Z61" s="67"/>
      <c r="AA61" s="62"/>
      <c r="AB61" s="62"/>
      <c r="AC61" s="62"/>
      <c r="AD61" s="62"/>
      <c r="AE61" s="62"/>
      <c r="AF61" s="62"/>
      <c r="AG61" s="62"/>
      <c r="AH61" s="62"/>
      <c r="AI61" s="62"/>
      <c r="AJ61" s="62"/>
      <c r="AK61" s="62"/>
      <c r="AL61" s="62"/>
      <c r="AM61" s="62"/>
      <c r="AN61" s="62"/>
      <c r="AO61" s="62"/>
    </row>
    <row r="62">
      <c r="A62" s="59">
        <f>IFERROR(__xludf.DUMMYFUNCTION("QUERY('Volunteer Survey'!A67)"),43340.43892361112)</f>
        <v>43340.43892</v>
      </c>
      <c r="B62" s="60" t="s">
        <v>282</v>
      </c>
      <c r="C62" s="87">
        <v>43439.0</v>
      </c>
      <c r="D62" s="82">
        <v>43605.0</v>
      </c>
      <c r="E62" s="60" t="s">
        <v>277</v>
      </c>
      <c r="F62" s="60" t="s">
        <v>182</v>
      </c>
      <c r="G62" s="60" t="s">
        <v>288</v>
      </c>
      <c r="H62" s="63" t="s">
        <v>173</v>
      </c>
      <c r="I62" s="63" t="s">
        <v>189</v>
      </c>
      <c r="J62" s="79">
        <v>43712.0</v>
      </c>
      <c r="K62" s="79"/>
      <c r="L62" s="62" t="str">
        <f>IFERROR(__xludf.DUMMYFUNCTION("QUERY('Volunteer Survey'!B67)"),"Yang Wang")</f>
        <v>Yang Wang</v>
      </c>
      <c r="M62" s="62" t="str">
        <f>IFERROR(__xludf.DUMMYFUNCTION("QUERY('Volunteer Survey'!E67)"),"yangwangcmg@gmail.com")</f>
        <v>yangwangcmg@gmail.com</v>
      </c>
      <c r="N62" s="62" t="str">
        <f>IFERROR(__xludf.DUMMYFUNCTION("QUERY('Volunteer Survey'!F67)"),"Clinical laboratory geneticist")</f>
        <v>Clinical laboratory geneticist</v>
      </c>
      <c r="O62" s="60" t="str">
        <f>IFERROR(__xludf.DUMMYFUNCTION("QUERY('Volunteer Survey'!H67)"),"Comprehensive")</f>
        <v>Comprehensive</v>
      </c>
      <c r="P62" s="62" t="str">
        <f>IFERROR(__xludf.DUMMYFUNCTION("QUERY('Volunteer Survey'!I67)"),"Variant Pathogenicity")</f>
        <v>Variant Pathogenicity</v>
      </c>
      <c r="Q62" s="66" t="str">
        <f>IFERROR(__xludf.DUMMYFUNCTION("QUERY('Volunteer Survey'!J67)"),"Gene-Disease Validity")</f>
        <v>Gene-Disease Validity</v>
      </c>
      <c r="R62" s="62" t="str">
        <f>IFERROR(__xludf.DUMMYFUNCTION("QUERY('Volunteer Survey'!K67)"),"Clinical Actionability")</f>
        <v>Clinical Actionability</v>
      </c>
      <c r="S62" s="62" t="str">
        <f>IFERROR(__xludf.DUMMYFUNCTION("QUERY('Volunteer Survey'!L67)"),"Dosage Sensitivity")</f>
        <v>Dosage Sensitivity</v>
      </c>
      <c r="T62" s="62" t="str">
        <f>IFERROR(__xludf.DUMMYFUNCTION("QUERY('Volunteer Survey'!M67)"),"Somatic Cancer")</f>
        <v>Somatic Cancer</v>
      </c>
      <c r="U62" s="74" t="str">
        <f>IFERROR(__xludf.DUMMYFUNCTION("QUERY('Volunteer Survey'!N67)"),"yes")</f>
        <v>yes</v>
      </c>
      <c r="V62" s="62" t="str">
        <f>IFERROR(__xludf.DUMMYFUNCTION("QUERY('Volunteer Survey'!O67)"),"Possibly")</f>
        <v>Possibly</v>
      </c>
      <c r="W62" s="75" t="str">
        <f>IFERROR(__xludf.DUMMYFUNCTION("QUERY('Volunteer Survey'!P67)"),"hereditary cancer panel and inborn error of metabolism, if not a Baseline Biocurator")</f>
        <v>hereditary cancer panel and inborn error of metabolism, if not a Baseline Biocurator</v>
      </c>
      <c r="X62" s="74" t="str">
        <f>IFERROR(__xludf.DUMMYFUNCTION("QUERY('Volunteer Survey'!R67)"),"Yes- I am willing to volunteer with any available ClinGen group")</f>
        <v>Yes- I am willing to volunteer with any available ClinGen group</v>
      </c>
      <c r="Y62" s="61"/>
      <c r="Z62" s="67"/>
      <c r="AA62" s="62"/>
      <c r="AB62" s="62"/>
      <c r="AC62" s="62"/>
      <c r="AD62" s="62"/>
      <c r="AE62" s="62"/>
      <c r="AF62" s="62"/>
      <c r="AG62" s="62"/>
      <c r="AH62" s="62"/>
      <c r="AI62" s="62"/>
      <c r="AJ62" s="62"/>
      <c r="AK62" s="62"/>
      <c r="AL62" s="62"/>
      <c r="AM62" s="62"/>
      <c r="AN62" s="62"/>
      <c r="AO62" s="62"/>
    </row>
    <row r="63">
      <c r="A63" s="92">
        <f>IFERROR(__xludf.DUMMYFUNCTION("QUERY('Volunteer Survey'!A68)"),43340.441666666666)</f>
        <v>43340.44167</v>
      </c>
      <c r="B63" s="93" t="s">
        <v>275</v>
      </c>
      <c r="C63" s="94">
        <v>43439.0</v>
      </c>
      <c r="D63" s="95">
        <v>43446.0</v>
      </c>
      <c r="E63" s="93" t="s">
        <v>277</v>
      </c>
      <c r="F63" s="93" t="s">
        <v>182</v>
      </c>
      <c r="G63" s="93" t="s">
        <v>278</v>
      </c>
      <c r="H63" s="96"/>
      <c r="I63" s="96" t="s">
        <v>285</v>
      </c>
      <c r="J63" s="97"/>
      <c r="K63" s="97"/>
      <c r="L63" s="97" t="str">
        <f>IFERROR(__xludf.DUMMYFUNCTION("QUERY('Volunteer Survey'!B68)"),"Elaine Spector ")</f>
        <v>Elaine Spector </v>
      </c>
      <c r="M63" s="97" t="str">
        <f>IFERROR(__xludf.DUMMYFUNCTION("QUERY('Volunteer Survey'!E68)"),"elaine.spector@childrenscolorado.org")</f>
        <v>elaine.spector@childrenscolorado.org</v>
      </c>
      <c r="N63" s="97" t="str">
        <f>IFERROR(__xludf.DUMMYFUNCTION("QUERY('Volunteer Survey'!F68)"),"Clinical laboratory geneticist")</f>
        <v>Clinical laboratory geneticist</v>
      </c>
      <c r="O63" s="93" t="str">
        <f>IFERROR(__xludf.DUMMYFUNCTION("QUERY('Volunteer Survey'!H68)"),"Comprehensive")</f>
        <v>Comprehensive</v>
      </c>
      <c r="P63" s="97" t="str">
        <f>IFERROR(__xludf.DUMMYFUNCTION("QUERY('Volunteer Survey'!I68)"),"Gene-Disease Validity")</f>
        <v>Gene-Disease Validity</v>
      </c>
      <c r="Q63" s="98" t="str">
        <f>IFERROR(__xludf.DUMMYFUNCTION("QUERY('Volunteer Survey'!J68)"),"Variant Pathogenicity")</f>
        <v>Variant Pathogenicity</v>
      </c>
      <c r="R63" s="97" t="str">
        <f>IFERROR(__xludf.DUMMYFUNCTION("QUERY('Volunteer Survey'!K68)"),"Clinical Actionability")</f>
        <v>Clinical Actionability</v>
      </c>
      <c r="S63" s="97" t="str">
        <f>IFERROR(__xludf.DUMMYFUNCTION("QUERY('Volunteer Survey'!L68)"),"Dosage Sensitivity")</f>
        <v>Dosage Sensitivity</v>
      </c>
      <c r="T63" s="97" t="str">
        <f>IFERROR(__xludf.DUMMYFUNCTION("QUERY('Volunteer Survey'!M68)"),"Somatic Cancer")</f>
        <v>Somatic Cancer</v>
      </c>
      <c r="U63" s="99" t="str">
        <f>IFERROR(__xludf.DUMMYFUNCTION("QUERY('Volunteer Survey'!N68)"),"yes")</f>
        <v>yes</v>
      </c>
      <c r="V63" s="97" t="str">
        <f>IFERROR(__xludf.DUMMYFUNCTION("QUERY('Volunteer Survey'!O68)"),"")</f>
        <v/>
      </c>
      <c r="W63" s="100" t="str">
        <f>IFERROR(__xludf.DUMMYFUNCTION("QUERY('Volunteer Survey'!P68)"),"Inborn Errors of Metabolism Clinical Domain Working Group . Amino Acid and Fatty Acid Working Groups.")</f>
        <v>Inborn Errors of Metabolism Clinical Domain Working Group . Amino Acid and Fatty Acid Working Groups.</v>
      </c>
      <c r="X63" s="99" t="str">
        <f>IFERROR(__xludf.DUMMYFUNCTION("QUERY('Volunteer Survey'!R68)"),"Yes- I am willing to volunteer with any available ClinGen group")</f>
        <v>Yes- I am willing to volunteer with any available ClinGen group</v>
      </c>
      <c r="Y63" s="101"/>
      <c r="Z63" s="67"/>
      <c r="AA63" s="97"/>
      <c r="AB63" s="97"/>
      <c r="AC63" s="97"/>
      <c r="AD63" s="97"/>
      <c r="AE63" s="97"/>
      <c r="AF63" s="97"/>
      <c r="AG63" s="97"/>
      <c r="AH63" s="97"/>
      <c r="AI63" s="97"/>
      <c r="AJ63" s="97"/>
      <c r="AK63" s="97"/>
      <c r="AL63" s="97"/>
      <c r="AM63" s="97"/>
      <c r="AN63" s="97"/>
      <c r="AO63" s="97"/>
    </row>
    <row r="64">
      <c r="A64" s="59">
        <f>IFERROR(__xludf.DUMMYFUNCTION("QUERY('Volunteer Survey'!A69)"),43349.4431712963)</f>
        <v>43349.44317</v>
      </c>
      <c r="B64" s="60" t="s">
        <v>274</v>
      </c>
      <c r="C64" s="87">
        <v>43439.0</v>
      </c>
      <c r="D64" s="62"/>
      <c r="E64" s="60" t="s">
        <v>182</v>
      </c>
      <c r="F64" s="60" t="s">
        <v>182</v>
      </c>
      <c r="G64" s="60" t="s">
        <v>288</v>
      </c>
      <c r="H64" s="61"/>
      <c r="I64" s="61"/>
      <c r="J64" s="62"/>
      <c r="K64" s="62"/>
      <c r="L64" s="62" t="str">
        <f>IFERROR(__xludf.DUMMYFUNCTION("QUERY('Volunteer Survey'!B69)"),"Samya Chakravorty")</f>
        <v>Samya Chakravorty</v>
      </c>
      <c r="M64" s="62" t="str">
        <f>IFERROR(__xludf.DUMMYFUNCTION("QUERY('Volunteer Survey'!E69)"),"samya.chakravorty@emory.edu")</f>
        <v>samya.chakravorty@emory.edu</v>
      </c>
      <c r="N64" s="62" t="str">
        <f>IFERROR(__xludf.DUMMYFUNCTION("QUERY('Volunteer Survey'!F69)"),"Post Doc/Resident/Fellow (MD and/or PhD)")</f>
        <v>Post Doc/Resident/Fellow (MD and/or PhD)</v>
      </c>
      <c r="O64" s="60" t="str">
        <f>IFERROR(__xludf.DUMMYFUNCTION("QUERY('Volunteer Survey'!H69)"),"Comprehensive")</f>
        <v>Comprehensive</v>
      </c>
      <c r="P64" s="62" t="str">
        <f>IFERROR(__xludf.DUMMYFUNCTION("QUERY('Volunteer Survey'!I69)"),"Variant Pathogenicity")</f>
        <v>Variant Pathogenicity</v>
      </c>
      <c r="Q64" s="66" t="str">
        <f>IFERROR(__xludf.DUMMYFUNCTION("QUERY('Volunteer Survey'!J69)"),"Gene-Disease Validity")</f>
        <v>Gene-Disease Validity</v>
      </c>
      <c r="R64" s="62" t="str">
        <f>IFERROR(__xludf.DUMMYFUNCTION("QUERY('Volunteer Survey'!K69)"),"Dosage Sensitivity")</f>
        <v>Dosage Sensitivity</v>
      </c>
      <c r="S64" s="62" t="str">
        <f>IFERROR(__xludf.DUMMYFUNCTION("QUERY('Volunteer Survey'!L69)"),"Somatic Cancer")</f>
        <v>Somatic Cancer</v>
      </c>
      <c r="T64" s="62" t="str">
        <f>IFERROR(__xludf.DUMMYFUNCTION("QUERY('Volunteer Survey'!M69)"),"Clinical Actionability")</f>
        <v>Clinical Actionability</v>
      </c>
      <c r="U64" s="74" t="str">
        <f>IFERROR(__xludf.DUMMYFUNCTION("QUERY('Volunteer Survey'!N69)"),"yes")</f>
        <v>yes</v>
      </c>
      <c r="V64" s="62" t="str">
        <f>IFERROR(__xludf.DUMMYFUNCTION("QUERY('Volunteer Survey'!O69)"),"Yes")</f>
        <v>Yes</v>
      </c>
      <c r="W64" s="75" t="str">
        <f>IFERROR(__xludf.DUMMYFUNCTION("QUERY('Volunteer Survey'!P69)"),"1. Storage Diseases Variant Curation Expert Panel 2. Epilepsy Gene Curation Expert Panel 3. Cardiovascular Dilated Cardiomyopathy Gene Curation Expert Panel")</f>
        <v>1. Storage Diseases Variant Curation Expert Panel 2. Epilepsy Gene Curation Expert Panel 3. Cardiovascular Dilated Cardiomyopathy Gene Curation Expert Panel</v>
      </c>
      <c r="X64" s="74" t="str">
        <f>IFERROR(__xludf.DUMMYFUNCTION("QUERY('Volunteer Survey'!R69)"),"Maybe -- please contact me with other options, and I will decide based on what is available")</f>
        <v>Maybe -- please contact me with other options, and I will decide based on what is available</v>
      </c>
      <c r="Y64" s="61"/>
      <c r="Z64" s="67"/>
      <c r="AA64" s="62"/>
      <c r="AB64" s="62"/>
      <c r="AC64" s="62"/>
      <c r="AD64" s="62"/>
      <c r="AE64" s="62"/>
      <c r="AF64" s="62"/>
      <c r="AG64" s="62"/>
      <c r="AH64" s="62"/>
      <c r="AI64" s="62"/>
      <c r="AJ64" s="62"/>
      <c r="AK64" s="62"/>
      <c r="AL64" s="62"/>
      <c r="AM64" s="62"/>
      <c r="AN64" s="62"/>
      <c r="AO64" s="62"/>
    </row>
    <row r="65">
      <c r="A65" s="59">
        <f>IFERROR(__xludf.DUMMYFUNCTION("QUERY('Volunteer Survey'!A70)"),43362.44483796296)</f>
        <v>43362.44484</v>
      </c>
      <c r="B65" s="60" t="s">
        <v>274</v>
      </c>
      <c r="C65" s="87">
        <v>43439.0</v>
      </c>
      <c r="D65" s="62"/>
      <c r="E65" s="60" t="s">
        <v>182</v>
      </c>
      <c r="F65" s="60" t="s">
        <v>182</v>
      </c>
      <c r="G65" s="60" t="s">
        <v>288</v>
      </c>
      <c r="H65" s="61"/>
      <c r="I65" s="63" t="s">
        <v>189</v>
      </c>
      <c r="J65" s="62"/>
      <c r="K65" s="62"/>
      <c r="L65" s="62" t="str">
        <f>IFERROR(__xludf.DUMMYFUNCTION("QUERY('Volunteer Survey'!B70)"),"Marco Leung")</f>
        <v>Marco Leung</v>
      </c>
      <c r="M65" s="62" t="str">
        <f>IFERROR(__xludf.DUMMYFUNCTION("QUERY('Volunteer Survey'!E70)"),"leungm@email.chop.edu")</f>
        <v>leungm@email.chop.edu</v>
      </c>
      <c r="N65" s="62" t="str">
        <f>IFERROR(__xludf.DUMMYFUNCTION("QUERY('Volunteer Survey'!F70)"),"Clinical laboratory geneticist")</f>
        <v>Clinical laboratory geneticist</v>
      </c>
      <c r="O65" s="60" t="str">
        <f>IFERROR(__xludf.DUMMYFUNCTION("QUERY('Volunteer Survey'!H70)"),"Comprehensive")</f>
        <v>Comprehensive</v>
      </c>
      <c r="P65" s="62" t="str">
        <f>IFERROR(__xludf.DUMMYFUNCTION("QUERY('Volunteer Survey'!I70)"),"Variant Pathogenicity")</f>
        <v>Variant Pathogenicity</v>
      </c>
      <c r="Q65" s="66" t="str">
        <f>IFERROR(__xludf.DUMMYFUNCTION("QUERY('Volunteer Survey'!J70)"),"Gene-Disease Validity")</f>
        <v>Gene-Disease Validity</v>
      </c>
      <c r="R65" s="62" t="str">
        <f>IFERROR(__xludf.DUMMYFUNCTION("QUERY('Volunteer Survey'!K70)"),"Dosage Sensitivity")</f>
        <v>Dosage Sensitivity</v>
      </c>
      <c r="S65" s="62" t="str">
        <f>IFERROR(__xludf.DUMMYFUNCTION("QUERY('Volunteer Survey'!L70)"),"Clinical Actionability")</f>
        <v>Clinical Actionability</v>
      </c>
      <c r="T65" s="62" t="str">
        <f>IFERROR(__xludf.DUMMYFUNCTION("QUERY('Volunteer Survey'!M70)"),"Somatic Cancer")</f>
        <v>Somatic Cancer</v>
      </c>
      <c r="U65" s="74" t="str">
        <f>IFERROR(__xludf.DUMMYFUNCTION("QUERY('Volunteer Survey'!N70)"),"yes")</f>
        <v>yes</v>
      </c>
      <c r="V65" s="62" t="str">
        <f>IFERROR(__xludf.DUMMYFUNCTION("QUERY('Volunteer Survey'!O70)"),"Yes")</f>
        <v>Yes</v>
      </c>
      <c r="W65" s="75" t="str">
        <f>IFERROR(__xludf.DUMMYFUNCTION("QUERY('Volunteer Survey'!P70)"),"Hereditary cancers; neurodevelopmental disorders; polivy making")</f>
        <v>Hereditary cancers; neurodevelopmental disorders; polivy making</v>
      </c>
      <c r="X65" s="74" t="str">
        <f>IFERROR(__xludf.DUMMYFUNCTION("QUERY('Volunteer Survey'!R70)"),"Yes- I am willing to volunteer with any available ClinGen group")</f>
        <v>Yes- I am willing to volunteer with any available ClinGen group</v>
      </c>
      <c r="Y65" s="61"/>
      <c r="Z65" s="67"/>
      <c r="AA65" s="62"/>
      <c r="AB65" s="62"/>
      <c r="AC65" s="62"/>
      <c r="AD65" s="62"/>
      <c r="AE65" s="62"/>
      <c r="AF65" s="62"/>
      <c r="AG65" s="62"/>
      <c r="AH65" s="62"/>
      <c r="AI65" s="62"/>
      <c r="AJ65" s="62"/>
      <c r="AK65" s="62"/>
      <c r="AL65" s="62"/>
      <c r="AM65" s="62"/>
      <c r="AN65" s="62"/>
      <c r="AO65" s="62"/>
    </row>
    <row r="66">
      <c r="A66" s="59">
        <f>IFERROR(__xludf.DUMMYFUNCTION("QUERY('Volunteer Survey'!A71)"),43364.44614583333)</f>
        <v>43364.44615</v>
      </c>
      <c r="B66" s="60" t="s">
        <v>274</v>
      </c>
      <c r="C66" s="87">
        <v>43439.0</v>
      </c>
      <c r="D66" s="62"/>
      <c r="E66" s="60" t="s">
        <v>182</v>
      </c>
      <c r="F66" s="60" t="s">
        <v>182</v>
      </c>
      <c r="G66" s="60" t="s">
        <v>288</v>
      </c>
      <c r="H66" s="61"/>
      <c r="I66" s="63" t="s">
        <v>189</v>
      </c>
      <c r="J66" s="62"/>
      <c r="K66" s="62"/>
      <c r="L66" s="62" t="str">
        <f>IFERROR(__xludf.DUMMYFUNCTION("QUERY('Volunteer Survey'!B71)"),"Emily Groopman")</f>
        <v>Emily Groopman</v>
      </c>
      <c r="M66" s="62" t="str">
        <f>IFERROR(__xludf.DUMMYFUNCTION("QUERY('Volunteer Survey'!E71)"),"ee.groopman@gmail.com")</f>
        <v>ee.groopman@gmail.com</v>
      </c>
      <c r="N66" s="62" t="str">
        <f>IFERROR(__xludf.DUMMYFUNCTION("QUERY('Volunteer Survey'!F71)"),"Post Doc/Resident/Fellow (MD and/or PhD)")</f>
        <v>Post Doc/Resident/Fellow (MD and/or PhD)</v>
      </c>
      <c r="O66" s="60" t="str">
        <f>IFERROR(__xludf.DUMMYFUNCTION("QUERY('Volunteer Survey'!H71)"),"Comprehensive")</f>
        <v>Comprehensive</v>
      </c>
      <c r="P66" s="62" t="str">
        <f>IFERROR(__xludf.DUMMYFUNCTION("QUERY('Volunteer Survey'!I71)"),"Variant Pathogenicity")</f>
        <v>Variant Pathogenicity</v>
      </c>
      <c r="Q66" s="66" t="str">
        <f>IFERROR(__xludf.DUMMYFUNCTION("QUERY('Volunteer Survey'!J71)"),"Gene-Disease Validity")</f>
        <v>Gene-Disease Validity</v>
      </c>
      <c r="R66" s="62" t="str">
        <f>IFERROR(__xludf.DUMMYFUNCTION("QUERY('Volunteer Survey'!K71)"),"Dosage Sensitivity")</f>
        <v>Dosage Sensitivity</v>
      </c>
      <c r="S66" s="62" t="str">
        <f>IFERROR(__xludf.DUMMYFUNCTION("QUERY('Volunteer Survey'!L71)"),"Clinical Actionability")</f>
        <v>Clinical Actionability</v>
      </c>
      <c r="T66" s="62" t="str">
        <f>IFERROR(__xludf.DUMMYFUNCTION("QUERY('Volunteer Survey'!M71)"),"Somatic Cancer")</f>
        <v>Somatic Cancer</v>
      </c>
      <c r="U66" s="74" t="str">
        <f>IFERROR(__xludf.DUMMYFUNCTION("QUERY('Volunteer Survey'!N71)"),"yes")</f>
        <v>yes</v>
      </c>
      <c r="V66" s="62" t="str">
        <f>IFERROR(__xludf.DUMMYFUNCTION("QUERY('Volunteer Survey'!O71)"),"Yes")</f>
        <v>Yes</v>
      </c>
      <c r="W66" s="75" t="str">
        <f>IFERROR(__xludf.DUMMYFUNCTION("QUERY('Volunteer Survey'!P71)"),"Aminoacidopathy Gene Curation Expert Panel, Storage Diseases Variant Curation Expert Panel, and Hereditary Cancer Gene Curation Expert Pane")</f>
        <v>Aminoacidopathy Gene Curation Expert Panel, Storage Diseases Variant Curation Expert Panel, and Hereditary Cancer Gene Curation Expert Pane</v>
      </c>
      <c r="X66" s="74" t="str">
        <f>IFERROR(__xludf.DUMMYFUNCTION("QUERY('Volunteer Survey'!R71)"),"Yes- I am willing to volunteer with any available ClinGen group")</f>
        <v>Yes- I am willing to volunteer with any available ClinGen group</v>
      </c>
      <c r="Y66" s="61"/>
      <c r="Z66" s="67"/>
      <c r="AA66" s="62"/>
      <c r="AB66" s="62"/>
      <c r="AC66" s="62"/>
      <c r="AD66" s="62"/>
      <c r="AE66" s="62"/>
      <c r="AF66" s="62"/>
      <c r="AG66" s="62"/>
      <c r="AH66" s="62"/>
      <c r="AI66" s="62"/>
      <c r="AJ66" s="62"/>
      <c r="AK66" s="62"/>
      <c r="AL66" s="62"/>
      <c r="AM66" s="62"/>
      <c r="AN66" s="62"/>
      <c r="AO66" s="62"/>
    </row>
    <row r="67">
      <c r="A67" s="59">
        <f>IFERROR(__xludf.DUMMYFUNCTION("QUERY('Volunteer Survey'!A72)"),43369.4483449074)</f>
        <v>43369.44834</v>
      </c>
      <c r="B67" s="60" t="s">
        <v>282</v>
      </c>
      <c r="C67" s="87">
        <v>43439.0</v>
      </c>
      <c r="D67" s="82">
        <v>43608.0</v>
      </c>
      <c r="E67" s="60" t="s">
        <v>277</v>
      </c>
      <c r="F67" s="60" t="s">
        <v>277</v>
      </c>
      <c r="G67" s="60" t="s">
        <v>288</v>
      </c>
      <c r="H67" s="63" t="s">
        <v>59</v>
      </c>
      <c r="I67" s="63" t="s">
        <v>189</v>
      </c>
      <c r="J67" s="79">
        <v>43712.0</v>
      </c>
      <c r="K67" s="79"/>
      <c r="L67" s="62" t="str">
        <f>IFERROR(__xludf.DUMMYFUNCTION("QUERY('Volunteer Survey'!B72)"),"Rhonda Lassiter ")</f>
        <v>Rhonda Lassiter </v>
      </c>
      <c r="M67" s="62" t="str">
        <f>IFERROR(__xludf.DUMMYFUNCTION("QUERY('Volunteer Survey'!E72)"),"rlassiter@ambrygen.com")</f>
        <v>rlassiter@ambrygen.com</v>
      </c>
      <c r="N67" s="62" t="str">
        <f>IFERROR(__xludf.DUMMYFUNCTION("QUERY('Volunteer Survey'!F72)"),"Variant Analyst/Scientist")</f>
        <v>Variant Analyst/Scientist</v>
      </c>
      <c r="O67" s="60" t="str">
        <f>IFERROR(__xludf.DUMMYFUNCTION("QUERY('Volunteer Survey'!H72)"),"Comprehensive")</f>
        <v>Comprehensive</v>
      </c>
      <c r="P67" s="62" t="str">
        <f>IFERROR(__xludf.DUMMYFUNCTION("QUERY('Volunteer Survey'!I72)"),"Variant Pathogenicity")</f>
        <v>Variant Pathogenicity</v>
      </c>
      <c r="Q67" s="102" t="str">
        <f>IFERROR(__xludf.DUMMYFUNCTION("QUERY('Volunteer Survey'!J72)"),"Gene-Disease Validity")</f>
        <v>Gene-Disease Validity</v>
      </c>
      <c r="R67" s="62" t="str">
        <f>IFERROR(__xludf.DUMMYFUNCTION("QUERY('Volunteer Survey'!K72)"),"Dosage Sensitivity")</f>
        <v>Dosage Sensitivity</v>
      </c>
      <c r="S67" s="62" t="str">
        <f>IFERROR(__xludf.DUMMYFUNCTION("QUERY('Volunteer Survey'!L72)"),"Clinical Actionability")</f>
        <v>Clinical Actionability</v>
      </c>
      <c r="T67" s="62" t="str">
        <f>IFERROR(__xludf.DUMMYFUNCTION("QUERY('Volunteer Survey'!M72)"),"Somatic Cancer")</f>
        <v>Somatic Cancer</v>
      </c>
      <c r="U67" s="74" t="str">
        <f>IFERROR(__xludf.DUMMYFUNCTION("QUERY('Volunteer Survey'!N72)"),"yes")</f>
        <v>yes</v>
      </c>
      <c r="V67" s="62" t="str">
        <f>IFERROR(__xludf.DUMMYFUNCTION("QUERY('Volunteer Survey'!O72)"),"Yes")</f>
        <v>Yes</v>
      </c>
      <c r="W67" s="103" t="str">
        <f>IFERROR(__xludf.DUMMYFUNCTION("QUERY('Volunteer Survey'!P72)"),"I am interested in any of the Neurodevelopmental Disorders CDWG's. I am happy to help wherever there is a need.")</f>
        <v>I am interested in any of the Neurodevelopmental Disorders CDWG's. I am happy to help wherever there is a need.</v>
      </c>
      <c r="X67" s="74" t="str">
        <f>IFERROR(__xludf.DUMMYFUNCTION("QUERY('Volunteer Survey'!R72)"),"Yes- I am willing to volunteer with any available ClinGen group")</f>
        <v>Yes- I am willing to volunteer with any available ClinGen group</v>
      </c>
      <c r="Y67" s="61"/>
      <c r="Z67" s="67"/>
      <c r="AA67" s="62"/>
      <c r="AB67" s="62"/>
      <c r="AC67" s="62"/>
      <c r="AD67" s="62"/>
      <c r="AE67" s="62"/>
      <c r="AF67" s="62"/>
      <c r="AG67" s="62"/>
      <c r="AH67" s="62"/>
      <c r="AI67" s="62"/>
      <c r="AJ67" s="62"/>
      <c r="AK67" s="62"/>
      <c r="AL67" s="62"/>
      <c r="AM67" s="62"/>
      <c r="AN67" s="62"/>
      <c r="AO67" s="62"/>
    </row>
    <row r="68">
      <c r="A68" s="59">
        <f>IFERROR(__xludf.DUMMYFUNCTION("QUERY('Volunteer Survey'!A74)"),43389.45233796297)</f>
        <v>43389.45234</v>
      </c>
      <c r="B68" s="60" t="s">
        <v>275</v>
      </c>
      <c r="C68" s="87">
        <v>43439.0</v>
      </c>
      <c r="D68" s="82">
        <v>43608.0</v>
      </c>
      <c r="E68" s="60" t="s">
        <v>277</v>
      </c>
      <c r="F68" s="60" t="s">
        <v>277</v>
      </c>
      <c r="G68" s="60" t="s">
        <v>288</v>
      </c>
      <c r="H68" s="63" t="s">
        <v>310</v>
      </c>
      <c r="I68" s="63" t="s">
        <v>285</v>
      </c>
      <c r="J68" s="79">
        <v>43712.0</v>
      </c>
      <c r="K68" s="79"/>
      <c r="L68" s="62" t="str">
        <f>IFERROR(__xludf.DUMMYFUNCTION("QUERY('Volunteer Survey'!B74)"),"Emma Reble ")</f>
        <v>Emma Reble </v>
      </c>
      <c r="M68" s="62" t="str">
        <f>IFERROR(__xludf.DUMMYFUNCTION("QUERY('Volunteer Survey'!E74)"),"reblee@smh.ca")</f>
        <v>reblee@smh.ca</v>
      </c>
      <c r="N68" s="62" t="str">
        <f>IFERROR(__xludf.DUMMYFUNCTION("QUERY('Volunteer Survey'!F74)"),"Variant Analyst/Scientist")</f>
        <v>Variant Analyst/Scientist</v>
      </c>
      <c r="O68" s="60" t="str">
        <f>IFERROR(__xludf.DUMMYFUNCTION("QUERY('Volunteer Survey'!H74)"),"Comprehensive")</f>
        <v>Comprehensive</v>
      </c>
      <c r="P68" s="62" t="str">
        <f>IFERROR(__xludf.DUMMYFUNCTION("QUERY('Volunteer Survey'!I74)"),"Variant Pathogenicity")</f>
        <v>Variant Pathogenicity</v>
      </c>
      <c r="Q68" s="66" t="str">
        <f>IFERROR(__xludf.DUMMYFUNCTION("QUERY('Volunteer Survey'!J74)"),"Gene-Disease Validity")</f>
        <v>Gene-Disease Validity</v>
      </c>
      <c r="R68" s="62" t="str">
        <f>IFERROR(__xludf.DUMMYFUNCTION("QUERY('Volunteer Survey'!K74)"),"Clinical Actionability")</f>
        <v>Clinical Actionability</v>
      </c>
      <c r="S68" s="62" t="str">
        <f>IFERROR(__xludf.DUMMYFUNCTION("QUERY('Volunteer Survey'!L74)"),"Dosage Sensitivity")</f>
        <v>Dosage Sensitivity</v>
      </c>
      <c r="T68" s="62" t="str">
        <f>IFERROR(__xludf.DUMMYFUNCTION("QUERY('Volunteer Survey'!M74)"),"Somatic Cancer")</f>
        <v>Somatic Cancer</v>
      </c>
      <c r="U68" s="74" t="str">
        <f>IFERROR(__xludf.DUMMYFUNCTION("QUERY('Volunteer Survey'!N74)"),"yes")</f>
        <v>yes</v>
      </c>
      <c r="V68" s="62" t="str">
        <f>IFERROR(__xludf.DUMMYFUNCTION("QUERY('Volunteer Survey'!O74)"),"Yes")</f>
        <v>Yes</v>
      </c>
      <c r="W68" s="75" t="str">
        <f>IFERROR(__xludf.DUMMYFUNCTION("QUERY('Volunteer Survey'!P74)"),"I am interest in the neurodevelopmental disorder CDWG, particularly the Autism and ID group.")</f>
        <v>I am interest in the neurodevelopmental disorder CDWG, particularly the Autism and ID group.</v>
      </c>
      <c r="X68" s="74" t="str">
        <f>IFERROR(__xludf.DUMMYFUNCTION("QUERY('Volunteer Survey'!R74)"),"Maybe -- please contact me with other options, and I will decide based on what is available")</f>
        <v>Maybe -- please contact me with other options, and I will decide based on what is available</v>
      </c>
      <c r="Y68" s="61"/>
      <c r="Z68" s="67"/>
      <c r="AA68" s="62"/>
      <c r="AB68" s="62"/>
      <c r="AC68" s="62"/>
      <c r="AD68" s="62"/>
      <c r="AE68" s="62"/>
      <c r="AF68" s="62"/>
      <c r="AG68" s="62"/>
      <c r="AH68" s="62"/>
      <c r="AI68" s="62"/>
      <c r="AJ68" s="62"/>
      <c r="AK68" s="62"/>
      <c r="AL68" s="62"/>
      <c r="AM68" s="62"/>
      <c r="AN68" s="62"/>
      <c r="AO68" s="62"/>
    </row>
    <row r="69">
      <c r="A69" s="59">
        <f>IFERROR(__xludf.DUMMYFUNCTION("QUERY('Volunteer Survey'!A75)"),43373.450949074075)</f>
        <v>43373.45095</v>
      </c>
      <c r="B69" s="60" t="s">
        <v>274</v>
      </c>
      <c r="C69" s="87">
        <v>43439.0</v>
      </c>
      <c r="D69" s="82"/>
      <c r="E69" s="60" t="s">
        <v>182</v>
      </c>
      <c r="F69" s="60" t="s">
        <v>182</v>
      </c>
      <c r="G69" s="60" t="s">
        <v>288</v>
      </c>
      <c r="H69" s="61"/>
      <c r="I69" s="63" t="s">
        <v>189</v>
      </c>
      <c r="J69" s="62"/>
      <c r="K69" s="62"/>
      <c r="L69" s="62" t="str">
        <f>IFERROR(__xludf.DUMMYFUNCTION("QUERY('Volunteer Survey'!B75)"),"Bryony Thompson")</f>
        <v>Bryony Thompson</v>
      </c>
      <c r="M69" s="62" t="str">
        <f>IFERROR(__xludf.DUMMYFUNCTION("QUERY('Volunteer Survey'!E75)"),"Bryony.Thompson@mh.org.au")</f>
        <v>Bryony.Thompson@mh.org.au</v>
      </c>
      <c r="N69" s="62" t="str">
        <f>IFERROR(__xludf.DUMMYFUNCTION("QUERY('Volunteer Survey'!F75)"),"Post Doc/Resident/Fellow (MD and/or PhD)")</f>
        <v>Post Doc/Resident/Fellow (MD and/or PhD)</v>
      </c>
      <c r="O69" s="60" t="str">
        <f>IFERROR(__xludf.DUMMYFUNCTION("QUERY('Volunteer Survey'!H75)"),"Comprehensive")</f>
        <v>Comprehensive</v>
      </c>
      <c r="P69" s="62" t="str">
        <f>IFERROR(__xludf.DUMMYFUNCTION("QUERY('Volunteer Survey'!I75)"),"Variant Pathogenicity")</f>
        <v>Variant Pathogenicity</v>
      </c>
      <c r="Q69" s="66" t="str">
        <f>IFERROR(__xludf.DUMMYFUNCTION("QUERY('Volunteer Survey'!J75)"),"")</f>
        <v/>
      </c>
      <c r="R69" s="62" t="str">
        <f>IFERROR(__xludf.DUMMYFUNCTION("QUERY('Volunteer Survey'!K75)"),"")</f>
        <v/>
      </c>
      <c r="S69" s="62" t="str">
        <f>IFERROR(__xludf.DUMMYFUNCTION("QUERY('Volunteer Survey'!L75)"),"")</f>
        <v/>
      </c>
      <c r="T69" s="62" t="str">
        <f>IFERROR(__xludf.DUMMYFUNCTION("QUERY('Volunteer Survey'!M75)"),"")</f>
        <v/>
      </c>
      <c r="U69" s="74" t="str">
        <f>IFERROR(__xludf.DUMMYFUNCTION("QUERY('Volunteer Survey'!N75)"),"yes")</f>
        <v>yes</v>
      </c>
      <c r="V69" s="62" t="str">
        <f>IFERROR(__xludf.DUMMYFUNCTION("QUERY('Volunteer Survey'!O75)"),"No")</f>
        <v>No</v>
      </c>
      <c r="W69" s="75" t="str">
        <f>IFERROR(__xludf.DUMMYFUNCTION("QUERY('Volunteer Survey'!P75)"),"CDH1 Variant Curation Expert Panel")</f>
        <v>CDH1 Variant Curation Expert Panel</v>
      </c>
      <c r="X69" s="74" t="str">
        <f>IFERROR(__xludf.DUMMYFUNCTION("QUERY('Volunteer Survey'!R75)"),"No - I am only interested in the group(s) I previously indicated")</f>
        <v>No - I am only interested in the group(s) I previously indicated</v>
      </c>
      <c r="Y69" s="61"/>
      <c r="Z69" s="67"/>
      <c r="AA69" s="62"/>
      <c r="AB69" s="62"/>
      <c r="AC69" s="62"/>
      <c r="AD69" s="62"/>
      <c r="AE69" s="62"/>
      <c r="AF69" s="62"/>
      <c r="AG69" s="62"/>
      <c r="AH69" s="62"/>
      <c r="AI69" s="62"/>
      <c r="AJ69" s="62"/>
      <c r="AK69" s="62"/>
      <c r="AL69" s="62"/>
      <c r="AM69" s="62"/>
      <c r="AN69" s="62"/>
      <c r="AO69" s="62"/>
    </row>
    <row r="70">
      <c r="A70" s="59">
        <f>IFERROR(__xludf.DUMMYFUNCTION("QUERY('Volunteer Survey'!A76)"),43395.455196759256)</f>
        <v>43395.4552</v>
      </c>
      <c r="B70" s="60" t="s">
        <v>282</v>
      </c>
      <c r="C70" s="87">
        <v>43439.0</v>
      </c>
      <c r="D70" s="82">
        <v>43608.0</v>
      </c>
      <c r="E70" s="60" t="s">
        <v>277</v>
      </c>
      <c r="F70" s="60" t="s">
        <v>277</v>
      </c>
      <c r="G70" s="60" t="s">
        <v>288</v>
      </c>
      <c r="H70" s="63" t="s">
        <v>195</v>
      </c>
      <c r="I70" s="63" t="s">
        <v>189</v>
      </c>
      <c r="J70" s="79">
        <v>43712.0</v>
      </c>
      <c r="K70" s="79"/>
      <c r="L70" s="62" t="str">
        <f>IFERROR(__xludf.DUMMYFUNCTION("QUERY('Volunteer Survey'!B76)"),"Qiliang Ding")</f>
        <v>Qiliang Ding</v>
      </c>
      <c r="M70" s="62" t="str">
        <f>IFERROR(__xludf.DUMMYFUNCTION("QUERY('Volunteer Survey'!E76)"),"qd29@cornell.edu")</f>
        <v>qd29@cornell.edu</v>
      </c>
      <c r="N70" s="62" t="str">
        <f>IFERROR(__xludf.DUMMYFUNCTION("QUERY('Volunteer Survey'!F76)"),"Graduate Student")</f>
        <v>Graduate Student</v>
      </c>
      <c r="O70" s="60" t="str">
        <f>IFERROR(__xludf.DUMMYFUNCTION("QUERY('Volunteer Survey'!H76)"),"Comprehensive")</f>
        <v>Comprehensive</v>
      </c>
      <c r="P70" s="62" t="str">
        <f>IFERROR(__xludf.DUMMYFUNCTION("QUERY('Volunteer Survey'!I76)"),"Variant Pathogenicity")</f>
        <v>Variant Pathogenicity</v>
      </c>
      <c r="Q70" s="66" t="str">
        <f>IFERROR(__xludf.DUMMYFUNCTION("QUERY('Volunteer Survey'!J76)"),"Somatic Cancer")</f>
        <v>Somatic Cancer</v>
      </c>
      <c r="R70" s="62" t="str">
        <f>IFERROR(__xludf.DUMMYFUNCTION("QUERY('Volunteer Survey'!K76)"),"Gene-Disease Validity")</f>
        <v>Gene-Disease Validity</v>
      </c>
      <c r="S70" s="62" t="str">
        <f>IFERROR(__xludf.DUMMYFUNCTION("QUERY('Volunteer Survey'!L76)"),"Clinical Actionability")</f>
        <v>Clinical Actionability</v>
      </c>
      <c r="T70" s="62" t="str">
        <f>IFERROR(__xludf.DUMMYFUNCTION("QUERY('Volunteer Survey'!M76)"),"Dosage Sensitivity")</f>
        <v>Dosage Sensitivity</v>
      </c>
      <c r="U70" s="74" t="str">
        <f>IFERROR(__xludf.DUMMYFUNCTION("QUERY('Volunteer Survey'!N76)"),"yes")</f>
        <v>yes</v>
      </c>
      <c r="V70" s="62" t="str">
        <f>IFERROR(__xludf.DUMMYFUNCTION("QUERY('Volunteer Survey'!O76)"),"Yes")</f>
        <v>Yes</v>
      </c>
      <c r="W70" s="75" t="str">
        <f>IFERROR(__xludf.DUMMYFUNCTION("QUERY('Volunteer Survey'!P76)"),"I am interested in all working groups.")</f>
        <v>I am interested in all working groups.</v>
      </c>
      <c r="X70" s="74" t="str">
        <f>IFERROR(__xludf.DUMMYFUNCTION("QUERY('Volunteer Survey'!R76)"),"Yes- I am willing to volunteer with any available ClinGen group")</f>
        <v>Yes- I am willing to volunteer with any available ClinGen group</v>
      </c>
      <c r="Y70" s="61"/>
      <c r="Z70" s="67"/>
      <c r="AA70" s="62"/>
      <c r="AB70" s="62"/>
      <c r="AC70" s="62"/>
      <c r="AD70" s="62"/>
      <c r="AE70" s="62"/>
      <c r="AF70" s="62"/>
      <c r="AG70" s="62"/>
      <c r="AH70" s="62"/>
      <c r="AI70" s="62"/>
      <c r="AJ70" s="62"/>
      <c r="AK70" s="62"/>
      <c r="AL70" s="62"/>
      <c r="AM70" s="62"/>
      <c r="AN70" s="62"/>
      <c r="AO70" s="62"/>
    </row>
    <row r="71">
      <c r="A71" s="59">
        <f>IFERROR(__xludf.DUMMYFUNCTION("QUERY('Volunteer Survey'!A77)"),43398.45934027778)</f>
        <v>43398.45934</v>
      </c>
      <c r="B71" s="60" t="s">
        <v>275</v>
      </c>
      <c r="C71" s="87">
        <v>43439.0</v>
      </c>
      <c r="D71" s="82">
        <v>43608.0</v>
      </c>
      <c r="E71" s="60" t="s">
        <v>277</v>
      </c>
      <c r="F71" s="60" t="s">
        <v>182</v>
      </c>
      <c r="G71" s="60" t="s">
        <v>288</v>
      </c>
      <c r="H71" s="61"/>
      <c r="I71" s="63" t="s">
        <v>189</v>
      </c>
      <c r="J71" s="62"/>
      <c r="K71" s="62"/>
      <c r="L71" s="62" t="str">
        <f>IFERROR(__xludf.DUMMYFUNCTION("QUERY('Volunteer Survey'!B77)"),"Amy Donahue")</f>
        <v>Amy Donahue</v>
      </c>
      <c r="M71" s="62" t="str">
        <f>IFERROR(__xludf.DUMMYFUNCTION("QUERY('Volunteer Survey'!E77)"),"adonahue@mcw.edu")</f>
        <v>adonahue@mcw.edu</v>
      </c>
      <c r="N71" s="62" t="str">
        <f>IFERROR(__xludf.DUMMYFUNCTION("QUERY('Volunteer Survey'!F77)"),"Genetic counselor")</f>
        <v>Genetic counselor</v>
      </c>
      <c r="O71" s="60" t="str">
        <f>IFERROR(__xludf.DUMMYFUNCTION("QUERY('Volunteer Survey'!H77)"),"Comprehensive")</f>
        <v>Comprehensive</v>
      </c>
      <c r="P71" s="62" t="str">
        <f>IFERROR(__xludf.DUMMYFUNCTION("QUERY('Volunteer Survey'!I77)"),"Variant Pathogenicity")</f>
        <v>Variant Pathogenicity</v>
      </c>
      <c r="Q71" s="66" t="str">
        <f>IFERROR(__xludf.DUMMYFUNCTION("QUERY('Volunteer Survey'!J77)"),"Gene-Disease Validity")</f>
        <v>Gene-Disease Validity</v>
      </c>
      <c r="R71" s="62" t="str">
        <f>IFERROR(__xludf.DUMMYFUNCTION("QUERY('Volunteer Survey'!K77)"),"Clinical Actionability")</f>
        <v>Clinical Actionability</v>
      </c>
      <c r="S71" s="62" t="str">
        <f>IFERROR(__xludf.DUMMYFUNCTION("QUERY('Volunteer Survey'!L77)"),"Dosage Sensitivity")</f>
        <v>Dosage Sensitivity</v>
      </c>
      <c r="T71" s="62" t="str">
        <f>IFERROR(__xludf.DUMMYFUNCTION("QUERY('Volunteer Survey'!M77)"),"Somatic Cancer")</f>
        <v>Somatic Cancer</v>
      </c>
      <c r="U71" s="74" t="str">
        <f>IFERROR(__xludf.DUMMYFUNCTION("QUERY('Volunteer Survey'!N77)"),"yes")</f>
        <v>yes</v>
      </c>
      <c r="V71" s="62" t="str">
        <f>IFERROR(__xludf.DUMMYFUNCTION("QUERY('Volunteer Survey'!O77)"),"Possibly")</f>
        <v>Possibly</v>
      </c>
      <c r="W71" s="75" t="str">
        <f>IFERROR(__xludf.DUMMYFUNCTION("QUERY('Volunteer Survey'!P77)"),"Any of the cardiac or neuro as well as the mitochondrial and monogenetic diabetes groups would fit within my clinical specialties. If there is the potential to start an ophthalmology/eye disorders group, I would love to be involved there. Thank you for th"&amp;"e opportunity!")</f>
        <v>Any of the cardiac or neuro as well as the mitochondrial and monogenetic diabetes groups would fit within my clinical specialties. If there is the potential to start an ophthalmology/eye disorders group, I would love to be involved there. Thank you for the opportunity!</v>
      </c>
      <c r="X71" s="74" t="str">
        <f>IFERROR(__xludf.DUMMYFUNCTION("QUERY('Volunteer Survey'!R77)"),"Maybe -- please contact me with other options, and I will decide based on what is available")</f>
        <v>Maybe -- please contact me with other options, and I will decide based on what is available</v>
      </c>
      <c r="Y71" s="63" t="s">
        <v>311</v>
      </c>
      <c r="Z71" s="67"/>
      <c r="AA71" s="62"/>
      <c r="AB71" s="62"/>
      <c r="AC71" s="62"/>
      <c r="AD71" s="62"/>
      <c r="AE71" s="62"/>
      <c r="AF71" s="62"/>
      <c r="AG71" s="62"/>
      <c r="AH71" s="62"/>
      <c r="AI71" s="62"/>
      <c r="AJ71" s="62"/>
      <c r="AK71" s="62"/>
      <c r="AL71" s="62"/>
      <c r="AM71" s="62"/>
      <c r="AN71" s="62"/>
      <c r="AO71" s="62"/>
    </row>
    <row r="72">
      <c r="A72" s="59">
        <f>IFERROR(__xludf.DUMMYFUNCTION("QUERY('Volunteer Survey'!A78)"),43409.46091435185)</f>
        <v>43409.46091</v>
      </c>
      <c r="B72" s="60" t="s">
        <v>282</v>
      </c>
      <c r="C72" s="87">
        <v>43109.0</v>
      </c>
      <c r="D72" s="82">
        <v>43605.0</v>
      </c>
      <c r="E72" s="60" t="s">
        <v>277</v>
      </c>
      <c r="F72" s="60" t="s">
        <v>277</v>
      </c>
      <c r="G72" s="60" t="s">
        <v>288</v>
      </c>
      <c r="H72" s="63" t="s">
        <v>310</v>
      </c>
      <c r="I72" s="63" t="s">
        <v>189</v>
      </c>
      <c r="J72" s="79">
        <v>43712.0</v>
      </c>
      <c r="K72" s="79"/>
      <c r="L72" s="62" t="str">
        <f>IFERROR(__xludf.DUMMYFUNCTION("QUERY('Volunteer Survey'!B78)"),"Dave Ferguson")</f>
        <v>Dave Ferguson</v>
      </c>
      <c r="M72" s="62" t="str">
        <f>IFERROR(__xludf.DUMMYFUNCTION("QUERY('Volunteer Survey'!E78)"),"dferguso@uci.edu")</f>
        <v>dferguso@uci.edu</v>
      </c>
      <c r="N72" s="62" t="str">
        <f>IFERROR(__xludf.DUMMYFUNCTION("QUERY('Volunteer Survey'!F78)"),"Scientific Researcher")</f>
        <v>Scientific Researcher</v>
      </c>
      <c r="O72" s="60" t="str">
        <f>IFERROR(__xludf.DUMMYFUNCTION("QUERY('Volunteer Survey'!H78)"),"Comprehensive")</f>
        <v>Comprehensive</v>
      </c>
      <c r="P72" s="62" t="str">
        <f>IFERROR(__xludf.DUMMYFUNCTION("QUERY('Volunteer Survey'!I78)"),"Variant Pathogenicity")</f>
        <v>Variant Pathogenicity</v>
      </c>
      <c r="Q72" s="66" t="str">
        <f>IFERROR(__xludf.DUMMYFUNCTION("QUERY('Volunteer Survey'!J78)"),"Clinical Actionability")</f>
        <v>Clinical Actionability</v>
      </c>
      <c r="R72" s="62" t="str">
        <f>IFERROR(__xludf.DUMMYFUNCTION("QUERY('Volunteer Survey'!K78)"),"Gene-Disease Validity")</f>
        <v>Gene-Disease Validity</v>
      </c>
      <c r="S72" s="62" t="str">
        <f>IFERROR(__xludf.DUMMYFUNCTION("QUERY('Volunteer Survey'!L78)"),"Dosage Sensitivity")</f>
        <v>Dosage Sensitivity</v>
      </c>
      <c r="T72" s="62" t="str">
        <f>IFERROR(__xludf.DUMMYFUNCTION("QUERY('Volunteer Survey'!M78)"),"Somatic Cancer")</f>
        <v>Somatic Cancer</v>
      </c>
      <c r="U72" s="74" t="str">
        <f>IFERROR(__xludf.DUMMYFUNCTION("QUERY('Volunteer Survey'!N78)"),"No")</f>
        <v>No</v>
      </c>
      <c r="V72" s="62" t="str">
        <f>IFERROR(__xludf.DUMMYFUNCTION("QUERY('Volunteer Survey'!O78)"),"Yes")</f>
        <v>Yes</v>
      </c>
      <c r="W72" s="75" t="str">
        <f>IFERROR(__xludf.DUMMYFUNCTION("QUERY('Volunteer Survey'!P78)"),"Mitochondrial Disease Variant Curation Expert Panel (In progress) Autism and Intellectual Disability Gene Curation Expert Panel")</f>
        <v>Mitochondrial Disease Variant Curation Expert Panel (In progress) Autism and Intellectual Disability Gene Curation Expert Panel</v>
      </c>
      <c r="X72" s="74" t="str">
        <f>IFERROR(__xludf.DUMMYFUNCTION("QUERY('Volunteer Survey'!R78)"),"Yes- I am willing to volunteer with any available ClinGen group")</f>
        <v>Yes- I am willing to volunteer with any available ClinGen group</v>
      </c>
      <c r="Y72" s="61"/>
      <c r="Z72" s="67"/>
      <c r="AA72" s="62"/>
      <c r="AB72" s="62"/>
      <c r="AC72" s="62"/>
      <c r="AD72" s="62"/>
      <c r="AE72" s="62"/>
      <c r="AF72" s="62"/>
      <c r="AG72" s="62"/>
      <c r="AH72" s="62"/>
      <c r="AI72" s="62"/>
      <c r="AJ72" s="62"/>
      <c r="AK72" s="62"/>
      <c r="AL72" s="62"/>
      <c r="AM72" s="62"/>
      <c r="AN72" s="62"/>
      <c r="AO72" s="62"/>
    </row>
    <row r="73">
      <c r="A73" s="59">
        <f>IFERROR(__xludf.DUMMYFUNCTION("QUERY('Volunteer Survey'!A79)"),43413.46214120371)</f>
        <v>43413.46214</v>
      </c>
      <c r="B73" s="60" t="s">
        <v>274</v>
      </c>
      <c r="C73" s="87">
        <v>43109.0</v>
      </c>
      <c r="D73" s="62"/>
      <c r="E73" s="60" t="s">
        <v>182</v>
      </c>
      <c r="F73" s="60" t="s">
        <v>182</v>
      </c>
      <c r="G73" s="60" t="s">
        <v>288</v>
      </c>
      <c r="H73" s="61"/>
      <c r="I73" s="63" t="s">
        <v>189</v>
      </c>
      <c r="J73" s="62"/>
      <c r="K73" s="62"/>
      <c r="L73" s="62" t="str">
        <f>IFERROR(__xludf.DUMMYFUNCTION("QUERY('Volunteer Survey'!B79)"),"Santhi Ramachandran")</f>
        <v>Santhi Ramachandran</v>
      </c>
      <c r="M73" s="62" t="str">
        <f>IFERROR(__xludf.DUMMYFUNCTION("QUERY('Volunteer Survey'!E79)"),"santhialways4u@gmail.com")</f>
        <v>santhialways4u@gmail.com</v>
      </c>
      <c r="N73" s="62" t="str">
        <f>IFERROR(__xludf.DUMMYFUNCTION("QUERY('Volunteer Survey'!F79)"),"Biocurator")</f>
        <v>Biocurator</v>
      </c>
      <c r="O73" s="60" t="str">
        <f>IFERROR(__xludf.DUMMYFUNCTION("QUERY('Volunteer Survey'!H79)"),"Comprehensive")</f>
        <v>Comprehensive</v>
      </c>
      <c r="P73" s="62" t="str">
        <f>IFERROR(__xludf.DUMMYFUNCTION("QUERY('Volunteer Survey'!I79)"),"Variant Pathogenicity")</f>
        <v>Variant Pathogenicity</v>
      </c>
      <c r="Q73" s="66" t="str">
        <f>IFERROR(__xludf.DUMMYFUNCTION("QUERY('Volunteer Survey'!J79)"),"Gene-Disease Validity")</f>
        <v>Gene-Disease Validity</v>
      </c>
      <c r="R73" s="62" t="str">
        <f>IFERROR(__xludf.DUMMYFUNCTION("QUERY('Volunteer Survey'!K79)"),"Clinical Actionability")</f>
        <v>Clinical Actionability</v>
      </c>
      <c r="S73" s="62" t="str">
        <f>IFERROR(__xludf.DUMMYFUNCTION("QUERY('Volunteer Survey'!L79)"),"Dosage Sensitivity")</f>
        <v>Dosage Sensitivity</v>
      </c>
      <c r="T73" s="62" t="str">
        <f>IFERROR(__xludf.DUMMYFUNCTION("QUERY('Volunteer Survey'!M79)"),"Somatic Cancer")</f>
        <v>Somatic Cancer</v>
      </c>
      <c r="U73" s="74" t="str">
        <f>IFERROR(__xludf.DUMMYFUNCTION("QUERY('Volunteer Survey'!N79)"),"yes")</f>
        <v>yes</v>
      </c>
      <c r="V73" s="62" t="str">
        <f>IFERROR(__xludf.DUMMYFUNCTION("QUERY('Volunteer Survey'!O79)"),"Possibly")</f>
        <v>Possibly</v>
      </c>
      <c r="W73" s="75" t="str">
        <f>IFERROR(__xludf.DUMMYFUNCTION("QUERY('Volunteer Survey'!P79)"),"I would like to work with variant curation expert panel or gene curation expert panel")</f>
        <v>I would like to work with variant curation expert panel or gene curation expert panel</v>
      </c>
      <c r="X73" s="74" t="str">
        <f>IFERROR(__xludf.DUMMYFUNCTION("QUERY('Volunteer Survey'!R79)"),"Yes- I am willing to volunteer with any available ClinGen group")</f>
        <v>Yes- I am willing to volunteer with any available ClinGen group</v>
      </c>
      <c r="Y73" s="61"/>
      <c r="Z73" s="67"/>
      <c r="AA73" s="62"/>
      <c r="AB73" s="62"/>
      <c r="AC73" s="62"/>
      <c r="AD73" s="62"/>
      <c r="AE73" s="62"/>
      <c r="AF73" s="62"/>
      <c r="AG73" s="62"/>
      <c r="AH73" s="62"/>
      <c r="AI73" s="62"/>
      <c r="AJ73" s="62"/>
      <c r="AK73" s="62"/>
      <c r="AL73" s="62"/>
      <c r="AM73" s="62"/>
      <c r="AN73" s="62"/>
      <c r="AO73" s="62"/>
    </row>
    <row r="74">
      <c r="A74" s="59">
        <f>IFERROR(__xludf.DUMMYFUNCTION("QUERY('Volunteer Survey'!A80)"),43413.46335648149)</f>
        <v>43413.46336</v>
      </c>
      <c r="B74" s="60" t="s">
        <v>274</v>
      </c>
      <c r="C74" s="87">
        <v>43439.0</v>
      </c>
      <c r="D74" s="62"/>
      <c r="E74" s="60" t="s">
        <v>182</v>
      </c>
      <c r="F74" s="60" t="s">
        <v>182</v>
      </c>
      <c r="G74" s="60" t="s">
        <v>288</v>
      </c>
      <c r="H74" s="61"/>
      <c r="I74" s="63" t="s">
        <v>189</v>
      </c>
      <c r="J74" s="62"/>
      <c r="K74" s="62"/>
      <c r="L74" s="62" t="str">
        <f>IFERROR(__xludf.DUMMYFUNCTION("QUERY('Volunteer Survey'!B80)"),"Megan Nathan")</f>
        <v>Megan Nathan</v>
      </c>
      <c r="M74" s="62" t="str">
        <f>IFERROR(__xludf.DUMMYFUNCTION("QUERY('Volunteer Survey'!E80)"),"mlnathan.genetics@gmail.com")</f>
        <v>mlnathan.genetics@gmail.com</v>
      </c>
      <c r="N74" s="62" t="str">
        <f>IFERROR(__xludf.DUMMYFUNCTION("QUERY('Volunteer Survey'!F80)"),"Genetic counselor")</f>
        <v>Genetic counselor</v>
      </c>
      <c r="O74" s="60" t="str">
        <f>IFERROR(__xludf.DUMMYFUNCTION("QUERY('Volunteer Survey'!H80)"),"Comprehensive")</f>
        <v>Comprehensive</v>
      </c>
      <c r="P74" s="62" t="str">
        <f>IFERROR(__xludf.DUMMYFUNCTION("QUERY('Volunteer Survey'!I80)"),"Variant Pathogenicity")</f>
        <v>Variant Pathogenicity</v>
      </c>
      <c r="Q74" s="66" t="str">
        <f>IFERROR(__xludf.DUMMYFUNCTION("QUERY('Volunteer Survey'!J80)"),"Somatic Cancer")</f>
        <v>Somatic Cancer</v>
      </c>
      <c r="R74" s="62" t="str">
        <f>IFERROR(__xludf.DUMMYFUNCTION("QUERY('Volunteer Survey'!K80)"),"Dosage Sensitivity")</f>
        <v>Dosage Sensitivity</v>
      </c>
      <c r="S74" s="62" t="str">
        <f>IFERROR(__xludf.DUMMYFUNCTION("QUERY('Volunteer Survey'!L80)"),"Gene-Disease Validity")</f>
        <v>Gene-Disease Validity</v>
      </c>
      <c r="T74" s="62" t="str">
        <f>IFERROR(__xludf.DUMMYFUNCTION("QUERY('Volunteer Survey'!M80)"),"Clinical Actionability")</f>
        <v>Clinical Actionability</v>
      </c>
      <c r="U74" s="74" t="str">
        <f>IFERROR(__xludf.DUMMYFUNCTION("QUERY('Volunteer Survey'!N80)"),"yes")</f>
        <v>yes</v>
      </c>
      <c r="V74" s="62" t="str">
        <f>IFERROR(__xludf.DUMMYFUNCTION("QUERY('Volunteer Survey'!O80)"),"")</f>
        <v/>
      </c>
      <c r="W74" s="75" t="str">
        <f>IFERROR(__xludf.DUMMYFUNCTION("QUERY('Volunteer Survey'!P80)"),"I would be most interested in the following groups (1 = top choice; 5 = last choice) 1. Breast/Ovarian Cancer (newly forming) 2. Colorectal Cancer (newly forming) 3. PTEN* 4. CDH1 5. VHL (Von Hippel-Lindau)*")</f>
        <v>I would be most interested in the following groups (1 = top choice; 5 = last choice) 1. Breast/Ovarian Cancer (newly forming) 2. Colorectal Cancer (newly forming) 3. PTEN* 4. CDH1 5. VHL (Von Hippel-Lindau)*</v>
      </c>
      <c r="X74" s="74" t="str">
        <f>IFERROR(__xludf.DUMMYFUNCTION("QUERY('Volunteer Survey'!R80)"),"Maybe -- please contact me with other options, and I will decide based on what is available")</f>
        <v>Maybe -- please contact me with other options, and I will decide based on what is available</v>
      </c>
      <c r="Y74" s="61"/>
      <c r="Z74" s="67"/>
      <c r="AA74" s="62"/>
      <c r="AB74" s="62"/>
      <c r="AC74" s="62"/>
      <c r="AD74" s="62"/>
      <c r="AE74" s="62"/>
      <c r="AF74" s="62"/>
      <c r="AG74" s="62"/>
      <c r="AH74" s="62"/>
      <c r="AI74" s="62"/>
      <c r="AJ74" s="62"/>
      <c r="AK74" s="62"/>
      <c r="AL74" s="62"/>
      <c r="AM74" s="62"/>
      <c r="AN74" s="62"/>
      <c r="AO74" s="62"/>
    </row>
    <row r="75">
      <c r="A75" s="59">
        <f>IFERROR(__xludf.DUMMYFUNCTION("QUERY('Volunteer Survey'!A81)"),43416.46445601852)</f>
        <v>43416.46446</v>
      </c>
      <c r="B75" s="60" t="s">
        <v>274</v>
      </c>
      <c r="C75" s="63" t="s">
        <v>312</v>
      </c>
      <c r="D75" s="62"/>
      <c r="E75" s="60" t="s">
        <v>182</v>
      </c>
      <c r="F75" s="60" t="s">
        <v>182</v>
      </c>
      <c r="G75" s="60" t="s">
        <v>288</v>
      </c>
      <c r="H75" s="61"/>
      <c r="I75" s="63" t="s">
        <v>189</v>
      </c>
      <c r="J75" s="62"/>
      <c r="K75" s="62"/>
      <c r="L75" s="62" t="str">
        <f>IFERROR(__xludf.DUMMYFUNCTION("QUERY('Volunteer Survey'!B81)"),"Ellen Xu")</f>
        <v>Ellen Xu</v>
      </c>
      <c r="M75" s="62" t="str">
        <f>IFERROR(__xludf.DUMMYFUNCTION("QUERY('Volunteer Survey'!E81)"),"")</f>
        <v/>
      </c>
      <c r="N75" s="62" t="str">
        <f>IFERROR(__xludf.DUMMYFUNCTION("QUERY('Volunteer Survey'!F81)"),"Genetic counselor")</f>
        <v>Genetic counselor</v>
      </c>
      <c r="O75" s="60" t="str">
        <f>IFERROR(__xludf.DUMMYFUNCTION("QUERY('Volunteer Survey'!H81)"),"Comprehensive")</f>
        <v>Comprehensive</v>
      </c>
      <c r="P75" s="62" t="str">
        <f>IFERROR(__xludf.DUMMYFUNCTION("QUERY('Volunteer Survey'!I81)"),"Variant Pathogenicity")</f>
        <v>Variant Pathogenicity</v>
      </c>
      <c r="Q75" s="66" t="str">
        <f>IFERROR(__xludf.DUMMYFUNCTION("QUERY('Volunteer Survey'!J81)"),"Clinical Actionability")</f>
        <v>Clinical Actionability</v>
      </c>
      <c r="R75" s="62" t="str">
        <f>IFERROR(__xludf.DUMMYFUNCTION("QUERY('Volunteer Survey'!K81)"),"Gene-Disease Validity")</f>
        <v>Gene-Disease Validity</v>
      </c>
      <c r="S75" s="62" t="str">
        <f>IFERROR(__xludf.DUMMYFUNCTION("QUERY('Volunteer Survey'!L81)"),"Dosage Sensitivity")</f>
        <v>Dosage Sensitivity</v>
      </c>
      <c r="T75" s="62" t="str">
        <f>IFERROR(__xludf.DUMMYFUNCTION("QUERY('Volunteer Survey'!M81)"),"Somatic Cancer")</f>
        <v>Somatic Cancer</v>
      </c>
      <c r="U75" s="74" t="str">
        <f>IFERROR(__xludf.DUMMYFUNCTION("QUERY('Volunteer Survey'!N81)"),"yes")</f>
        <v>yes</v>
      </c>
      <c r="V75" s="62" t="str">
        <f>IFERROR(__xludf.DUMMYFUNCTION("QUERY('Volunteer Survey'!O81)"),"Possibly")</f>
        <v>Possibly</v>
      </c>
      <c r="W75" s="75" t="str">
        <f>IFERROR(__xludf.DUMMYFUNCTION("QUERY('Volunteer Survey'!P81)"),"Dosage sensitivity, hereditary cancer")</f>
        <v>Dosage sensitivity, hereditary cancer</v>
      </c>
      <c r="X75" s="74" t="str">
        <f>IFERROR(__xludf.DUMMYFUNCTION("QUERY('Volunteer Survey'!R81)"),"Yes- I am willing to volunteer with any available ClinGen group")</f>
        <v>Yes- I am willing to volunteer with any available ClinGen group</v>
      </c>
      <c r="Y75" s="104" t="s">
        <v>313</v>
      </c>
      <c r="Z75" s="67"/>
      <c r="AA75" s="62"/>
      <c r="AB75" s="62"/>
      <c r="AC75" s="62"/>
      <c r="AD75" s="62"/>
      <c r="AE75" s="62"/>
      <c r="AF75" s="62"/>
      <c r="AG75" s="62"/>
      <c r="AH75" s="62"/>
      <c r="AI75" s="62"/>
      <c r="AJ75" s="62"/>
      <c r="AK75" s="62"/>
      <c r="AL75" s="62"/>
      <c r="AM75" s="62"/>
      <c r="AN75" s="62"/>
      <c r="AO75" s="62"/>
    </row>
    <row r="76">
      <c r="A76" s="59">
        <f>IFERROR(__xludf.DUMMYFUNCTION("QUERY('Volunteer Survey'!A82)"),43418.46555555555)</f>
        <v>43418.46556</v>
      </c>
      <c r="B76" s="60" t="s">
        <v>282</v>
      </c>
      <c r="C76" s="87">
        <v>43109.0</v>
      </c>
      <c r="D76" s="82">
        <v>43608.0</v>
      </c>
      <c r="E76" s="60" t="s">
        <v>277</v>
      </c>
      <c r="F76" s="60" t="s">
        <v>277</v>
      </c>
      <c r="G76" s="60" t="s">
        <v>288</v>
      </c>
      <c r="H76" s="63" t="s">
        <v>264</v>
      </c>
      <c r="I76" s="63" t="s">
        <v>189</v>
      </c>
      <c r="J76" s="79">
        <v>43712.0</v>
      </c>
      <c r="K76" s="79"/>
      <c r="L76" s="62" t="str">
        <f>IFERROR(__xludf.DUMMYFUNCTION("QUERY('Volunteer Survey'!B82)"),"Alisdair Philp")</f>
        <v>Alisdair Philp</v>
      </c>
      <c r="M76" s="62" t="str">
        <f>IFERROR(__xludf.DUMMYFUNCTION("QUERY('Volunteer Survey'!E82)"),"arphilp@gmail.com")</f>
        <v>arphilp@gmail.com</v>
      </c>
      <c r="N76" s="62" t="str">
        <f>IFERROR(__xludf.DUMMYFUNCTION("QUERY('Volunteer Survey'!F82)"),"Genetic counselor")</f>
        <v>Genetic counselor</v>
      </c>
      <c r="O76" s="60" t="str">
        <f>IFERROR(__xludf.DUMMYFUNCTION("QUERY('Volunteer Survey'!H82)"),"Comprehensive")</f>
        <v>Comprehensive</v>
      </c>
      <c r="P76" s="62" t="str">
        <f>IFERROR(__xludf.DUMMYFUNCTION("QUERY('Volunteer Survey'!I82)"),"Variant Pathogenicity")</f>
        <v>Variant Pathogenicity</v>
      </c>
      <c r="Q76" s="66" t="str">
        <f>IFERROR(__xludf.DUMMYFUNCTION("QUERY('Volunteer Survey'!J82)"),"Gene-Disease Validity")</f>
        <v>Gene-Disease Validity</v>
      </c>
      <c r="R76" s="62" t="str">
        <f>IFERROR(__xludf.DUMMYFUNCTION("QUERY('Volunteer Survey'!K82)"),"Clinical Actionability")</f>
        <v>Clinical Actionability</v>
      </c>
      <c r="S76" s="62" t="str">
        <f>IFERROR(__xludf.DUMMYFUNCTION("QUERY('Volunteer Survey'!L82)"),"Dosage Sensitivity")</f>
        <v>Dosage Sensitivity</v>
      </c>
      <c r="T76" s="62" t="str">
        <f>IFERROR(__xludf.DUMMYFUNCTION("QUERY('Volunteer Survey'!M82)"),"Somatic Cancer")</f>
        <v>Somatic Cancer</v>
      </c>
      <c r="U76" s="74" t="str">
        <f>IFERROR(__xludf.DUMMYFUNCTION("QUERY('Volunteer Survey'!N82)"),"yes")</f>
        <v>yes</v>
      </c>
      <c r="V76" s="62" t="str">
        <f>IFERROR(__xludf.DUMMYFUNCTION("QUERY('Volunteer Survey'!O82)"),"No")</f>
        <v>No</v>
      </c>
      <c r="W76" s="75" t="str">
        <f>IFERROR(__xludf.DUMMYFUNCTION("QUERY('Volunteer Survey'!P82)"),"Cnv")</f>
        <v>Cnv</v>
      </c>
      <c r="X76" s="74" t="str">
        <f>IFERROR(__xludf.DUMMYFUNCTION("QUERY('Volunteer Survey'!R82)"),"Yes- I am willing to volunteer with any available ClinGen group")</f>
        <v>Yes- I am willing to volunteer with any available ClinGen group</v>
      </c>
      <c r="Y76" s="61"/>
      <c r="Z76" s="67"/>
      <c r="AA76" s="62"/>
      <c r="AB76" s="62"/>
      <c r="AC76" s="62"/>
      <c r="AD76" s="62"/>
      <c r="AE76" s="62"/>
      <c r="AF76" s="62"/>
      <c r="AG76" s="62"/>
      <c r="AH76" s="62"/>
      <c r="AI76" s="62"/>
      <c r="AJ76" s="62"/>
      <c r="AK76" s="62"/>
      <c r="AL76" s="62"/>
      <c r="AM76" s="62"/>
      <c r="AN76" s="62"/>
      <c r="AO76" s="62"/>
    </row>
    <row r="77">
      <c r="A77" s="59">
        <f>IFERROR(__xludf.DUMMYFUNCTION("QUERY('Volunteer Survey'!A83)"),43418.467453703706)</f>
        <v>43418.46745</v>
      </c>
      <c r="B77" s="60" t="s">
        <v>274</v>
      </c>
      <c r="C77" s="87">
        <v>43109.0</v>
      </c>
      <c r="D77" s="62"/>
      <c r="E77" s="60" t="s">
        <v>182</v>
      </c>
      <c r="F77" s="60" t="s">
        <v>182</v>
      </c>
      <c r="G77" s="60" t="s">
        <v>283</v>
      </c>
      <c r="H77" s="61"/>
      <c r="I77" s="63" t="s">
        <v>189</v>
      </c>
      <c r="J77" s="62"/>
      <c r="K77" s="62"/>
      <c r="L77" s="62" t="str">
        <f>IFERROR(__xludf.DUMMYFUNCTION("QUERY('Volunteer Survey'!B83)"),"Jenna Guiltinan")</f>
        <v>Jenna Guiltinan</v>
      </c>
      <c r="M77" s="62" t="str">
        <f>IFERROR(__xludf.DUMMYFUNCTION("QUERY('Volunteer Survey'!E83)"),"jenna.guiltinan@invitae.com")</f>
        <v>jenna.guiltinan@invitae.com</v>
      </c>
      <c r="N77" s="62" t="str">
        <f>IFERROR(__xludf.DUMMYFUNCTION("QUERY('Volunteer Survey'!F83)"),"Variant Analyst/Scientist")</f>
        <v>Variant Analyst/Scientist</v>
      </c>
      <c r="O77" s="60" t="str">
        <f>IFERROR(__xludf.DUMMYFUNCTION("QUERY('Volunteer Survey'!H83)"),"Comprehensive")</f>
        <v>Comprehensive</v>
      </c>
      <c r="P77" s="62" t="str">
        <f>IFERROR(__xludf.DUMMYFUNCTION("QUERY('Volunteer Survey'!I83)"),"Dosage Sensitivity")</f>
        <v>Dosage Sensitivity</v>
      </c>
      <c r="Q77" s="66" t="str">
        <f>IFERROR(__xludf.DUMMYFUNCTION("QUERY('Volunteer Survey'!J83)"),"Variant Pathogenicity")</f>
        <v>Variant Pathogenicity</v>
      </c>
      <c r="R77" s="62" t="str">
        <f>IFERROR(__xludf.DUMMYFUNCTION("QUERY('Volunteer Survey'!K83)"),"Clinical Actionability")</f>
        <v>Clinical Actionability</v>
      </c>
      <c r="S77" s="62" t="str">
        <f>IFERROR(__xludf.DUMMYFUNCTION("QUERY('Volunteer Survey'!L83)"),"Gene-Disease Validity")</f>
        <v>Gene-Disease Validity</v>
      </c>
      <c r="T77" s="62" t="str">
        <f>IFERROR(__xludf.DUMMYFUNCTION("QUERY('Volunteer Survey'!M83)"),"Somatic Cancer")</f>
        <v>Somatic Cancer</v>
      </c>
      <c r="U77" s="74" t="str">
        <f>IFERROR(__xludf.DUMMYFUNCTION("QUERY('Volunteer Survey'!N83)"),"yes")</f>
        <v>yes</v>
      </c>
      <c r="V77" s="62" t="str">
        <f>IFERROR(__xludf.DUMMYFUNCTION("QUERY('Volunteer Survey'!O83)"),"No")</f>
        <v>No</v>
      </c>
      <c r="W77" s="75" t="str">
        <f>IFERROR(__xludf.DUMMYFUNCTION("QUERY('Volunteer Survey'!P83)"),"Dosage- Hereditary Cancer sounds the most interesting to me, but any of the dosage sensitivity working groups would be great!")</f>
        <v>Dosage- Hereditary Cancer sounds the most interesting to me, but any of the dosage sensitivity working groups would be great!</v>
      </c>
      <c r="X77" s="74" t="str">
        <f>IFERROR(__xludf.DUMMYFUNCTION("QUERY('Volunteer Survey'!R83)"),"Yes- I am willing to volunteer with any available ClinGen group")</f>
        <v>Yes- I am willing to volunteer with any available ClinGen group</v>
      </c>
      <c r="Y77" s="61"/>
      <c r="Z77" s="67"/>
      <c r="AA77" s="62"/>
      <c r="AB77" s="62"/>
      <c r="AC77" s="62"/>
      <c r="AD77" s="62"/>
      <c r="AE77" s="62"/>
      <c r="AF77" s="62"/>
      <c r="AG77" s="62"/>
      <c r="AH77" s="62"/>
      <c r="AI77" s="62"/>
      <c r="AJ77" s="62"/>
      <c r="AK77" s="62"/>
      <c r="AL77" s="62"/>
      <c r="AM77" s="62"/>
      <c r="AN77" s="62"/>
      <c r="AO77" s="62"/>
    </row>
    <row r="78">
      <c r="A78" s="59">
        <f>IFERROR(__xludf.DUMMYFUNCTION("QUERY('Volunteer Survey'!A84)"),43483.52609407408)</f>
        <v>43483.52609</v>
      </c>
      <c r="B78" s="60" t="s">
        <v>274</v>
      </c>
      <c r="C78" s="61"/>
      <c r="D78" s="62"/>
      <c r="E78" s="60" t="s">
        <v>182</v>
      </c>
      <c r="F78" s="60" t="s">
        <v>182</v>
      </c>
      <c r="G78" s="60" t="s">
        <v>288</v>
      </c>
      <c r="H78" s="61"/>
      <c r="I78" s="63" t="s">
        <v>189</v>
      </c>
      <c r="J78" s="62"/>
      <c r="K78" s="62"/>
      <c r="L78" s="62" t="str">
        <f>IFERROR(__xludf.DUMMYFUNCTION("QUERY('Volunteer Survey'!B84)"),"Ron Agatep")</f>
        <v>Ron Agatep</v>
      </c>
      <c r="M78" s="62" t="str">
        <f>IFERROR(__xludf.DUMMYFUNCTION("QUERY('Volunteer Survey'!E84)"),"ragatep@sharedhealthmb.ca")</f>
        <v>ragatep@sharedhealthmb.ca</v>
      </c>
      <c r="N78" s="62" t="str">
        <f>IFERROR(__xludf.DUMMYFUNCTION("QUERY('Volunteer Survey'!F84)"),"Clinical laboratory geneticist")</f>
        <v>Clinical laboratory geneticist</v>
      </c>
      <c r="O78" s="60" t="str">
        <f>IFERROR(__xludf.DUMMYFUNCTION("QUERY('Volunteer Survey'!H84)"),"Comprehensive")</f>
        <v>Comprehensive</v>
      </c>
      <c r="P78" s="62" t="str">
        <f>IFERROR(__xludf.DUMMYFUNCTION("QUERY('Volunteer Survey'!I84)"),"Variant Pathogenicity")</f>
        <v>Variant Pathogenicity</v>
      </c>
      <c r="Q78" s="66" t="str">
        <f>IFERROR(__xludf.DUMMYFUNCTION("QUERY('Volunteer Survey'!J84)"),"Gene-Disease Validity, Somatic Cancer")</f>
        <v>Gene-Disease Validity, Somatic Cancer</v>
      </c>
      <c r="R78" s="62" t="str">
        <f>IFERROR(__xludf.DUMMYFUNCTION("QUERY('Volunteer Survey'!K84)"),"")</f>
        <v/>
      </c>
      <c r="S78" s="62" t="str">
        <f>IFERROR(__xludf.DUMMYFUNCTION("QUERY('Volunteer Survey'!L84)"),"")</f>
        <v/>
      </c>
      <c r="T78" s="62" t="str">
        <f>IFERROR(__xludf.DUMMYFUNCTION("QUERY('Volunteer Survey'!M84)"),"")</f>
        <v/>
      </c>
      <c r="U78" s="74" t="str">
        <f>IFERROR(__xludf.DUMMYFUNCTION("QUERY('Volunteer Survey'!N84)"),"")</f>
        <v/>
      </c>
      <c r="V78" s="62" t="str">
        <f>IFERROR(__xludf.DUMMYFUNCTION("QUERY('Volunteer Survey'!O84)"),"Possibly")</f>
        <v>Possibly</v>
      </c>
      <c r="W78" s="75" t="str">
        <f>IFERROR(__xludf.DUMMYFUNCTION("QUERY('Volunteer Survey'!P84)"),"Hereditary Breast and Ovarian Cancer")</f>
        <v>Hereditary Breast and Ovarian Cancer</v>
      </c>
      <c r="X78" s="74" t="str">
        <f>IFERROR(__xludf.DUMMYFUNCTION("QUERY('Volunteer Survey'!R84)"),"Maybe -- please contact me with other options, and I will decide based on what is available")</f>
        <v>Maybe -- please contact me with other options, and I will decide based on what is available</v>
      </c>
      <c r="Y78" s="61"/>
      <c r="Z78" s="67"/>
      <c r="AA78" s="62"/>
      <c r="AB78" s="62"/>
      <c r="AC78" s="62"/>
      <c r="AD78" s="62"/>
      <c r="AE78" s="62"/>
      <c r="AF78" s="62"/>
      <c r="AG78" s="62"/>
      <c r="AH78" s="62"/>
      <c r="AI78" s="62"/>
      <c r="AJ78" s="62"/>
      <c r="AK78" s="62"/>
      <c r="AL78" s="62"/>
      <c r="AM78" s="62"/>
      <c r="AN78" s="62"/>
      <c r="AO78" s="62"/>
    </row>
    <row r="79">
      <c r="A79" s="59">
        <f>IFERROR(__xludf.DUMMYFUNCTION("QUERY('Volunteer Survey'!A85)"),43342.52626157408)</f>
        <v>43342.52626</v>
      </c>
      <c r="B79" s="60" t="s">
        <v>275</v>
      </c>
      <c r="C79" s="61"/>
      <c r="D79" s="62"/>
      <c r="E79" s="60" t="s">
        <v>182</v>
      </c>
      <c r="F79" s="60" t="s">
        <v>182</v>
      </c>
      <c r="G79" s="60" t="s">
        <v>276</v>
      </c>
      <c r="H79" s="61"/>
      <c r="I79" s="63" t="s">
        <v>189</v>
      </c>
      <c r="J79" s="62"/>
      <c r="K79" s="62"/>
      <c r="L79" s="62" t="str">
        <f>IFERROR(__xludf.DUMMYFUNCTION("QUERY('Volunteer Survey'!B85)"),"Danielle Croucher")</f>
        <v>Danielle Croucher</v>
      </c>
      <c r="M79" s="62" t="str">
        <f>IFERROR(__xludf.DUMMYFUNCTION("QUERY('Volunteer Survey'!E85)"),"d.croucher@mail.utoronto.ca")</f>
        <v>d.croucher@mail.utoronto.ca</v>
      </c>
      <c r="N79" s="62" t="str">
        <f>IFERROR(__xludf.DUMMYFUNCTION("QUERY('Volunteer Survey'!F85)"),"Graduate Student")</f>
        <v>Graduate Student</v>
      </c>
      <c r="O79" s="60" t="str">
        <f>IFERROR(__xludf.DUMMYFUNCTION("QUERY('Volunteer Survey'!H85)"),"Baseline")</f>
        <v>Baseline</v>
      </c>
      <c r="P79" s="62" t="str">
        <f>IFERROR(__xludf.DUMMYFUNCTION("QUERY('Volunteer Survey'!I85)"),"Clinical Actionability")</f>
        <v>Clinical Actionability</v>
      </c>
      <c r="Q79" s="66" t="str">
        <f>IFERROR(__xludf.DUMMYFUNCTION("QUERY('Volunteer Survey'!J85)"),"Gene-Disease Validity")</f>
        <v>Gene-Disease Validity</v>
      </c>
      <c r="R79" s="62" t="str">
        <f>IFERROR(__xludf.DUMMYFUNCTION("QUERY('Volunteer Survey'!K85)"),"Variant Pathogenicity")</f>
        <v>Variant Pathogenicity</v>
      </c>
      <c r="S79" s="62" t="str">
        <f>IFERROR(__xludf.DUMMYFUNCTION("QUERY('Volunteer Survey'!L85)"),"Somatic Cancer")</f>
        <v>Somatic Cancer</v>
      </c>
      <c r="T79" s="62" t="str">
        <f>IFERROR(__xludf.DUMMYFUNCTION("QUERY('Volunteer Survey'!M85)"),"")</f>
        <v/>
      </c>
      <c r="U79" s="74" t="str">
        <f>IFERROR(__xludf.DUMMYFUNCTION("QUERY('Volunteer Survey'!N85)"),"yes")</f>
        <v>yes</v>
      </c>
      <c r="V79" s="62" t="str">
        <f>IFERROR(__xludf.DUMMYFUNCTION("QUERY('Volunteer Survey'!O85)"),"Possibly")</f>
        <v>Possibly</v>
      </c>
      <c r="W79" s="75" t="str">
        <f>IFERROR(__xludf.DUMMYFUNCTION("QUERY('Volunteer Survey'!P85)"),"Myeloid Malignancy Variant Curation Expert Panel, Somatic/Germline Variant Curation Group, TP53 Variant Curation Expert Panel, Hereditary Cancer Gene Curation Expert Panel, Breast and Ovarian Cancer Gene Curation Expert Panel")</f>
        <v>Myeloid Malignancy Variant Curation Expert Panel, Somatic/Germline Variant Curation Group, TP53 Variant Curation Expert Panel, Hereditary Cancer Gene Curation Expert Panel, Breast and Ovarian Cancer Gene Curation Expert Panel</v>
      </c>
      <c r="X79" s="74" t="str">
        <f>IFERROR(__xludf.DUMMYFUNCTION("QUERY('Volunteer Survey'!R85)"),"Maybe -- please contact me with other options, and I will decide based on what is available")</f>
        <v>Maybe -- please contact me with other options, and I will decide based on what is available</v>
      </c>
      <c r="Y79" s="61"/>
      <c r="Z79" s="67"/>
      <c r="AA79" s="62"/>
      <c r="AB79" s="62"/>
      <c r="AC79" s="62"/>
      <c r="AD79" s="62"/>
      <c r="AE79" s="62"/>
      <c r="AF79" s="62"/>
      <c r="AG79" s="62"/>
      <c r="AH79" s="62"/>
      <c r="AI79" s="62"/>
      <c r="AJ79" s="62"/>
      <c r="AK79" s="62"/>
      <c r="AL79" s="62"/>
      <c r="AM79" s="62"/>
      <c r="AN79" s="62"/>
      <c r="AO79" s="62"/>
    </row>
    <row r="80">
      <c r="A80" s="59">
        <f>IFERROR(__xludf.DUMMYFUNCTION("QUERY('Volunteer Survey'!A86)"),43339.52752314815)</f>
        <v>43339.52752</v>
      </c>
      <c r="B80" s="60" t="s">
        <v>275</v>
      </c>
      <c r="C80" s="61"/>
      <c r="D80" s="62"/>
      <c r="E80" s="60" t="s">
        <v>182</v>
      </c>
      <c r="F80" s="60" t="s">
        <v>182</v>
      </c>
      <c r="G80" s="60" t="s">
        <v>276</v>
      </c>
      <c r="H80" s="61"/>
      <c r="I80" s="63" t="s">
        <v>189</v>
      </c>
      <c r="J80" s="62"/>
      <c r="K80" s="62"/>
      <c r="L80" s="62" t="str">
        <f>IFERROR(__xludf.DUMMYFUNCTION("QUERY('Volunteer Survey'!B86)"),"Fadel Alyaquob")</f>
        <v>Fadel Alyaquob</v>
      </c>
      <c r="M80" s="62" t="str">
        <f>IFERROR(__xludf.DUMMYFUNCTION("QUERY('Volunteer Survey'!E86)"),"falyaqoub1@yahoo.com")</f>
        <v>falyaqoub1@yahoo.com</v>
      </c>
      <c r="N80" s="62" t="str">
        <f>IFERROR(__xludf.DUMMYFUNCTION("QUERY('Volunteer Survey'!F86)"),"Variant Analyst/Scientist")</f>
        <v>Variant Analyst/Scientist</v>
      </c>
      <c r="O80" s="60" t="str">
        <f>IFERROR(__xludf.DUMMYFUNCTION("QUERY('Volunteer Survey'!H86)"),"Baseline")</f>
        <v>Baseline</v>
      </c>
      <c r="P80" s="62" t="str">
        <f>IFERROR(__xludf.DUMMYFUNCTION("QUERY('Volunteer Survey'!I86)"),"Clinical Actionability")</f>
        <v>Clinical Actionability</v>
      </c>
      <c r="Q80" s="66" t="str">
        <f>IFERROR(__xludf.DUMMYFUNCTION("QUERY('Volunteer Survey'!J86)"),"Gene-Disease Validity")</f>
        <v>Gene-Disease Validity</v>
      </c>
      <c r="R80" s="62" t="str">
        <f>IFERROR(__xludf.DUMMYFUNCTION("QUERY('Volunteer Survey'!K86)"),"Variant Pathogenicity")</f>
        <v>Variant Pathogenicity</v>
      </c>
      <c r="S80" s="62" t="str">
        <f>IFERROR(__xludf.DUMMYFUNCTION("QUERY('Volunteer Survey'!L86)"),"Somatic Cancer")</f>
        <v>Somatic Cancer</v>
      </c>
      <c r="T80" s="62" t="str">
        <f>IFERROR(__xludf.DUMMYFUNCTION("QUERY('Volunteer Survey'!M86)"),"")</f>
        <v/>
      </c>
      <c r="U80" s="74" t="str">
        <f>IFERROR(__xludf.DUMMYFUNCTION("QUERY('Volunteer Survey'!N86)"),"yes")</f>
        <v>yes</v>
      </c>
      <c r="V80" s="62" t="str">
        <f>IFERROR(__xludf.DUMMYFUNCTION("QUERY('Volunteer Survey'!O86)"),"Possibly")</f>
        <v>Possibly</v>
      </c>
      <c r="W80" s="75" t="str">
        <f>IFERROR(__xludf.DUMMYFUNCTION("QUERY('Volunteer Survey'!P86)"),"No")</f>
        <v>No</v>
      </c>
      <c r="X80" s="74" t="str">
        <f>IFERROR(__xludf.DUMMYFUNCTION("QUERY('Volunteer Survey'!R86)"),"Maybe -- please contact me with other options, and I will decide based on what is available")</f>
        <v>Maybe -- please contact me with other options, and I will decide based on what is available</v>
      </c>
      <c r="Y80" s="61"/>
      <c r="Z80" s="67"/>
      <c r="AA80" s="62"/>
      <c r="AB80" s="62"/>
      <c r="AC80" s="62"/>
      <c r="AD80" s="62"/>
      <c r="AE80" s="62"/>
      <c r="AF80" s="62"/>
      <c r="AG80" s="62"/>
      <c r="AH80" s="62"/>
      <c r="AI80" s="62"/>
      <c r="AJ80" s="62"/>
      <c r="AK80" s="62"/>
      <c r="AL80" s="62"/>
      <c r="AM80" s="62"/>
      <c r="AN80" s="62"/>
      <c r="AO80" s="62"/>
    </row>
    <row r="81">
      <c r="A81" s="59">
        <f>IFERROR(__xludf.DUMMYFUNCTION("QUERY('Volunteer Survey'!A87)"),43332.52856481481)</f>
        <v>43332.52856</v>
      </c>
      <c r="B81" s="60" t="s">
        <v>275</v>
      </c>
      <c r="C81" s="61"/>
      <c r="D81" s="62"/>
      <c r="E81" s="60" t="s">
        <v>182</v>
      </c>
      <c r="F81" s="60" t="s">
        <v>182</v>
      </c>
      <c r="G81" s="60" t="s">
        <v>276</v>
      </c>
      <c r="H81" s="61"/>
      <c r="I81" s="63" t="s">
        <v>189</v>
      </c>
      <c r="J81" s="62"/>
      <c r="K81" s="62"/>
      <c r="L81" s="62" t="str">
        <f>IFERROR(__xludf.DUMMYFUNCTION("QUERY('Volunteer Survey'!B87)"),"Hilary Racher")</f>
        <v>Hilary Racher</v>
      </c>
      <c r="M81" s="62" t="str">
        <f>IFERROR(__xludf.DUMMYFUNCTION("QUERY('Volunteer Survey'!E87)"),"racherh@dynacare.ca")</f>
        <v>racherh@dynacare.ca</v>
      </c>
      <c r="N81" s="62" t="str">
        <f>IFERROR(__xludf.DUMMYFUNCTION("QUERY('Volunteer Survey'!F87)"),"Clinical laboratory geneticist")</f>
        <v>Clinical laboratory geneticist</v>
      </c>
      <c r="O81" s="60" t="str">
        <f>IFERROR(__xludf.DUMMYFUNCTION("QUERY('Volunteer Survey'!H87)"),"Baseline")</f>
        <v>Baseline</v>
      </c>
      <c r="P81" s="62" t="str">
        <f>IFERROR(__xludf.DUMMYFUNCTION("QUERY('Volunteer Survey'!I87)"),"Variant Pathogenicity")</f>
        <v>Variant Pathogenicity</v>
      </c>
      <c r="Q81" s="66" t="str">
        <f>IFERROR(__xludf.DUMMYFUNCTION("QUERY('Volunteer Survey'!J87)"),"Somatic Cancer")</f>
        <v>Somatic Cancer</v>
      </c>
      <c r="R81" s="62" t="str">
        <f>IFERROR(__xludf.DUMMYFUNCTION("QUERY('Volunteer Survey'!K87)"),"")</f>
        <v/>
      </c>
      <c r="S81" s="62" t="str">
        <f>IFERROR(__xludf.DUMMYFUNCTION("QUERY('Volunteer Survey'!L87)"),"")</f>
        <v/>
      </c>
      <c r="T81" s="62" t="str">
        <f>IFERROR(__xludf.DUMMYFUNCTION("QUERY('Volunteer Survey'!M87)"),"")</f>
        <v/>
      </c>
      <c r="U81" s="74" t="str">
        <f>IFERROR(__xludf.DUMMYFUNCTION("QUERY('Volunteer Survey'!N87)"),"Yes")</f>
        <v>Yes</v>
      </c>
      <c r="V81" s="62" t="str">
        <f>IFERROR(__xludf.DUMMYFUNCTION("QUERY('Volunteer Survey'!O87)"),"Possibly")</f>
        <v>Possibly</v>
      </c>
      <c r="W81" s="75" t="str">
        <f>IFERROR(__xludf.DUMMYFUNCTION("QUERY('Volunteer Survey'!P87)"),"Somatic/Germline Variant Curation Group Hereditary Cancer Gene Curation Expert Panel Sequence Variant Interpretation")</f>
        <v>Somatic/Germline Variant Curation Group Hereditary Cancer Gene Curation Expert Panel Sequence Variant Interpretation</v>
      </c>
      <c r="X81" s="74" t="str">
        <f>IFERROR(__xludf.DUMMYFUNCTION("QUERY('Volunteer Survey'!R87)"),"Maybe -- please contact me with other options, and I will decide based on what is available")</f>
        <v>Maybe -- please contact me with other options, and I will decide based on what is available</v>
      </c>
      <c r="Y81" s="61"/>
      <c r="Z81" s="67"/>
      <c r="AA81" s="62"/>
      <c r="AB81" s="62"/>
      <c r="AC81" s="62"/>
      <c r="AD81" s="62"/>
      <c r="AE81" s="62"/>
      <c r="AF81" s="62"/>
      <c r="AG81" s="62"/>
      <c r="AH81" s="62"/>
      <c r="AI81" s="62"/>
      <c r="AJ81" s="62"/>
      <c r="AK81" s="62"/>
      <c r="AL81" s="62"/>
      <c r="AM81" s="62"/>
      <c r="AN81" s="62"/>
      <c r="AO81" s="62"/>
    </row>
    <row r="82">
      <c r="A82" s="59">
        <f>IFERROR(__xludf.DUMMYFUNCTION("QUERY('Volunteer Survey'!A88)"),43332.52978009259)</f>
        <v>43332.52978</v>
      </c>
      <c r="B82" s="60" t="s">
        <v>275</v>
      </c>
      <c r="C82" s="61"/>
      <c r="D82" s="62"/>
      <c r="E82" s="60" t="s">
        <v>182</v>
      </c>
      <c r="F82" s="60" t="s">
        <v>182</v>
      </c>
      <c r="G82" s="60" t="s">
        <v>276</v>
      </c>
      <c r="H82" s="61"/>
      <c r="I82" s="63" t="s">
        <v>189</v>
      </c>
      <c r="J82" s="62"/>
      <c r="K82" s="62"/>
      <c r="L82" s="62" t="str">
        <f>IFERROR(__xludf.DUMMYFUNCTION("QUERY('Volunteer Survey'!B88)"),"Juan Dong")</f>
        <v>Juan Dong</v>
      </c>
      <c r="M82" s="62" t="str">
        <f>IFERROR(__xludf.DUMMYFUNCTION("QUERY('Volunteer Survey'!E88)"),"juan.dong@preventiongenetics.com")</f>
        <v>juan.dong@preventiongenetics.com</v>
      </c>
      <c r="N82" s="62" t="str">
        <f>IFERROR(__xludf.DUMMYFUNCTION("QUERY('Volunteer Survey'!F88)"),"Clinical laboratory geneticist")</f>
        <v>Clinical laboratory geneticist</v>
      </c>
      <c r="O82" s="60" t="str">
        <f>IFERROR(__xludf.DUMMYFUNCTION("QUERY('Volunteer Survey'!H88)"),"Baseline")</f>
        <v>Baseline</v>
      </c>
      <c r="P82" s="62" t="str">
        <f>IFERROR(__xludf.DUMMYFUNCTION("QUERY('Volunteer Survey'!I88)"),"Gene-Disease Validity")</f>
        <v>Gene-Disease Validity</v>
      </c>
      <c r="Q82" s="66" t="str">
        <f>IFERROR(__xludf.DUMMYFUNCTION("QUERY('Volunteer Survey'!J88)"),"Variant Pathogenicity")</f>
        <v>Variant Pathogenicity</v>
      </c>
      <c r="R82" s="62" t="str">
        <f>IFERROR(__xludf.DUMMYFUNCTION("QUERY('Volunteer Survey'!K88)"),"")</f>
        <v/>
      </c>
      <c r="S82" s="62" t="str">
        <f>IFERROR(__xludf.DUMMYFUNCTION("QUERY('Volunteer Survey'!L88)"),"")</f>
        <v/>
      </c>
      <c r="T82" s="62" t="str">
        <f>IFERROR(__xludf.DUMMYFUNCTION("QUERY('Volunteer Survey'!M88)"),"")</f>
        <v/>
      </c>
      <c r="U82" s="74" t="str">
        <f>IFERROR(__xludf.DUMMYFUNCTION("QUERY('Volunteer Survey'!N88)"),"Yes")</f>
        <v>Yes</v>
      </c>
      <c r="V82" s="62" t="str">
        <f>IFERROR(__xludf.DUMMYFUNCTION("QUERY('Volunteer Survey'!O88)"),"Possibly")</f>
        <v>Possibly</v>
      </c>
      <c r="W82" s="75" t="str">
        <f>IFERROR(__xludf.DUMMYFUNCTION("QUERY('Volunteer Survey'!P88)"),"Familial Thoracic Aortic Aneurysm and Dissection Gene Curation Expert Pane")</f>
        <v>Familial Thoracic Aortic Aneurysm and Dissection Gene Curation Expert Pane</v>
      </c>
      <c r="X82" s="74" t="str">
        <f>IFERROR(__xludf.DUMMYFUNCTION("QUERY('Volunteer Survey'!R88)"),"Maybe -- please contact me with other options, and I will decide based on what is available")</f>
        <v>Maybe -- please contact me with other options, and I will decide based on what is available</v>
      </c>
      <c r="Y82" s="61"/>
      <c r="Z82" s="67"/>
      <c r="AA82" s="62"/>
      <c r="AB82" s="62"/>
      <c r="AC82" s="62"/>
      <c r="AD82" s="62"/>
      <c r="AE82" s="62"/>
      <c r="AF82" s="62"/>
      <c r="AG82" s="62"/>
      <c r="AH82" s="62"/>
      <c r="AI82" s="62"/>
      <c r="AJ82" s="62"/>
      <c r="AK82" s="62"/>
      <c r="AL82" s="62"/>
      <c r="AM82" s="62"/>
      <c r="AN82" s="62"/>
      <c r="AO82" s="62"/>
    </row>
    <row r="83">
      <c r="A83" s="59">
        <f>IFERROR(__xludf.DUMMYFUNCTION("QUERY('Volunteer Survey'!A89)"),43332.53108796296)</f>
        <v>43332.53109</v>
      </c>
      <c r="B83" s="60" t="s">
        <v>275</v>
      </c>
      <c r="C83" s="61"/>
      <c r="D83" s="62"/>
      <c r="E83" s="60" t="s">
        <v>182</v>
      </c>
      <c r="F83" s="60" t="s">
        <v>182</v>
      </c>
      <c r="G83" s="60" t="s">
        <v>276</v>
      </c>
      <c r="H83" s="61"/>
      <c r="I83" s="63" t="s">
        <v>189</v>
      </c>
      <c r="J83" s="62"/>
      <c r="K83" s="62"/>
      <c r="L83" s="62" t="str">
        <f>IFERROR(__xludf.DUMMYFUNCTION("QUERY('Volunteer Survey'!B89)"),"Julie Kaylor")</f>
        <v>Julie Kaylor</v>
      </c>
      <c r="M83" s="62" t="str">
        <f>IFERROR(__xludf.DUMMYFUNCTION("QUERY('Volunteer Survey'!E89)"),"jkaylor@informeddna.com")</f>
        <v>jkaylor@informeddna.com</v>
      </c>
      <c r="N83" s="62" t="str">
        <f>IFERROR(__xludf.DUMMYFUNCTION("QUERY('Volunteer Survey'!F89)"),"Genetic counselor")</f>
        <v>Genetic counselor</v>
      </c>
      <c r="O83" s="60" t="str">
        <f>IFERROR(__xludf.DUMMYFUNCTION("QUERY('Volunteer Survey'!H89)"),"Baseline")</f>
        <v>Baseline</v>
      </c>
      <c r="P83" s="62" t="str">
        <f>IFERROR(__xludf.DUMMYFUNCTION("QUERY('Volunteer Survey'!I89)"),"Clinical Actionability")</f>
        <v>Clinical Actionability</v>
      </c>
      <c r="Q83" s="66" t="str">
        <f>IFERROR(__xludf.DUMMYFUNCTION("QUERY('Volunteer Survey'!J89)"),"Gene-Disease Validity")</f>
        <v>Gene-Disease Validity</v>
      </c>
      <c r="R83" s="62" t="str">
        <f>IFERROR(__xludf.DUMMYFUNCTION("QUERY('Volunteer Survey'!K89)"),"Variant Pathogenicity")</f>
        <v>Variant Pathogenicity</v>
      </c>
      <c r="S83" s="62" t="str">
        <f>IFERROR(__xludf.DUMMYFUNCTION("QUERY('Volunteer Survey'!L89)"),"")</f>
        <v/>
      </c>
      <c r="T83" s="62" t="str">
        <f>IFERROR(__xludf.DUMMYFUNCTION("QUERY('Volunteer Survey'!M89)"),"")</f>
        <v/>
      </c>
      <c r="U83" s="74" t="str">
        <f>IFERROR(__xludf.DUMMYFUNCTION("QUERY('Volunteer Survey'!N89)"),"Yes")</f>
        <v>Yes</v>
      </c>
      <c r="V83" s="62" t="str">
        <f>IFERROR(__xludf.DUMMYFUNCTION("QUERY('Volunteer Survey'!O89)"),"Possibly")</f>
        <v>Possibly</v>
      </c>
      <c r="W83" s="75" t="str">
        <f>IFERROR(__xludf.DUMMYFUNCTION("QUERY('Volunteer Survey'!P89)"),"NA")</f>
        <v>NA</v>
      </c>
      <c r="X83" s="74" t="str">
        <f>IFERROR(__xludf.DUMMYFUNCTION("QUERY('Volunteer Survey'!R89)"),"Maybe -- please contact me with other options, and I will decide based on what is available")</f>
        <v>Maybe -- please contact me with other options, and I will decide based on what is available</v>
      </c>
      <c r="Y83" s="61"/>
      <c r="Z83" s="67"/>
      <c r="AA83" s="62"/>
      <c r="AB83" s="62"/>
      <c r="AC83" s="62"/>
      <c r="AD83" s="62"/>
      <c r="AE83" s="62"/>
      <c r="AF83" s="62"/>
      <c r="AG83" s="62"/>
      <c r="AH83" s="62"/>
      <c r="AI83" s="62"/>
      <c r="AJ83" s="62"/>
      <c r="AK83" s="62"/>
      <c r="AL83" s="62"/>
      <c r="AM83" s="62"/>
      <c r="AN83" s="62"/>
      <c r="AO83" s="62"/>
    </row>
    <row r="84">
      <c r="A84" s="59">
        <f>IFERROR(__xludf.DUMMYFUNCTION("QUERY('Volunteer Survey'!A90)"),43332.53284722222)</f>
        <v>43332.53285</v>
      </c>
      <c r="B84" s="60" t="s">
        <v>275</v>
      </c>
      <c r="C84" s="61"/>
      <c r="D84" s="62"/>
      <c r="E84" s="60" t="s">
        <v>182</v>
      </c>
      <c r="F84" s="60" t="s">
        <v>182</v>
      </c>
      <c r="G84" s="60" t="s">
        <v>276</v>
      </c>
      <c r="H84" s="61"/>
      <c r="I84" s="63" t="s">
        <v>189</v>
      </c>
      <c r="J84" s="62"/>
      <c r="K84" s="62"/>
      <c r="L84" s="62" t="str">
        <f>IFERROR(__xludf.DUMMYFUNCTION("QUERY('Volunteer Survey'!B90)"),"David Ng")</f>
        <v>David Ng</v>
      </c>
      <c r="M84" s="62" t="str">
        <f>IFERROR(__xludf.DUMMYFUNCTION("QUERY('Volunteer Survey'!E90)"),"davidng@mail.nih.gov")</f>
        <v>davidng@mail.nih.gov</v>
      </c>
      <c r="N84" s="62" t="str">
        <f>IFERROR(__xludf.DUMMYFUNCTION("QUERY('Volunteer Survey'!F90)"),"Clinical medical geneticist/Variant Analyst/Scientist")</f>
        <v>Clinical medical geneticist/Variant Analyst/Scientist</v>
      </c>
      <c r="O84" s="60" t="str">
        <f>IFERROR(__xludf.DUMMYFUNCTION("QUERY('Volunteer Survey'!H90)"),"Baseline")</f>
        <v>Baseline</v>
      </c>
      <c r="P84" s="62" t="str">
        <f>IFERROR(__xludf.DUMMYFUNCTION("QUERY('Volunteer Survey'!I90)"),"Clinical Actionability")</f>
        <v>Clinical Actionability</v>
      </c>
      <c r="Q84" s="66" t="str">
        <f>IFERROR(__xludf.DUMMYFUNCTION("QUERY('Volunteer Survey'!J90)"),"Gene-Disease Validity")</f>
        <v>Gene-Disease Validity</v>
      </c>
      <c r="R84" s="62" t="str">
        <f>IFERROR(__xludf.DUMMYFUNCTION("QUERY('Volunteer Survey'!K90)"),"Variant Pathogenicity")</f>
        <v>Variant Pathogenicity</v>
      </c>
      <c r="S84" s="62" t="str">
        <f>IFERROR(__xludf.DUMMYFUNCTION("QUERY('Volunteer Survey'!L90)"),"")</f>
        <v/>
      </c>
      <c r="T84" s="62" t="str">
        <f>IFERROR(__xludf.DUMMYFUNCTION("QUERY('Volunteer Survey'!M90)"),"")</f>
        <v/>
      </c>
      <c r="U84" s="74" t="str">
        <f>IFERROR(__xludf.DUMMYFUNCTION("QUERY('Volunteer Survey'!N90)"),"Yes")</f>
        <v>Yes</v>
      </c>
      <c r="V84" s="62" t="str">
        <f>IFERROR(__xludf.DUMMYFUNCTION("QUERY('Volunteer Survey'!O90)"),"Possibly")</f>
        <v>Possibly</v>
      </c>
      <c r="W84" s="75" t="str">
        <f>IFERROR(__xludf.DUMMYFUNCTION("QUERY('Volunteer Survey'!P90)"),"Cardiology.")</f>
        <v>Cardiology.</v>
      </c>
      <c r="X84" s="74" t="str">
        <f>IFERROR(__xludf.DUMMYFUNCTION("QUERY('Volunteer Survey'!R90)"),"Maybe -- please contact me with other options, and I will decide based on what is available")</f>
        <v>Maybe -- please contact me with other options, and I will decide based on what is available</v>
      </c>
      <c r="Y84" s="61"/>
      <c r="Z84" s="67"/>
      <c r="AA84" s="62"/>
      <c r="AB84" s="62"/>
      <c r="AC84" s="62"/>
      <c r="AD84" s="62"/>
      <c r="AE84" s="62"/>
      <c r="AF84" s="62"/>
      <c r="AG84" s="62"/>
      <c r="AH84" s="62"/>
      <c r="AI84" s="62"/>
      <c r="AJ84" s="62"/>
      <c r="AK84" s="62"/>
      <c r="AL84" s="62"/>
      <c r="AM84" s="62"/>
      <c r="AN84" s="62"/>
      <c r="AO84" s="62"/>
    </row>
    <row r="85">
      <c r="A85" s="59">
        <f>IFERROR(__xludf.DUMMYFUNCTION("QUERY('Volunteer Survey'!A91)"),43483.53342149306)</f>
        <v>43483.53342</v>
      </c>
      <c r="B85" s="60" t="s">
        <v>275</v>
      </c>
      <c r="C85" s="61"/>
      <c r="D85" s="82">
        <v>43580.0</v>
      </c>
      <c r="E85" s="60" t="s">
        <v>277</v>
      </c>
      <c r="F85" s="60" t="s">
        <v>277</v>
      </c>
      <c r="G85" s="60" t="s">
        <v>283</v>
      </c>
      <c r="H85" s="61"/>
      <c r="I85" s="63" t="s">
        <v>189</v>
      </c>
      <c r="J85" s="79">
        <v>43712.0</v>
      </c>
      <c r="K85" s="79"/>
      <c r="L85" s="62" t="str">
        <f>IFERROR(__xludf.DUMMYFUNCTION("QUERY('Volunteer Survey'!B91)"),"Nan Jiang")</f>
        <v>Nan Jiang</v>
      </c>
      <c r="M85" s="62" t="str">
        <f>IFERROR(__xludf.DUMMYFUNCTION("QUERY('Volunteer Survey'!E91)"),"naj018@ucsd.edu")</f>
        <v>naj018@ucsd.edu</v>
      </c>
      <c r="N85" s="62" t="str">
        <f>IFERROR(__xludf.DUMMYFUNCTION("QUERY('Volunteer Survey'!F91)"),"Post Doc/Resident/Fellow (MD and/or PhD)")</f>
        <v>Post Doc/Resident/Fellow (MD and/or PhD)</v>
      </c>
      <c r="O85" s="60" t="str">
        <f>IFERROR(__xludf.DUMMYFUNCTION("QUERY('Volunteer Survey'!H91)"),"Comprehensive")</f>
        <v>Comprehensive</v>
      </c>
      <c r="P85" s="62" t="str">
        <f>IFERROR(__xludf.DUMMYFUNCTION("QUERY('Volunteer Survey'!I91)"),"Dosage Sensitivity")</f>
        <v>Dosage Sensitivity</v>
      </c>
      <c r="Q85" s="66" t="str">
        <f>IFERROR(__xludf.DUMMYFUNCTION("QUERY('Volunteer Survey'!J91)"),"")</f>
        <v/>
      </c>
      <c r="R85" s="62" t="str">
        <f>IFERROR(__xludf.DUMMYFUNCTION("QUERY('Volunteer Survey'!K91)"),"Gene-Disease Validity")</f>
        <v>Gene-Disease Validity</v>
      </c>
      <c r="S85" s="62" t="str">
        <f>IFERROR(__xludf.DUMMYFUNCTION("QUERY('Volunteer Survey'!L91)"),"Somatic Cancer")</f>
        <v>Somatic Cancer</v>
      </c>
      <c r="T85" s="62" t="str">
        <f>IFERROR(__xludf.DUMMYFUNCTION("QUERY('Volunteer Survey'!M91)"),"Variant Pathogenicity")</f>
        <v>Variant Pathogenicity</v>
      </c>
      <c r="U85" s="74" t="str">
        <f>IFERROR(__xludf.DUMMYFUNCTION("QUERY('Volunteer Survey'!N91)"),"Yes. I work in a clinical genetics research lab identifying disease genes in pediatric neurological disorders using whole exome and whole genome sequencing. I do variants pathogenicity curation in daily bases. ")</f>
        <v>Yes. I work in a clinical genetics research lab identifying disease genes in pediatric neurological disorders using whole exome and whole genome sequencing. I do variants pathogenicity curation in daily bases. </v>
      </c>
      <c r="V85" s="62" t="str">
        <f>IFERROR(__xludf.DUMMYFUNCTION("QUERY('Volunteer Survey'!O91)"),"Possibly")</f>
        <v>Possibly</v>
      </c>
      <c r="W85" s="75" t="str">
        <f>IFERROR(__xludf.DUMMYFUNCTION("QUERY('Volunteer Survey'!P91)"),"I am particularly interested in the variant and gene curation expert panels under dosage sensitivity working group. ")</f>
        <v>I am particularly interested in the variant and gene curation expert panels under dosage sensitivity working group. </v>
      </c>
      <c r="X85" s="74" t="str">
        <f>IFERROR(__xludf.DUMMYFUNCTION("QUERY('Volunteer Survey'!R91)"),"Yes- I am willing to volunteer with any available ClinGen group")</f>
        <v>Yes- I am willing to volunteer with any available ClinGen group</v>
      </c>
      <c r="Y85" s="61"/>
      <c r="Z85" s="67"/>
      <c r="AA85" s="62"/>
      <c r="AB85" s="62"/>
      <c r="AC85" s="62"/>
      <c r="AD85" s="62"/>
      <c r="AE85" s="62"/>
      <c r="AF85" s="62"/>
      <c r="AG85" s="62"/>
      <c r="AH85" s="62"/>
      <c r="AI85" s="62"/>
      <c r="AJ85" s="62"/>
      <c r="AK85" s="62"/>
      <c r="AL85" s="62"/>
      <c r="AM85" s="62"/>
      <c r="AN85" s="62"/>
      <c r="AO85" s="62"/>
    </row>
    <row r="86">
      <c r="A86" s="59">
        <f>IFERROR(__xludf.DUMMYFUNCTION("QUERY('Volunteer Survey'!A92)"),43366.53592592593)</f>
        <v>43366.53593</v>
      </c>
      <c r="B86" s="60" t="s">
        <v>275</v>
      </c>
      <c r="C86" s="61"/>
      <c r="D86" s="62"/>
      <c r="E86" s="60" t="s">
        <v>182</v>
      </c>
      <c r="F86" s="60" t="s">
        <v>182</v>
      </c>
      <c r="G86" s="60" t="s">
        <v>276</v>
      </c>
      <c r="H86" s="61"/>
      <c r="I86" s="61"/>
      <c r="J86" s="62"/>
      <c r="K86" s="62"/>
      <c r="L86" s="62" t="str">
        <f>IFERROR(__xludf.DUMMYFUNCTION("QUERY('Volunteer Survey'!B92)"),"Michelle Green")</f>
        <v>Michelle Green</v>
      </c>
      <c r="M86" s="62" t="str">
        <f>IFERROR(__xludf.DUMMYFUNCTION("QUERY('Volunteer Survey'!E92)"),"Michelle.green@n-of-one.com")</f>
        <v>Michelle.green@n-of-one.com</v>
      </c>
      <c r="N86" s="62" t="str">
        <f>IFERROR(__xludf.DUMMYFUNCTION("QUERY('Volunteer Survey'!F92)"),"Biocurator, Variant Analyst/Scientist")</f>
        <v>Biocurator, Variant Analyst/Scientist</v>
      </c>
      <c r="O86" s="60" t="str">
        <f>IFERROR(__xludf.DUMMYFUNCTION("QUERY('Volunteer Survey'!H92)"),"Baseline")</f>
        <v>Baseline</v>
      </c>
      <c r="P86" s="62" t="str">
        <f>IFERROR(__xludf.DUMMYFUNCTION("QUERY('Volunteer Survey'!I92)"),"Variant Pathogenicity")</f>
        <v>Variant Pathogenicity</v>
      </c>
      <c r="Q86" s="66" t="str">
        <f>IFERROR(__xludf.DUMMYFUNCTION("QUERY('Volunteer Survey'!J92)"),"")</f>
        <v/>
      </c>
      <c r="R86" s="62" t="str">
        <f>IFERROR(__xludf.DUMMYFUNCTION("QUERY('Volunteer Survey'!K92)"),"")</f>
        <v/>
      </c>
      <c r="S86" s="62" t="str">
        <f>IFERROR(__xludf.DUMMYFUNCTION("QUERY('Volunteer Survey'!L92)"),"")</f>
        <v/>
      </c>
      <c r="T86" s="62" t="str">
        <f>IFERROR(__xludf.DUMMYFUNCTION("QUERY('Volunteer Survey'!M92)"),"")</f>
        <v/>
      </c>
      <c r="U86" s="74" t="str">
        <f>IFERROR(__xludf.DUMMYFUNCTION("QUERY('Volunteer Survey'!N92)"),"Yes")</f>
        <v>Yes</v>
      </c>
      <c r="V86" s="62" t="str">
        <f>IFERROR(__xludf.DUMMYFUNCTION("QUERY('Volunteer Survey'!O92)"),"Possibly")</f>
        <v>Possibly</v>
      </c>
      <c r="W86" s="75" t="str">
        <f>IFERROR(__xludf.DUMMYFUNCTION("QUERY('Volunteer Survey'!P92)"),"NA")</f>
        <v>NA</v>
      </c>
      <c r="X86" s="74" t="str">
        <f>IFERROR(__xludf.DUMMYFUNCTION("QUERY('Volunteer Survey'!R92)"),"Maybe -- please contact me with other options, and I will decide based on what is available")</f>
        <v>Maybe -- please contact me with other options, and I will decide based on what is available</v>
      </c>
      <c r="Y86" s="61"/>
      <c r="Z86" s="67"/>
      <c r="AA86" s="62"/>
      <c r="AB86" s="62"/>
      <c r="AC86" s="62"/>
      <c r="AD86" s="62"/>
      <c r="AE86" s="62"/>
      <c r="AF86" s="62"/>
      <c r="AG86" s="62"/>
      <c r="AH86" s="62"/>
      <c r="AI86" s="62"/>
      <c r="AJ86" s="62"/>
      <c r="AK86" s="62"/>
      <c r="AL86" s="62"/>
      <c r="AM86" s="62"/>
      <c r="AN86" s="62"/>
      <c r="AO86" s="62"/>
    </row>
    <row r="87">
      <c r="A87" s="59">
        <f>IFERROR(__xludf.DUMMYFUNCTION("QUERY('Volunteer Survey'!A93)"),43371.53938657408)</f>
        <v>43371.53939</v>
      </c>
      <c r="B87" s="60" t="s">
        <v>275</v>
      </c>
      <c r="C87" s="61"/>
      <c r="D87" s="62"/>
      <c r="E87" s="60" t="s">
        <v>182</v>
      </c>
      <c r="F87" s="60" t="s">
        <v>182</v>
      </c>
      <c r="G87" s="60" t="s">
        <v>276</v>
      </c>
      <c r="H87" s="61"/>
      <c r="I87" s="63" t="s">
        <v>189</v>
      </c>
      <c r="J87" s="62"/>
      <c r="K87" s="62"/>
      <c r="L87" s="62" t="str">
        <f>IFERROR(__xludf.DUMMYFUNCTION("QUERY('Volunteer Survey'!B93)"),"Mahsa")</f>
        <v>Mahsa</v>
      </c>
      <c r="M87" s="62" t="str">
        <f>IFERROR(__xludf.DUMMYFUNCTION("QUERY('Volunteer Survey'!E93)"),"mahsash@nmsu.edu")</f>
        <v>mahsash@nmsu.edu</v>
      </c>
      <c r="N87" s="62" t="str">
        <f>IFERROR(__xludf.DUMMYFUNCTION("QUERY('Volunteer Survey'!F93)"),"Graduate Student")</f>
        <v>Graduate Student</v>
      </c>
      <c r="O87" s="60" t="str">
        <f>IFERROR(__xludf.DUMMYFUNCTION("QUERY('Volunteer Survey'!H93)"),"Baseline")</f>
        <v>Baseline</v>
      </c>
      <c r="P87" s="62" t="str">
        <f>IFERROR(__xludf.DUMMYFUNCTION("QUERY('Volunteer Survey'!I93)"),"")</f>
        <v/>
      </c>
      <c r="Q87" s="66" t="str">
        <f>IFERROR(__xludf.DUMMYFUNCTION("QUERY('Volunteer Survey'!J93)"),"")</f>
        <v/>
      </c>
      <c r="R87" s="62" t="str">
        <f>IFERROR(__xludf.DUMMYFUNCTION("QUERY('Volunteer Survey'!K93)"),"")</f>
        <v/>
      </c>
      <c r="S87" s="62" t="str">
        <f>IFERROR(__xludf.DUMMYFUNCTION("QUERY('Volunteer Survey'!L93)"),"")</f>
        <v/>
      </c>
      <c r="T87" s="62" t="str">
        <f>IFERROR(__xludf.DUMMYFUNCTION("QUERY('Volunteer Survey'!M93)"),"")</f>
        <v/>
      </c>
      <c r="U87" s="74" t="str">
        <f>IFERROR(__xludf.DUMMYFUNCTION("QUERY('Volunteer Survey'!N93)"),"No")</f>
        <v>No</v>
      </c>
      <c r="V87" s="62" t="str">
        <f>IFERROR(__xludf.DUMMYFUNCTION("QUERY('Volunteer Survey'!O93)"),"Possibly")</f>
        <v>Possibly</v>
      </c>
      <c r="W87" s="75" t="str">
        <f>IFERROR(__xludf.DUMMYFUNCTION("QUERY('Volunteer Survey'!P93)"),"NA")</f>
        <v>NA</v>
      </c>
      <c r="X87" s="74" t="str">
        <f>IFERROR(__xludf.DUMMYFUNCTION("QUERY('Volunteer Survey'!R93)"),"Maybe -- please contact me with other options, and I will decide based on what is available")</f>
        <v>Maybe -- please contact me with other options, and I will decide based on what is available</v>
      </c>
      <c r="Y87" s="61"/>
      <c r="Z87" s="67"/>
      <c r="AA87" s="62"/>
      <c r="AB87" s="62"/>
      <c r="AC87" s="62"/>
      <c r="AD87" s="62"/>
      <c r="AE87" s="62"/>
      <c r="AF87" s="62"/>
      <c r="AG87" s="62"/>
      <c r="AH87" s="62"/>
      <c r="AI87" s="62"/>
      <c r="AJ87" s="62"/>
      <c r="AK87" s="62"/>
      <c r="AL87" s="62"/>
      <c r="AM87" s="62"/>
      <c r="AN87" s="62"/>
      <c r="AO87" s="62"/>
    </row>
    <row r="88">
      <c r="A88" s="59">
        <f>IFERROR(__xludf.DUMMYFUNCTION("QUERY('Volunteer Survey'!A94)"),43372.549050925925)</f>
        <v>43372.54905</v>
      </c>
      <c r="B88" s="60" t="s">
        <v>275</v>
      </c>
      <c r="C88" s="61"/>
      <c r="D88" s="62"/>
      <c r="E88" s="60" t="s">
        <v>182</v>
      </c>
      <c r="F88" s="60" t="s">
        <v>182</v>
      </c>
      <c r="G88" s="60" t="s">
        <v>276</v>
      </c>
      <c r="H88" s="61"/>
      <c r="I88" s="61"/>
      <c r="J88" s="62"/>
      <c r="K88" s="62"/>
      <c r="L88" s="62" t="str">
        <f>IFERROR(__xludf.DUMMYFUNCTION("QUERY('Volunteer Survey'!B94)"),"Michelle Green")</f>
        <v>Michelle Green</v>
      </c>
      <c r="M88" s="62" t="str">
        <f>IFERROR(__xludf.DUMMYFUNCTION("QUERY('Volunteer Survey'!E94)"),"mfgreen14@gmail.com")</f>
        <v>mfgreen14@gmail.com</v>
      </c>
      <c r="N88" s="62" t="str">
        <f>IFERROR(__xludf.DUMMYFUNCTION("QUERY('Volunteer Survey'!F94)"),"Biocurator, Variant Analyst/Scientist")</f>
        <v>Biocurator, Variant Analyst/Scientist</v>
      </c>
      <c r="O88" s="60" t="str">
        <f>IFERROR(__xludf.DUMMYFUNCTION("QUERY('Volunteer Survey'!H94)"),"Baseline")</f>
        <v>Baseline</v>
      </c>
      <c r="P88" s="62" t="str">
        <f>IFERROR(__xludf.DUMMYFUNCTION("QUERY('Volunteer Survey'!I94)"),"")</f>
        <v/>
      </c>
      <c r="Q88" s="66" t="str">
        <f>IFERROR(__xludf.DUMMYFUNCTION("QUERY('Volunteer Survey'!J94)"),"")</f>
        <v/>
      </c>
      <c r="R88" s="62" t="str">
        <f>IFERROR(__xludf.DUMMYFUNCTION("QUERY('Volunteer Survey'!K94)"),"")</f>
        <v/>
      </c>
      <c r="S88" s="62" t="str">
        <f>IFERROR(__xludf.DUMMYFUNCTION("QUERY('Volunteer Survey'!L94)"),"")</f>
        <v/>
      </c>
      <c r="T88" s="62" t="str">
        <f>IFERROR(__xludf.DUMMYFUNCTION("QUERY('Volunteer Survey'!M94)"),"")</f>
        <v/>
      </c>
      <c r="U88" s="74" t="str">
        <f>IFERROR(__xludf.DUMMYFUNCTION("QUERY('Volunteer Survey'!N94)"),"Yes")</f>
        <v>Yes</v>
      </c>
      <c r="V88" s="62" t="str">
        <f>IFERROR(__xludf.DUMMYFUNCTION("QUERY('Volunteer Survey'!O94)"),"Possibly")</f>
        <v>Possibly</v>
      </c>
      <c r="W88" s="75" t="str">
        <f>IFERROR(__xludf.DUMMYFUNCTION("QUERY('Volunteer Survey'!P94)"),"NA")</f>
        <v>NA</v>
      </c>
      <c r="X88" s="74" t="str">
        <f>IFERROR(__xludf.DUMMYFUNCTION("QUERY('Volunteer Survey'!R94)"),"Maybe -- please contact me with other options, and I will decide based on what is available")</f>
        <v>Maybe -- please contact me with other options, and I will decide based on what is available</v>
      </c>
      <c r="Y88" s="61"/>
      <c r="Z88" s="67"/>
      <c r="AA88" s="62"/>
      <c r="AB88" s="62"/>
      <c r="AC88" s="62"/>
      <c r="AD88" s="62"/>
      <c r="AE88" s="62"/>
      <c r="AF88" s="62"/>
      <c r="AG88" s="62"/>
      <c r="AH88" s="62"/>
      <c r="AI88" s="62"/>
      <c r="AJ88" s="62"/>
      <c r="AK88" s="62"/>
      <c r="AL88" s="62"/>
      <c r="AM88" s="62"/>
      <c r="AN88" s="62"/>
      <c r="AO88" s="62"/>
    </row>
    <row r="89">
      <c r="A89" s="59">
        <f>IFERROR(__xludf.DUMMYFUNCTION("QUERY('Volunteer Survey'!A95)"),43389.55033564815)</f>
        <v>43389.55034</v>
      </c>
      <c r="B89" s="60" t="s">
        <v>275</v>
      </c>
      <c r="C89" s="61"/>
      <c r="D89" s="62"/>
      <c r="E89" s="60" t="s">
        <v>182</v>
      </c>
      <c r="F89" s="60" t="s">
        <v>182</v>
      </c>
      <c r="G89" s="60" t="s">
        <v>276</v>
      </c>
      <c r="H89" s="61"/>
      <c r="I89" s="63" t="s">
        <v>189</v>
      </c>
      <c r="J89" s="62"/>
      <c r="K89" s="62"/>
      <c r="L89" s="62" t="str">
        <f>IFERROR(__xludf.DUMMYFUNCTION("QUERY('Volunteer Survey'!B95)"),"Xinkun ""Sequen"" Wang")</f>
        <v>Xinkun "Sequen" Wang</v>
      </c>
      <c r="M89" s="62" t="str">
        <f>IFERROR(__xludf.DUMMYFUNCTION("QUERY('Volunteer Survey'!E95)"),"xinkun.wang@northwestern.edu")</f>
        <v>xinkun.wang@northwestern.edu</v>
      </c>
      <c r="N89" s="62" t="str">
        <f>IFERROR(__xludf.DUMMYFUNCTION("QUERY('Volunteer Survey'!F95)"),"Scientific Researcher")</f>
        <v>Scientific Researcher</v>
      </c>
      <c r="O89" s="60" t="str">
        <f>IFERROR(__xludf.DUMMYFUNCTION("QUERY('Volunteer Survey'!H95)"),"Baseline")</f>
        <v>Baseline</v>
      </c>
      <c r="P89" s="62" t="str">
        <f>IFERROR(__xludf.DUMMYFUNCTION("QUERY('Volunteer Survey'!I95)"),"")</f>
        <v/>
      </c>
      <c r="Q89" s="66" t="str">
        <f>IFERROR(__xludf.DUMMYFUNCTION("QUERY('Volunteer Survey'!J95)"),"")</f>
        <v/>
      </c>
      <c r="R89" s="62" t="str">
        <f>IFERROR(__xludf.DUMMYFUNCTION("QUERY('Volunteer Survey'!K95)"),"")</f>
        <v/>
      </c>
      <c r="S89" s="62" t="str">
        <f>IFERROR(__xludf.DUMMYFUNCTION("QUERY('Volunteer Survey'!L95)"),"")</f>
        <v/>
      </c>
      <c r="T89" s="62" t="str">
        <f>IFERROR(__xludf.DUMMYFUNCTION("QUERY('Volunteer Survey'!M95)"),"")</f>
        <v/>
      </c>
      <c r="U89" s="74" t="str">
        <f>IFERROR(__xludf.DUMMYFUNCTION("QUERY('Volunteer Survey'!N95)"),"No")</f>
        <v>No</v>
      </c>
      <c r="V89" s="62" t="str">
        <f>IFERROR(__xludf.DUMMYFUNCTION("QUERY('Volunteer Survey'!O95)"),"Possibly")</f>
        <v>Possibly</v>
      </c>
      <c r="W89" s="75" t="str">
        <f>IFERROR(__xludf.DUMMYFUNCTION("QUERY('Volunteer Survey'!P95)"),"Epilepsy Gene Curation Expert Panel Autism and Intellectual Disability Gene Curation Expert Panel")</f>
        <v>Epilepsy Gene Curation Expert Panel Autism and Intellectual Disability Gene Curation Expert Panel</v>
      </c>
      <c r="X89" s="74" t="str">
        <f>IFERROR(__xludf.DUMMYFUNCTION("QUERY('Volunteer Survey'!R95)"),"Maybe -- please contact me with other options, and I will decide based on what is available")</f>
        <v>Maybe -- please contact me with other options, and I will decide based on what is available</v>
      </c>
      <c r="Y89" s="61"/>
      <c r="Z89" s="67"/>
      <c r="AA89" s="62"/>
      <c r="AB89" s="62"/>
      <c r="AC89" s="62"/>
      <c r="AD89" s="62"/>
      <c r="AE89" s="62"/>
      <c r="AF89" s="62"/>
      <c r="AG89" s="62"/>
      <c r="AH89" s="62"/>
      <c r="AI89" s="62"/>
      <c r="AJ89" s="62"/>
      <c r="AK89" s="62"/>
      <c r="AL89" s="62"/>
      <c r="AM89" s="62"/>
      <c r="AN89" s="62"/>
      <c r="AO89" s="62"/>
    </row>
    <row r="90">
      <c r="A90" s="59">
        <f>IFERROR(__xludf.DUMMYFUNCTION("QUERY('Volunteer Survey'!A96)"),43402.55109953704)</f>
        <v>43402.5511</v>
      </c>
      <c r="B90" s="60" t="s">
        <v>275</v>
      </c>
      <c r="C90" s="61"/>
      <c r="D90" s="62"/>
      <c r="E90" s="60" t="s">
        <v>182</v>
      </c>
      <c r="F90" s="60" t="s">
        <v>182</v>
      </c>
      <c r="G90" s="60" t="s">
        <v>276</v>
      </c>
      <c r="H90" s="61"/>
      <c r="I90" s="63" t="s">
        <v>189</v>
      </c>
      <c r="J90" s="62"/>
      <c r="K90" s="62"/>
      <c r="L90" s="62" t="str">
        <f>IFERROR(__xludf.DUMMYFUNCTION("QUERY('Volunteer Survey'!B96)"),"Siddharth Banka")</f>
        <v>Siddharth Banka</v>
      </c>
      <c r="M90" s="62" t="str">
        <f>IFERROR(__xludf.DUMMYFUNCTION("QUERY('Volunteer Survey'!E96)"),"Siddharth.Banka@manchester.ac.uk")</f>
        <v>Siddharth.Banka@manchester.ac.uk</v>
      </c>
      <c r="N90" s="62" t="str">
        <f>IFERROR(__xludf.DUMMYFUNCTION("QUERY('Volunteer Survey'!F96)"),"Clinical Medical Geneticist")</f>
        <v>Clinical Medical Geneticist</v>
      </c>
      <c r="O90" s="60" t="str">
        <f>IFERROR(__xludf.DUMMYFUNCTION("QUERY('Volunteer Survey'!H96)"),"Baseline")</f>
        <v>Baseline</v>
      </c>
      <c r="P90" s="62" t="str">
        <f>IFERROR(__xludf.DUMMYFUNCTION("QUERY('Volunteer Survey'!I96)"),"")</f>
        <v/>
      </c>
      <c r="Q90" s="66" t="str">
        <f>IFERROR(__xludf.DUMMYFUNCTION("QUERY('Volunteer Survey'!J96)"),"")</f>
        <v/>
      </c>
      <c r="R90" s="62" t="str">
        <f>IFERROR(__xludf.DUMMYFUNCTION("QUERY('Volunteer Survey'!K96)"),"")</f>
        <v/>
      </c>
      <c r="S90" s="62" t="str">
        <f>IFERROR(__xludf.DUMMYFUNCTION("QUERY('Volunteer Survey'!L96)"),"")</f>
        <v/>
      </c>
      <c r="T90" s="62" t="str">
        <f>IFERROR(__xludf.DUMMYFUNCTION("QUERY('Volunteer Survey'!M96)"),"")</f>
        <v/>
      </c>
      <c r="U90" s="74" t="str">
        <f>IFERROR(__xludf.DUMMYFUNCTION("QUERY('Volunteer Survey'!N96)"),"Yes")</f>
        <v>Yes</v>
      </c>
      <c r="V90" s="62" t="str">
        <f>IFERROR(__xludf.DUMMYFUNCTION("QUERY('Volunteer Survey'!O96)"),"Possibly")</f>
        <v>Possibly</v>
      </c>
      <c r="W90" s="75" t="str">
        <f>IFERROR(__xludf.DUMMYFUNCTION("QUERY('Volunteer Survey'!P96)"),"Neurodevelopmental Disorders, experience with curating CNVs (potentially Dosage)")</f>
        <v>Neurodevelopmental Disorders, experience with curating CNVs (potentially Dosage)</v>
      </c>
      <c r="X90" s="74" t="str">
        <f>IFERROR(__xludf.DUMMYFUNCTION("QUERY('Volunteer Survey'!R96)"),"Maybe -- please contact me with other options, and I will decide based on what is available")</f>
        <v>Maybe -- please contact me with other options, and I will decide based on what is available</v>
      </c>
      <c r="Y90" s="61"/>
      <c r="Z90" s="67"/>
      <c r="AA90" s="62"/>
      <c r="AB90" s="62"/>
      <c r="AC90" s="62"/>
      <c r="AD90" s="62"/>
      <c r="AE90" s="62"/>
      <c r="AF90" s="62"/>
      <c r="AG90" s="62"/>
      <c r="AH90" s="62"/>
      <c r="AI90" s="62"/>
      <c r="AJ90" s="62"/>
      <c r="AK90" s="62"/>
      <c r="AL90" s="62"/>
      <c r="AM90" s="62"/>
      <c r="AN90" s="62"/>
      <c r="AO90" s="62"/>
    </row>
    <row r="91">
      <c r="A91" s="59">
        <f>IFERROR(__xludf.DUMMYFUNCTION("QUERY('Volunteer Survey'!A97)"),43426.55193287037)</f>
        <v>43426.55193</v>
      </c>
      <c r="B91" s="60" t="s">
        <v>274</v>
      </c>
      <c r="C91" s="61"/>
      <c r="D91" s="62"/>
      <c r="E91" s="60" t="s">
        <v>182</v>
      </c>
      <c r="F91" s="60" t="s">
        <v>182</v>
      </c>
      <c r="G91" s="60" t="s">
        <v>150</v>
      </c>
      <c r="H91" s="61"/>
      <c r="I91" s="63" t="s">
        <v>189</v>
      </c>
      <c r="J91" s="62"/>
      <c r="K91" s="62"/>
      <c r="L91" s="62" t="str">
        <f>IFERROR(__xludf.DUMMYFUNCTION("QUERY('Volunteer Survey'!B97)"),"Anna Tanska")</f>
        <v>Anna Tanska</v>
      </c>
      <c r="M91" s="62" t="str">
        <f>IFERROR(__xludf.DUMMYFUNCTION("QUERY('Volunteer Survey'!E97)"),"""anna.tanska@petermac.org """)</f>
        <v>"anna.tanska@petermac.org "</v>
      </c>
      <c r="N91" s="62" t="str">
        <f>IFERROR(__xludf.DUMMYFUNCTION("QUERY('Volunteer Survey'!F97)"),"Variant Analyst/Scientist")</f>
        <v>Variant Analyst/Scientist</v>
      </c>
      <c r="O91" s="60" t="str">
        <f>IFERROR(__xludf.DUMMYFUNCTION("QUERY('Volunteer Survey'!H97)"),"Comprehensive")</f>
        <v>Comprehensive</v>
      </c>
      <c r="P91" s="62" t="str">
        <f>IFERROR(__xludf.DUMMYFUNCTION("QUERY('Volunteer Survey'!I97)"),"")</f>
        <v/>
      </c>
      <c r="Q91" s="66" t="str">
        <f>IFERROR(__xludf.DUMMYFUNCTION("QUERY('Volunteer Survey'!J97)"),"")</f>
        <v/>
      </c>
      <c r="R91" s="62" t="str">
        <f>IFERROR(__xludf.DUMMYFUNCTION("QUERY('Volunteer Survey'!K97)"),"")</f>
        <v/>
      </c>
      <c r="S91" s="62" t="str">
        <f>IFERROR(__xludf.DUMMYFUNCTION("QUERY('Volunteer Survey'!L97)"),"")</f>
        <v/>
      </c>
      <c r="T91" s="62" t="str">
        <f>IFERROR(__xludf.DUMMYFUNCTION("QUERY('Volunteer Survey'!M97)"),"")</f>
        <v/>
      </c>
      <c r="U91" s="74" t="str">
        <f>IFERROR(__xludf.DUMMYFUNCTION("QUERY('Volunteer Survey'!N97)"),"Yes")</f>
        <v>Yes</v>
      </c>
      <c r="V91" s="62" t="str">
        <f>IFERROR(__xludf.DUMMYFUNCTION("QUERY('Volunteer Survey'!O97)"),"Possibly")</f>
        <v>Possibly</v>
      </c>
      <c r="W91" s="75" t="str">
        <f>IFERROR(__xludf.DUMMYFUNCTION("QUERY('Volunteer Survey'!P97)"),"Somatic cancer WG")</f>
        <v>Somatic cancer WG</v>
      </c>
      <c r="X91" s="74" t="str">
        <f>IFERROR(__xludf.DUMMYFUNCTION("QUERY('Volunteer Survey'!R97)"),"Maybe -- please contact me with other options, and I will decide based on what is available")</f>
        <v>Maybe -- please contact me with other options, and I will decide based on what is available</v>
      </c>
      <c r="Y91" s="61"/>
      <c r="Z91" s="67"/>
      <c r="AA91" s="62"/>
      <c r="AB91" s="62"/>
      <c r="AC91" s="62"/>
      <c r="AD91" s="62"/>
      <c r="AE91" s="62"/>
      <c r="AF91" s="62"/>
      <c r="AG91" s="62"/>
      <c r="AH91" s="62"/>
      <c r="AI91" s="62"/>
      <c r="AJ91" s="62"/>
      <c r="AK91" s="62"/>
      <c r="AL91" s="62"/>
      <c r="AM91" s="62"/>
      <c r="AN91" s="62"/>
      <c r="AO91" s="62"/>
    </row>
    <row r="92">
      <c r="A92" s="59">
        <f>IFERROR(__xludf.DUMMYFUNCTION("QUERY('Volunteer Survey'!A98)"),43427.552870370375)</f>
        <v>43427.55287</v>
      </c>
      <c r="B92" s="60" t="s">
        <v>275</v>
      </c>
      <c r="C92" s="61"/>
      <c r="D92" s="62"/>
      <c r="E92" s="60" t="s">
        <v>182</v>
      </c>
      <c r="F92" s="60" t="s">
        <v>182</v>
      </c>
      <c r="G92" s="60" t="s">
        <v>276</v>
      </c>
      <c r="H92" s="61"/>
      <c r="I92" s="63" t="s">
        <v>189</v>
      </c>
      <c r="J92" s="62"/>
      <c r="K92" s="62"/>
      <c r="L92" s="62" t="str">
        <f>IFERROR(__xludf.DUMMYFUNCTION("QUERY('Volunteer Survey'!B98)"),"Amanda Fortier")</f>
        <v>Amanda Fortier</v>
      </c>
      <c r="M92" s="62" t="str">
        <f>IFERROR(__xludf.DUMMYFUNCTION("QUERY('Volunteer Survey'!E98)"),"amanda.fortier@advocatehealth.com")</f>
        <v>amanda.fortier@advocatehealth.com</v>
      </c>
      <c r="N92" s="62" t="str">
        <f>IFERROR(__xludf.DUMMYFUNCTION("QUERY('Volunteer Survey'!F98)"),"Clinical laboratory geneticist")</f>
        <v>Clinical laboratory geneticist</v>
      </c>
      <c r="O92" s="60" t="str">
        <f>IFERROR(__xludf.DUMMYFUNCTION("QUERY('Volunteer Survey'!H98)"),"Baseline")</f>
        <v>Baseline</v>
      </c>
      <c r="P92" s="62" t="str">
        <f>IFERROR(__xludf.DUMMYFUNCTION("QUERY('Volunteer Survey'!I98)"),"")</f>
        <v/>
      </c>
      <c r="Q92" s="66" t="str">
        <f>IFERROR(__xludf.DUMMYFUNCTION("QUERY('Volunteer Survey'!J98)"),"")</f>
        <v/>
      </c>
      <c r="R92" s="62" t="str">
        <f>IFERROR(__xludf.DUMMYFUNCTION("QUERY('Volunteer Survey'!K98)"),"")</f>
        <v/>
      </c>
      <c r="S92" s="62" t="str">
        <f>IFERROR(__xludf.DUMMYFUNCTION("QUERY('Volunteer Survey'!L98)"),"")</f>
        <v/>
      </c>
      <c r="T92" s="62" t="str">
        <f>IFERROR(__xludf.DUMMYFUNCTION("QUERY('Volunteer Survey'!M98)"),"")</f>
        <v/>
      </c>
      <c r="U92" s="74" t="str">
        <f>IFERROR(__xludf.DUMMYFUNCTION("QUERY('Volunteer Survey'!N98)"),"No")</f>
        <v>No</v>
      </c>
      <c r="V92" s="62" t="str">
        <f>IFERROR(__xludf.DUMMYFUNCTION("QUERY('Volunteer Survey'!O98)"),"Possibly")</f>
        <v>Possibly</v>
      </c>
      <c r="W92" s="75" t="str">
        <f>IFERROR(__xludf.DUMMYFUNCTION("QUERY('Volunteer Survey'!P98)"),"Yes, if needed. I am open to considering this type of activity.")</f>
        <v>Yes, if needed. I am open to considering this type of activity.</v>
      </c>
      <c r="X92" s="74" t="str">
        <f>IFERROR(__xludf.DUMMYFUNCTION("QUERY('Volunteer Survey'!R98)"),"Maybe -- please contact me with other options, and I will decide based on what is available")</f>
        <v>Maybe -- please contact me with other options, and I will decide based on what is available</v>
      </c>
      <c r="Y92" s="61"/>
      <c r="Z92" s="67"/>
      <c r="AA92" s="62"/>
      <c r="AB92" s="62"/>
      <c r="AC92" s="62"/>
      <c r="AD92" s="62"/>
      <c r="AE92" s="62"/>
      <c r="AF92" s="62"/>
      <c r="AG92" s="62"/>
      <c r="AH92" s="62"/>
      <c r="AI92" s="62"/>
      <c r="AJ92" s="62"/>
      <c r="AK92" s="62"/>
      <c r="AL92" s="62"/>
      <c r="AM92" s="62"/>
      <c r="AN92" s="62"/>
      <c r="AO92" s="62"/>
    </row>
    <row r="93">
      <c r="A93" s="59">
        <f>IFERROR(__xludf.DUMMYFUNCTION("QUERY('Volunteer Survey'!A100)"),43483.55459590278)</f>
        <v>43483.5546</v>
      </c>
      <c r="B93" s="60" t="s">
        <v>178</v>
      </c>
      <c r="C93" s="87">
        <v>43437.0</v>
      </c>
      <c r="D93" s="79">
        <v>43446.0</v>
      </c>
      <c r="E93" s="60" t="s">
        <v>277</v>
      </c>
      <c r="F93" s="60" t="s">
        <v>277</v>
      </c>
      <c r="G93" s="60" t="s">
        <v>278</v>
      </c>
      <c r="H93" s="63" t="s">
        <v>279</v>
      </c>
      <c r="I93" s="63" t="s">
        <v>189</v>
      </c>
      <c r="J93" s="79">
        <v>43592.0</v>
      </c>
      <c r="K93" s="79">
        <v>43713.0</v>
      </c>
      <c r="L93" s="62" t="str">
        <f>IFERROR(__xludf.DUMMYFUNCTION("QUERY('Volunteer Survey'!B100)"),"Ny Hoang")</f>
        <v>Ny Hoang</v>
      </c>
      <c r="M93" s="62" t="str">
        <f>IFERROR(__xludf.DUMMYFUNCTION("QUERY('Volunteer Survey'!E100)"),"ny.hoang@sickkids.ca")</f>
        <v>ny.hoang@sickkids.ca</v>
      </c>
      <c r="N93" s="62" t="str">
        <f>IFERROR(__xludf.DUMMYFUNCTION("QUERY('Volunteer Survey'!F100)"),"Genetic counselor")</f>
        <v>Genetic counselor</v>
      </c>
      <c r="O93" s="60" t="s">
        <v>63</v>
      </c>
      <c r="P93" s="62" t="str">
        <f>IFERROR(__xludf.DUMMYFUNCTION("QUERY('Volunteer Survey'!I100)"),"Gene-Disease Validity")</f>
        <v>Gene-Disease Validity</v>
      </c>
      <c r="Q93" s="66" t="str">
        <f>IFERROR(__xludf.DUMMYFUNCTION("QUERY('Volunteer Survey'!J100)"),"")</f>
        <v/>
      </c>
      <c r="R93" s="62" t="str">
        <f>IFERROR(__xludf.DUMMYFUNCTION("QUERY('Volunteer Survey'!K100)"),"")</f>
        <v/>
      </c>
      <c r="S93" s="62" t="str">
        <f>IFERROR(__xludf.DUMMYFUNCTION("QUERY('Volunteer Survey'!L100)"),"")</f>
        <v/>
      </c>
      <c r="T93" s="62" t="str">
        <f>IFERROR(__xludf.DUMMYFUNCTION("QUERY('Volunteer Survey'!M100)"),"")</f>
        <v/>
      </c>
      <c r="U93" s="74" t="str">
        <f>IFERROR(__xludf.DUMMYFUNCTION("QUERY('Volunteer Survey'!N100)"),"Yes")</f>
        <v>Yes</v>
      </c>
      <c r="V93" s="62" t="str">
        <f>IFERROR(__xludf.DUMMYFUNCTION("QUERY('Volunteer Survey'!O100)"),"Possibly")</f>
        <v>Possibly</v>
      </c>
      <c r="W93" s="75" t="str">
        <f>IFERROR(__xludf.DUMMYFUNCTION("QUERY('Volunteer Survey'!P100)"),"Autism and ID working group")</f>
        <v>Autism and ID working group</v>
      </c>
      <c r="X93" s="74" t="str">
        <f>IFERROR(__xludf.DUMMYFUNCTION("QUERY('Volunteer Survey'!R100)"),"Maybe -- please contact me with other options, and I will decide based on what is available")</f>
        <v>Maybe -- please contact me with other options, and I will decide based on what is available</v>
      </c>
      <c r="Y93" s="63" t="s">
        <v>298</v>
      </c>
      <c r="Z93" s="67"/>
      <c r="AA93" s="62"/>
      <c r="AB93" s="62"/>
      <c r="AC93" s="62"/>
      <c r="AD93" s="62"/>
      <c r="AE93" s="62"/>
      <c r="AF93" s="62"/>
      <c r="AG93" s="62"/>
      <c r="AH93" s="62"/>
      <c r="AI93" s="62"/>
      <c r="AJ93" s="62"/>
      <c r="AK93" s="62"/>
      <c r="AL93" s="62"/>
      <c r="AM93" s="62"/>
      <c r="AN93" s="62"/>
      <c r="AO93" s="62"/>
    </row>
    <row r="94">
      <c r="A94" s="59">
        <f>IFERROR(__xludf.DUMMYFUNCTION("QUERY('Volunteer Survey'!A101)"),43434.555347222224)</f>
        <v>43434.55535</v>
      </c>
      <c r="B94" s="60" t="s">
        <v>282</v>
      </c>
      <c r="C94" s="87">
        <v>43437.0</v>
      </c>
      <c r="D94" s="79">
        <v>43446.0</v>
      </c>
      <c r="E94" s="60" t="s">
        <v>182</v>
      </c>
      <c r="F94" s="60" t="s">
        <v>182</v>
      </c>
      <c r="G94" s="60" t="s">
        <v>278</v>
      </c>
      <c r="H94" s="63" t="s">
        <v>279</v>
      </c>
      <c r="I94" s="63" t="s">
        <v>189</v>
      </c>
      <c r="J94" s="60"/>
      <c r="K94" s="60"/>
      <c r="L94" s="62" t="str">
        <f>IFERROR(__xludf.DUMMYFUNCTION("QUERY('Volunteer Survey'!B101)"),"Jacob Vorstman")</f>
        <v>Jacob Vorstman</v>
      </c>
      <c r="M94" s="62" t="str">
        <f>IFERROR(__xludf.DUMMYFUNCTION("QUERY('Volunteer Survey'!E101)"),"jacob.vorstman@sickkids.ca")</f>
        <v>jacob.vorstman@sickkids.ca</v>
      </c>
      <c r="N94" s="62" t="str">
        <f>IFERROR(__xludf.DUMMYFUNCTION("QUERY('Volunteer Survey'!F101)"),"Post Doc/Resident/Fellow (MD and/or Phd), Scientific Researcher, Physician (non-geneticist)")</f>
        <v>Post Doc/Resident/Fellow (MD and/or Phd), Scientific Researcher, Physician (non-geneticist)</v>
      </c>
      <c r="O94" s="60" t="s">
        <v>63</v>
      </c>
      <c r="P94" s="62" t="str">
        <f>IFERROR(__xludf.DUMMYFUNCTION("QUERY('Volunteer Survey'!I101)"),"Gene-Disease Validity")</f>
        <v>Gene-Disease Validity</v>
      </c>
      <c r="Q94" s="66" t="str">
        <f>IFERROR(__xludf.DUMMYFUNCTION("QUERY('Volunteer Survey'!J101)"),"")</f>
        <v/>
      </c>
      <c r="R94" s="62" t="str">
        <f>IFERROR(__xludf.DUMMYFUNCTION("QUERY('Volunteer Survey'!K101)"),"")</f>
        <v/>
      </c>
      <c r="S94" s="62" t="str">
        <f>IFERROR(__xludf.DUMMYFUNCTION("QUERY('Volunteer Survey'!L101)"),"")</f>
        <v/>
      </c>
      <c r="T94" s="62" t="str">
        <f>IFERROR(__xludf.DUMMYFUNCTION("QUERY('Volunteer Survey'!M101)"),"")</f>
        <v/>
      </c>
      <c r="U94" s="74" t="str">
        <f>IFERROR(__xludf.DUMMYFUNCTION("QUERY('Volunteer Survey'!N101)"),"Yes")</f>
        <v>Yes</v>
      </c>
      <c r="V94" s="62" t="str">
        <f>IFERROR(__xludf.DUMMYFUNCTION("QUERY('Volunteer Survey'!O101)"),"Possibly")</f>
        <v>Possibly</v>
      </c>
      <c r="W94" s="75" t="str">
        <f>IFERROR(__xludf.DUMMYFUNCTION("QUERY('Volunteer Survey'!P101)"),"Autism Spectrum Disorder - see previous and ongoing discussions following the Toronto ASD gene list meeting this fall")</f>
        <v>Autism Spectrum Disorder - see previous and ongoing discussions following the Toronto ASD gene list meeting this fall</v>
      </c>
      <c r="X94" s="74" t="str">
        <f>IFERROR(__xludf.DUMMYFUNCTION("QUERY('Volunteer Survey'!R101)"),"Maybe -- please contact me with other options, and I will decide based on what is available")</f>
        <v>Maybe -- please contact me with other options, and I will decide based on what is available</v>
      </c>
      <c r="Y94" s="61"/>
      <c r="Z94" s="67"/>
      <c r="AA94" s="62"/>
      <c r="AB94" s="62"/>
      <c r="AC94" s="62"/>
      <c r="AD94" s="62"/>
      <c r="AE94" s="62"/>
      <c r="AF94" s="62"/>
      <c r="AG94" s="62"/>
      <c r="AH94" s="62"/>
      <c r="AI94" s="62"/>
      <c r="AJ94" s="62"/>
      <c r="AK94" s="62"/>
      <c r="AL94" s="62"/>
      <c r="AM94" s="62"/>
      <c r="AN94" s="62"/>
      <c r="AO94" s="62"/>
    </row>
    <row r="95">
      <c r="A95" s="59">
        <f>IFERROR(__xludf.DUMMYFUNCTION("QUERY('Volunteer Survey'!A102)"),43485.69615496528)</f>
        <v>43485.69615</v>
      </c>
      <c r="B95" s="60" t="s">
        <v>275</v>
      </c>
      <c r="C95" s="61"/>
      <c r="D95" s="78">
        <v>43598.0</v>
      </c>
      <c r="E95" s="60" t="s">
        <v>277</v>
      </c>
      <c r="F95" s="60" t="s">
        <v>182</v>
      </c>
      <c r="G95" s="60" t="s">
        <v>150</v>
      </c>
      <c r="H95" s="61"/>
      <c r="I95" s="63" t="s">
        <v>189</v>
      </c>
      <c r="J95" s="79">
        <v>43712.0</v>
      </c>
      <c r="K95" s="79"/>
      <c r="L95" s="62" t="str">
        <f>IFERROR(__xludf.DUMMYFUNCTION("QUERY('Volunteer Survey'!B102)"),"Qiuxiang Ou")</f>
        <v>Qiuxiang Ou</v>
      </c>
      <c r="M95" s="62" t="str">
        <f>IFERROR(__xludf.DUMMYFUNCTION("QUERY('Volunteer Survey'!E102)"),"dorothy.ou@gmail.com")</f>
        <v>dorothy.ou@gmail.com</v>
      </c>
      <c r="N95" s="62" t="str">
        <f>IFERROR(__xludf.DUMMYFUNCTION("QUERY('Volunteer Survey'!F102)"),"Scientific Researcher")</f>
        <v>Scientific Researcher</v>
      </c>
      <c r="O95" s="60" t="str">
        <f>IFERROR(__xludf.DUMMYFUNCTION("QUERY('Volunteer Survey'!H102)"),"Comprehensive")</f>
        <v>Comprehensive</v>
      </c>
      <c r="P95" s="62" t="str">
        <f>IFERROR(__xludf.DUMMYFUNCTION("QUERY('Volunteer Survey'!I102)"),"Somatic Cancer")</f>
        <v>Somatic Cancer</v>
      </c>
      <c r="Q95" s="66" t="str">
        <f>IFERROR(__xludf.DUMMYFUNCTION("QUERY('Volunteer Survey'!J102)"),"Variant Pathogenicity")</f>
        <v>Variant Pathogenicity</v>
      </c>
      <c r="R95" s="62" t="str">
        <f>IFERROR(__xludf.DUMMYFUNCTION("QUERY('Volunteer Survey'!K102)"),"Clinical Actionability")</f>
        <v>Clinical Actionability</v>
      </c>
      <c r="S95" s="62" t="str">
        <f>IFERROR(__xludf.DUMMYFUNCTION("QUERY('Volunteer Survey'!L102)"),"Gene-Disease Validity")</f>
        <v>Gene-Disease Validity</v>
      </c>
      <c r="T95" s="62" t="str">
        <f>IFERROR(__xludf.DUMMYFUNCTION("QUERY('Volunteer Survey'!M102)"),"Dosage Sensitivity")</f>
        <v>Dosage Sensitivity</v>
      </c>
      <c r="U95" s="74" t="str">
        <f>IFERROR(__xludf.DUMMYFUNCTION("QUERY('Volunteer Survey'!N102)"),"")</f>
        <v/>
      </c>
      <c r="V95" s="62" t="str">
        <f>IFERROR(__xludf.DUMMYFUNCTION("QUERY('Volunteer Survey'!O102)"),"Possibly")</f>
        <v>Possibly</v>
      </c>
      <c r="W95" s="75" t="str">
        <f>IFERROR(__xludf.DUMMYFUNCTION("QUERY('Volunteer Survey'!P102)"),"Somatic Cancer Working Group")</f>
        <v>Somatic Cancer Working Group</v>
      </c>
      <c r="X95" s="74" t="str">
        <f>IFERROR(__xludf.DUMMYFUNCTION("QUERY('Volunteer Survey'!R102)"),"Yes- I am willing to volunteer with any available ClinGen group")</f>
        <v>Yes- I am willing to volunteer with any available ClinGen group</v>
      </c>
      <c r="Y95" s="61"/>
      <c r="Z95" s="67"/>
      <c r="AA95" s="62"/>
      <c r="AB95" s="62"/>
      <c r="AC95" s="62"/>
      <c r="AD95" s="62"/>
      <c r="AE95" s="62"/>
      <c r="AF95" s="62"/>
      <c r="AG95" s="62"/>
      <c r="AH95" s="62"/>
      <c r="AI95" s="62"/>
      <c r="AJ95" s="62"/>
      <c r="AK95" s="62"/>
      <c r="AL95" s="62"/>
      <c r="AM95" s="62"/>
      <c r="AN95" s="62"/>
      <c r="AO95" s="62"/>
    </row>
    <row r="96">
      <c r="A96" s="59">
        <f>IFERROR(__xludf.DUMMYFUNCTION("QUERY('Volunteer Survey'!A103)"),43416.37436342593)</f>
        <v>43416.37436</v>
      </c>
      <c r="B96" s="60" t="s">
        <v>282</v>
      </c>
      <c r="C96" s="80">
        <v>43434.0</v>
      </c>
      <c r="D96" s="85">
        <v>43522.0</v>
      </c>
      <c r="E96" s="60" t="s">
        <v>277</v>
      </c>
      <c r="F96" s="60" t="s">
        <v>277</v>
      </c>
      <c r="G96" s="60" t="s">
        <v>27</v>
      </c>
      <c r="H96" s="63" t="s">
        <v>27</v>
      </c>
      <c r="I96" s="63" t="s">
        <v>189</v>
      </c>
      <c r="J96" s="60"/>
      <c r="K96" s="60"/>
      <c r="L96" s="62" t="str">
        <f>IFERROR(__xludf.DUMMYFUNCTION("QUERY('Volunteer Survey'!B103)"),"Kylin Boehler")</f>
        <v>Kylin Boehler</v>
      </c>
      <c r="M96" s="62" t="str">
        <f>IFERROR(__xludf.DUMMYFUNCTION("QUERY('Volunteer Survey'!E103)"),"kylin.y.boehler@questdiagnostics.com")</f>
        <v>kylin.y.boehler@questdiagnostics.com</v>
      </c>
      <c r="N96" s="62" t="str">
        <f>IFERROR(__xludf.DUMMYFUNCTION("QUERY('Volunteer Survey'!F103)"),"Genetic counselor")</f>
        <v>Genetic counselor</v>
      </c>
      <c r="O96" s="60" t="str">
        <f>IFERROR(__xludf.DUMMYFUNCTION("QUERY('Volunteer Survey'!H103)"),"Comprehensive")</f>
        <v>Comprehensive</v>
      </c>
      <c r="P96" s="62" t="str">
        <f>IFERROR(__xludf.DUMMYFUNCTION("QUERY('Volunteer Survey'!I103)"),"Clinical Actionability")</f>
        <v>Clinical Actionability</v>
      </c>
      <c r="Q96" s="66" t="str">
        <f>IFERROR(__xludf.DUMMYFUNCTION("QUERY('Volunteer Survey'!J103)"),"Dosage Sensitivity")</f>
        <v>Dosage Sensitivity</v>
      </c>
      <c r="R96" s="62" t="str">
        <f>IFERROR(__xludf.DUMMYFUNCTION("QUERY('Volunteer Survey'!K103)"),"Gene-Disease Validity")</f>
        <v>Gene-Disease Validity</v>
      </c>
      <c r="S96" s="62" t="str">
        <f>IFERROR(__xludf.DUMMYFUNCTION("QUERY('Volunteer Survey'!L103)"),"Variant Pathogenicity")</f>
        <v>Variant Pathogenicity</v>
      </c>
      <c r="T96" s="62" t="str">
        <f>IFERROR(__xludf.DUMMYFUNCTION("QUERY('Volunteer Survey'!M103)"),"Somatic Cancer")</f>
        <v>Somatic Cancer</v>
      </c>
      <c r="U96" s="74" t="str">
        <f>IFERROR(__xludf.DUMMYFUNCTION("QUERY('Volunteer Survey'!N103)"),"Yes")</f>
        <v>Yes</v>
      </c>
      <c r="V96" s="62" t="str">
        <f>IFERROR(__xludf.DUMMYFUNCTION("QUERY('Volunteer Survey'!O103)"),"No")</f>
        <v>No</v>
      </c>
      <c r="W96" s="75" t="str">
        <f>IFERROR(__xludf.DUMMYFUNCTION("QUERY('Volunteer Survey'!P103)"),"I am mainly interested in the Hereditary Cancer Gene Dosage Sensitivity Curation group.")</f>
        <v>I am mainly interested in the Hereditary Cancer Gene Dosage Sensitivity Curation group.</v>
      </c>
      <c r="X96" s="74" t="str">
        <f>IFERROR(__xludf.DUMMYFUNCTION("QUERY('Volunteer Survey'!R103)"),"Maybe -- please contact me with other options, and I will decide based on what is available")</f>
        <v>Maybe -- please contact me with other options, and I will decide based on what is available</v>
      </c>
      <c r="Y96" s="63" t="s">
        <v>314</v>
      </c>
      <c r="Z96" s="67"/>
      <c r="AA96" s="62"/>
      <c r="AB96" s="62"/>
      <c r="AC96" s="62"/>
      <c r="AD96" s="62"/>
      <c r="AE96" s="62"/>
      <c r="AF96" s="62"/>
      <c r="AG96" s="62"/>
      <c r="AH96" s="62"/>
      <c r="AI96" s="62"/>
      <c r="AJ96" s="62"/>
      <c r="AK96" s="62"/>
      <c r="AL96" s="62"/>
      <c r="AM96" s="62"/>
      <c r="AN96" s="62"/>
      <c r="AO96" s="62"/>
    </row>
    <row r="97">
      <c r="A97" s="59">
        <f>IFERROR(__xludf.DUMMYFUNCTION("QUERY('Volunteer Survey'!A104)"),43347.37954861111)</f>
        <v>43347.37955</v>
      </c>
      <c r="B97" s="60" t="s">
        <v>274</v>
      </c>
      <c r="C97" s="80">
        <v>43434.0</v>
      </c>
      <c r="D97" s="62"/>
      <c r="E97" s="60" t="s">
        <v>182</v>
      </c>
      <c r="F97" s="60" t="s">
        <v>182</v>
      </c>
      <c r="G97" s="60" t="s">
        <v>27</v>
      </c>
      <c r="H97" s="63"/>
      <c r="I97" s="63" t="s">
        <v>189</v>
      </c>
      <c r="J97" s="60"/>
      <c r="K97" s="60"/>
      <c r="L97" s="62" t="str">
        <f>IFERROR(__xludf.DUMMYFUNCTION("QUERY('Volunteer Survey'!B104)"),"Lisa Diller")</f>
        <v>Lisa Diller</v>
      </c>
      <c r="M97" s="62" t="str">
        <f>IFERROR(__xludf.DUMMYFUNCTION("QUERY('Volunteer Survey'!E104)"),"lisa_diller@dfci.harvard.edu")</f>
        <v>lisa_diller@dfci.harvard.edu</v>
      </c>
      <c r="N97" s="62" t="str">
        <f>IFERROR(__xludf.DUMMYFUNCTION("QUERY('Volunteer Survey'!F104)"),"Physician (Non-geneticist)")</f>
        <v>Physician (Non-geneticist)</v>
      </c>
      <c r="O97" s="60" t="str">
        <f>IFERROR(__xludf.DUMMYFUNCTION("QUERY('Volunteer Survey'!H104)"),"Comprehensive")</f>
        <v>Comprehensive</v>
      </c>
      <c r="P97" s="62" t="str">
        <f>IFERROR(__xludf.DUMMYFUNCTION("QUERY('Volunteer Survey'!I104)"),"Clinical Actionability")</f>
        <v>Clinical Actionability</v>
      </c>
      <c r="Q97" s="66" t="str">
        <f>IFERROR(__xludf.DUMMYFUNCTION("QUERY('Volunteer Survey'!J104)"),"Gene-Disease Validity")</f>
        <v>Gene-Disease Validity</v>
      </c>
      <c r="R97" s="62" t="str">
        <f>IFERROR(__xludf.DUMMYFUNCTION("QUERY('Volunteer Survey'!K104)"),"Somatic Cancer")</f>
        <v>Somatic Cancer</v>
      </c>
      <c r="S97" s="62" t="str">
        <f>IFERROR(__xludf.DUMMYFUNCTION("QUERY('Volunteer Survey'!L104)"),"Variant Pathogenicity")</f>
        <v>Variant Pathogenicity</v>
      </c>
      <c r="T97" s="62" t="str">
        <f>IFERROR(__xludf.DUMMYFUNCTION("QUERY('Volunteer Survey'!M104)"),"Dosage Sensitivity")</f>
        <v>Dosage Sensitivity</v>
      </c>
      <c r="U97" s="74" t="str">
        <f>IFERROR(__xludf.DUMMYFUNCTION("QUERY('Volunteer Survey'!N104)"),"No")</f>
        <v>No</v>
      </c>
      <c r="V97" s="62" t="str">
        <f>IFERROR(__xludf.DUMMYFUNCTION("QUERY('Volunteer Survey'!O104)"),"Yes")</f>
        <v>Yes</v>
      </c>
      <c r="W97" s="75" t="str">
        <f>IFERROR(__xludf.DUMMYFUNCTION("QUERY('Volunteer Survey'!P104)"),"Hereditary Cancer")</f>
        <v>Hereditary Cancer</v>
      </c>
      <c r="X97" s="74" t="str">
        <f>IFERROR(__xludf.DUMMYFUNCTION("QUERY('Volunteer Survey'!R104)"),"No - I am only interested in the group(s) I previously indicated")</f>
        <v>No - I am only interested in the group(s) I previously indicated</v>
      </c>
      <c r="Y97" s="61"/>
      <c r="Z97" s="67"/>
      <c r="AA97" s="62"/>
      <c r="AB97" s="62"/>
      <c r="AC97" s="62"/>
      <c r="AD97" s="62"/>
      <c r="AE97" s="62"/>
      <c r="AF97" s="62"/>
      <c r="AG97" s="62"/>
      <c r="AH97" s="62"/>
      <c r="AI97" s="62"/>
      <c r="AJ97" s="62"/>
      <c r="AK97" s="62"/>
      <c r="AL97" s="62"/>
      <c r="AM97" s="62"/>
      <c r="AN97" s="62"/>
      <c r="AO97" s="62"/>
    </row>
    <row r="98">
      <c r="A98" s="59">
        <f>IFERROR(__xludf.DUMMYFUNCTION("QUERY('Volunteer Survey'!A105)"),43378.381261574075)</f>
        <v>43378.38126</v>
      </c>
      <c r="B98" s="60" t="s">
        <v>274</v>
      </c>
      <c r="C98" s="80">
        <v>43434.0</v>
      </c>
      <c r="D98" s="85">
        <v>43567.0</v>
      </c>
      <c r="E98" s="60" t="s">
        <v>277</v>
      </c>
      <c r="F98" s="60" t="s">
        <v>182</v>
      </c>
      <c r="G98" s="60" t="s">
        <v>27</v>
      </c>
      <c r="H98" s="63"/>
      <c r="I98" s="63" t="s">
        <v>189</v>
      </c>
      <c r="J98" s="60"/>
      <c r="K98" s="60"/>
      <c r="L98" s="62" t="str">
        <f>IFERROR(__xludf.DUMMYFUNCTION("QUERY('Volunteer Survey'!B105)"),"Nharimann Azima")</f>
        <v>Nharimann Azima</v>
      </c>
      <c r="M98" s="62" t="str">
        <f>IFERROR(__xludf.DUMMYFUNCTION("QUERY('Volunteer Survey'!E105)"),"naa3f@gwu.edu")</f>
        <v>naa3f@gwu.edu</v>
      </c>
      <c r="N98" s="62" t="str">
        <f>IFERROR(__xludf.DUMMYFUNCTION("QUERY('Volunteer Survey'!F105)"),"Analyst")</f>
        <v>Analyst</v>
      </c>
      <c r="O98" s="60" t="str">
        <f>IFERROR(__xludf.DUMMYFUNCTION("QUERY('Volunteer Survey'!H105)"),"Comprehensive")</f>
        <v>Comprehensive</v>
      </c>
      <c r="P98" s="62" t="str">
        <f>IFERROR(__xludf.DUMMYFUNCTION("QUERY('Volunteer Survey'!I105)"),"Clinical Actionability")</f>
        <v>Clinical Actionability</v>
      </c>
      <c r="Q98" s="66" t="str">
        <f>IFERROR(__xludf.DUMMYFUNCTION("QUERY('Volunteer Survey'!J105)"),"Somatic Cancer")</f>
        <v>Somatic Cancer</v>
      </c>
      <c r="R98" s="62" t="str">
        <f>IFERROR(__xludf.DUMMYFUNCTION("QUERY('Volunteer Survey'!K105)"),"Gene-Disease Validity")</f>
        <v>Gene-Disease Validity</v>
      </c>
      <c r="S98" s="62" t="str">
        <f>IFERROR(__xludf.DUMMYFUNCTION("QUERY('Volunteer Survey'!L105)"),"Variant Pathogenicity")</f>
        <v>Variant Pathogenicity</v>
      </c>
      <c r="T98" s="62" t="str">
        <f>IFERROR(__xludf.DUMMYFUNCTION("QUERY('Volunteer Survey'!M105)"),"Dosage Sensitivity")</f>
        <v>Dosage Sensitivity</v>
      </c>
      <c r="U98" s="74" t="str">
        <f>IFERROR(__xludf.DUMMYFUNCTION("QUERY('Volunteer Survey'!N105)"),"Yes")</f>
        <v>Yes</v>
      </c>
      <c r="V98" s="62" t="str">
        <f>IFERROR(__xludf.DUMMYFUNCTION("QUERY('Volunteer Survey'!O105)"),"Yes")</f>
        <v>Yes</v>
      </c>
      <c r="W98" s="75" t="str">
        <f>IFERROR(__xludf.DUMMYFUNCTION("QUERY('Volunteer Survey'!P105)"),"I am flexible")</f>
        <v>I am flexible</v>
      </c>
      <c r="X98" s="74" t="str">
        <f>IFERROR(__xludf.DUMMYFUNCTION("QUERY('Volunteer Survey'!R105)"),"Yes- I am willing to volunteer with any available ClinGen group")</f>
        <v>Yes- I am willing to volunteer with any available ClinGen group</v>
      </c>
      <c r="Y98" s="63" t="s">
        <v>315</v>
      </c>
      <c r="Z98" s="67"/>
      <c r="AA98" s="62"/>
      <c r="AB98" s="62"/>
      <c r="AC98" s="62"/>
      <c r="AD98" s="62"/>
      <c r="AE98" s="62"/>
      <c r="AF98" s="62"/>
      <c r="AG98" s="62"/>
      <c r="AH98" s="62"/>
      <c r="AI98" s="62"/>
      <c r="AJ98" s="62"/>
      <c r="AK98" s="62"/>
      <c r="AL98" s="62"/>
      <c r="AM98" s="62"/>
      <c r="AN98" s="62"/>
      <c r="AO98" s="62"/>
    </row>
    <row r="99">
      <c r="A99" s="59">
        <f>IFERROR(__xludf.DUMMYFUNCTION("QUERY('Volunteer Survey'!A106)"),43415.38344907407)</f>
        <v>43415.38345</v>
      </c>
      <c r="B99" s="60" t="s">
        <v>282</v>
      </c>
      <c r="C99" s="80">
        <v>43434.0</v>
      </c>
      <c r="D99" s="82">
        <v>43678.0</v>
      </c>
      <c r="E99" s="60" t="s">
        <v>277</v>
      </c>
      <c r="F99" s="60" t="s">
        <v>277</v>
      </c>
      <c r="G99" s="60" t="s">
        <v>27</v>
      </c>
      <c r="H99" s="63" t="s">
        <v>27</v>
      </c>
      <c r="I99" s="63" t="s">
        <v>189</v>
      </c>
      <c r="J99" s="60"/>
      <c r="K99" s="60"/>
      <c r="L99" s="62" t="str">
        <f>IFERROR(__xludf.DUMMYFUNCTION("QUERY('Volunteer Survey'!B106)"),"Krzysztof Szczaluba")</f>
        <v>Krzysztof Szczaluba</v>
      </c>
      <c r="M99" s="62" t="str">
        <f>IFERROR(__xludf.DUMMYFUNCTION("QUERY('Volunteer Survey'!E106)"),"krzysztof.szczaluba@gmail.com")</f>
        <v>krzysztof.szczaluba@gmail.com</v>
      </c>
      <c r="N99" s="62" t="str">
        <f>IFERROR(__xludf.DUMMYFUNCTION("QUERY('Volunteer Survey'!F106)"),"Clinical Medical Geneticist")</f>
        <v>Clinical Medical Geneticist</v>
      </c>
      <c r="O99" s="60" t="str">
        <f>IFERROR(__xludf.DUMMYFUNCTION("QUERY('Volunteer Survey'!H106)"),"Comprehensive")</f>
        <v>Comprehensive</v>
      </c>
      <c r="P99" s="62" t="str">
        <f>IFERROR(__xludf.DUMMYFUNCTION("QUERY('Volunteer Survey'!I106)"),"Clinical Actionability")</f>
        <v>Clinical Actionability</v>
      </c>
      <c r="Q99" s="66" t="str">
        <f>IFERROR(__xludf.DUMMYFUNCTION("QUERY('Volunteer Survey'!J106)"),"Gene-Disease Validity")</f>
        <v>Gene-Disease Validity</v>
      </c>
      <c r="R99" s="62" t="str">
        <f>IFERROR(__xludf.DUMMYFUNCTION("QUERY('Volunteer Survey'!K106)"),"Variant Pathogenicity")</f>
        <v>Variant Pathogenicity</v>
      </c>
      <c r="S99" s="62" t="str">
        <f>IFERROR(__xludf.DUMMYFUNCTION("QUERY('Volunteer Survey'!L106)"),"Dosage Sensitivity")</f>
        <v>Dosage Sensitivity</v>
      </c>
      <c r="T99" s="62" t="str">
        <f>IFERROR(__xludf.DUMMYFUNCTION("QUERY('Volunteer Survey'!M106)"),"Somatic Cancer")</f>
        <v>Somatic Cancer</v>
      </c>
      <c r="U99" s="74" t="str">
        <f>IFERROR(__xludf.DUMMYFUNCTION("QUERY('Volunteer Survey'!N106)"),"No")</f>
        <v>No</v>
      </c>
      <c r="V99" s="62" t="str">
        <f>IFERROR(__xludf.DUMMYFUNCTION("QUERY('Volunteer Survey'!O106)"),"Possibly")</f>
        <v>Possibly</v>
      </c>
      <c r="W99" s="75" t="str">
        <f>IFERROR(__xludf.DUMMYFUNCTION("QUERY('Volunteer Survey'!P106)"),"autism/ID, epi, brovca")</f>
        <v>autism/ID, epi, brovca</v>
      </c>
      <c r="X99" s="74" t="str">
        <f>IFERROR(__xludf.DUMMYFUNCTION("QUERY('Volunteer Survey'!R106)"),"Maybe -- please contact me with other options, and I will decide based on what is available")</f>
        <v>Maybe -- please contact me with other options, and I will decide based on what is available</v>
      </c>
      <c r="Y99" s="63" t="s">
        <v>316</v>
      </c>
      <c r="Z99" s="67"/>
      <c r="AA99" s="62"/>
      <c r="AB99" s="62"/>
      <c r="AC99" s="62"/>
      <c r="AD99" s="62"/>
      <c r="AE99" s="62"/>
      <c r="AF99" s="62"/>
      <c r="AG99" s="62"/>
      <c r="AH99" s="62"/>
      <c r="AI99" s="62"/>
      <c r="AJ99" s="62"/>
      <c r="AK99" s="62"/>
      <c r="AL99" s="62"/>
      <c r="AM99" s="62"/>
      <c r="AN99" s="62"/>
      <c r="AO99" s="62"/>
    </row>
    <row r="100">
      <c r="A100" s="59">
        <f>IFERROR(__xludf.DUMMYFUNCTION("QUERY('Volunteer Survey'!A107)"),43416.38512731482)</f>
        <v>43416.38513</v>
      </c>
      <c r="B100" s="60" t="s">
        <v>274</v>
      </c>
      <c r="C100" s="80">
        <v>43434.0</v>
      </c>
      <c r="D100" s="62"/>
      <c r="E100" s="60" t="s">
        <v>182</v>
      </c>
      <c r="F100" s="60" t="s">
        <v>182</v>
      </c>
      <c r="G100" s="60" t="s">
        <v>27</v>
      </c>
      <c r="H100" s="63"/>
      <c r="I100" s="63" t="s">
        <v>189</v>
      </c>
      <c r="J100" s="60"/>
      <c r="K100" s="60"/>
      <c r="L100" s="62" t="str">
        <f>IFERROR(__xludf.DUMMYFUNCTION("QUERY('Volunteer Survey'!B107)"),"Robin Bennett")</f>
        <v>Robin Bennett</v>
      </c>
      <c r="M100" s="62" t="str">
        <f>IFERROR(__xludf.DUMMYFUNCTION("QUERY('Volunteer Survey'!E107)"),"robinb@uw.edu")</f>
        <v>robinb@uw.edu</v>
      </c>
      <c r="N100" s="62" t="str">
        <f>IFERROR(__xludf.DUMMYFUNCTION("QUERY('Volunteer Survey'!F107)"),"Genetic counselor")</f>
        <v>Genetic counselor</v>
      </c>
      <c r="O100" s="60" t="str">
        <f>IFERROR(__xludf.DUMMYFUNCTION("QUERY('Volunteer Survey'!H107)"),"Comprehensive")</f>
        <v>Comprehensive</v>
      </c>
      <c r="P100" s="62" t="str">
        <f>IFERROR(__xludf.DUMMYFUNCTION("QUERY('Volunteer Survey'!I107)"),"Clinical Actionability")</f>
        <v>Clinical Actionability</v>
      </c>
      <c r="Q100" s="66" t="str">
        <f>IFERROR(__xludf.DUMMYFUNCTION("QUERY('Volunteer Survey'!J107)"),"Variant Pathogenicity")</f>
        <v>Variant Pathogenicity</v>
      </c>
      <c r="R100" s="62" t="str">
        <f>IFERROR(__xludf.DUMMYFUNCTION("QUERY('Volunteer Survey'!K107)"),"Gene-Disease Validity")</f>
        <v>Gene-Disease Validity</v>
      </c>
      <c r="S100" s="62" t="str">
        <f>IFERROR(__xludf.DUMMYFUNCTION("QUERY('Volunteer Survey'!L107)"),"Somatic Cancer")</f>
        <v>Somatic Cancer</v>
      </c>
      <c r="T100" s="62" t="str">
        <f>IFERROR(__xludf.DUMMYFUNCTION("QUERY('Volunteer Survey'!M107)"),"Dosage Sensitivity")</f>
        <v>Dosage Sensitivity</v>
      </c>
      <c r="U100" s="74" t="str">
        <f>IFERROR(__xludf.DUMMYFUNCTION("QUERY('Volunteer Survey'!N107)"),"Yes")</f>
        <v>Yes</v>
      </c>
      <c r="V100" s="62" t="str">
        <f>IFERROR(__xludf.DUMMYFUNCTION("QUERY('Volunteer Survey'!O107)"),"Possibly")</f>
        <v>Possibly</v>
      </c>
      <c r="W100" s="75" t="str">
        <f>IFERROR(__xludf.DUMMYFUNCTION("QUERY('Volunteer Survey'!P107)"),"Variant curation expert panels: PTEN, VHL, CDH1, Colorectal cancer, breast-ovarian")</f>
        <v>Variant curation expert panels: PTEN, VHL, CDH1, Colorectal cancer, breast-ovarian</v>
      </c>
      <c r="X100" s="74" t="str">
        <f>IFERROR(__xludf.DUMMYFUNCTION("QUERY('Volunteer Survey'!R107)"),"Maybe -- please contact me with other options, and I will decide based on what is available")</f>
        <v>Maybe -- please contact me with other options, and I will decide based on what is available</v>
      </c>
      <c r="Y100" s="61"/>
      <c r="Z100" s="67"/>
      <c r="AA100" s="62"/>
      <c r="AB100" s="62"/>
      <c r="AC100" s="62"/>
      <c r="AD100" s="62"/>
      <c r="AE100" s="62"/>
      <c r="AF100" s="62"/>
      <c r="AG100" s="62"/>
      <c r="AH100" s="62"/>
      <c r="AI100" s="62"/>
      <c r="AJ100" s="62"/>
      <c r="AK100" s="62"/>
      <c r="AL100" s="62"/>
      <c r="AM100" s="62"/>
      <c r="AN100" s="62"/>
      <c r="AO100" s="62"/>
    </row>
    <row r="101">
      <c r="A101" s="59">
        <f>IFERROR(__xludf.DUMMYFUNCTION("QUERY('Volunteer Survey'!A108)"),43418.386828703704)</f>
        <v>43418.38683</v>
      </c>
      <c r="B101" s="60" t="s">
        <v>274</v>
      </c>
      <c r="C101" s="80">
        <v>43434.0</v>
      </c>
      <c r="D101" s="85">
        <v>43522.0</v>
      </c>
      <c r="E101" s="60" t="s">
        <v>277</v>
      </c>
      <c r="F101" s="60" t="s">
        <v>182</v>
      </c>
      <c r="G101" s="60" t="s">
        <v>27</v>
      </c>
      <c r="H101" s="63" t="s">
        <v>27</v>
      </c>
      <c r="I101" s="63" t="s">
        <v>189</v>
      </c>
      <c r="J101" s="60"/>
      <c r="K101" s="60"/>
      <c r="L101" s="62" t="str">
        <f>IFERROR(__xludf.DUMMYFUNCTION("QUERY('Volunteer Survey'!B108)"),"Fiona Curtis")</f>
        <v>Fiona Curtis</v>
      </c>
      <c r="M101" s="62" t="str">
        <f>IFERROR(__xludf.DUMMYFUNCTION("QUERY('Volunteer Survey'!E108)"),"fionakatherinecurtis@yahoo.ca")</f>
        <v>fionakatherinecurtis@yahoo.ca</v>
      </c>
      <c r="N101" s="62" t="str">
        <f>IFERROR(__xludf.DUMMYFUNCTION("QUERY('Volunteer Survey'!F108)"),"Genetic counselor")</f>
        <v>Genetic counselor</v>
      </c>
      <c r="O101" s="60" t="str">
        <f>IFERROR(__xludf.DUMMYFUNCTION("QUERY('Volunteer Survey'!H108)"),"Comprehensive")</f>
        <v>Comprehensive</v>
      </c>
      <c r="P101" s="62" t="str">
        <f>IFERROR(__xludf.DUMMYFUNCTION("QUERY('Volunteer Survey'!I108)"),"Clinical Actionability")</f>
        <v>Clinical Actionability</v>
      </c>
      <c r="Q101" s="66" t="str">
        <f>IFERROR(__xludf.DUMMYFUNCTION("QUERY('Volunteer Survey'!J108)"),"Gene-Disease Validity")</f>
        <v>Gene-Disease Validity</v>
      </c>
      <c r="R101" s="62" t="str">
        <f>IFERROR(__xludf.DUMMYFUNCTION("QUERY('Volunteer Survey'!K108)"),"Variant Pathogenicity")</f>
        <v>Variant Pathogenicity</v>
      </c>
      <c r="S101" s="62" t="str">
        <f>IFERROR(__xludf.DUMMYFUNCTION("QUERY('Volunteer Survey'!L108)"),"Dosage Sensitivity")</f>
        <v>Dosage Sensitivity</v>
      </c>
      <c r="T101" s="62" t="str">
        <f>IFERROR(__xludf.DUMMYFUNCTION("QUERY('Volunteer Survey'!M108)"),"Somatic Cancer")</f>
        <v>Somatic Cancer</v>
      </c>
      <c r="U101" s="74" t="str">
        <f>IFERROR(__xludf.DUMMYFUNCTION("QUERY('Volunteer Survey'!N108)"),"No")</f>
        <v>No</v>
      </c>
      <c r="V101" s="62" t="str">
        <f>IFERROR(__xludf.DUMMYFUNCTION("QUERY('Volunteer Survey'!O108)"),"Possibly")</f>
        <v>Possibly</v>
      </c>
      <c r="W101" s="75" t="str">
        <f>IFERROR(__xludf.DUMMYFUNCTION("QUERY('Volunteer Survey'!P108)"),"inherited cardiomyopathy or other CV diseases")</f>
        <v>inherited cardiomyopathy or other CV diseases</v>
      </c>
      <c r="X101" s="74" t="str">
        <f>IFERROR(__xludf.DUMMYFUNCTION("QUERY('Volunteer Survey'!R108)"),"Maybe -- please contact me with other options, and I will decide based on what is available")</f>
        <v>Maybe -- please contact me with other options, and I will decide based on what is available</v>
      </c>
      <c r="Y101" s="63" t="s">
        <v>317</v>
      </c>
      <c r="Z101" s="67"/>
      <c r="AA101" s="62"/>
      <c r="AB101" s="62"/>
      <c r="AC101" s="62"/>
      <c r="AD101" s="62"/>
      <c r="AE101" s="62"/>
      <c r="AF101" s="62"/>
      <c r="AG101" s="62"/>
      <c r="AH101" s="62"/>
      <c r="AI101" s="62"/>
      <c r="AJ101" s="62"/>
      <c r="AK101" s="62"/>
      <c r="AL101" s="62"/>
      <c r="AM101" s="62"/>
      <c r="AN101" s="62"/>
      <c r="AO101" s="62"/>
    </row>
    <row r="102">
      <c r="A102" s="59">
        <f>IFERROR(__xludf.DUMMYFUNCTION("QUERY('Volunteer Survey'!A109)"),43419.394525462965)</f>
        <v>43419.39453</v>
      </c>
      <c r="B102" s="60" t="s">
        <v>274</v>
      </c>
      <c r="C102" s="80">
        <v>43434.0</v>
      </c>
      <c r="D102" s="62"/>
      <c r="E102" s="60" t="s">
        <v>182</v>
      </c>
      <c r="F102" s="60" t="s">
        <v>182</v>
      </c>
      <c r="G102" s="60" t="s">
        <v>27</v>
      </c>
      <c r="H102" s="63"/>
      <c r="I102" s="63" t="s">
        <v>189</v>
      </c>
      <c r="J102" s="60"/>
      <c r="K102" s="60"/>
      <c r="L102" s="62" t="str">
        <f>IFERROR(__xludf.DUMMYFUNCTION("QUERY('Volunteer Survey'!B109)"),"Jennifer Marie Lee")</f>
        <v>Jennifer Marie Lee</v>
      </c>
      <c r="M102" s="62" t="str">
        <f>IFERROR(__xludf.DUMMYFUNCTION("QUERY('Volunteer Survey'!E109)"),"Jennifer.Lee2@nih.gov")</f>
        <v>Jennifer.Lee2@nih.gov</v>
      </c>
      <c r="N102" s="62" t="str">
        <f>IFERROR(__xludf.DUMMYFUNCTION("QUERY('Volunteer Survey'!F109)"),"Scientific Researcher")</f>
        <v>Scientific Researcher</v>
      </c>
      <c r="O102" s="60" t="str">
        <f>IFERROR(__xludf.DUMMYFUNCTION("QUERY('Volunteer Survey'!H109)"),"Comprehensive")</f>
        <v>Comprehensive</v>
      </c>
      <c r="P102" s="62" t="str">
        <f>IFERROR(__xludf.DUMMYFUNCTION("QUERY('Volunteer Survey'!I109)"),"Clinical Actionability")</f>
        <v>Clinical Actionability</v>
      </c>
      <c r="Q102" s="66" t="str">
        <f>IFERROR(__xludf.DUMMYFUNCTION("QUERY('Volunteer Survey'!J109)"),"Somatic Cancer")</f>
        <v>Somatic Cancer</v>
      </c>
      <c r="R102" s="62" t="str">
        <f>IFERROR(__xludf.DUMMYFUNCTION("QUERY('Volunteer Survey'!K109)"),"Gene-Disease Validity")</f>
        <v>Gene-Disease Validity</v>
      </c>
      <c r="S102" s="62" t="str">
        <f>IFERROR(__xludf.DUMMYFUNCTION("QUERY('Volunteer Survey'!L109)"),"Variant Pathogenicity")</f>
        <v>Variant Pathogenicity</v>
      </c>
      <c r="T102" s="62" t="str">
        <f>IFERROR(__xludf.DUMMYFUNCTION("QUERY('Volunteer Survey'!M109)"),"")</f>
        <v/>
      </c>
      <c r="U102" s="74" t="str">
        <f>IFERROR(__xludf.DUMMYFUNCTION("QUERY('Volunteer Survey'!N109)"),"Yes")</f>
        <v>Yes</v>
      </c>
      <c r="V102" s="62" t="str">
        <f>IFERROR(__xludf.DUMMYFUNCTION("QUERY('Volunteer Survey'!O109)"),"Possibly")</f>
        <v>Possibly</v>
      </c>
      <c r="W102" s="75" t="str">
        <f>IFERROR(__xludf.DUMMYFUNCTION("QUERY('Volunteer Survey'!P109)"),"NA")</f>
        <v>NA</v>
      </c>
      <c r="X102" s="74" t="str">
        <f>IFERROR(__xludf.DUMMYFUNCTION("QUERY('Volunteer Survey'!R109)"),"")</f>
        <v/>
      </c>
      <c r="Y102" s="61"/>
      <c r="Z102" s="67"/>
      <c r="AA102" s="62"/>
      <c r="AB102" s="62"/>
      <c r="AC102" s="62"/>
      <c r="AD102" s="62"/>
      <c r="AE102" s="62"/>
      <c r="AF102" s="62"/>
      <c r="AG102" s="62"/>
      <c r="AH102" s="62"/>
      <c r="AI102" s="62"/>
      <c r="AJ102" s="62"/>
      <c r="AK102" s="62"/>
      <c r="AL102" s="62"/>
      <c r="AM102" s="62"/>
      <c r="AN102" s="62"/>
      <c r="AO102" s="62"/>
    </row>
    <row r="103">
      <c r="A103" s="59">
        <f>IFERROR(__xludf.DUMMYFUNCTION("QUERY('Volunteer Survey'!A110)"),43430.4000462963)</f>
        <v>43430.40005</v>
      </c>
      <c r="B103" s="60" t="s">
        <v>282</v>
      </c>
      <c r="C103" s="87">
        <v>43467.0</v>
      </c>
      <c r="D103" s="79">
        <v>43476.0</v>
      </c>
      <c r="E103" s="60" t="s">
        <v>277</v>
      </c>
      <c r="F103" s="60" t="s">
        <v>182</v>
      </c>
      <c r="G103" s="60" t="s">
        <v>27</v>
      </c>
      <c r="H103" s="63" t="s">
        <v>27</v>
      </c>
      <c r="I103" s="63" t="s">
        <v>285</v>
      </c>
      <c r="J103" s="79">
        <v>43593.0</v>
      </c>
      <c r="K103" s="79">
        <v>43713.0</v>
      </c>
      <c r="L103" s="62" t="str">
        <f>IFERROR(__xludf.DUMMYFUNCTION("QUERY('Volunteer Survey'!B110)"),"Laura Fuqua")</f>
        <v>Laura Fuqua</v>
      </c>
      <c r="M103" s="62" t="str">
        <f>IFERROR(__xludf.DUMMYFUNCTION("QUERY('Volunteer Survey'!E110)"),"laura.fuqua@gmail.com")</f>
        <v>laura.fuqua@gmail.com</v>
      </c>
      <c r="N103" s="62" t="str">
        <f>IFERROR(__xludf.DUMMYFUNCTION("QUERY('Volunteer Survey'!F110)"),"Genetic counselor")</f>
        <v>Genetic counselor</v>
      </c>
      <c r="O103" s="60" t="str">
        <f>IFERROR(__xludf.DUMMYFUNCTION("QUERY('Volunteer Survey'!H110)"),"Comprehensive")</f>
        <v>Comprehensive</v>
      </c>
      <c r="P103" s="60" t="str">
        <f>IFERROR(__xludf.DUMMYFUNCTION("QUERY('Volunteer Survey'!I110)"),"Somatic Cancer")</f>
        <v>Somatic Cancer</v>
      </c>
      <c r="Q103" s="66" t="str">
        <f>IFERROR(__xludf.DUMMYFUNCTION("QUERY('Volunteer Survey'!J110)"),"Variant Pathogenicity")</f>
        <v>Variant Pathogenicity</v>
      </c>
      <c r="R103" s="60" t="str">
        <f>IFERROR(__xludf.DUMMYFUNCTION("QUERY('Volunteer Survey'!K110)"),"Clinical Actionability")</f>
        <v>Clinical Actionability</v>
      </c>
      <c r="S103" s="62" t="str">
        <f>IFERROR(__xludf.DUMMYFUNCTION("QUERY('Volunteer Survey'!L110)"),"Dosage Sensitivity")</f>
        <v>Dosage Sensitivity</v>
      </c>
      <c r="T103" s="62" t="str">
        <f>IFERROR(__xludf.DUMMYFUNCTION("QUERY('Volunteer Survey'!M110)"),"Gene-Disease Validity")</f>
        <v>Gene-Disease Validity</v>
      </c>
      <c r="U103" s="74" t="str">
        <f>IFERROR(__xludf.DUMMYFUNCTION("QUERY('Volunteer Survey'!N110)"),"Yes")</f>
        <v>Yes</v>
      </c>
      <c r="V103" s="62" t="str">
        <f>IFERROR(__xludf.DUMMYFUNCTION("QUERY('Volunteer Survey'!O110)"),"Yes")</f>
        <v>Yes</v>
      </c>
      <c r="W103" s="75" t="str">
        <f>IFERROR(__xludf.DUMMYFUNCTION("QUERY('Volunteer Survey'!P110)"),"NA")</f>
        <v>NA</v>
      </c>
      <c r="X103" s="74" t="str">
        <f>IFERROR(__xludf.DUMMYFUNCTION("QUERY('Volunteer Survey'!R110)"),"Yes- I am willing to volunteer with any available ClinGen group")</f>
        <v>Yes- I am willing to volunteer with any available ClinGen group</v>
      </c>
      <c r="Y103" s="91" t="s">
        <v>318</v>
      </c>
      <c r="Z103" s="67"/>
      <c r="AA103" s="62"/>
      <c r="AB103" s="62"/>
      <c r="AC103" s="62"/>
      <c r="AD103" s="62"/>
      <c r="AE103" s="62"/>
      <c r="AF103" s="62"/>
      <c r="AG103" s="62"/>
      <c r="AH103" s="62"/>
      <c r="AI103" s="62"/>
      <c r="AJ103" s="62"/>
      <c r="AK103" s="62"/>
      <c r="AL103" s="62"/>
      <c r="AM103" s="62"/>
      <c r="AN103" s="62"/>
      <c r="AO103" s="62"/>
    </row>
    <row r="104">
      <c r="A104" s="59">
        <f>IFERROR(__xludf.DUMMYFUNCTION("QUERY('Volunteer Survey'!A111)"),43437.40190972222)</f>
        <v>43437.40191</v>
      </c>
      <c r="B104" s="60" t="s">
        <v>319</v>
      </c>
      <c r="C104" s="63" t="s">
        <v>320</v>
      </c>
      <c r="D104" s="82">
        <v>43769.0</v>
      </c>
      <c r="E104" s="60" t="s">
        <v>277</v>
      </c>
      <c r="F104" s="60" t="s">
        <v>277</v>
      </c>
      <c r="G104" s="60" t="s">
        <v>27</v>
      </c>
      <c r="H104" s="63" t="s">
        <v>27</v>
      </c>
      <c r="I104" s="63" t="s">
        <v>189</v>
      </c>
      <c r="J104" s="60"/>
      <c r="K104" s="60"/>
      <c r="L104" s="62" t="str">
        <f>IFERROR(__xludf.DUMMYFUNCTION("QUERY('Volunteer Survey'!B111)"),"Morgan Similuk")</f>
        <v>Morgan Similuk</v>
      </c>
      <c r="M104" s="62" t="str">
        <f>IFERROR(__xludf.DUMMYFUNCTION("QUERY('Volunteer Survey'!E111)"),"Morgan.similuk@nih.gov")</f>
        <v>Morgan.similuk@nih.gov</v>
      </c>
      <c r="N104" s="62" t="str">
        <f>IFERROR(__xludf.DUMMYFUNCTION("QUERY('Volunteer Survey'!F111)"),"Genetic counselor")</f>
        <v>Genetic counselor</v>
      </c>
      <c r="O104" s="60" t="str">
        <f>IFERROR(__xludf.DUMMYFUNCTION("QUERY('Volunteer Survey'!H111)"),"Comprehensive")</f>
        <v>Comprehensive</v>
      </c>
      <c r="P104" s="62" t="str">
        <f>IFERROR(__xludf.DUMMYFUNCTION("QUERY('Volunteer Survey'!I111)"),"Clinical Actionability")</f>
        <v>Clinical Actionability</v>
      </c>
      <c r="Q104" s="66" t="str">
        <f>IFERROR(__xludf.DUMMYFUNCTION("QUERY('Volunteer Survey'!J111)"),"Gene-Disease Validity")</f>
        <v>Gene-Disease Validity</v>
      </c>
      <c r="R104" s="62" t="str">
        <f>IFERROR(__xludf.DUMMYFUNCTION("QUERY('Volunteer Survey'!K111)"),"Variant Pathogenicity")</f>
        <v>Variant Pathogenicity</v>
      </c>
      <c r="S104" s="62" t="str">
        <f>IFERROR(__xludf.DUMMYFUNCTION("QUERY('Volunteer Survey'!L111)"),"Dosage Sensitivity")</f>
        <v>Dosage Sensitivity</v>
      </c>
      <c r="T104" s="62" t="str">
        <f>IFERROR(__xludf.DUMMYFUNCTION("QUERY('Volunteer Survey'!M111)"),"Somatic Cancer")</f>
        <v>Somatic Cancer</v>
      </c>
      <c r="U104" s="74" t="str">
        <f>IFERROR(__xludf.DUMMYFUNCTION("QUERY('Volunteer Survey'!N111)"),"Yes")</f>
        <v>Yes</v>
      </c>
      <c r="V104" s="62" t="str">
        <f>IFERROR(__xludf.DUMMYFUNCTION("QUERY('Volunteer Survey'!O111)"),"No")</f>
        <v>No</v>
      </c>
      <c r="W104" s="75" t="str">
        <f>IFERROR(__xludf.DUMMYFUNCTION("QUERY('Volunteer Survey'!P111)"),"NA")</f>
        <v>NA</v>
      </c>
      <c r="X104" s="74" t="str">
        <f>IFERROR(__xludf.DUMMYFUNCTION("QUERY('Volunteer Survey'!R111)"),"Maybe -- please contact me with other options, and I will decide based on what is available")</f>
        <v>Maybe -- please contact me with other options, and I will decide based on what is available</v>
      </c>
      <c r="Y104" s="61"/>
      <c r="Z104" s="67"/>
      <c r="AA104" s="62"/>
      <c r="AB104" s="62"/>
      <c r="AC104" s="62"/>
      <c r="AD104" s="62"/>
      <c r="AE104" s="62"/>
      <c r="AF104" s="62"/>
      <c r="AG104" s="62"/>
      <c r="AH104" s="62"/>
      <c r="AI104" s="62"/>
      <c r="AJ104" s="62"/>
      <c r="AK104" s="62"/>
      <c r="AL104" s="62"/>
      <c r="AM104" s="62"/>
      <c r="AN104" s="62"/>
      <c r="AO104" s="62"/>
    </row>
    <row r="105">
      <c r="A105" s="59">
        <f>IFERROR(__xludf.DUMMYFUNCTION("QUERY('Volunteer Survey'!A112)"),43439.40657407408)</f>
        <v>43439.40657</v>
      </c>
      <c r="B105" s="60" t="s">
        <v>274</v>
      </c>
      <c r="C105" s="80">
        <v>43452.0</v>
      </c>
      <c r="D105" s="82">
        <v>43678.0</v>
      </c>
      <c r="E105" s="60" t="s">
        <v>277</v>
      </c>
      <c r="F105" s="60" t="s">
        <v>182</v>
      </c>
      <c r="G105" s="60" t="s">
        <v>27</v>
      </c>
      <c r="H105" s="63"/>
      <c r="I105" s="63" t="s">
        <v>189</v>
      </c>
      <c r="J105" s="60"/>
      <c r="K105" s="60"/>
      <c r="L105" s="62" t="str">
        <f>IFERROR(__xludf.DUMMYFUNCTION("QUERY('Volunteer Survey'!B112)"),"Sandra P Smieszek")</f>
        <v>Sandra P Smieszek</v>
      </c>
      <c r="M105" s="62" t="str">
        <f>IFERROR(__xludf.DUMMYFUNCTION("QUERY('Volunteer Survey'!E112)"),"sps92@case.edu")</f>
        <v>sps92@case.edu</v>
      </c>
      <c r="N105" s="62" t="str">
        <f>IFERROR(__xludf.DUMMYFUNCTION("QUERY('Volunteer Survey'!F112)"),"Post Doc/Resident/Fellow (MD and/or PhD)")</f>
        <v>Post Doc/Resident/Fellow (MD and/or PhD)</v>
      </c>
      <c r="O105" s="60" t="str">
        <f>IFERROR(__xludf.DUMMYFUNCTION("QUERY('Volunteer Survey'!H112)"),"Comprehensive")</f>
        <v>Comprehensive</v>
      </c>
      <c r="P105" s="62" t="str">
        <f>IFERROR(__xludf.DUMMYFUNCTION("QUERY('Volunteer Survey'!I112)"),"Clinical Actionability")</f>
        <v>Clinical Actionability</v>
      </c>
      <c r="Q105" s="66" t="str">
        <f>IFERROR(__xludf.DUMMYFUNCTION("QUERY('Volunteer Survey'!J112)"),"Gene-Disease Validity")</f>
        <v>Gene-Disease Validity</v>
      </c>
      <c r="R105" s="62" t="str">
        <f>IFERROR(__xludf.DUMMYFUNCTION("QUERY('Volunteer Survey'!K112)"),"Variant Pathogenicity")</f>
        <v>Variant Pathogenicity</v>
      </c>
      <c r="S105" s="62" t="str">
        <f>IFERROR(__xludf.DUMMYFUNCTION("QUERY('Volunteer Survey'!L112)"),"Dosage Sensitivity")</f>
        <v>Dosage Sensitivity</v>
      </c>
      <c r="T105" s="62" t="str">
        <f>IFERROR(__xludf.DUMMYFUNCTION("QUERY('Volunteer Survey'!M112)"),"Somatic Cancer")</f>
        <v>Somatic Cancer</v>
      </c>
      <c r="U105" s="74" t="str">
        <f>IFERROR(__xludf.DUMMYFUNCTION("QUERY('Volunteer Survey'!N112)"),"Yes")</f>
        <v>Yes</v>
      </c>
      <c r="V105" s="62" t="str">
        <f>IFERROR(__xludf.DUMMYFUNCTION("QUERY('Volunteer Survey'!O112)"),"No")</f>
        <v>No</v>
      </c>
      <c r="W105" s="75" t="str">
        <f>IFERROR(__xludf.DUMMYFUNCTION("QUERY('Volunteer Survey'!P112)"),"Autism")</f>
        <v>Autism</v>
      </c>
      <c r="X105" s="74" t="str">
        <f>IFERROR(__xludf.DUMMYFUNCTION("QUERY('Volunteer Survey'!R112)"),"Maybe -- please contact me with other options, and I will decide based on what is available")</f>
        <v>Maybe -- please contact me with other options, and I will decide based on what is available</v>
      </c>
      <c r="Y105" s="63" t="s">
        <v>321</v>
      </c>
      <c r="Z105" s="67"/>
      <c r="AA105" s="62"/>
      <c r="AB105" s="62"/>
      <c r="AC105" s="62"/>
      <c r="AD105" s="62"/>
      <c r="AE105" s="62"/>
      <c r="AF105" s="62"/>
      <c r="AG105" s="62"/>
      <c r="AH105" s="62"/>
      <c r="AI105" s="62"/>
      <c r="AJ105" s="62"/>
      <c r="AK105" s="62"/>
      <c r="AL105" s="62"/>
      <c r="AM105" s="62"/>
      <c r="AN105" s="62"/>
      <c r="AO105" s="62"/>
    </row>
    <row r="106">
      <c r="A106" s="59">
        <f>IFERROR(__xludf.DUMMYFUNCTION("QUERY('Volunteer Survey'!A113)"),43488.21571815973)</f>
        <v>43488.21572</v>
      </c>
      <c r="B106" s="60" t="s">
        <v>275</v>
      </c>
      <c r="C106" s="61"/>
      <c r="D106" s="62"/>
      <c r="E106" s="60" t="s">
        <v>182</v>
      </c>
      <c r="F106" s="60" t="s">
        <v>182</v>
      </c>
      <c r="G106" s="60" t="s">
        <v>276</v>
      </c>
      <c r="H106" s="61"/>
      <c r="I106" s="63" t="s">
        <v>189</v>
      </c>
      <c r="J106" s="62"/>
      <c r="K106" s="62"/>
      <c r="L106" s="62" t="str">
        <f>IFERROR(__xludf.DUMMYFUNCTION("QUERY('Volunteer Survey'!B113)"),"Can Ding")</f>
        <v>Can Ding</v>
      </c>
      <c r="M106" s="62" t="str">
        <f>IFERROR(__xludf.DUMMYFUNCTION("QUERY('Volunteer Survey'!E113)"),"can.ding@unimedizin-mainz.de")</f>
        <v>can.ding@unimedizin-mainz.de</v>
      </c>
      <c r="N106" s="62" t="str">
        <f>IFERROR(__xludf.DUMMYFUNCTION("QUERY('Volunteer Survey'!F113)"),"Clinical Medical Geneticist")</f>
        <v>Clinical Medical Geneticist</v>
      </c>
      <c r="O106" s="60" t="str">
        <f>IFERROR(__xludf.DUMMYFUNCTION("QUERY('Volunteer Survey'!H113)"),"Baseline")</f>
        <v>Baseline</v>
      </c>
      <c r="P106" s="62" t="str">
        <f>IFERROR(__xludf.DUMMYFUNCTION("QUERY('Volunteer Survey'!I113)"),"Gene-Disease Validity")</f>
        <v>Gene-Disease Validity</v>
      </c>
      <c r="Q106" s="66" t="str">
        <f>IFERROR(__xludf.DUMMYFUNCTION("QUERY('Volunteer Survey'!J113)"),"Variant Pathogenicity")</f>
        <v>Variant Pathogenicity</v>
      </c>
      <c r="R106" s="62" t="str">
        <f>IFERROR(__xludf.DUMMYFUNCTION("QUERY('Volunteer Survey'!K113)"),"Clinical Actionability")</f>
        <v>Clinical Actionability</v>
      </c>
      <c r="S106" s="62" t="str">
        <f>IFERROR(__xludf.DUMMYFUNCTION("QUERY('Volunteer Survey'!L113)"),"Dosage Sensitivity")</f>
        <v>Dosage Sensitivity</v>
      </c>
      <c r="T106" s="62" t="str">
        <f>IFERROR(__xludf.DUMMYFUNCTION("QUERY('Volunteer Survey'!M113)"),"Somatic Cancer")</f>
        <v>Somatic Cancer</v>
      </c>
      <c r="U106" s="74" t="str">
        <f>IFERROR(__xludf.DUMMYFUNCTION("QUERY('Volunteer Survey'!N113)"),"I have over two years experiences in variant classification.")</f>
        <v>I have over two years experiences in variant classification.</v>
      </c>
      <c r="V106" s="62" t="str">
        <f>IFERROR(__xludf.DUMMYFUNCTION("QUERY('Volunteer Survey'!O113)"),"Yes")</f>
        <v>Yes</v>
      </c>
      <c r="W106" s="75" t="str">
        <f>IFERROR(__xludf.DUMMYFUNCTION("QUERY('Volunteer Survey'!P113)"),"I would be interested in a muscular disorder group.")</f>
        <v>I would be interested in a muscular disorder group.</v>
      </c>
      <c r="X106" s="74" t="str">
        <f>IFERROR(__xludf.DUMMYFUNCTION("QUERY('Volunteer Survey'!R113)"),"Maybe -- please contact me with other options, and I will decide based on what is available")</f>
        <v>Maybe -- please contact me with other options, and I will decide based on what is available</v>
      </c>
      <c r="Y106" s="61"/>
      <c r="Z106" s="67"/>
      <c r="AA106" s="62"/>
      <c r="AB106" s="62"/>
      <c r="AC106" s="62"/>
      <c r="AD106" s="62"/>
      <c r="AE106" s="62"/>
      <c r="AF106" s="62"/>
      <c r="AG106" s="62"/>
      <c r="AH106" s="62"/>
      <c r="AI106" s="62"/>
      <c r="AJ106" s="62"/>
      <c r="AK106" s="62"/>
      <c r="AL106" s="62"/>
      <c r="AM106" s="62"/>
      <c r="AN106" s="62"/>
      <c r="AO106" s="62"/>
    </row>
    <row r="107">
      <c r="A107" s="59">
        <f>IFERROR(__xludf.DUMMYFUNCTION("QUERY('Volunteer Survey'!A114)"),43489.18665266204)</f>
        <v>43489.18665</v>
      </c>
      <c r="B107" s="60" t="s">
        <v>274</v>
      </c>
      <c r="C107" s="61"/>
      <c r="D107" s="62"/>
      <c r="E107" s="60" t="s">
        <v>182</v>
      </c>
      <c r="F107" s="60" t="s">
        <v>182</v>
      </c>
      <c r="G107" s="60" t="s">
        <v>150</v>
      </c>
      <c r="H107" s="61"/>
      <c r="I107" s="63" t="s">
        <v>189</v>
      </c>
      <c r="J107" s="62"/>
      <c r="K107" s="62"/>
      <c r="L107" s="62" t="str">
        <f>IFERROR(__xludf.DUMMYFUNCTION("QUERY('Volunteer Survey'!B114)"),"Milda Auglyte")</f>
        <v>Milda Auglyte</v>
      </c>
      <c r="M107" s="62" t="str">
        <f>IFERROR(__xludf.DUMMYFUNCTION("QUERY('Volunteer Survey'!E114)"),"mildaaug@gmail.com")</f>
        <v>mildaaug@gmail.com</v>
      </c>
      <c r="N107" s="62" t="str">
        <f>IFERROR(__xludf.DUMMYFUNCTION("QUERY('Volunteer Survey'!F114)"),"Graduate Student")</f>
        <v>Graduate Student</v>
      </c>
      <c r="O107" s="60" t="str">
        <f>IFERROR(__xludf.DUMMYFUNCTION("QUERY('Volunteer Survey'!H114)"),"Comprehensive")</f>
        <v>Comprehensive</v>
      </c>
      <c r="P107" s="62" t="str">
        <f>IFERROR(__xludf.DUMMYFUNCTION("QUERY('Volunteer Survey'!I114)"),"Somatic Cancer")</f>
        <v>Somatic Cancer</v>
      </c>
      <c r="Q107" s="66" t="str">
        <f>IFERROR(__xludf.DUMMYFUNCTION("QUERY('Volunteer Survey'!J114)"),"Clinical Actionability")</f>
        <v>Clinical Actionability</v>
      </c>
      <c r="R107" s="62" t="str">
        <f>IFERROR(__xludf.DUMMYFUNCTION("QUERY('Volunteer Survey'!K114)"),"Variant Pathogenicity")</f>
        <v>Variant Pathogenicity</v>
      </c>
      <c r="S107" s="62" t="str">
        <f>IFERROR(__xludf.DUMMYFUNCTION("QUERY('Volunteer Survey'!L114)"),"")</f>
        <v/>
      </c>
      <c r="T107" s="62" t="str">
        <f>IFERROR(__xludf.DUMMYFUNCTION("QUERY('Volunteer Survey'!M114)"),"")</f>
        <v/>
      </c>
      <c r="U107" s="74" t="str">
        <f>IFERROR(__xludf.DUMMYFUNCTION("QUERY('Volunteer Survey'!N114)"),"During my master's I performed NSCLC solid and liquid biopsies testing by target NGS. Nowadays, I'm still continuing this path, but additionally I am working with hereditary breast and ovarian cancer clinical testing.")</f>
        <v>During my master's I performed NSCLC solid and liquid biopsies testing by target NGS. Nowadays, I'm still continuing this path, but additionally I am working with hereditary breast and ovarian cancer clinical testing.</v>
      </c>
      <c r="V107" s="62" t="str">
        <f>IFERROR(__xludf.DUMMYFUNCTION("QUERY('Volunteer Survey'!O114)"),"Possibly")</f>
        <v>Possibly</v>
      </c>
      <c r="W107" s="75" t="str">
        <f>IFERROR(__xludf.DUMMYFUNCTION("QUERY('Volunteer Survey'!P114)"),"I would be interested in newly forming groups: Breast/Ovarian Cancer, Nonsmall cell lung cancer and Somatic TP53.")</f>
        <v>I would be interested in newly forming groups: Breast/Ovarian Cancer, Nonsmall cell lung cancer and Somatic TP53.</v>
      </c>
      <c r="X107" s="74" t="str">
        <f>IFERROR(__xludf.DUMMYFUNCTION("QUERY('Volunteer Survey'!R114)"),"Maybe -- please contact me with other options, and I will decide based on what is available")</f>
        <v>Maybe -- please contact me with other options, and I will decide based on what is available</v>
      </c>
      <c r="Y107" s="61"/>
      <c r="Z107" s="67"/>
      <c r="AA107" s="62"/>
      <c r="AB107" s="62"/>
      <c r="AC107" s="62"/>
      <c r="AD107" s="62"/>
      <c r="AE107" s="62"/>
      <c r="AF107" s="62"/>
      <c r="AG107" s="62"/>
      <c r="AH107" s="62"/>
      <c r="AI107" s="62"/>
      <c r="AJ107" s="62"/>
      <c r="AK107" s="62"/>
      <c r="AL107" s="62"/>
      <c r="AM107" s="62"/>
      <c r="AN107" s="62"/>
      <c r="AO107" s="62"/>
    </row>
    <row r="108">
      <c r="A108" s="59">
        <f>IFERROR(__xludf.DUMMYFUNCTION("QUERY('Volunteer Survey'!A115)"),43489.310416782406)</f>
        <v>43489.31042</v>
      </c>
      <c r="B108" s="60" t="s">
        <v>178</v>
      </c>
      <c r="C108" s="61"/>
      <c r="D108" s="62"/>
      <c r="E108" s="60" t="s">
        <v>182</v>
      </c>
      <c r="F108" s="60" t="s">
        <v>182</v>
      </c>
      <c r="G108" s="60" t="s">
        <v>150</v>
      </c>
      <c r="H108" s="63" t="s">
        <v>322</v>
      </c>
      <c r="I108" s="63" t="s">
        <v>189</v>
      </c>
      <c r="J108" s="79">
        <v>43592.0</v>
      </c>
      <c r="K108" s="79"/>
      <c r="L108" s="62" t="str">
        <f>IFERROR(__xludf.DUMMYFUNCTION("QUERY('Volunteer Survey'!B115)"),"Andres Ressia")</f>
        <v>Andres Ressia</v>
      </c>
      <c r="M108" s="62" t="str">
        <f>IFERROR(__xludf.DUMMYFUNCTION("QUERY('Volunteer Survey'!E115)"),"andresressiacolino@gmail.com")</f>
        <v>andresressiacolino@gmail.com</v>
      </c>
      <c r="N108" s="62" t="str">
        <f>IFERROR(__xludf.DUMMYFUNCTION("QUERY('Volunteer Survey'!F115)"),"Post-Bachelors")</f>
        <v>Post-Bachelors</v>
      </c>
      <c r="O108" s="60" t="str">
        <f>IFERROR(__xludf.DUMMYFUNCTION("QUERY('Volunteer Survey'!H115)"),"Comprehensive")</f>
        <v>Comprehensive</v>
      </c>
      <c r="P108" s="62" t="str">
        <f>IFERROR(__xludf.DUMMYFUNCTION("QUERY('Volunteer Survey'!I115)"),"Somatic Cancer")</f>
        <v>Somatic Cancer</v>
      </c>
      <c r="Q108" s="66" t="str">
        <f>IFERROR(__xludf.DUMMYFUNCTION("QUERY('Volunteer Survey'!J115)"),"Gene-Disease Validity")</f>
        <v>Gene-Disease Validity</v>
      </c>
      <c r="R108" s="62" t="str">
        <f>IFERROR(__xludf.DUMMYFUNCTION("QUERY('Volunteer Survey'!K115)"),"")</f>
        <v/>
      </c>
      <c r="S108" s="62" t="str">
        <f>IFERROR(__xludf.DUMMYFUNCTION("QUERY('Volunteer Survey'!L115)"),"")</f>
        <v/>
      </c>
      <c r="T108" s="62" t="str">
        <f>IFERROR(__xludf.DUMMYFUNCTION("QUERY('Volunteer Survey'!M115)"),"")</f>
        <v/>
      </c>
      <c r="U108" s="74" t="str">
        <f>IFERROR(__xludf.DUMMYFUNCTION("QUERY('Volunteer Survey'!N115)"),"No")</f>
        <v>No</v>
      </c>
      <c r="V108" s="62" t="str">
        <f>IFERROR(__xludf.DUMMYFUNCTION("QUERY('Volunteer Survey'!O115)"),"No")</f>
        <v>No</v>
      </c>
      <c r="W108" s="75" t="str">
        <f>IFERROR(__xludf.DUMMYFUNCTION("QUERY('Volunteer Survey'!P115)"),"Breast/Ovarian Cancer (newly forming)")</f>
        <v>Breast/Ovarian Cancer (newly forming)</v>
      </c>
      <c r="X108" s="74" t="str">
        <f>IFERROR(__xludf.DUMMYFUNCTION("QUERY('Volunteer Survey'!R115)"),"Maybe -- please contact me with other options, and I will decide based on what is available")</f>
        <v>Maybe -- please contact me with other options, and I will decide based on what is available</v>
      </c>
      <c r="Y108" s="61"/>
      <c r="Z108" s="67"/>
      <c r="AA108" s="62"/>
      <c r="AB108" s="62"/>
      <c r="AC108" s="62"/>
      <c r="AD108" s="62"/>
      <c r="AE108" s="62"/>
      <c r="AF108" s="62"/>
      <c r="AG108" s="62"/>
      <c r="AH108" s="62"/>
      <c r="AI108" s="62"/>
      <c r="AJ108" s="62"/>
      <c r="AK108" s="62"/>
      <c r="AL108" s="62"/>
      <c r="AM108" s="62"/>
      <c r="AN108" s="62"/>
      <c r="AO108" s="62"/>
    </row>
    <row r="109">
      <c r="A109" s="59">
        <f>IFERROR(__xludf.DUMMYFUNCTION("QUERY('Volunteer Survey'!A116)"),43354.42292824074)</f>
        <v>43354.42293</v>
      </c>
      <c r="B109" s="60" t="s">
        <v>282</v>
      </c>
      <c r="C109" s="80">
        <v>43452.0</v>
      </c>
      <c r="D109" s="78">
        <v>43581.0</v>
      </c>
      <c r="E109" s="60" t="s">
        <v>277</v>
      </c>
      <c r="F109" s="60" t="s">
        <v>182</v>
      </c>
      <c r="G109" s="60" t="s">
        <v>150</v>
      </c>
      <c r="H109" s="63" t="s">
        <v>323</v>
      </c>
      <c r="I109" s="63" t="s">
        <v>189</v>
      </c>
      <c r="J109" s="79">
        <v>43712.0</v>
      </c>
      <c r="K109" s="79"/>
      <c r="L109" s="62" t="str">
        <f>IFERROR(__xludf.DUMMYFUNCTION("QUERY('Volunteer Survey'!B116)"),"Parisa Lotfi")</f>
        <v>Parisa Lotfi</v>
      </c>
      <c r="M109" s="62" t="str">
        <f>IFERROR(__xludf.DUMMYFUNCTION("QUERY('Volunteer Survey'!E116)"),"Parisa_Lotfi@yahoo.com")</f>
        <v>Parisa_Lotfi@yahoo.com</v>
      </c>
      <c r="N109" s="62" t="str">
        <f>IFERROR(__xludf.DUMMYFUNCTION("QUERY('Volunteer Survey'!F116)"),"Post Doc/Resident/Fellow (MD and/or Phd), Scientific Researcher")</f>
        <v>Post Doc/Resident/Fellow (MD and/or Phd), Scientific Researcher</v>
      </c>
      <c r="O109" s="60" t="str">
        <f>IFERROR(__xludf.DUMMYFUNCTION("QUERY('Volunteer Survey'!H116)"),"Comprehensive")</f>
        <v>Comprehensive</v>
      </c>
      <c r="P109" s="62" t="str">
        <f>IFERROR(__xludf.DUMMYFUNCTION("QUERY('Volunteer Survey'!I116)"),"Somatic Cancer")</f>
        <v>Somatic Cancer</v>
      </c>
      <c r="Q109" s="66" t="str">
        <f>IFERROR(__xludf.DUMMYFUNCTION("QUERY('Volunteer Survey'!J116)"),"Dosage Sensitivity")</f>
        <v>Dosage Sensitivity</v>
      </c>
      <c r="R109" s="62" t="str">
        <f>IFERROR(__xludf.DUMMYFUNCTION("QUERY('Volunteer Survey'!K116)"),"Variant Pathogenicity")</f>
        <v>Variant Pathogenicity</v>
      </c>
      <c r="S109" s="62" t="str">
        <f>IFERROR(__xludf.DUMMYFUNCTION("QUERY('Volunteer Survey'!L116)"),"Gene-Disease Validity")</f>
        <v>Gene-Disease Validity</v>
      </c>
      <c r="T109" s="62" t="str">
        <f>IFERROR(__xludf.DUMMYFUNCTION("QUERY('Volunteer Survey'!M116)"),"")</f>
        <v/>
      </c>
      <c r="U109" s="74" t="str">
        <f>IFERROR(__xludf.DUMMYFUNCTION("QUERY('Volunteer Survey'!N116)"),"no")</f>
        <v>no</v>
      </c>
      <c r="V109" s="62" t="str">
        <f>IFERROR(__xludf.DUMMYFUNCTION("QUERY('Volunteer Survey'!O116)"),"Possibly")</f>
        <v>Possibly</v>
      </c>
      <c r="W109" s="75" t="str">
        <f>IFERROR(__xludf.DUMMYFUNCTION("QUERY('Volunteer Survey'!P116)"),"intellectual disability/autism group")</f>
        <v>intellectual disability/autism group</v>
      </c>
      <c r="X109" s="74" t="str">
        <f>IFERROR(__xludf.DUMMYFUNCTION("QUERY('Volunteer Survey'!R116)"),"Yes- I am willing to volunteer with any available ClinGen group")</f>
        <v>Yes- I am willing to volunteer with any available ClinGen group</v>
      </c>
      <c r="Y109" s="61"/>
      <c r="Z109" s="67"/>
      <c r="AA109" s="62"/>
      <c r="AB109" s="62"/>
      <c r="AC109" s="62"/>
      <c r="AD109" s="62"/>
      <c r="AE109" s="62"/>
      <c r="AF109" s="62"/>
      <c r="AG109" s="62"/>
      <c r="AH109" s="62"/>
      <c r="AI109" s="62"/>
      <c r="AJ109" s="62"/>
      <c r="AK109" s="62"/>
      <c r="AL109" s="62"/>
      <c r="AM109" s="62"/>
      <c r="AN109" s="62"/>
      <c r="AO109" s="62"/>
    </row>
    <row r="110">
      <c r="A110" s="59">
        <f>IFERROR(__xludf.DUMMYFUNCTION("QUERY('Volunteer Survey'!A117)"),43423.42459490741)</f>
        <v>43423.42459</v>
      </c>
      <c r="B110" s="60" t="s">
        <v>178</v>
      </c>
      <c r="C110" s="80">
        <v>43452.0</v>
      </c>
      <c r="D110" s="62"/>
      <c r="E110" s="60" t="s">
        <v>182</v>
      </c>
      <c r="F110" s="60" t="s">
        <v>182</v>
      </c>
      <c r="G110" s="60" t="s">
        <v>150</v>
      </c>
      <c r="H110" s="63" t="s">
        <v>322</v>
      </c>
      <c r="I110" s="63" t="s">
        <v>189</v>
      </c>
      <c r="J110" s="79">
        <v>43592.0</v>
      </c>
      <c r="K110" s="79">
        <v>43713.0</v>
      </c>
      <c r="L110" s="62" t="str">
        <f>IFERROR(__xludf.DUMMYFUNCTION("QUERY('Volunteer Survey'!B117)"),"Huei San Leong")</f>
        <v>Huei San Leong</v>
      </c>
      <c r="M110" s="62" t="str">
        <f>IFERROR(__xludf.DUMMYFUNCTION("QUERY('Volunteer Survey'!E117)"),"hueisan.leong@petermac.org")</f>
        <v>hueisan.leong@petermac.org</v>
      </c>
      <c r="N110" s="62" t="str">
        <f>IFERROR(__xludf.DUMMYFUNCTION("QUERY('Volunteer Survey'!F117)"),"Variant Analyst/Scientist")</f>
        <v>Variant Analyst/Scientist</v>
      </c>
      <c r="O110" s="60" t="str">
        <f>IFERROR(__xludf.DUMMYFUNCTION("QUERY('Volunteer Survey'!H117)"),"Comprehensive")</f>
        <v>Comprehensive</v>
      </c>
      <c r="P110" s="62" t="str">
        <f>IFERROR(__xludf.DUMMYFUNCTION("QUERY('Volunteer Survey'!I117)"),"Somatic Cancer")</f>
        <v>Somatic Cancer</v>
      </c>
      <c r="Q110" s="66" t="str">
        <f>IFERROR(__xludf.DUMMYFUNCTION("QUERY('Volunteer Survey'!J117)"),"Variant Pathogenicity")</f>
        <v>Variant Pathogenicity</v>
      </c>
      <c r="R110" s="62" t="str">
        <f>IFERROR(__xludf.DUMMYFUNCTION("QUERY('Volunteer Survey'!K117)"),"Clinical Actionability")</f>
        <v>Clinical Actionability</v>
      </c>
      <c r="S110" s="62" t="str">
        <f>IFERROR(__xludf.DUMMYFUNCTION("QUERY('Volunteer Survey'!L117)"),"Gene-Disease Validity")</f>
        <v>Gene-Disease Validity</v>
      </c>
      <c r="T110" s="62" t="str">
        <f>IFERROR(__xludf.DUMMYFUNCTION("QUERY('Volunteer Survey'!M117)"),"")</f>
        <v/>
      </c>
      <c r="U110" s="74" t="str">
        <f>IFERROR(__xludf.DUMMYFUNCTION("QUERY('Volunteer Survey'!N117)"),"Yes")</f>
        <v>Yes</v>
      </c>
      <c r="V110" s="62" t="str">
        <f>IFERROR(__xludf.DUMMYFUNCTION("QUERY('Volunteer Survey'!O117)"),"Yes")</f>
        <v>Yes</v>
      </c>
      <c r="W110" s="75" t="str">
        <f>IFERROR(__xludf.DUMMYFUNCTION("QUERY('Volunteer Survey'!P117)"),"1) Breast/Ovarian Cancer 2) Colorectal Cancer 3) CDH1")</f>
        <v>1) Breast/Ovarian Cancer 2) Colorectal Cancer 3) CDH1</v>
      </c>
      <c r="X110" s="74" t="str">
        <f>IFERROR(__xludf.DUMMYFUNCTION("QUERY('Volunteer Survey'!R117)"),"Maybe -- please contact me with other options, and I will decide based on what is available")</f>
        <v>Maybe -- please contact me with other options, and I will decide based on what is available</v>
      </c>
      <c r="Y110" s="91" t="s">
        <v>298</v>
      </c>
      <c r="Z110" s="67"/>
      <c r="AA110" s="62"/>
      <c r="AB110" s="62"/>
      <c r="AC110" s="62"/>
      <c r="AD110" s="62"/>
      <c r="AE110" s="62"/>
      <c r="AF110" s="62"/>
      <c r="AG110" s="62"/>
      <c r="AH110" s="62"/>
      <c r="AI110" s="62"/>
      <c r="AJ110" s="62"/>
      <c r="AK110" s="62"/>
      <c r="AL110" s="62"/>
      <c r="AM110" s="62"/>
      <c r="AN110" s="62"/>
      <c r="AO110" s="62"/>
    </row>
    <row r="111">
      <c r="A111" s="59">
        <f>IFERROR(__xludf.DUMMYFUNCTION("QUERY('Volunteer Survey'!A118)"),43439.427199074074)</f>
        <v>43439.4272</v>
      </c>
      <c r="B111" s="60" t="s">
        <v>274</v>
      </c>
      <c r="C111" s="80">
        <v>43452.0</v>
      </c>
      <c r="D111" s="62"/>
      <c r="E111" s="60" t="s">
        <v>182</v>
      </c>
      <c r="F111" s="60" t="s">
        <v>182</v>
      </c>
      <c r="G111" s="60" t="s">
        <v>150</v>
      </c>
      <c r="H111" s="61"/>
      <c r="I111" s="63" t="s">
        <v>189</v>
      </c>
      <c r="J111" s="62"/>
      <c r="K111" s="62"/>
      <c r="L111" s="62" t="str">
        <f>IFERROR(__xludf.DUMMYFUNCTION("QUERY('Volunteer Survey'!B118)"),"Pandurang Kolekar")</f>
        <v>Pandurang Kolekar</v>
      </c>
      <c r="M111" s="62" t="str">
        <f>IFERROR(__xludf.DUMMYFUNCTION("QUERY('Volunteer Survey'!E118)"),"pandurang.kolekar@gmail.com")</f>
        <v>pandurang.kolekar@gmail.com</v>
      </c>
      <c r="N111" s="62" t="str">
        <f>IFERROR(__xludf.DUMMYFUNCTION("QUERY('Volunteer Survey'!F118)"),"""Scientific Researcher, Biocurator, Variant Analyst/Scientist, Other (please specify): Bioinformatics Engineer""")</f>
        <v>"Scientific Researcher, Biocurator, Variant Analyst/Scientist, Other (please specify): Bioinformatics Engineer"</v>
      </c>
      <c r="O111" s="60" t="str">
        <f>IFERROR(__xludf.DUMMYFUNCTION("QUERY('Volunteer Survey'!H118)"),"Comprehensive")</f>
        <v>Comprehensive</v>
      </c>
      <c r="P111" s="62" t="str">
        <f>IFERROR(__xludf.DUMMYFUNCTION("QUERY('Volunteer Survey'!I118)"),"Somatic Cancer")</f>
        <v>Somatic Cancer</v>
      </c>
      <c r="Q111" s="66" t="str">
        <f>IFERROR(__xludf.DUMMYFUNCTION("QUERY('Volunteer Survey'!J118)"),"Variant Pathogenicity")</f>
        <v>Variant Pathogenicity</v>
      </c>
      <c r="R111" s="62" t="str">
        <f>IFERROR(__xludf.DUMMYFUNCTION("QUERY('Volunteer Survey'!K118)"),"Gene-Disease Validity")</f>
        <v>Gene-Disease Validity</v>
      </c>
      <c r="S111" s="62" t="str">
        <f>IFERROR(__xludf.DUMMYFUNCTION("QUERY('Volunteer Survey'!L118)"),"Clinical Actionability")</f>
        <v>Clinical Actionability</v>
      </c>
      <c r="T111" s="62" t="str">
        <f>IFERROR(__xludf.DUMMYFUNCTION("QUERY('Volunteer Survey'!M118)"),"Dosage Sensitivity")</f>
        <v>Dosage Sensitivity</v>
      </c>
      <c r="U111" s="74" t="str">
        <f>IFERROR(__xludf.DUMMYFUNCTION("QUERY('Volunteer Survey'!N118)"),"Yes")</f>
        <v>Yes</v>
      </c>
      <c r="V111" s="62" t="str">
        <f>IFERROR(__xludf.DUMMYFUNCTION("QUERY('Volunteer Survey'!O118)"),"Possibly")</f>
        <v>Possibly</v>
      </c>
      <c r="W111" s="75" t="str">
        <f>IFERROR(__xludf.DUMMYFUNCTION("QUERY('Volunteer Survey'!P118)"),"Somatic cancer WG")</f>
        <v>Somatic cancer WG</v>
      </c>
      <c r="X111" s="74" t="str">
        <f>IFERROR(__xludf.DUMMYFUNCTION("QUERY('Volunteer Survey'!R118)"),"Maybe -- please contact me with other options, and I will decide based on what is available")</f>
        <v>Maybe -- please contact me with other options, and I will decide based on what is available</v>
      </c>
      <c r="Y111" s="61"/>
      <c r="Z111" s="67"/>
      <c r="AA111" s="62"/>
      <c r="AB111" s="62"/>
      <c r="AC111" s="62"/>
      <c r="AD111" s="62"/>
      <c r="AE111" s="62"/>
      <c r="AF111" s="62"/>
      <c r="AG111" s="62"/>
      <c r="AH111" s="62"/>
      <c r="AI111" s="62"/>
      <c r="AJ111" s="62"/>
      <c r="AK111" s="62"/>
      <c r="AL111" s="62"/>
      <c r="AM111" s="62"/>
      <c r="AN111" s="62"/>
      <c r="AO111" s="62"/>
    </row>
    <row r="112">
      <c r="A112" s="59">
        <f>IFERROR(__xludf.DUMMYFUNCTION("QUERY('Volunteer Survey'!A119)"),43494.45647408565)</f>
        <v>43494.45647</v>
      </c>
      <c r="B112" s="60" t="s">
        <v>274</v>
      </c>
      <c r="C112" s="61"/>
      <c r="D112" s="62"/>
      <c r="E112" s="60" t="s">
        <v>182</v>
      </c>
      <c r="F112" s="60" t="s">
        <v>182</v>
      </c>
      <c r="G112" s="60" t="s">
        <v>27</v>
      </c>
      <c r="H112" s="76"/>
      <c r="I112" s="76" t="s">
        <v>189</v>
      </c>
      <c r="J112" s="62"/>
      <c r="K112" s="62"/>
      <c r="L112" s="62" t="str">
        <f>IFERROR(__xludf.DUMMYFUNCTION("QUERY('Volunteer Survey'!B119)"),"Samata Singhi")</f>
        <v>Samata Singhi</v>
      </c>
      <c r="M112" s="62" t="str">
        <f>IFERROR(__xludf.DUMMYFUNCTION("QUERY('Volunteer Survey'!E119)"),"samata.singhi@gmail.com")</f>
        <v>samata.singhi@gmail.com</v>
      </c>
      <c r="N112" s="62" t="str">
        <f>IFERROR(__xludf.DUMMYFUNCTION("QUERY('Volunteer Survey'!F119)"),"Physician (Non-geneticist)")</f>
        <v>Physician (Non-geneticist)</v>
      </c>
      <c r="O112" s="60" t="str">
        <f>IFERROR(__xludf.DUMMYFUNCTION("QUERY('Volunteer Survey'!H119)"),"Comprehensive")</f>
        <v>Comprehensive</v>
      </c>
      <c r="P112" s="62" t="str">
        <f>IFERROR(__xludf.DUMMYFUNCTION("QUERY('Volunteer Survey'!I119)"),"Clinical Actionability")</f>
        <v>Clinical Actionability</v>
      </c>
      <c r="Q112" s="66" t="str">
        <f>IFERROR(__xludf.DUMMYFUNCTION("QUERY('Volunteer Survey'!J119)"),"Gene-Disease Validity")</f>
        <v>Gene-Disease Validity</v>
      </c>
      <c r="R112" s="62" t="str">
        <f>IFERROR(__xludf.DUMMYFUNCTION("QUERY('Volunteer Survey'!K119)"),"")</f>
        <v/>
      </c>
      <c r="S112" s="62" t="str">
        <f>IFERROR(__xludf.DUMMYFUNCTION("QUERY('Volunteer Survey'!L119)"),"")</f>
        <v/>
      </c>
      <c r="T112" s="62" t="str">
        <f>IFERROR(__xludf.DUMMYFUNCTION("QUERY('Volunteer Survey'!M119)"),"")</f>
        <v/>
      </c>
      <c r="U112" s="74" t="str">
        <f>IFERROR(__xludf.DUMMYFUNCTION("QUERY('Volunteer Survey'!N119)"),"")</f>
        <v/>
      </c>
      <c r="V112" s="62" t="str">
        <f>IFERROR(__xludf.DUMMYFUNCTION("QUERY('Volunteer Survey'!O119)"),"Possibly")</f>
        <v>Possibly</v>
      </c>
      <c r="W112" s="75" t="str">
        <f>IFERROR(__xludf.DUMMYFUNCTION("QUERY('Volunteer Survey'!P119)"),"Epilepsy")</f>
        <v>Epilepsy</v>
      </c>
      <c r="X112" s="74" t="str">
        <f>IFERROR(__xludf.DUMMYFUNCTION("QUERY('Volunteer Survey'!R119)"),"Maybe -- please contact me with other options, and I will decide based on what is available")</f>
        <v>Maybe -- please contact me with other options, and I will decide based on what is available</v>
      </c>
      <c r="Y112" s="61"/>
      <c r="Z112" s="67"/>
      <c r="AA112" s="62"/>
      <c r="AB112" s="62"/>
      <c r="AC112" s="62"/>
      <c r="AD112" s="62"/>
      <c r="AE112" s="62"/>
      <c r="AF112" s="62"/>
      <c r="AG112" s="62"/>
      <c r="AH112" s="62"/>
      <c r="AI112" s="62"/>
      <c r="AJ112" s="62"/>
      <c r="AK112" s="62"/>
      <c r="AL112" s="62"/>
      <c r="AM112" s="62"/>
      <c r="AN112" s="62"/>
      <c r="AO112" s="62"/>
    </row>
    <row r="113">
      <c r="A113" s="59">
        <f>IFERROR(__xludf.DUMMYFUNCTION("QUERY('Volunteer Survey'!A120)"),43496.573591817134)</f>
        <v>43496.57359</v>
      </c>
      <c r="B113" s="60" t="s">
        <v>275</v>
      </c>
      <c r="C113" s="61"/>
      <c r="D113" s="82">
        <v>43692.0</v>
      </c>
      <c r="E113" s="60" t="s">
        <v>277</v>
      </c>
      <c r="F113" s="60" t="s">
        <v>182</v>
      </c>
      <c r="G113" s="60" t="s">
        <v>278</v>
      </c>
      <c r="H113" s="61"/>
      <c r="I113" s="63" t="s">
        <v>189</v>
      </c>
      <c r="J113" s="62"/>
      <c r="K113" s="62"/>
      <c r="L113" s="62" t="str">
        <f>IFERROR(__xludf.DUMMYFUNCTION("QUERY('Volunteer Survey'!B120)"),"Szabolcs Szelinger")</f>
        <v>Szabolcs Szelinger</v>
      </c>
      <c r="M113" s="62" t="str">
        <f>IFERROR(__xludf.DUMMYFUNCTION("QUERY('Volunteer Survey'!E120)"),"sszelinger@tgen.org")</f>
        <v>sszelinger@tgen.org</v>
      </c>
      <c r="N113" s="62" t="str">
        <f>IFERROR(__xludf.DUMMYFUNCTION("QUERY('Volunteer Survey'!F120)"),"Clinical laboratory geneticist")</f>
        <v>Clinical laboratory geneticist</v>
      </c>
      <c r="O113" s="60" t="str">
        <f>IFERROR(__xludf.DUMMYFUNCTION("QUERY('Volunteer Survey'!H120)"),"Comprehensive")</f>
        <v>Comprehensive</v>
      </c>
      <c r="P113" s="62" t="str">
        <f>IFERROR(__xludf.DUMMYFUNCTION("QUERY('Volunteer Survey'!I120)"),"Gene-Disease Validity")</f>
        <v>Gene-Disease Validity</v>
      </c>
      <c r="Q113" s="66" t="str">
        <f>IFERROR(__xludf.DUMMYFUNCTION("QUERY('Volunteer Survey'!J120)"),"Variant Pathogenicity")</f>
        <v>Variant Pathogenicity</v>
      </c>
      <c r="R113" s="62" t="str">
        <f>IFERROR(__xludf.DUMMYFUNCTION("QUERY('Volunteer Survey'!K120)"),"Somatic Cancer")</f>
        <v>Somatic Cancer</v>
      </c>
      <c r="S113" s="62" t="str">
        <f>IFERROR(__xludf.DUMMYFUNCTION("QUERY('Volunteer Survey'!L120)"),"Clinical Actionability")</f>
        <v>Clinical Actionability</v>
      </c>
      <c r="T113" s="62" t="str">
        <f>IFERROR(__xludf.DUMMYFUNCTION("QUERY('Volunteer Survey'!M120)"),"")</f>
        <v/>
      </c>
      <c r="U113" s="74" t="str">
        <f>IFERROR(__xludf.DUMMYFUNCTION("QUERY('Volunteer Survey'!N120)"),"As an ACMG fellow at UCLA, and at the CLIA lab I work, we routinely assess variants for pathogenicity and disease-gene validity. In addition, I have experience in curating somatic mutations for actionability. In the research laboratory we sequenced and in"&amp;"terpreted hundreds of trio exomes in rare pediatric disease. ")</f>
        <v>As an ACMG fellow at UCLA, and at the CLIA lab I work, we routinely assess variants for pathogenicity and disease-gene validity. In addition, I have experience in curating somatic mutations for actionability. In the research laboratory we sequenced and interpreted hundreds of trio exomes in rare pediatric disease. </v>
      </c>
      <c r="V113" s="62" t="str">
        <f>IFERROR(__xludf.DUMMYFUNCTION("QUERY('Volunteer Survey'!O120)"),"Possibly")</f>
        <v>Possibly</v>
      </c>
      <c r="W113" s="75" t="str">
        <f>IFERROR(__xludf.DUMMYFUNCTION("QUERY('Volunteer Survey'!P120)"),"There are many interesting groups such as the mitochondrial disease, inherited cardiomyopathy, Epilepsy and Somatic TP53 group.")</f>
        <v>There are many interesting groups such as the mitochondrial disease, inherited cardiomyopathy, Epilepsy and Somatic TP53 group.</v>
      </c>
      <c r="X113" s="74" t="str">
        <f>IFERROR(__xludf.DUMMYFUNCTION("QUERY('Volunteer Survey'!R120)"),"Yes- I am willing to volunteer with any available ClinGen group")</f>
        <v>Yes- I am willing to volunteer with any available ClinGen group</v>
      </c>
      <c r="Y113" s="61"/>
      <c r="Z113" s="67"/>
      <c r="AA113" s="62"/>
      <c r="AB113" s="62"/>
      <c r="AC113" s="62"/>
      <c r="AD113" s="62"/>
      <c r="AE113" s="62"/>
      <c r="AF113" s="62"/>
      <c r="AG113" s="62"/>
      <c r="AH113" s="62"/>
      <c r="AI113" s="62"/>
      <c r="AJ113" s="62"/>
      <c r="AK113" s="62"/>
      <c r="AL113" s="62"/>
      <c r="AM113" s="62"/>
      <c r="AN113" s="62"/>
      <c r="AO113" s="62"/>
    </row>
    <row r="114">
      <c r="A114" s="59">
        <f>IFERROR(__xludf.DUMMYFUNCTION("QUERY('Volunteer Survey'!A121)"),43431.472766203704)</f>
        <v>43431.47277</v>
      </c>
      <c r="B114" s="60" t="s">
        <v>274</v>
      </c>
      <c r="C114" s="80">
        <v>43452.0</v>
      </c>
      <c r="D114" s="62"/>
      <c r="E114" s="60" t="s">
        <v>182</v>
      </c>
      <c r="F114" s="60" t="s">
        <v>182</v>
      </c>
      <c r="G114" s="60" t="s">
        <v>150</v>
      </c>
      <c r="H114" s="61"/>
      <c r="I114" s="63" t="s">
        <v>189</v>
      </c>
      <c r="J114" s="62"/>
      <c r="K114" s="62"/>
      <c r="L114" s="62" t="str">
        <f>IFERROR(__xludf.DUMMYFUNCTION("QUERY('Volunteer Survey'!B121)"),"Jianhong Zhou")</f>
        <v>Jianhong Zhou</v>
      </c>
      <c r="M114" s="62" t="str">
        <f>IFERROR(__xludf.DUMMYFUNCTION("QUERY('Volunteer Survey'!E121)"),"jhzhou2008@hotmail.com")</f>
        <v>jhzhou2008@hotmail.com</v>
      </c>
      <c r="N114" s="62" t="str">
        <f>IFERROR(__xludf.DUMMYFUNCTION("QUERY('Volunteer Survey'!F121)"),"Post Doc/Resident/Fellow (MD and/or Phd), Scientific Researcher, Focus on bioinformatics and computational biology")</f>
        <v>Post Doc/Resident/Fellow (MD and/or Phd), Scientific Researcher, Focus on bioinformatics and computational biology</v>
      </c>
      <c r="O114" s="60" t="str">
        <f>IFERROR(__xludf.DUMMYFUNCTION("QUERY('Volunteer Survey'!H121)"),"Comprehensive")</f>
        <v>Comprehensive</v>
      </c>
      <c r="P114" s="62" t="str">
        <f>IFERROR(__xludf.DUMMYFUNCTION("QUERY('Volunteer Survey'!I121)"),"Somatic Cancer")</f>
        <v>Somatic Cancer</v>
      </c>
      <c r="Q114" s="66" t="str">
        <f>IFERROR(__xludf.DUMMYFUNCTION("QUERY('Volunteer Survey'!J121)"),"Gene-Disease Validity")</f>
        <v>Gene-Disease Validity</v>
      </c>
      <c r="R114" s="62" t="str">
        <f>IFERROR(__xludf.DUMMYFUNCTION("QUERY('Volunteer Survey'!K121)"),"Variant Pathogenicity")</f>
        <v>Variant Pathogenicity</v>
      </c>
      <c r="S114" s="62" t="str">
        <f>IFERROR(__xludf.DUMMYFUNCTION("QUERY('Volunteer Survey'!L121)"),"Clinical Actionability")</f>
        <v>Clinical Actionability</v>
      </c>
      <c r="T114" s="62" t="str">
        <f>IFERROR(__xludf.DUMMYFUNCTION("QUERY('Volunteer Survey'!M121)"),"Dosage Sensitivity")</f>
        <v>Dosage Sensitivity</v>
      </c>
      <c r="U114" s="74" t="str">
        <f>IFERROR(__xludf.DUMMYFUNCTION("QUERY('Volunteer Survey'!N121)"),"No")</f>
        <v>No</v>
      </c>
      <c r="V114" s="62" t="str">
        <f>IFERROR(__xludf.DUMMYFUNCTION("QUERY('Volunteer Survey'!O121)"),"Yes")</f>
        <v>Yes</v>
      </c>
      <c r="W114" s="75" t="str">
        <f>IFERROR(__xludf.DUMMYFUNCTION("QUERY('Volunteer Survey'!P121)"),"Somatic Cancer WG")</f>
        <v>Somatic Cancer WG</v>
      </c>
      <c r="X114" s="74" t="str">
        <f>IFERROR(__xludf.DUMMYFUNCTION("QUERY('Volunteer Survey'!R121)"),"Yes- I am willing to volunteer with any available ClinGen group")</f>
        <v>Yes- I am willing to volunteer with any available ClinGen group</v>
      </c>
      <c r="Y114" s="61"/>
      <c r="Z114" s="67"/>
      <c r="AA114" s="62"/>
      <c r="AB114" s="62"/>
      <c r="AC114" s="62"/>
      <c r="AD114" s="62"/>
      <c r="AE114" s="62"/>
      <c r="AF114" s="62"/>
      <c r="AG114" s="62"/>
      <c r="AH114" s="62"/>
      <c r="AI114" s="62"/>
      <c r="AJ114" s="62"/>
      <c r="AK114" s="62"/>
      <c r="AL114" s="62"/>
      <c r="AM114" s="62"/>
      <c r="AN114" s="62"/>
      <c r="AO114" s="62"/>
    </row>
    <row r="115">
      <c r="A115" s="59">
        <f>IFERROR(__xludf.DUMMYFUNCTION("QUERY('Volunteer Survey'!A122)"),43498.50725701389)</f>
        <v>43498.50726</v>
      </c>
      <c r="B115" s="60" t="s">
        <v>274</v>
      </c>
      <c r="C115" s="61"/>
      <c r="D115" s="85">
        <v>43567.0</v>
      </c>
      <c r="E115" s="60" t="s">
        <v>277</v>
      </c>
      <c r="F115" s="60" t="s">
        <v>277</v>
      </c>
      <c r="G115" s="60" t="s">
        <v>27</v>
      </c>
      <c r="H115" s="76" t="s">
        <v>27</v>
      </c>
      <c r="I115" s="76" t="s">
        <v>189</v>
      </c>
      <c r="J115" s="79">
        <v>43712.0</v>
      </c>
      <c r="K115" s="79"/>
      <c r="L115" s="62" t="str">
        <f>IFERROR(__xludf.DUMMYFUNCTION("QUERY('Volunteer Survey'!B122)"),"Ramesh Vaidyanathan")</f>
        <v>Ramesh Vaidyanathan</v>
      </c>
      <c r="M115" s="62" t="str">
        <f>IFERROR(__xludf.DUMMYFUNCTION("QUERY('Volunteer Survey'!E122)"),"vaid@rocketmail.com")</f>
        <v>vaid@rocketmail.com</v>
      </c>
      <c r="N115" s="62" t="str">
        <f>IFERROR(__xludf.DUMMYFUNCTION("QUERY('Volunteer Survey'!F122)"),"Biotech Professional with Biochemistry and Genomics background and a Citizen Scientist")</f>
        <v>Biotech Professional with Biochemistry and Genomics background and a Citizen Scientist</v>
      </c>
      <c r="O115" s="60" t="str">
        <f>IFERROR(__xludf.DUMMYFUNCTION("QUERY('Volunteer Survey'!H122)"),"Comprehensive")</f>
        <v>Comprehensive</v>
      </c>
      <c r="P115" s="62" t="str">
        <f>IFERROR(__xludf.DUMMYFUNCTION("QUERY('Volunteer Survey'!I122)"),"Clinical Actionability")</f>
        <v>Clinical Actionability</v>
      </c>
      <c r="Q115" s="66" t="str">
        <f>IFERROR(__xludf.DUMMYFUNCTION("QUERY('Volunteer Survey'!J122)"),"Dosage Sensitivity")</f>
        <v>Dosage Sensitivity</v>
      </c>
      <c r="R115" s="62" t="str">
        <f>IFERROR(__xludf.DUMMYFUNCTION("QUERY('Volunteer Survey'!K122)"),"Somatic Cancer")</f>
        <v>Somatic Cancer</v>
      </c>
      <c r="S115" s="62" t="str">
        <f>IFERROR(__xludf.DUMMYFUNCTION("QUERY('Volunteer Survey'!L122)"),"Gene-Disease Validity")</f>
        <v>Gene-Disease Validity</v>
      </c>
      <c r="T115" s="62" t="str">
        <f>IFERROR(__xludf.DUMMYFUNCTION("QUERY('Volunteer Survey'!M122)"),"Variant Pathogenicity")</f>
        <v>Variant Pathogenicity</v>
      </c>
      <c r="U115" s="74" t="str">
        <f>IFERROR(__xludf.DUMMYFUNCTION("QUERY('Volunteer Survey'!N122)"),"No ")</f>
        <v>No </v>
      </c>
      <c r="V115" s="62" t="str">
        <f>IFERROR(__xludf.DUMMYFUNCTION("QUERY('Volunteer Survey'!O122)"),"Yes")</f>
        <v>Yes</v>
      </c>
      <c r="W115" s="75" t="str">
        <f>IFERROR(__xludf.DUMMYFUNCTION("QUERY('Volunteer Survey'!P122)"),"")</f>
        <v/>
      </c>
      <c r="X115" s="74" t="str">
        <f>IFERROR(__xludf.DUMMYFUNCTION("QUERY('Volunteer Survey'!R122)"),"Yes- I am willing to volunteer with any available ClinGen group")</f>
        <v>Yes- I am willing to volunteer with any available ClinGen group</v>
      </c>
      <c r="Y115" s="61"/>
      <c r="Z115" s="67"/>
      <c r="AA115" s="62"/>
      <c r="AB115" s="62"/>
      <c r="AC115" s="62"/>
      <c r="AD115" s="62"/>
      <c r="AE115" s="62"/>
      <c r="AF115" s="62"/>
      <c r="AG115" s="62"/>
      <c r="AH115" s="62"/>
      <c r="AI115" s="62"/>
      <c r="AJ115" s="62"/>
      <c r="AK115" s="62"/>
      <c r="AL115" s="62"/>
      <c r="AM115" s="62"/>
      <c r="AN115" s="62"/>
      <c r="AO115" s="62"/>
    </row>
    <row r="116">
      <c r="A116" s="59">
        <f>IFERROR(__xludf.DUMMYFUNCTION("QUERY('Volunteer Survey'!A123)"),43504.64437269676)</f>
        <v>43504.64437</v>
      </c>
      <c r="B116" s="60" t="s">
        <v>275</v>
      </c>
      <c r="C116" s="61"/>
      <c r="D116" s="78">
        <v>43598.0</v>
      </c>
      <c r="E116" s="60" t="s">
        <v>277</v>
      </c>
      <c r="F116" s="60" t="s">
        <v>182</v>
      </c>
      <c r="G116" s="60" t="s">
        <v>150</v>
      </c>
      <c r="H116" s="61"/>
      <c r="I116" s="63" t="s">
        <v>189</v>
      </c>
      <c r="J116" s="62"/>
      <c r="K116" s="62"/>
      <c r="L116" s="62" t="str">
        <f>IFERROR(__xludf.DUMMYFUNCTION("QUERY('Volunteer Survey'!B123)"),"Ranjit Shetty")</f>
        <v>Ranjit Shetty</v>
      </c>
      <c r="M116" s="62" t="str">
        <f>IFERROR(__xludf.DUMMYFUNCTION("QUERY('Volunteer Survey'!E123)"),"ranjit.shetty@novartis.com")</f>
        <v>ranjit.shetty@novartis.com</v>
      </c>
      <c r="N116" s="62" t="str">
        <f>IFERROR(__xludf.DUMMYFUNCTION("QUERY('Volunteer Survey'!F123)"),"Scientific Researcher")</f>
        <v>Scientific Researcher</v>
      </c>
      <c r="O116" s="60" t="str">
        <f>IFERROR(__xludf.DUMMYFUNCTION("QUERY('Volunteer Survey'!H123)"),"Comprehensive")</f>
        <v>Comprehensive</v>
      </c>
      <c r="P116" s="62" t="str">
        <f>IFERROR(__xludf.DUMMYFUNCTION("QUERY('Volunteer Survey'!I123)"),"Somatic Cancer")</f>
        <v>Somatic Cancer</v>
      </c>
      <c r="Q116" s="66" t="str">
        <f>IFERROR(__xludf.DUMMYFUNCTION("QUERY('Volunteer Survey'!J123)"),"Variant Pathogenicity")</f>
        <v>Variant Pathogenicity</v>
      </c>
      <c r="R116" s="62" t="str">
        <f>IFERROR(__xludf.DUMMYFUNCTION("QUERY('Volunteer Survey'!K123)"),"Gene-Disease Validity")</f>
        <v>Gene-Disease Validity</v>
      </c>
      <c r="S116" s="62" t="str">
        <f>IFERROR(__xludf.DUMMYFUNCTION("QUERY('Volunteer Survey'!L123)"),"Clinical Actionability")</f>
        <v>Clinical Actionability</v>
      </c>
      <c r="T116" s="62" t="str">
        <f>IFERROR(__xludf.DUMMYFUNCTION("QUERY('Volunteer Survey'!M123)"),"Dosage Sensitivity")</f>
        <v>Dosage Sensitivity</v>
      </c>
      <c r="U116" s="74" t="str">
        <f>IFERROR(__xludf.DUMMYFUNCTION("QUERY('Volunteer Survey'!N123)"),"Evaluating TP53 and NF2 variants from NGS data")</f>
        <v>Evaluating TP53 and NF2 variants from NGS data</v>
      </c>
      <c r="V116" s="62" t="str">
        <f>IFERROR(__xludf.DUMMYFUNCTION("QUERY('Volunteer Survey'!O123)"),"No")</f>
        <v>No</v>
      </c>
      <c r="W116" s="75" t="str">
        <f>IFERROR(__xludf.DUMMYFUNCTION("QUERY('Volunteer Survey'!P123)"),"")</f>
        <v/>
      </c>
      <c r="X116" s="74" t="str">
        <f>IFERROR(__xludf.DUMMYFUNCTION("QUERY('Volunteer Survey'!R123)"),"Maybe -- please contact me with other options, and I will decide based on what is available")</f>
        <v>Maybe -- please contact me with other options, and I will decide based on what is available</v>
      </c>
      <c r="Y116" s="63" t="s">
        <v>324</v>
      </c>
      <c r="Z116" s="67"/>
      <c r="AA116" s="62"/>
      <c r="AB116" s="62"/>
      <c r="AC116" s="62"/>
      <c r="AD116" s="62"/>
      <c r="AE116" s="62"/>
      <c r="AF116" s="62"/>
      <c r="AG116" s="62"/>
      <c r="AH116" s="62"/>
      <c r="AI116" s="62"/>
      <c r="AJ116" s="62"/>
      <c r="AK116" s="62"/>
      <c r="AL116" s="62"/>
      <c r="AM116" s="62"/>
      <c r="AN116" s="62"/>
      <c r="AO116" s="62"/>
    </row>
    <row r="117">
      <c r="A117" s="59">
        <f>IFERROR(__xludf.DUMMYFUNCTION("QUERY('Volunteer Survey'!A124)"),43510.15695694444)</f>
        <v>43510.15696</v>
      </c>
      <c r="B117" s="60" t="s">
        <v>275</v>
      </c>
      <c r="C117" s="61"/>
      <c r="D117" s="82">
        <v>43696.0</v>
      </c>
      <c r="E117" s="60" t="s">
        <v>277</v>
      </c>
      <c r="F117" s="60" t="s">
        <v>182</v>
      </c>
      <c r="G117" s="60" t="s">
        <v>278</v>
      </c>
      <c r="H117" s="61"/>
      <c r="I117" s="63" t="s">
        <v>189</v>
      </c>
      <c r="J117" s="62"/>
      <c r="K117" s="62"/>
      <c r="L117" s="62" t="str">
        <f>IFERROR(__xludf.DUMMYFUNCTION("QUERY('Volunteer Survey'!B124)"),"Brooke H. Miller")</f>
        <v>Brooke H. Miller</v>
      </c>
      <c r="M117" s="62" t="str">
        <f>IFERROR(__xludf.DUMMYFUNCTION("QUERY('Volunteer Survey'!E124)"),"brooke.h.miller@gmail.com")</f>
        <v>brooke.h.miller@gmail.com</v>
      </c>
      <c r="N117" s="62" t="str">
        <f>IFERROR(__xludf.DUMMYFUNCTION("QUERY('Volunteer Survey'!F124)"),"Scientific Researcher")</f>
        <v>Scientific Researcher</v>
      </c>
      <c r="O117" s="60" t="str">
        <f>IFERROR(__xludf.DUMMYFUNCTION("QUERY('Volunteer Survey'!H124)"),"Comprehensive")</f>
        <v>Comprehensive</v>
      </c>
      <c r="P117" s="62" t="str">
        <f>IFERROR(__xludf.DUMMYFUNCTION("QUERY('Volunteer Survey'!I124)"),"Gene-Disease Validity")</f>
        <v>Gene-Disease Validity</v>
      </c>
      <c r="Q117" s="66" t="str">
        <f>IFERROR(__xludf.DUMMYFUNCTION("QUERY('Volunteer Survey'!J124)"),"Variant Pathogenicity")</f>
        <v>Variant Pathogenicity</v>
      </c>
      <c r="R117" s="62" t="str">
        <f>IFERROR(__xludf.DUMMYFUNCTION("QUERY('Volunteer Survey'!K124)"),"Clinical Actionability")</f>
        <v>Clinical Actionability</v>
      </c>
      <c r="S117" s="62" t="str">
        <f>IFERROR(__xludf.DUMMYFUNCTION("QUERY('Volunteer Survey'!L124)"),"")</f>
        <v/>
      </c>
      <c r="T117" s="62" t="str">
        <f>IFERROR(__xludf.DUMMYFUNCTION("QUERY('Volunteer Survey'!M124)"),"")</f>
        <v/>
      </c>
      <c r="U117" s="74" t="str">
        <f>IFERROR(__xludf.DUMMYFUNCTION("QUERY('Volunteer Survey'!N124)"),"Yes--used inbred strain haplotype mapping, gene expression analysis, and re-sequencing to identify SNPs associated with behavioral despair and antidepressant efficacy in mice. Research profile available: https://www.researchgate.net/profile/Brooke_Miller3")</f>
        <v>Yes--used inbred strain haplotype mapping, gene expression analysis, and re-sequencing to identify SNPs associated with behavioral despair and antidepressant efficacy in mice. Research profile available: https://www.researchgate.net/profile/Brooke_Miller3</v>
      </c>
      <c r="V117" s="62" t="str">
        <f>IFERROR(__xludf.DUMMYFUNCTION("QUERY('Volunteer Survey'!O124)"),"Possibly")</f>
        <v>Possibly</v>
      </c>
      <c r="W117" s="75" t="str">
        <f>IFERROR(__xludf.DUMMYFUNCTION("QUERY('Volunteer Survey'!P124)"),"Not at the moment, but wouldn't rule out future involvement")</f>
        <v>Not at the moment, but wouldn't rule out future involvement</v>
      </c>
      <c r="X117" s="74" t="str">
        <f>IFERROR(__xludf.DUMMYFUNCTION("QUERY('Volunteer Survey'!R124)"),"Yes- I am willing to volunteer with any available ClinGen group")</f>
        <v>Yes- I am willing to volunteer with any available ClinGen group</v>
      </c>
      <c r="Y117" s="61"/>
      <c r="Z117" s="67"/>
      <c r="AA117" s="62"/>
      <c r="AB117" s="62"/>
      <c r="AC117" s="62"/>
      <c r="AD117" s="62"/>
      <c r="AE117" s="62"/>
      <c r="AF117" s="62"/>
      <c r="AG117" s="62"/>
      <c r="AH117" s="62"/>
      <c r="AI117" s="62"/>
      <c r="AJ117" s="62"/>
      <c r="AK117" s="62"/>
      <c r="AL117" s="62"/>
      <c r="AM117" s="62"/>
      <c r="AN117" s="62"/>
      <c r="AO117" s="62"/>
    </row>
    <row r="118">
      <c r="A118" s="59">
        <f>IFERROR(__xludf.DUMMYFUNCTION("QUERY('Volunteer Survey'!A125)"),43510.64592836806)</f>
        <v>43510.64593</v>
      </c>
      <c r="B118" s="60" t="s">
        <v>274</v>
      </c>
      <c r="C118" s="61"/>
      <c r="D118" s="62"/>
      <c r="E118" s="60" t="s">
        <v>182</v>
      </c>
      <c r="F118" s="60" t="s">
        <v>182</v>
      </c>
      <c r="G118" s="60" t="s">
        <v>283</v>
      </c>
      <c r="H118" s="61"/>
      <c r="I118" s="63" t="s">
        <v>189</v>
      </c>
      <c r="J118" s="62"/>
      <c r="K118" s="62"/>
      <c r="L118" s="62" t="str">
        <f>IFERROR(__xludf.DUMMYFUNCTION("QUERY('Volunteer Survey'!B125)"),"Elizabeth Spiteri")</f>
        <v>Elizabeth Spiteri</v>
      </c>
      <c r="M118" s="62" t="str">
        <f>IFERROR(__xludf.DUMMYFUNCTION("QUERY('Volunteer Survey'!E125)"),"espiteri@gmail.com")</f>
        <v>espiteri@gmail.com</v>
      </c>
      <c r="N118" s="62" t="str">
        <f>IFERROR(__xludf.DUMMYFUNCTION("QUERY('Volunteer Survey'!F125)"),"Clinical laboratory geneticist")</f>
        <v>Clinical laboratory geneticist</v>
      </c>
      <c r="O118" s="60" t="str">
        <f>IFERROR(__xludf.DUMMYFUNCTION("QUERY('Volunteer Survey'!H125)"),"Comprehensive")</f>
        <v>Comprehensive</v>
      </c>
      <c r="P118" s="62" t="str">
        <f>IFERROR(__xludf.DUMMYFUNCTION("QUERY('Volunteer Survey'!I125)"),"Dosage Sensitivity")</f>
        <v>Dosage Sensitivity</v>
      </c>
      <c r="Q118" s="66" t="str">
        <f>IFERROR(__xludf.DUMMYFUNCTION("QUERY('Volunteer Survey'!J125)"),"Somatic Cancer")</f>
        <v>Somatic Cancer</v>
      </c>
      <c r="R118" s="62" t="str">
        <f>IFERROR(__xludf.DUMMYFUNCTION("QUERY('Volunteer Survey'!K125)"),"Gene-Disease Validity")</f>
        <v>Gene-Disease Validity</v>
      </c>
      <c r="S118" s="62" t="str">
        <f>IFERROR(__xludf.DUMMYFUNCTION("QUERY('Volunteer Survey'!L125)"),"Variant Pathogenicity")</f>
        <v>Variant Pathogenicity</v>
      </c>
      <c r="T118" s="62" t="str">
        <f>IFERROR(__xludf.DUMMYFUNCTION("QUERY('Volunteer Survey'!M125)"),"")</f>
        <v/>
      </c>
      <c r="U118" s="74" t="str">
        <f>IFERROR(__xludf.DUMMYFUNCTION("QUERY('Volunteer Survey'!N125)"),"I have participated in a Clinical Genomics Consortium for Copy Number Variants")</f>
        <v>I have participated in a Clinical Genomics Consortium for Copy Number Variants</v>
      </c>
      <c r="V118" s="62" t="str">
        <f>IFERROR(__xludf.DUMMYFUNCTION("QUERY('Volunteer Survey'!O125)"),"Yes")</f>
        <v>Yes</v>
      </c>
      <c r="W118" s="75" t="str">
        <f>IFERROR(__xludf.DUMMYFUNCTION("QUERY('Volunteer Survey'!P125)"),"In addition to the somatic panel curation I would also be interested in Breast/Ovarian or Colon Cancer Expert panels ")</f>
        <v>In addition to the somatic panel curation I would also be interested in Breast/Ovarian or Colon Cancer Expert panels </v>
      </c>
      <c r="X118" s="74" t="str">
        <f>IFERROR(__xludf.DUMMYFUNCTION("QUERY('Volunteer Survey'!R125)"),"Yes- I am willing to volunteer with any available ClinGen group")</f>
        <v>Yes- I am willing to volunteer with any available ClinGen group</v>
      </c>
      <c r="Y118" s="61"/>
      <c r="Z118" s="67"/>
      <c r="AA118" s="62"/>
      <c r="AB118" s="62"/>
      <c r="AC118" s="62"/>
      <c r="AD118" s="62"/>
      <c r="AE118" s="62"/>
      <c r="AF118" s="62"/>
      <c r="AG118" s="62"/>
      <c r="AH118" s="62"/>
      <c r="AI118" s="62"/>
      <c r="AJ118" s="62"/>
      <c r="AK118" s="62"/>
      <c r="AL118" s="62"/>
      <c r="AM118" s="62"/>
      <c r="AN118" s="62"/>
      <c r="AO118" s="62"/>
    </row>
    <row r="119">
      <c r="A119" s="59">
        <f>IFERROR(__xludf.DUMMYFUNCTION("QUERY('Volunteer Survey'!A126)"),43511.51492671297)</f>
        <v>43511.51493</v>
      </c>
      <c r="B119" s="60" t="s">
        <v>274</v>
      </c>
      <c r="C119" s="61"/>
      <c r="D119" s="62"/>
      <c r="E119" s="60" t="s">
        <v>182</v>
      </c>
      <c r="F119" s="60" t="s">
        <v>182</v>
      </c>
      <c r="G119" s="60" t="s">
        <v>288</v>
      </c>
      <c r="H119" s="61"/>
      <c r="I119" s="61"/>
      <c r="J119" s="62"/>
      <c r="K119" s="62"/>
      <c r="L119" s="62" t="str">
        <f>IFERROR(__xludf.DUMMYFUNCTION("QUERY('Volunteer Survey'!B126)"),"Yasser Sullcahuaman")</f>
        <v>Yasser Sullcahuaman</v>
      </c>
      <c r="M119" s="62" t="str">
        <f>IFERROR(__xludf.DUMMYFUNCTION("QUERY('Volunteer Survey'!E126)"),"ysullcahuaman@gmail.com")</f>
        <v>ysullcahuaman@gmail.com</v>
      </c>
      <c r="N119" s="62" t="str">
        <f>IFERROR(__xludf.DUMMYFUNCTION("QUERY('Volunteer Survey'!F126)"),"Clinical Medical Geneticist")</f>
        <v>Clinical Medical Geneticist</v>
      </c>
      <c r="O119" s="60" t="str">
        <f>IFERROR(__xludf.DUMMYFUNCTION("QUERY('Volunteer Survey'!H126)"),"Comprehensive")</f>
        <v>Comprehensive</v>
      </c>
      <c r="P119" s="62" t="str">
        <f>IFERROR(__xludf.DUMMYFUNCTION("QUERY('Volunteer Survey'!I126)"),"Variant Pathogenicity")</f>
        <v>Variant Pathogenicity</v>
      </c>
      <c r="Q119" s="66" t="str">
        <f>IFERROR(__xludf.DUMMYFUNCTION("QUERY('Volunteer Survey'!J126)"),"Gene-Disease Validity")</f>
        <v>Gene-Disease Validity</v>
      </c>
      <c r="R119" s="62" t="str">
        <f>IFERROR(__xludf.DUMMYFUNCTION("QUERY('Volunteer Survey'!K126)"),"Clinical Actionability")</f>
        <v>Clinical Actionability</v>
      </c>
      <c r="S119" s="62" t="str">
        <f>IFERROR(__xludf.DUMMYFUNCTION("QUERY('Volunteer Survey'!L126)"),"Somatic Cancer")</f>
        <v>Somatic Cancer</v>
      </c>
      <c r="T119" s="62" t="str">
        <f>IFERROR(__xludf.DUMMYFUNCTION("QUERY('Volunteer Survey'!M126)"),"Dosage Sensitivity")</f>
        <v>Dosage Sensitivity</v>
      </c>
      <c r="U119" s="74" t="str">
        <f>IFERROR(__xludf.DUMMYFUNCTION("QUERY('Volunteer Survey'!N126)"),"")</f>
        <v/>
      </c>
      <c r="V119" s="62" t="str">
        <f>IFERROR(__xludf.DUMMYFUNCTION("QUERY('Volunteer Survey'!O126)"),"Possibly")</f>
        <v>Possibly</v>
      </c>
      <c r="W119" s="75" t="str">
        <f>IFERROR(__xludf.DUMMYFUNCTION("QUERY('Volunteer Survey'!P126)"),"")</f>
        <v/>
      </c>
      <c r="X119" s="74" t="str">
        <f>IFERROR(__xludf.DUMMYFUNCTION("QUERY('Volunteer Survey'!R126)"),"Maybe -- please contact me with other options, and I will decide based on what is available")</f>
        <v>Maybe -- please contact me with other options, and I will decide based on what is available</v>
      </c>
      <c r="Y119" s="61"/>
      <c r="Z119" s="67"/>
      <c r="AA119" s="62"/>
      <c r="AB119" s="62"/>
      <c r="AC119" s="62"/>
      <c r="AD119" s="62"/>
      <c r="AE119" s="62"/>
      <c r="AF119" s="62"/>
      <c r="AG119" s="62"/>
      <c r="AH119" s="62"/>
      <c r="AI119" s="62"/>
      <c r="AJ119" s="62"/>
      <c r="AK119" s="62"/>
      <c r="AL119" s="62"/>
      <c r="AM119" s="62"/>
      <c r="AN119" s="62"/>
      <c r="AO119" s="62"/>
    </row>
    <row r="120" ht="16.5" customHeight="1">
      <c r="A120" s="59">
        <f>IFERROR(__xludf.DUMMYFUNCTION("QUERY('Volunteer Survey'!A127)"),43515.32583059028)</f>
        <v>43515.32583</v>
      </c>
      <c r="B120" s="60" t="s">
        <v>275</v>
      </c>
      <c r="C120" s="61"/>
      <c r="D120" s="78">
        <v>43581.0</v>
      </c>
      <c r="E120" s="60" t="s">
        <v>277</v>
      </c>
      <c r="F120" s="60" t="s">
        <v>182</v>
      </c>
      <c r="G120" s="60" t="s">
        <v>150</v>
      </c>
      <c r="H120" s="63" t="s">
        <v>322</v>
      </c>
      <c r="I120" s="63" t="s">
        <v>189</v>
      </c>
      <c r="J120" s="79">
        <v>43712.0</v>
      </c>
      <c r="K120" s="79"/>
      <c r="L120" s="62" t="str">
        <f>IFERROR(__xludf.DUMMYFUNCTION("QUERY('Volunteer Survey'!B127)"),"HUILING XU")</f>
        <v>HUILING XU</v>
      </c>
      <c r="M120" s="62" t="str">
        <f>IFERROR(__xludf.DUMMYFUNCTION("QUERY('Volunteer Survey'!E127)"),"huiling.xu@petermac.org")</f>
        <v>huiling.xu@petermac.org</v>
      </c>
      <c r="N120" s="62" t="str">
        <f>IFERROR(__xludf.DUMMYFUNCTION("QUERY('Volunteer Survey'!F127)"),"Variant Analyst/Scientist - Academic")</f>
        <v>Variant Analyst/Scientist - Academic</v>
      </c>
      <c r="O120" s="60" t="str">
        <f>IFERROR(__xludf.DUMMYFUNCTION("QUERY('Volunteer Survey'!H127)"),"Comprehensive")</f>
        <v>Comprehensive</v>
      </c>
      <c r="P120" s="62" t="str">
        <f>IFERROR(__xludf.DUMMYFUNCTION("QUERY('Volunteer Survey'!I127)"),"Somatic Cancer")</f>
        <v>Somatic Cancer</v>
      </c>
      <c r="Q120" s="66" t="str">
        <f>IFERROR(__xludf.DUMMYFUNCTION("QUERY('Volunteer Survey'!J127)"),"")</f>
        <v/>
      </c>
      <c r="R120" s="62" t="str">
        <f>IFERROR(__xludf.DUMMYFUNCTION("QUERY('Volunteer Survey'!K127)"),"")</f>
        <v/>
      </c>
      <c r="S120" s="62" t="str">
        <f>IFERROR(__xludf.DUMMYFUNCTION("QUERY('Volunteer Survey'!L127)"),"")</f>
        <v/>
      </c>
      <c r="T120" s="62" t="str">
        <f>IFERROR(__xludf.DUMMYFUNCTION("QUERY('Volunteer Survey'!M127)"),"")</f>
        <v/>
      </c>
      <c r="U120" s="74" t="str">
        <f>IFERROR(__xludf.DUMMYFUNCTION("QUERY('Volunteer Survey'!N127)"),"I am a senior clinical genomic analyst/scientist in the Molecular Pathology Section of the Department of Pathology, Peter MacCallum Cancer Centre, Australia. I have been involved in interpreting and reporting cancer genomic alterations to guide targeted t"&amp;"herapy in multiple government-funded prospective precision oncology programs for the past four years. I have extensive knowledge of clinical laboratory practise, cancer biology, targeted therapy, and clinical care. 
I am also a researcher with 20 years c"&amp;"ancer research experience and have a strong track record in cancer research. I have a career total of 54 publications including a number of papers in the highly influential clinical and scientific journals.")</f>
        <v>I am a senior clinical genomic analyst/scientist in the Molecular Pathology Section of the Department of Pathology, Peter MacCallum Cancer Centre, Australia. I have been involved in interpreting and reporting cancer genomic alterations to guide targeted therapy in multiple government-funded prospective precision oncology programs for the past four years. I have extensive knowledge of clinical laboratory practise, cancer biology, targeted therapy, and clinical care. 
I am also a researcher with 20 years cancer research experience and have a strong track record in cancer research. I have a career total of 54 publications including a number of papers in the highly influential clinical and scientific journals.</v>
      </c>
      <c r="V120" s="62" t="str">
        <f>IFERROR(__xludf.DUMMYFUNCTION("QUERY('Volunteer Survey'!O127)"),"Yes")</f>
        <v>Yes</v>
      </c>
      <c r="W120" s="75" t="str">
        <f>IFERROR(__xludf.DUMMYFUNCTION("QUERY('Volunteer Survey'!P127)"),"Somatic cancer working groups")</f>
        <v>Somatic cancer working groups</v>
      </c>
      <c r="X120" s="74" t="str">
        <f>IFERROR(__xludf.DUMMYFUNCTION("QUERY('Volunteer Survey'!R127)"),"Yes- I am willing to volunteer with any available ClinGen group")</f>
        <v>Yes- I am willing to volunteer with any available ClinGen group</v>
      </c>
      <c r="Y120" s="61"/>
      <c r="Z120" s="67"/>
      <c r="AA120" s="62"/>
      <c r="AB120" s="62"/>
      <c r="AC120" s="62"/>
      <c r="AD120" s="62"/>
      <c r="AE120" s="62"/>
      <c r="AF120" s="62"/>
      <c r="AG120" s="62"/>
      <c r="AH120" s="62"/>
      <c r="AI120" s="62"/>
      <c r="AJ120" s="62"/>
      <c r="AK120" s="62"/>
      <c r="AL120" s="62"/>
      <c r="AM120" s="62"/>
      <c r="AN120" s="62"/>
      <c r="AO120" s="62"/>
    </row>
    <row r="121">
      <c r="A121" s="59">
        <f>IFERROR(__xludf.DUMMYFUNCTION("QUERY('Volunteer Survey'!A128)"),43524.49831216435)</f>
        <v>43524.49831</v>
      </c>
      <c r="B121" s="60" t="s">
        <v>275</v>
      </c>
      <c r="C121" s="61"/>
      <c r="D121" s="78">
        <v>43570.0</v>
      </c>
      <c r="E121" s="60" t="s">
        <v>277</v>
      </c>
      <c r="F121" s="60" t="s">
        <v>277</v>
      </c>
      <c r="G121" s="60" t="s">
        <v>278</v>
      </c>
      <c r="H121" s="63" t="s">
        <v>43</v>
      </c>
      <c r="I121" s="63" t="s">
        <v>189</v>
      </c>
      <c r="J121" s="79">
        <v>43712.0</v>
      </c>
      <c r="K121" s="79"/>
      <c r="L121" s="62" t="str">
        <f>IFERROR(__xludf.DUMMYFUNCTION("QUERY('Volunteer Survey'!B128)"),"Nilufar Inamdar")</f>
        <v>Nilufar Inamdar</v>
      </c>
      <c r="M121" s="62" t="str">
        <f>IFERROR(__xludf.DUMMYFUNCTION("QUERY('Volunteer Survey'!E128)"),"inamdar555@yahoo.com")</f>
        <v>inamdar555@yahoo.com</v>
      </c>
      <c r="N121" s="62" t="str">
        <f>IFERROR(__xludf.DUMMYFUNCTION("QUERY('Volunteer Survey'!F128)"),"Clinical laboratory geneticist")</f>
        <v>Clinical laboratory geneticist</v>
      </c>
      <c r="O121" s="60" t="str">
        <f>IFERROR(__xludf.DUMMYFUNCTION("QUERY('Volunteer Survey'!H128)"),"Comprehensive")</f>
        <v>Comprehensive</v>
      </c>
      <c r="P121" s="62" t="str">
        <f>IFERROR(__xludf.DUMMYFUNCTION("QUERY('Volunteer Survey'!I128)"),"Gene-Disease Validity")</f>
        <v>Gene-Disease Validity</v>
      </c>
      <c r="Q121" s="66" t="str">
        <f>IFERROR(__xludf.DUMMYFUNCTION("QUERY('Volunteer Survey'!J128)"),"Dosage Sensitivity")</f>
        <v>Dosage Sensitivity</v>
      </c>
      <c r="R121" s="62" t="str">
        <f>IFERROR(__xludf.DUMMYFUNCTION("QUERY('Volunteer Survey'!K128)"),"Variant Pathogenicity")</f>
        <v>Variant Pathogenicity</v>
      </c>
      <c r="S121" s="62" t="str">
        <f>IFERROR(__xludf.DUMMYFUNCTION("QUERY('Volunteer Survey'!L128)"),"Somatic Cancer")</f>
        <v>Somatic Cancer</v>
      </c>
      <c r="T121" s="62" t="str">
        <f>IFERROR(__xludf.DUMMYFUNCTION("QUERY('Volunteer Survey'!M128)"),"Clinical Actionability")</f>
        <v>Clinical Actionability</v>
      </c>
      <c r="U121" s="74" t="str">
        <f>IFERROR(__xludf.DUMMYFUNCTION("QUERY('Volunteer Survey'!N128)"),"No")</f>
        <v>No</v>
      </c>
      <c r="V121" s="62" t="str">
        <f>IFERROR(__xludf.DUMMYFUNCTION("QUERY('Volunteer Survey'!O128)"),"Yes")</f>
        <v>Yes</v>
      </c>
      <c r="W121" s="75" t="str">
        <f>IFERROR(__xludf.DUMMYFUNCTION("QUERY('Volunteer Survey'!P128)"),"Mitochondrial or Aminoaciopathy")</f>
        <v>Mitochondrial or Aminoaciopathy</v>
      </c>
      <c r="X121" s="74" t="str">
        <f>IFERROR(__xludf.DUMMYFUNCTION("QUERY('Volunteer Survey'!R128)"),"Yes- I am willing to volunteer with any available ClinGen group")</f>
        <v>Yes- I am willing to volunteer with any available ClinGen group</v>
      </c>
      <c r="Y121" s="61"/>
      <c r="Z121" s="67"/>
      <c r="AA121" s="62"/>
      <c r="AB121" s="62"/>
      <c r="AC121" s="62"/>
      <c r="AD121" s="62"/>
      <c r="AE121" s="62"/>
      <c r="AF121" s="62"/>
      <c r="AG121" s="62"/>
      <c r="AH121" s="62"/>
      <c r="AI121" s="62"/>
      <c r="AJ121" s="62"/>
      <c r="AK121" s="62"/>
      <c r="AL121" s="62"/>
      <c r="AM121" s="62"/>
      <c r="AN121" s="62"/>
      <c r="AO121" s="62"/>
    </row>
    <row r="122">
      <c r="A122" s="59">
        <f>IFERROR(__xludf.DUMMYFUNCTION("QUERY('Volunteer Survey'!A129)"),43525.50388739583)</f>
        <v>43525.50389</v>
      </c>
      <c r="B122" s="60" t="s">
        <v>275</v>
      </c>
      <c r="C122" s="61"/>
      <c r="D122" s="79">
        <v>43608.0</v>
      </c>
      <c r="E122" s="60" t="s">
        <v>277</v>
      </c>
      <c r="F122" s="60" t="s">
        <v>277</v>
      </c>
      <c r="G122" s="60" t="s">
        <v>288</v>
      </c>
      <c r="H122" s="63" t="s">
        <v>173</v>
      </c>
      <c r="I122" s="63" t="s">
        <v>189</v>
      </c>
      <c r="J122" s="79">
        <v>43712.0</v>
      </c>
      <c r="K122" s="79"/>
      <c r="L122" s="62" t="str">
        <f>IFERROR(__xludf.DUMMYFUNCTION("QUERY('Volunteer Survey'!B129)"),"Michael McLachlan")</f>
        <v>Michael McLachlan</v>
      </c>
      <c r="M122" s="62" t="str">
        <f>IFERROR(__xludf.DUMMYFUNCTION("QUERY('Volunteer Survey'!E129)"),"mikejmclachlan@gmail.com")</f>
        <v>mikejmclachlan@gmail.com</v>
      </c>
      <c r="N122" s="62" t="str">
        <f>IFERROR(__xludf.DUMMYFUNCTION("QUERY('Volunteer Survey'!F129)"),"Scientific Researcher")</f>
        <v>Scientific Researcher</v>
      </c>
      <c r="O122" s="60" t="str">
        <f>IFERROR(__xludf.DUMMYFUNCTION("QUERY('Volunteer Survey'!H129)"),"Comprehensive")</f>
        <v>Comprehensive</v>
      </c>
      <c r="P122" s="62" t="str">
        <f>IFERROR(__xludf.DUMMYFUNCTION("QUERY('Volunteer Survey'!I129)"),"Variant Pathogenicity")</f>
        <v>Variant Pathogenicity</v>
      </c>
      <c r="Q122" s="66" t="str">
        <f>IFERROR(__xludf.DUMMYFUNCTION("QUERY('Volunteer Survey'!J129)"),"Gene-Disease Validity")</f>
        <v>Gene-Disease Validity</v>
      </c>
      <c r="R122" s="62" t="str">
        <f>IFERROR(__xludf.DUMMYFUNCTION("QUERY('Volunteer Survey'!K129)"),"Dosage Sensitivity")</f>
        <v>Dosage Sensitivity</v>
      </c>
      <c r="S122" s="62" t="str">
        <f>IFERROR(__xludf.DUMMYFUNCTION("QUERY('Volunteer Survey'!L129)"),"")</f>
        <v/>
      </c>
      <c r="T122" s="62" t="str">
        <f>IFERROR(__xludf.DUMMYFUNCTION("QUERY('Volunteer Survey'!M129)"),"")</f>
        <v/>
      </c>
      <c r="U122" s="74" t="str">
        <f>IFERROR(__xludf.DUMMYFUNCTION("QUERY('Volunteer Survey'!N129)"),"No curation experience but professional experience with genome analysis and disease models")</f>
        <v>No curation experience but professional experience with genome analysis and disease models</v>
      </c>
      <c r="V122" s="62" t="str">
        <f>IFERROR(__xludf.DUMMYFUNCTION("QUERY('Volunteer Survey'!O129)"),"Yes")</f>
        <v>Yes</v>
      </c>
      <c r="W122" s="75" t="str">
        <f>IFERROR(__xludf.DUMMYFUNCTION("QUERY('Volunteer Survey'!P129)"),"")</f>
        <v/>
      </c>
      <c r="X122" s="74" t="str">
        <f>IFERROR(__xludf.DUMMYFUNCTION("QUERY('Volunteer Survey'!R129)"),"Yes- I am willing to volunteer with any available ClinGen group")</f>
        <v>Yes- I am willing to volunteer with any available ClinGen group</v>
      </c>
      <c r="Y122" s="61"/>
      <c r="Z122" s="67"/>
      <c r="AA122" s="62"/>
      <c r="AB122" s="62"/>
      <c r="AC122" s="62"/>
      <c r="AD122" s="62"/>
      <c r="AE122" s="62"/>
      <c r="AF122" s="62"/>
      <c r="AG122" s="62"/>
      <c r="AH122" s="62"/>
      <c r="AI122" s="62"/>
      <c r="AJ122" s="62"/>
      <c r="AK122" s="62"/>
      <c r="AL122" s="62"/>
      <c r="AM122" s="62"/>
      <c r="AN122" s="62"/>
      <c r="AO122" s="62"/>
    </row>
    <row r="123">
      <c r="A123" s="59">
        <f>IFERROR(__xludf.DUMMYFUNCTION("QUERY('Volunteer Survey'!A130)"),43530.32366586806)</f>
        <v>43530.32367</v>
      </c>
      <c r="B123" s="60" t="s">
        <v>274</v>
      </c>
      <c r="C123" s="61"/>
      <c r="D123" s="62"/>
      <c r="E123" s="60" t="s">
        <v>182</v>
      </c>
      <c r="F123" s="60" t="s">
        <v>182</v>
      </c>
      <c r="G123" s="60" t="s">
        <v>278</v>
      </c>
      <c r="H123" s="61"/>
      <c r="I123" s="63" t="s">
        <v>189</v>
      </c>
      <c r="J123" s="62"/>
      <c r="K123" s="62"/>
      <c r="L123" s="62" t="str">
        <f>IFERROR(__xludf.DUMMYFUNCTION("QUERY('Volunteer Survey'!B130)"),"Anand Narayanan")</f>
        <v>Anand Narayanan</v>
      </c>
      <c r="M123" s="62" t="str">
        <f>IFERROR(__xludf.DUMMYFUNCTION("QUERY('Volunteer Survey'!E130)"),"anandnpillai@gmail.com")</f>
        <v>anandnpillai@gmail.com</v>
      </c>
      <c r="N123" s="62" t="str">
        <f>IFERROR(__xludf.DUMMYFUNCTION("QUERY('Volunteer Survey'!F130)"),"Post Doc/Resident/Fellow (MD and/or PhD)")</f>
        <v>Post Doc/Resident/Fellow (MD and/or PhD)</v>
      </c>
      <c r="O123" s="60" t="str">
        <f>IFERROR(__xludf.DUMMYFUNCTION("QUERY('Volunteer Survey'!H130)"),"Comprehensive")</f>
        <v>Comprehensive</v>
      </c>
      <c r="P123" s="62" t="str">
        <f>IFERROR(__xludf.DUMMYFUNCTION("QUERY('Volunteer Survey'!I130)"),"Gene-Disease Validity")</f>
        <v>Gene-Disease Validity</v>
      </c>
      <c r="Q123" s="66" t="str">
        <f>IFERROR(__xludf.DUMMYFUNCTION("QUERY('Volunteer Survey'!J130)"),"Variant Pathogenicity")</f>
        <v>Variant Pathogenicity</v>
      </c>
      <c r="R123" s="62" t="str">
        <f>IFERROR(__xludf.DUMMYFUNCTION("QUERY('Volunteer Survey'!K130)"),"Dosage Sensitivity")</f>
        <v>Dosage Sensitivity</v>
      </c>
      <c r="S123" s="62" t="str">
        <f>IFERROR(__xludf.DUMMYFUNCTION("QUERY('Volunteer Survey'!L130)"),"Clinical Actionability")</f>
        <v>Clinical Actionability</v>
      </c>
      <c r="T123" s="62" t="str">
        <f>IFERROR(__xludf.DUMMYFUNCTION("QUERY('Volunteer Survey'!M130)"),"Somatic Cancer")</f>
        <v>Somatic Cancer</v>
      </c>
      <c r="U123" s="74" t="str">
        <f>IFERROR(__xludf.DUMMYFUNCTION("QUERY('Volunteer Survey'!N130)"),"I have served as a liaison of groups comprising clinicians, genetic counselors, researchers and bioinformatic staff. I am involved in the novel gene discovery and characterization ")</f>
        <v>I have served as a liaison of groups comprising clinicians, genetic counselors, researchers and bioinformatic staff. I am involved in the novel gene discovery and characterization </v>
      </c>
      <c r="V123" s="62" t="str">
        <f>IFERROR(__xludf.DUMMYFUNCTION("QUERY('Volunteer Survey'!O130)"),"Yes")</f>
        <v>Yes</v>
      </c>
      <c r="W123" s="75" t="str">
        <f>IFERROR(__xludf.DUMMYFUNCTION("QUERY('Volunteer Survey'!P130)"),"No")</f>
        <v>No</v>
      </c>
      <c r="X123" s="74" t="str">
        <f>IFERROR(__xludf.DUMMYFUNCTION("QUERY('Volunteer Survey'!R130)"),"Yes- I am willing to volunteer with any available ClinGen group")</f>
        <v>Yes- I am willing to volunteer with any available ClinGen group</v>
      </c>
      <c r="Y123" s="61"/>
      <c r="Z123" s="67"/>
      <c r="AA123" s="62"/>
      <c r="AB123" s="62"/>
      <c r="AC123" s="62"/>
      <c r="AD123" s="62"/>
      <c r="AE123" s="62"/>
      <c r="AF123" s="62"/>
      <c r="AG123" s="62"/>
      <c r="AH123" s="62"/>
      <c r="AI123" s="62"/>
      <c r="AJ123" s="62"/>
      <c r="AK123" s="62"/>
      <c r="AL123" s="62"/>
      <c r="AM123" s="62"/>
      <c r="AN123" s="62"/>
      <c r="AO123" s="62"/>
    </row>
    <row r="124">
      <c r="A124" s="59">
        <f>IFERROR(__xludf.DUMMYFUNCTION("QUERY('Volunteer Survey'!A131)"),43531.57807722222)</f>
        <v>43531.57808</v>
      </c>
      <c r="B124" s="60" t="s">
        <v>275</v>
      </c>
      <c r="C124" s="61"/>
      <c r="D124" s="62"/>
      <c r="E124" s="60" t="s">
        <v>182</v>
      </c>
      <c r="F124" s="60" t="s">
        <v>182</v>
      </c>
      <c r="G124" s="60" t="s">
        <v>276</v>
      </c>
      <c r="H124" s="61"/>
      <c r="I124" s="63" t="s">
        <v>189</v>
      </c>
      <c r="J124" s="62"/>
      <c r="K124" s="62"/>
      <c r="L124" s="62" t="str">
        <f>IFERROR(__xludf.DUMMYFUNCTION("QUERY('Volunteer Survey'!B131)"),"Rebekah Waikel")</f>
        <v>Rebekah Waikel</v>
      </c>
      <c r="M124" s="62" t="str">
        <f>IFERROR(__xludf.DUMMYFUNCTION("QUERY('Volunteer Survey'!E131)"),"rebekah.waikel@uky.edu")</f>
        <v>rebekah.waikel@uky.edu</v>
      </c>
      <c r="N124" s="62" t="str">
        <f>IFERROR(__xludf.DUMMYFUNCTION("QUERY('Volunteer Survey'!F131)"),"Clinical laboratory geneticist")</f>
        <v>Clinical laboratory geneticist</v>
      </c>
      <c r="O124" s="60" t="str">
        <f>IFERROR(__xludf.DUMMYFUNCTION("QUERY('Volunteer Survey'!H131)"),"Baseline")</f>
        <v>Baseline</v>
      </c>
      <c r="P124" s="62" t="str">
        <f>IFERROR(__xludf.DUMMYFUNCTION("QUERY('Volunteer Survey'!I131)"),"")</f>
        <v/>
      </c>
      <c r="Q124" s="66" t="str">
        <f>IFERROR(__xludf.DUMMYFUNCTION("QUERY('Volunteer Survey'!J131)"),"")</f>
        <v/>
      </c>
      <c r="R124" s="62" t="str">
        <f>IFERROR(__xludf.DUMMYFUNCTION("QUERY('Volunteer Survey'!K131)"),"")</f>
        <v/>
      </c>
      <c r="S124" s="62" t="str">
        <f>IFERROR(__xludf.DUMMYFUNCTION("QUERY('Volunteer Survey'!L131)"),"")</f>
        <v/>
      </c>
      <c r="T124" s="62" t="str">
        <f>IFERROR(__xludf.DUMMYFUNCTION("QUERY('Volunteer Survey'!M131)"),"")</f>
        <v/>
      </c>
      <c r="U124" s="74" t="str">
        <f>IFERROR(__xludf.DUMMYFUNCTION("QUERY('Volunteer Survey'!N131)"),"")</f>
        <v/>
      </c>
      <c r="V124" s="62" t="str">
        <f>IFERROR(__xludf.DUMMYFUNCTION("QUERY('Volunteer Survey'!O131)"),"Yes")</f>
        <v>Yes</v>
      </c>
      <c r="W124" s="75" t="str">
        <f>IFERROR(__xludf.DUMMYFUNCTION("QUERY('Volunteer Survey'!P131)"),"Inherited cardiopathy")</f>
        <v>Inherited cardiopathy</v>
      </c>
      <c r="X124" s="74" t="str">
        <f>IFERROR(__xludf.DUMMYFUNCTION("QUERY('Volunteer Survey'!R131)"),"Maybe -- please contact me with other options, and I will decide based on what is available")</f>
        <v>Maybe -- please contact me with other options, and I will decide based on what is available</v>
      </c>
      <c r="Y124" s="61"/>
      <c r="Z124" s="67"/>
      <c r="AA124" s="62"/>
      <c r="AB124" s="62"/>
      <c r="AC124" s="62"/>
      <c r="AD124" s="62"/>
      <c r="AE124" s="62"/>
      <c r="AF124" s="62"/>
      <c r="AG124" s="62"/>
      <c r="AH124" s="62"/>
      <c r="AI124" s="62"/>
      <c r="AJ124" s="62"/>
      <c r="AK124" s="62"/>
      <c r="AL124" s="62"/>
      <c r="AM124" s="62"/>
      <c r="AN124" s="62"/>
      <c r="AO124" s="62"/>
    </row>
    <row r="125">
      <c r="A125" s="59">
        <f>IFERROR(__xludf.DUMMYFUNCTION("QUERY('Volunteer Survey'!A132)"),43531.608363842584)</f>
        <v>43531.60836</v>
      </c>
      <c r="B125" s="60" t="s">
        <v>275</v>
      </c>
      <c r="C125" s="61"/>
      <c r="D125" s="82">
        <v>43585.0</v>
      </c>
      <c r="E125" s="60" t="s">
        <v>277</v>
      </c>
      <c r="F125" s="60" t="s">
        <v>277</v>
      </c>
      <c r="G125" s="60" t="s">
        <v>278</v>
      </c>
      <c r="H125" s="61"/>
      <c r="I125" s="63" t="s">
        <v>189</v>
      </c>
      <c r="J125" s="79">
        <v>43712.0</v>
      </c>
      <c r="K125" s="79"/>
      <c r="L125" s="62" t="str">
        <f>IFERROR(__xludf.DUMMYFUNCTION("QUERY('Volunteer Survey'!B132)"),"Urjit Patel")</f>
        <v>Urjit Patel</v>
      </c>
      <c r="M125" s="62" t="str">
        <f>IFERROR(__xludf.DUMMYFUNCTION("QUERY('Volunteer Survey'!E132)"),"urjit.x.patel@questdiagnostics.com")</f>
        <v>urjit.x.patel@questdiagnostics.com</v>
      </c>
      <c r="N125" s="62" t="str">
        <f>IFERROR(__xludf.DUMMYFUNCTION("QUERY('Volunteer Survey'!F132)"),"Variant Analyst/Scientist - Industry")</f>
        <v>Variant Analyst/Scientist - Industry</v>
      </c>
      <c r="O125" s="60" t="str">
        <f>IFERROR(__xludf.DUMMYFUNCTION("QUERY('Volunteer Survey'!H132)"),"Comprehensive")</f>
        <v>Comprehensive</v>
      </c>
      <c r="P125" s="62" t="str">
        <f>IFERROR(__xludf.DUMMYFUNCTION("QUERY('Volunteer Survey'!I132)"),"Gene-Disease Validity")</f>
        <v>Gene-Disease Validity</v>
      </c>
      <c r="Q125" s="66" t="str">
        <f>IFERROR(__xludf.DUMMYFUNCTION("QUERY('Volunteer Survey'!J132)"),"Dosage Sensitivity")</f>
        <v>Dosage Sensitivity</v>
      </c>
      <c r="R125" s="62" t="str">
        <f>IFERROR(__xludf.DUMMYFUNCTION("QUERY('Volunteer Survey'!K132)"),"Variant Pathogenicity")</f>
        <v>Variant Pathogenicity</v>
      </c>
      <c r="S125" s="62" t="str">
        <f>IFERROR(__xludf.DUMMYFUNCTION("QUERY('Volunteer Survey'!L132)"),"")</f>
        <v/>
      </c>
      <c r="T125" s="62" t="str">
        <f>IFERROR(__xludf.DUMMYFUNCTION("QUERY('Volunteer Survey'!M132)"),"")</f>
        <v/>
      </c>
      <c r="U125" s="74" t="str">
        <f>IFERROR(__xludf.DUMMYFUNCTION("QUERY('Volunteer Survey'!N132)"),"")</f>
        <v/>
      </c>
      <c r="V125" s="62" t="str">
        <f>IFERROR(__xludf.DUMMYFUNCTION("QUERY('Volunteer Survey'!O132)"),"Possibly")</f>
        <v>Possibly</v>
      </c>
      <c r="W125" s="75" t="str">
        <f>IFERROR(__xludf.DUMMYFUNCTION("QUERY('Volunteer Survey'!P132)"),"")</f>
        <v/>
      </c>
      <c r="X125" s="74" t="str">
        <f>IFERROR(__xludf.DUMMYFUNCTION("QUERY('Volunteer Survey'!R132)"),"Maybe -- please contact me with other options, and I will decide based on what is available")</f>
        <v>Maybe -- please contact me with other options, and I will decide based on what is available</v>
      </c>
      <c r="Y125" s="61"/>
      <c r="Z125" s="67"/>
      <c r="AA125" s="62"/>
      <c r="AB125" s="62"/>
      <c r="AC125" s="62"/>
      <c r="AD125" s="62"/>
      <c r="AE125" s="62"/>
      <c r="AF125" s="62"/>
      <c r="AG125" s="62"/>
      <c r="AH125" s="62"/>
      <c r="AI125" s="62"/>
      <c r="AJ125" s="62"/>
      <c r="AK125" s="62"/>
      <c r="AL125" s="62"/>
      <c r="AM125" s="62"/>
      <c r="AN125" s="62"/>
      <c r="AO125" s="62"/>
    </row>
    <row r="126">
      <c r="A126" s="59">
        <f>IFERROR(__xludf.DUMMYFUNCTION("QUERY('Volunteer Survey'!A133)"),43531.6175765162)</f>
        <v>43531.61758</v>
      </c>
      <c r="B126" s="60" t="s">
        <v>274</v>
      </c>
      <c r="C126" s="61"/>
      <c r="D126" s="85">
        <v>43567.0</v>
      </c>
      <c r="E126" s="60" t="s">
        <v>277</v>
      </c>
      <c r="F126" s="60" t="s">
        <v>277</v>
      </c>
      <c r="G126" s="60" t="s">
        <v>27</v>
      </c>
      <c r="H126" s="76" t="s">
        <v>27</v>
      </c>
      <c r="I126" s="76" t="s">
        <v>189</v>
      </c>
      <c r="J126" s="79">
        <v>43712.0</v>
      </c>
      <c r="K126" s="79"/>
      <c r="L126" s="62" t="str">
        <f>IFERROR(__xludf.DUMMYFUNCTION("QUERY('Volunteer Survey'!B133)"),"Lesley Northrop")</f>
        <v>Lesley Northrop</v>
      </c>
      <c r="M126" s="62" t="str">
        <f>IFERROR(__xludf.DUMMYFUNCTION("QUERY('Volunteer Survey'!E133)"),"lesleyenorthrop@gmail.com")</f>
        <v>lesleyenorthrop@gmail.com</v>
      </c>
      <c r="N126" s="62" t="str">
        <f>IFERROR(__xludf.DUMMYFUNCTION("QUERY('Volunteer Survey'!F133)"),"Clinical laboratory geneticist")</f>
        <v>Clinical laboratory geneticist</v>
      </c>
      <c r="O126" s="60" t="str">
        <f>IFERROR(__xludf.DUMMYFUNCTION("QUERY('Volunteer Survey'!H133)"),"Comprehensive")</f>
        <v>Comprehensive</v>
      </c>
      <c r="P126" s="62" t="str">
        <f>IFERROR(__xludf.DUMMYFUNCTION("QUERY('Volunteer Survey'!I133)"),"Clinical Actionability")</f>
        <v>Clinical Actionability</v>
      </c>
      <c r="Q126" s="66" t="str">
        <f>IFERROR(__xludf.DUMMYFUNCTION("QUERY('Volunteer Survey'!J133)"),"Gene-Disease Validity")</f>
        <v>Gene-Disease Validity</v>
      </c>
      <c r="R126" s="62" t="str">
        <f>IFERROR(__xludf.DUMMYFUNCTION("QUERY('Volunteer Survey'!K133)"),"Variant Pathogenicity")</f>
        <v>Variant Pathogenicity</v>
      </c>
      <c r="S126" s="62" t="str">
        <f>IFERROR(__xludf.DUMMYFUNCTION("QUERY('Volunteer Survey'!L133)"),"Dosage Sensitivity")</f>
        <v>Dosage Sensitivity</v>
      </c>
      <c r="T126" s="62" t="str">
        <f>IFERROR(__xludf.DUMMYFUNCTION("QUERY('Volunteer Survey'!M133)"),"Somatic Cancer")</f>
        <v>Somatic Cancer</v>
      </c>
      <c r="U126" s="74" t="str">
        <f>IFERROR(__xludf.DUMMYFUNCTION("QUERY('Volunteer Survey'!N133)"),"within my own institution designing a panel following ClinGen guidelines")</f>
        <v>within my own institution designing a panel following ClinGen guidelines</v>
      </c>
      <c r="V126" s="62" t="str">
        <f>IFERROR(__xludf.DUMMYFUNCTION("QUERY('Volunteer Survey'!O133)"),"Yes")</f>
        <v>Yes</v>
      </c>
      <c r="W126" s="75" t="str">
        <f>IFERROR(__xludf.DUMMYFUNCTION("QUERY('Volunteer Survey'!P133)"),"Gene Curation - Epilepsy or Autism &amp; ID")</f>
        <v>Gene Curation - Epilepsy or Autism &amp; ID</v>
      </c>
      <c r="X126" s="74" t="str">
        <f>IFERROR(__xludf.DUMMYFUNCTION("QUERY('Volunteer Survey'!R133)"),"Yes- I am willing to volunteer with any available ClinGen group")</f>
        <v>Yes- I am willing to volunteer with any available ClinGen group</v>
      </c>
      <c r="Y126" s="61"/>
      <c r="Z126" s="67"/>
      <c r="AA126" s="62"/>
      <c r="AB126" s="62"/>
      <c r="AC126" s="62"/>
      <c r="AD126" s="62"/>
      <c r="AE126" s="62"/>
      <c r="AF126" s="62"/>
      <c r="AG126" s="62"/>
      <c r="AH126" s="62"/>
      <c r="AI126" s="62"/>
      <c r="AJ126" s="62"/>
      <c r="AK126" s="62"/>
      <c r="AL126" s="62"/>
      <c r="AM126" s="62"/>
      <c r="AN126" s="62"/>
      <c r="AO126" s="62"/>
    </row>
    <row r="127" ht="18.0" customHeight="1">
      <c r="A127" s="59">
        <f>IFERROR(__xludf.DUMMYFUNCTION("QUERY('Volunteer Survey'!A134)"),43535.006761145836)</f>
        <v>43535.00676</v>
      </c>
      <c r="B127" s="60" t="s">
        <v>274</v>
      </c>
      <c r="C127" s="61"/>
      <c r="D127" s="62"/>
      <c r="E127" s="60" t="s">
        <v>182</v>
      </c>
      <c r="F127" s="60" t="s">
        <v>182</v>
      </c>
      <c r="G127" s="60" t="s">
        <v>283</v>
      </c>
      <c r="H127" s="61"/>
      <c r="I127" s="63" t="s">
        <v>189</v>
      </c>
      <c r="J127" s="62"/>
      <c r="K127" s="62"/>
      <c r="L127" s="62" t="str">
        <f>IFERROR(__xludf.DUMMYFUNCTION("QUERY('Volunteer Survey'!B134)"),"Hafsa Amtul")</f>
        <v>Hafsa Amtul</v>
      </c>
      <c r="M127" s="62" t="str">
        <f>IFERROR(__xludf.DUMMYFUNCTION("QUERY('Volunteer Survey'!E134)"),"hafsa.amtul2502@gmail.com")</f>
        <v>hafsa.amtul2502@gmail.com</v>
      </c>
      <c r="N127" s="62" t="str">
        <f>IFERROR(__xludf.DUMMYFUNCTION("QUERY('Volunteer Survey'!F134)"),"Scientific Researcher")</f>
        <v>Scientific Researcher</v>
      </c>
      <c r="O127" s="60" t="str">
        <f>IFERROR(__xludf.DUMMYFUNCTION("QUERY('Volunteer Survey'!H134)"),"Comprehensive")</f>
        <v>Comprehensive</v>
      </c>
      <c r="P127" s="62" t="str">
        <f>IFERROR(__xludf.DUMMYFUNCTION("QUERY('Volunteer Survey'!I134)"),"Dosage Sensitivity")</f>
        <v>Dosage Sensitivity</v>
      </c>
      <c r="Q127" s="66" t="str">
        <f>IFERROR(__xludf.DUMMYFUNCTION("QUERY('Volunteer Survey'!J134)"),"Clinical Actionability")</f>
        <v>Clinical Actionability</v>
      </c>
      <c r="R127" s="62" t="str">
        <f>IFERROR(__xludf.DUMMYFUNCTION("QUERY('Volunteer Survey'!K134)"),"Gene-Disease Validity")</f>
        <v>Gene-Disease Validity</v>
      </c>
      <c r="S127" s="62" t="str">
        <f>IFERROR(__xludf.DUMMYFUNCTION("QUERY('Volunteer Survey'!L134)"),"Somatic Cancer")</f>
        <v>Somatic Cancer</v>
      </c>
      <c r="T127" s="62" t="str">
        <f>IFERROR(__xludf.DUMMYFUNCTION("QUERY('Volunteer Survey'!M134)"),"Variant Pathogenicity")</f>
        <v>Variant Pathogenicity</v>
      </c>
      <c r="U127" s="74" t="str">
        <f>IFERROR(__xludf.DUMMYFUNCTION("QUERY('Volunteer Survey'!N134)"),"drug toxicity associated with tpmt genetic variants *1, *2, *3A, *3B")</f>
        <v>drug toxicity associated with tpmt genetic variants *1, *2, *3A, *3B</v>
      </c>
      <c r="V127" s="62" t="str">
        <f>IFERROR(__xludf.DUMMYFUNCTION("QUERY('Volunteer Survey'!O134)"),"Yes")</f>
        <v>Yes</v>
      </c>
      <c r="W127" s="75" t="str">
        <f>IFERROR(__xludf.DUMMYFUNCTION("QUERY('Volunteer Survey'!P134)"),"Dosage- Neurodevelopemental, Pediatric, Nonsmall cell lung cancer, 
Somatic TP53 ")</f>
        <v>Dosage- Neurodevelopemental, Pediatric, Nonsmall cell lung cancer, 
Somatic TP53 </v>
      </c>
      <c r="X127" s="74" t="str">
        <f>IFERROR(__xludf.DUMMYFUNCTION("QUERY('Volunteer Survey'!R134)"),"Maybe -- please contact me with other options, and I will decide based on what is available")</f>
        <v>Maybe -- please contact me with other options, and I will decide based on what is available</v>
      </c>
      <c r="Y127" s="61"/>
      <c r="Z127" s="67"/>
      <c r="AA127" s="62"/>
      <c r="AB127" s="62"/>
      <c r="AC127" s="62"/>
      <c r="AD127" s="62"/>
      <c r="AE127" s="62"/>
      <c r="AF127" s="62"/>
      <c r="AG127" s="62"/>
      <c r="AH127" s="62"/>
      <c r="AI127" s="62"/>
      <c r="AJ127" s="62"/>
      <c r="AK127" s="62"/>
      <c r="AL127" s="62"/>
      <c r="AM127" s="62"/>
      <c r="AN127" s="62"/>
      <c r="AO127" s="62"/>
    </row>
    <row r="128">
      <c r="A128" s="59">
        <f>IFERROR(__xludf.DUMMYFUNCTION("QUERY('Volunteer Survey'!A135)"),43537.38783907407)</f>
        <v>43537.38784</v>
      </c>
      <c r="B128" s="60" t="s">
        <v>275</v>
      </c>
      <c r="C128" s="61"/>
      <c r="D128" s="62"/>
      <c r="E128" s="60" t="s">
        <v>182</v>
      </c>
      <c r="F128" s="60" t="s">
        <v>182</v>
      </c>
      <c r="G128" s="60" t="s">
        <v>276</v>
      </c>
      <c r="H128" s="61"/>
      <c r="I128" s="63" t="s">
        <v>189</v>
      </c>
      <c r="J128" s="62"/>
      <c r="K128" s="62"/>
      <c r="L128" s="62" t="str">
        <f>IFERROR(__xludf.DUMMYFUNCTION("QUERY('Volunteer Survey'!B135)"),"Manya Warrier")</f>
        <v>Manya Warrier</v>
      </c>
      <c r="M128" s="62" t="str">
        <f>IFERROR(__xludf.DUMMYFUNCTION("QUERY('Volunteer Survey'!E135)"),"manyawarrier@gmail.com")</f>
        <v>manyawarrier@gmail.com</v>
      </c>
      <c r="N128" s="62" t="str">
        <f>IFERROR(__xludf.DUMMYFUNCTION("QUERY('Volunteer Survey'!F135)"),"Variant Analyst/Scientist - Industry")</f>
        <v>Variant Analyst/Scientist - Industry</v>
      </c>
      <c r="O128" s="60" t="str">
        <f>IFERROR(__xludf.DUMMYFUNCTION("QUERY('Volunteer Survey'!H135)"),"Baseline")</f>
        <v>Baseline</v>
      </c>
      <c r="P128" s="62" t="str">
        <f>IFERROR(__xludf.DUMMYFUNCTION("QUERY('Volunteer Survey'!I135)"),"")</f>
        <v/>
      </c>
      <c r="Q128" s="66" t="str">
        <f>IFERROR(__xludf.DUMMYFUNCTION("QUERY('Volunteer Survey'!J135)"),"")</f>
        <v/>
      </c>
      <c r="R128" s="62" t="str">
        <f>IFERROR(__xludf.DUMMYFUNCTION("QUERY('Volunteer Survey'!K135)"),"")</f>
        <v/>
      </c>
      <c r="S128" s="62" t="str">
        <f>IFERROR(__xludf.DUMMYFUNCTION("QUERY('Volunteer Survey'!L135)"),"")</f>
        <v/>
      </c>
      <c r="T128" s="62" t="str">
        <f>IFERROR(__xludf.DUMMYFUNCTION("QUERY('Volunteer Survey'!M135)"),"")</f>
        <v/>
      </c>
      <c r="U128" s="74" t="str">
        <f>IFERROR(__xludf.DUMMYFUNCTION("QUERY('Volunteer Survey'!N135)"),"")</f>
        <v/>
      </c>
      <c r="V128" s="62" t="str">
        <f>IFERROR(__xludf.DUMMYFUNCTION("QUERY('Volunteer Survey'!O135)"),"Possibly")</f>
        <v>Possibly</v>
      </c>
      <c r="W128" s="75" t="str">
        <f>IFERROR(__xludf.DUMMYFUNCTION("QUERY('Volunteer Survey'!P135)"),"")</f>
        <v/>
      </c>
      <c r="X128" s="74" t="str">
        <f>IFERROR(__xludf.DUMMYFUNCTION("QUERY('Volunteer Survey'!R135)"),"Yes- I am willing to volunteer with any available ClinGen group")</f>
        <v>Yes- I am willing to volunteer with any available ClinGen group</v>
      </c>
      <c r="Y128" s="61"/>
      <c r="Z128" s="67"/>
      <c r="AA128" s="62"/>
      <c r="AB128" s="62"/>
      <c r="AC128" s="62"/>
      <c r="AD128" s="62"/>
      <c r="AE128" s="62"/>
      <c r="AF128" s="62"/>
      <c r="AG128" s="62"/>
      <c r="AH128" s="62"/>
      <c r="AI128" s="62"/>
      <c r="AJ128" s="62"/>
      <c r="AK128" s="62"/>
      <c r="AL128" s="62"/>
      <c r="AM128" s="62"/>
      <c r="AN128" s="62"/>
      <c r="AO128" s="62"/>
    </row>
    <row r="129">
      <c r="A129" s="59">
        <f>IFERROR(__xludf.DUMMYFUNCTION("QUERY('Volunteer Survey'!A136)"),43542.63785333333)</f>
        <v>43542.63785</v>
      </c>
      <c r="B129" s="60" t="s">
        <v>275</v>
      </c>
      <c r="C129" s="61"/>
      <c r="D129" s="78">
        <v>43570.0</v>
      </c>
      <c r="E129" s="60" t="s">
        <v>277</v>
      </c>
      <c r="F129" s="60" t="s">
        <v>277</v>
      </c>
      <c r="G129" s="60" t="s">
        <v>278</v>
      </c>
      <c r="H129" s="63" t="s">
        <v>107</v>
      </c>
      <c r="I129" s="63" t="s">
        <v>189</v>
      </c>
      <c r="J129" s="79">
        <v>43712.0</v>
      </c>
      <c r="K129" s="79"/>
      <c r="L129" s="62" t="str">
        <f>IFERROR(__xludf.DUMMYFUNCTION("QUERY('Volunteer Survey'!B136)"),"Angela Pickart")</f>
        <v>Angela Pickart</v>
      </c>
      <c r="M129" s="62" t="str">
        <f>IFERROR(__xludf.DUMMYFUNCTION("QUERY('Volunteer Survey'!E136)"),"pickart.angela@mayo.edu")</f>
        <v>pickart.angela@mayo.edu</v>
      </c>
      <c r="N129" s="62" t="str">
        <f>IFERROR(__xludf.DUMMYFUNCTION("QUERY('Volunteer Survey'!F136)"),"Genetic counselor")</f>
        <v>Genetic counselor</v>
      </c>
      <c r="O129" s="60" t="str">
        <f>IFERROR(__xludf.DUMMYFUNCTION("QUERY('Volunteer Survey'!H136)"),"Comprehensive")</f>
        <v>Comprehensive</v>
      </c>
      <c r="P129" s="62" t="str">
        <f>IFERROR(__xludf.DUMMYFUNCTION("QUERY('Volunteer Survey'!I136)"),"Gene-Disease Validity")</f>
        <v>Gene-Disease Validity</v>
      </c>
      <c r="Q129" s="66" t="str">
        <f>IFERROR(__xludf.DUMMYFUNCTION("QUERY('Volunteer Survey'!J136)"),"Variant Pathogenicity")</f>
        <v>Variant Pathogenicity</v>
      </c>
      <c r="R129" s="62" t="str">
        <f>IFERROR(__xludf.DUMMYFUNCTION("QUERY('Volunteer Survey'!K136)"),"")</f>
        <v/>
      </c>
      <c r="S129" s="62" t="str">
        <f>IFERROR(__xludf.DUMMYFUNCTION("QUERY('Volunteer Survey'!L136)"),"")</f>
        <v/>
      </c>
      <c r="T129" s="62" t="str">
        <f>IFERROR(__xludf.DUMMYFUNCTION("QUERY('Volunteer Survey'!M136)"),"")</f>
        <v/>
      </c>
      <c r="U129" s="74" t="str">
        <f>IFERROR(__xludf.DUMMYFUNCTION("QUERY('Volunteer Survey'!N136)"),"I work for a clinical laboratory and both assess gene-disease validity and provide variant annotation for a variety of molecular tests, including large epilepsy panels")</f>
        <v>I work for a clinical laboratory and both assess gene-disease validity and provide variant annotation for a variety of molecular tests, including large epilepsy panels</v>
      </c>
      <c r="V129" s="62" t="str">
        <f>IFERROR(__xludf.DUMMYFUNCTION("QUERY('Volunteer Survey'!O136)"),"Possibly")</f>
        <v>Possibly</v>
      </c>
      <c r="W129" s="75" t="str">
        <f>IFERROR(__xludf.DUMMYFUNCTION("QUERY('Volunteer Survey'!P136)"),"Epilepsy")</f>
        <v>Epilepsy</v>
      </c>
      <c r="X129" s="74" t="str">
        <f>IFERROR(__xludf.DUMMYFUNCTION("QUERY('Volunteer Survey'!R136)"),"Maybe -- please contact me with other options, and I will decide based on what is available")</f>
        <v>Maybe -- please contact me with other options, and I will decide based on what is available</v>
      </c>
      <c r="Y129" s="61"/>
      <c r="Z129" s="67"/>
      <c r="AA129" s="62"/>
      <c r="AB129" s="62"/>
      <c r="AC129" s="62"/>
      <c r="AD129" s="62"/>
      <c r="AE129" s="62"/>
      <c r="AF129" s="62"/>
      <c r="AG129" s="62"/>
      <c r="AH129" s="62"/>
      <c r="AI129" s="62"/>
      <c r="AJ129" s="62"/>
      <c r="AK129" s="62"/>
      <c r="AL129" s="62"/>
      <c r="AM129" s="62"/>
      <c r="AN129" s="62"/>
      <c r="AO129" s="62"/>
    </row>
    <row r="130">
      <c r="A130" s="59">
        <f>IFERROR(__xludf.DUMMYFUNCTION("QUERY('Volunteer Survey'!A137)"),43543.44051402778)</f>
        <v>43543.44051</v>
      </c>
      <c r="B130" s="60" t="s">
        <v>282</v>
      </c>
      <c r="C130" s="61"/>
      <c r="D130" s="82">
        <v>43605.0</v>
      </c>
      <c r="E130" s="60" t="s">
        <v>277</v>
      </c>
      <c r="F130" s="60" t="s">
        <v>277</v>
      </c>
      <c r="G130" s="60" t="s">
        <v>288</v>
      </c>
      <c r="H130" s="63" t="s">
        <v>309</v>
      </c>
      <c r="I130" s="63" t="s">
        <v>189</v>
      </c>
      <c r="J130" s="79">
        <v>43712.0</v>
      </c>
      <c r="K130" s="79"/>
      <c r="L130" s="62" t="str">
        <f>IFERROR(__xludf.DUMMYFUNCTION("QUERY('Volunteer Survey'!B137)"),"Jing Xie")</f>
        <v>Jing Xie</v>
      </c>
      <c r="M130" s="62" t="str">
        <f>IFERROR(__xludf.DUMMYFUNCTION("QUERY('Volunteer Survey'!E137)"),"jingxiegene@gmail.com")</f>
        <v>jingxiegene@gmail.com</v>
      </c>
      <c r="N130" s="62" t="str">
        <f>IFERROR(__xludf.DUMMYFUNCTION("QUERY('Volunteer Survey'!F137)"),"Clinical laboratory geneticist")</f>
        <v>Clinical laboratory geneticist</v>
      </c>
      <c r="O130" s="60" t="str">
        <f>IFERROR(__xludf.DUMMYFUNCTION("QUERY('Volunteer Survey'!H137)"),"Comprehensive")</f>
        <v>Comprehensive</v>
      </c>
      <c r="P130" s="62" t="str">
        <f>IFERROR(__xludf.DUMMYFUNCTION("QUERY('Volunteer Survey'!I137)"),"Variant Pathogenicity")</f>
        <v>Variant Pathogenicity</v>
      </c>
      <c r="Q130" s="66" t="str">
        <f>IFERROR(__xludf.DUMMYFUNCTION("QUERY('Volunteer Survey'!J137)"),"Gene-Disease Validity")</f>
        <v>Gene-Disease Validity</v>
      </c>
      <c r="R130" s="62" t="str">
        <f>IFERROR(__xludf.DUMMYFUNCTION("QUERY('Volunteer Survey'!K137)"),"Clinical Actionability")</f>
        <v>Clinical Actionability</v>
      </c>
      <c r="S130" s="62" t="str">
        <f>IFERROR(__xludf.DUMMYFUNCTION("QUERY('Volunteer Survey'!L137)"),"Dosage Sensitivity")</f>
        <v>Dosage Sensitivity</v>
      </c>
      <c r="T130" s="62" t="str">
        <f>IFERROR(__xludf.DUMMYFUNCTION("QUERY('Volunteer Survey'!M137)"),"Somatic Cancer")</f>
        <v>Somatic Cancer</v>
      </c>
      <c r="U130" s="74" t="str">
        <f>IFERROR(__xludf.DUMMYFUNCTION("QUERY('Volunteer Survey'!N137)"),"Yes, as a clinical laboratory director, I have been heavily involved in variant pathogenicity evaluation myself and variant analyst training. Meanwhile, I also worked on gene-disease curation periodically for our interpretation pipeline. ")</f>
        <v>Yes, as a clinical laboratory director, I have been heavily involved in variant pathogenicity evaluation myself and variant analyst training. Meanwhile, I also worked on gene-disease curation periodically for our interpretation pipeline. </v>
      </c>
      <c r="V130" s="62" t="str">
        <f>IFERROR(__xludf.DUMMYFUNCTION("QUERY('Volunteer Survey'!O137)"),"Yes")</f>
        <v>Yes</v>
      </c>
      <c r="W130" s="75" t="str">
        <f>IFERROR(__xludf.DUMMYFUNCTION("QUERY('Volunteer Survey'!P137)"),"Gene Curation Panel: Hereditary Cancer; Storage Diseases. Variant Curation Panel: Breast/Ovarian Cancer; Colorectal Cancer; Fatty Acid Oxidation; Cerebral Creatine Deficiency Syndrome")</f>
        <v>Gene Curation Panel: Hereditary Cancer; Storage Diseases. Variant Curation Panel: Breast/Ovarian Cancer; Colorectal Cancer; Fatty Acid Oxidation; Cerebral Creatine Deficiency Syndrome</v>
      </c>
      <c r="X130" s="74" t="str">
        <f>IFERROR(__xludf.DUMMYFUNCTION("QUERY('Volunteer Survey'!R137)"),"Yes- I am willing to volunteer with any available ClinGen group")</f>
        <v>Yes- I am willing to volunteer with any available ClinGen group</v>
      </c>
      <c r="Y130" s="63" t="s">
        <v>325</v>
      </c>
      <c r="Z130" s="67"/>
      <c r="AA130" s="62"/>
      <c r="AB130" s="62"/>
      <c r="AC130" s="62"/>
      <c r="AD130" s="62"/>
      <c r="AE130" s="62"/>
      <c r="AF130" s="62"/>
      <c r="AG130" s="62"/>
      <c r="AH130" s="62"/>
      <c r="AI130" s="62"/>
      <c r="AJ130" s="62"/>
      <c r="AK130" s="62"/>
      <c r="AL130" s="62"/>
      <c r="AM130" s="62"/>
      <c r="AN130" s="62"/>
      <c r="AO130" s="62"/>
    </row>
    <row r="131">
      <c r="A131" s="59">
        <f>IFERROR(__xludf.DUMMYFUNCTION("QUERY('Volunteer Survey'!A138)"),43549.5145897801)</f>
        <v>43549.51459</v>
      </c>
      <c r="B131" s="60" t="s">
        <v>275</v>
      </c>
      <c r="C131" s="61"/>
      <c r="D131" s="62"/>
      <c r="E131" s="60" t="s">
        <v>182</v>
      </c>
      <c r="F131" s="60" t="s">
        <v>182</v>
      </c>
      <c r="G131" s="60" t="s">
        <v>276</v>
      </c>
      <c r="H131" s="61"/>
      <c r="I131" s="63" t="s">
        <v>189</v>
      </c>
      <c r="J131" s="62"/>
      <c r="K131" s="62"/>
      <c r="L131" s="62" t="str">
        <f>IFERROR(__xludf.DUMMYFUNCTION("QUERY('Volunteer Survey'!B138)"),"Jianli Dong")</f>
        <v>Jianli Dong</v>
      </c>
      <c r="M131" s="62" t="str">
        <f>IFERROR(__xludf.DUMMYFUNCTION("QUERY('Volunteer Survey'!E138)"),"jidong@utmb.edu")</f>
        <v>jidong@utmb.edu</v>
      </c>
      <c r="N131" s="62" t="str">
        <f>IFERROR(__xludf.DUMMYFUNCTION("QUERY('Volunteer Survey'!F138)"),"Clinical laboratory geneticist")</f>
        <v>Clinical laboratory geneticist</v>
      </c>
      <c r="O131" s="60" t="str">
        <f>IFERROR(__xludf.DUMMYFUNCTION("QUERY('Volunteer Survey'!H138)"),"Baseline")</f>
        <v>Baseline</v>
      </c>
      <c r="P131" s="62" t="str">
        <f>IFERROR(__xludf.DUMMYFUNCTION("QUERY('Volunteer Survey'!I138)"),"")</f>
        <v/>
      </c>
      <c r="Q131" s="66" t="str">
        <f>IFERROR(__xludf.DUMMYFUNCTION("QUERY('Volunteer Survey'!J138)"),"")</f>
        <v/>
      </c>
      <c r="R131" s="62" t="str">
        <f>IFERROR(__xludf.DUMMYFUNCTION("QUERY('Volunteer Survey'!K138)"),"")</f>
        <v/>
      </c>
      <c r="S131" s="62" t="str">
        <f>IFERROR(__xludf.DUMMYFUNCTION("QUERY('Volunteer Survey'!L138)"),"")</f>
        <v/>
      </c>
      <c r="T131" s="62" t="str">
        <f>IFERROR(__xludf.DUMMYFUNCTION("QUERY('Volunteer Survey'!M138)"),"")</f>
        <v/>
      </c>
      <c r="U131" s="74" t="str">
        <f>IFERROR(__xludf.DUMMYFUNCTION("QUERY('Volunteer Survey'!N138)"),"")</f>
        <v/>
      </c>
      <c r="V131" s="62" t="str">
        <f>IFERROR(__xludf.DUMMYFUNCTION("QUERY('Volunteer Survey'!O138)"),"No")</f>
        <v>No</v>
      </c>
      <c r="W131" s="75" t="str">
        <f>IFERROR(__xludf.DUMMYFUNCTION("QUERY('Volunteer Survey'!P138)"),"Breast/Ovarian Cancer (newly forming), Dosage- Hereditary Cancer (newly forming)*, Colorectal Cancer (newly forming), Somatic Cancer")</f>
        <v>Breast/Ovarian Cancer (newly forming), Dosage- Hereditary Cancer (newly forming)*, Colorectal Cancer (newly forming), Somatic Cancer</v>
      </c>
      <c r="X131" s="74" t="str">
        <f>IFERROR(__xludf.DUMMYFUNCTION("QUERY('Volunteer Survey'!R138)"),"Maybe -- please contact me with other options, and I will decide based on what is available")</f>
        <v>Maybe -- please contact me with other options, and I will decide based on what is available</v>
      </c>
      <c r="Y131" s="61"/>
      <c r="Z131" s="67"/>
      <c r="AA131" s="62"/>
      <c r="AB131" s="62"/>
      <c r="AC131" s="62"/>
      <c r="AD131" s="62"/>
      <c r="AE131" s="62"/>
      <c r="AF131" s="62"/>
      <c r="AG131" s="62"/>
      <c r="AH131" s="62"/>
      <c r="AI131" s="62"/>
      <c r="AJ131" s="62"/>
      <c r="AK131" s="62"/>
      <c r="AL131" s="62"/>
      <c r="AM131" s="62"/>
      <c r="AN131" s="62"/>
      <c r="AO131" s="62"/>
    </row>
    <row r="132">
      <c r="A132" s="59">
        <f>IFERROR(__xludf.DUMMYFUNCTION("QUERY('Volunteer Survey'!A139)"),43549.53046127314)</f>
        <v>43549.53046</v>
      </c>
      <c r="B132" s="60" t="s">
        <v>275</v>
      </c>
      <c r="C132" s="61"/>
      <c r="D132" s="82">
        <v>43605.0</v>
      </c>
      <c r="E132" s="60" t="s">
        <v>277</v>
      </c>
      <c r="F132" s="60" t="s">
        <v>277</v>
      </c>
      <c r="G132" s="60" t="s">
        <v>288</v>
      </c>
      <c r="H132" s="63" t="s">
        <v>144</v>
      </c>
      <c r="I132" s="63" t="s">
        <v>189</v>
      </c>
      <c r="J132" s="79">
        <v>43712.0</v>
      </c>
      <c r="K132" s="79"/>
      <c r="L132" s="62" t="str">
        <f>IFERROR(__xludf.DUMMYFUNCTION("QUERY('Volunteer Survey'!B139)"),"Kathryn Kronquist")</f>
        <v>Kathryn Kronquist</v>
      </c>
      <c r="M132" s="62" t="str">
        <f>IFERROR(__xludf.DUMMYFUNCTION("QUERY('Volunteer Survey'!E139)"),"Kathryn.Kronquist@childrenscolorado.org")</f>
        <v>Kathryn.Kronquist@childrenscolorado.org</v>
      </c>
      <c r="N132" s="62" t="str">
        <f>IFERROR(__xludf.DUMMYFUNCTION("QUERY('Volunteer Survey'!F139)"),"Clinical laboratory geneticist")</f>
        <v>Clinical laboratory geneticist</v>
      </c>
      <c r="O132" s="60" t="str">
        <f>IFERROR(__xludf.DUMMYFUNCTION("QUERY('Volunteer Survey'!H139)"),"Comprehensive")</f>
        <v>Comprehensive</v>
      </c>
      <c r="P132" s="62" t="str">
        <f>IFERROR(__xludf.DUMMYFUNCTION("QUERY('Volunteer Survey'!I139)"),"Variant Pathogenicity")</f>
        <v>Variant Pathogenicity</v>
      </c>
      <c r="Q132" s="66" t="str">
        <f>IFERROR(__xludf.DUMMYFUNCTION("QUERY('Volunteer Survey'!J139)"),"Dosage Sensitivity")</f>
        <v>Dosage Sensitivity</v>
      </c>
      <c r="R132" s="62" t="str">
        <f>IFERROR(__xludf.DUMMYFUNCTION("QUERY('Volunteer Survey'!K139)"),"")</f>
        <v/>
      </c>
      <c r="S132" s="62" t="str">
        <f>IFERROR(__xludf.DUMMYFUNCTION("QUERY('Volunteer Survey'!L139)"),"")</f>
        <v/>
      </c>
      <c r="T132" s="62" t="str">
        <f>IFERROR(__xludf.DUMMYFUNCTION("QUERY('Volunteer Survey'!M139)"),"")</f>
        <v/>
      </c>
      <c r="U132" s="74" t="str">
        <f>IFERROR(__xludf.DUMMYFUNCTION("QUERY('Volunteer Survey'!N139)"),"applying ACMG Guidelines for variant curation in daily work")</f>
        <v>applying ACMG Guidelines for variant curation in daily work</v>
      </c>
      <c r="V132" s="62" t="str">
        <f>IFERROR(__xludf.DUMMYFUNCTION("QUERY('Volunteer Survey'!O139)"),"Possibly")</f>
        <v>Possibly</v>
      </c>
      <c r="W132" s="75" t="str">
        <f>IFERROR(__xludf.DUMMYFUNCTION("QUERY('Volunteer Survey'!P139)"),"epilepsy, RASopathy")</f>
        <v>epilepsy, RASopathy</v>
      </c>
      <c r="X132" s="74" t="str">
        <f>IFERROR(__xludf.DUMMYFUNCTION("QUERY('Volunteer Survey'!R139)"),"Yes- I am willing to volunteer with any available ClinGen group")</f>
        <v>Yes- I am willing to volunteer with any available ClinGen group</v>
      </c>
      <c r="Y132" s="61"/>
      <c r="Z132" s="67"/>
      <c r="AA132" s="62"/>
      <c r="AB132" s="62"/>
      <c r="AC132" s="62"/>
      <c r="AD132" s="62"/>
      <c r="AE132" s="62"/>
      <c r="AF132" s="62"/>
      <c r="AG132" s="62"/>
      <c r="AH132" s="62"/>
      <c r="AI132" s="62"/>
      <c r="AJ132" s="62"/>
      <c r="AK132" s="62"/>
      <c r="AL132" s="62"/>
      <c r="AM132" s="62"/>
      <c r="AN132" s="62"/>
      <c r="AO132" s="62"/>
    </row>
    <row r="133">
      <c r="A133" s="59">
        <f>IFERROR(__xludf.DUMMYFUNCTION("QUERY('Volunteer Survey'!A140)"),43549.67094309028)</f>
        <v>43549.67094</v>
      </c>
      <c r="B133" s="60" t="s">
        <v>275</v>
      </c>
      <c r="C133" s="61"/>
      <c r="D133" s="62"/>
      <c r="E133" s="60" t="s">
        <v>182</v>
      </c>
      <c r="F133" s="60" t="s">
        <v>182</v>
      </c>
      <c r="G133" s="60" t="s">
        <v>276</v>
      </c>
      <c r="H133" s="61"/>
      <c r="I133" s="63" t="s">
        <v>189</v>
      </c>
      <c r="J133" s="62"/>
      <c r="K133" s="62"/>
      <c r="L133" s="62" t="str">
        <f>IFERROR(__xludf.DUMMYFUNCTION("QUERY('Volunteer Survey'!B140)"),"Kristen L Deak")</f>
        <v>Kristen L Deak</v>
      </c>
      <c r="M133" s="62" t="str">
        <f>IFERROR(__xludf.DUMMYFUNCTION("QUERY('Volunteer Survey'!E140)"),"kristen.deak@duke.edu")</f>
        <v>kristen.deak@duke.edu</v>
      </c>
      <c r="N133" s="62" t="str">
        <f>IFERROR(__xludf.DUMMYFUNCTION("QUERY('Volunteer Survey'!F140)"),"Clinical laboratory geneticist")</f>
        <v>Clinical laboratory geneticist</v>
      </c>
      <c r="O133" s="60" t="str">
        <f>IFERROR(__xludf.DUMMYFUNCTION("QUERY('Volunteer Survey'!H140)"),"Comprehensive")</f>
        <v>Comprehensive</v>
      </c>
      <c r="P133" s="62" t="str">
        <f>IFERROR(__xludf.DUMMYFUNCTION("QUERY('Volunteer Survey'!I140)"),"Variant Pathogenicity")</f>
        <v>Variant Pathogenicity</v>
      </c>
      <c r="Q133" s="66" t="str">
        <f>IFERROR(__xludf.DUMMYFUNCTION("QUERY('Volunteer Survey'!J140)"),"Somatic Cancer")</f>
        <v>Somatic Cancer</v>
      </c>
      <c r="R133" s="62" t="str">
        <f>IFERROR(__xludf.DUMMYFUNCTION("QUERY('Volunteer Survey'!K140)"),"Dosage Sensitivity")</f>
        <v>Dosage Sensitivity</v>
      </c>
      <c r="S133" s="62" t="str">
        <f>IFERROR(__xludf.DUMMYFUNCTION("QUERY('Volunteer Survey'!L140)"),"Clinical Actionability")</f>
        <v>Clinical Actionability</v>
      </c>
      <c r="T133" s="62" t="str">
        <f>IFERROR(__xludf.DUMMYFUNCTION("QUERY('Volunteer Survey'!M140)"),"Gene-Disease Validity")</f>
        <v>Gene-Disease Validity</v>
      </c>
      <c r="U133" s="74" t="str">
        <f>IFERROR(__xludf.DUMMYFUNCTION("QUERY('Volunteer Survey'!N140)"),"Not other than evaluation and signout of patient reports")</f>
        <v>Not other than evaluation and signout of patient reports</v>
      </c>
      <c r="V133" s="62" t="str">
        <f>IFERROR(__xludf.DUMMYFUNCTION("QUERY('Volunteer Survey'!O140)"),"Yes")</f>
        <v>Yes</v>
      </c>
      <c r="W133" s="75" t="str">
        <f>IFERROR(__xludf.DUMMYFUNCTION("QUERY('Volunteer Survey'!P140)"),"")</f>
        <v/>
      </c>
      <c r="X133" s="74" t="str">
        <f>IFERROR(__xludf.DUMMYFUNCTION("QUERY('Volunteer Survey'!R140)"),"Yes- I am willing to volunteer with any available ClinGen group")</f>
        <v>Yes- I am willing to volunteer with any available ClinGen group</v>
      </c>
      <c r="Y133" s="61"/>
      <c r="Z133" s="67"/>
      <c r="AA133" s="62"/>
      <c r="AB133" s="62"/>
      <c r="AC133" s="62"/>
      <c r="AD133" s="62"/>
      <c r="AE133" s="62"/>
      <c r="AF133" s="62"/>
      <c r="AG133" s="62"/>
      <c r="AH133" s="62"/>
      <c r="AI133" s="62"/>
      <c r="AJ133" s="62"/>
      <c r="AK133" s="62"/>
      <c r="AL133" s="62"/>
      <c r="AM133" s="62"/>
      <c r="AN133" s="62"/>
      <c r="AO133" s="62"/>
    </row>
    <row r="134">
      <c r="A134" s="59">
        <f>IFERROR(__xludf.DUMMYFUNCTION("QUERY('Volunteer Survey'!A141)"),43550.17733546296)</f>
        <v>43550.17734</v>
      </c>
      <c r="B134" s="60" t="s">
        <v>275</v>
      </c>
      <c r="C134" s="61"/>
      <c r="D134" s="78">
        <v>43581.0</v>
      </c>
      <c r="E134" s="60" t="s">
        <v>277</v>
      </c>
      <c r="F134" s="60" t="s">
        <v>182</v>
      </c>
      <c r="G134" s="60" t="s">
        <v>150</v>
      </c>
      <c r="H134" s="61"/>
      <c r="I134" s="63" t="s">
        <v>189</v>
      </c>
      <c r="J134" s="79">
        <v>43712.0</v>
      </c>
      <c r="K134" s="79"/>
      <c r="L134" s="62" t="str">
        <f>IFERROR(__xludf.DUMMYFUNCTION("QUERY('Volunteer Survey'!B141)"),"Venkataswamy Eswarachari")</f>
        <v>Venkataswamy Eswarachari</v>
      </c>
      <c r="M134" s="62" t="str">
        <f>IFERROR(__xludf.DUMMYFUNCTION("QUERY('Volunteer Survey'!E141)"),"venkataswamy@medgenome.com")</f>
        <v>venkataswamy@medgenome.com</v>
      </c>
      <c r="N134" s="62" t="str">
        <f>IFERROR(__xludf.DUMMYFUNCTION("QUERY('Volunteer Survey'!F141)"),"Clinical laboratory geneticist")</f>
        <v>Clinical laboratory geneticist</v>
      </c>
      <c r="O134" s="60" t="str">
        <f>IFERROR(__xludf.DUMMYFUNCTION("QUERY('Volunteer Survey'!H141)"),"Comprehensive")</f>
        <v>Comprehensive</v>
      </c>
      <c r="P134" s="62" t="str">
        <f>IFERROR(__xludf.DUMMYFUNCTION("QUERY('Volunteer Survey'!I141)"),"Somatic Cancer")</f>
        <v>Somatic Cancer</v>
      </c>
      <c r="Q134" s="66" t="str">
        <f>IFERROR(__xludf.DUMMYFUNCTION("QUERY('Volunteer Survey'!J141)"),"Gene-Disease Validity")</f>
        <v>Gene-Disease Validity</v>
      </c>
      <c r="R134" s="62" t="str">
        <f>IFERROR(__xludf.DUMMYFUNCTION("QUERY('Volunteer Survey'!K141)"),"Clinical Actionability")</f>
        <v>Clinical Actionability</v>
      </c>
      <c r="S134" s="62" t="str">
        <f>IFERROR(__xludf.DUMMYFUNCTION("QUERY('Volunteer Survey'!L141)"),"Variant Pathogenicity")</f>
        <v>Variant Pathogenicity</v>
      </c>
      <c r="T134" s="62" t="str">
        <f>IFERROR(__xludf.DUMMYFUNCTION("QUERY('Volunteer Survey'!M141)"),"Dosage Sensitivity")</f>
        <v>Dosage Sensitivity</v>
      </c>
      <c r="U134" s="74" t="str">
        <f>IFERROR(__xludf.DUMMYFUNCTION("QUERY('Volunteer Survey'!N141)"),"Not professionally but for clinical reporting I have done some curation. ")</f>
        <v>Not professionally but for clinical reporting I have done some curation. </v>
      </c>
      <c r="V134" s="62" t="str">
        <f>IFERROR(__xludf.DUMMYFUNCTION("QUERY('Volunteer Survey'!O141)"),"Possibly")</f>
        <v>Possibly</v>
      </c>
      <c r="W134" s="75" t="str">
        <f>IFERROR(__xludf.DUMMYFUNCTION("QUERY('Volunteer Survey'!P141)"),"")</f>
        <v/>
      </c>
      <c r="X134" s="74" t="str">
        <f>IFERROR(__xludf.DUMMYFUNCTION("QUERY('Volunteer Survey'!R141)"),"Yes- I am willing to volunteer with any available ClinGen group")</f>
        <v>Yes- I am willing to volunteer with any available ClinGen group</v>
      </c>
      <c r="Y134" s="61"/>
      <c r="Z134" s="67"/>
      <c r="AA134" s="62"/>
      <c r="AB134" s="62"/>
      <c r="AC134" s="62"/>
      <c r="AD134" s="62"/>
      <c r="AE134" s="62"/>
      <c r="AF134" s="62"/>
      <c r="AG134" s="62"/>
      <c r="AH134" s="62"/>
      <c r="AI134" s="62"/>
      <c r="AJ134" s="62"/>
      <c r="AK134" s="62"/>
      <c r="AL134" s="62"/>
      <c r="AM134" s="62"/>
      <c r="AN134" s="62"/>
      <c r="AO134" s="62"/>
    </row>
    <row r="135">
      <c r="A135" s="59">
        <f>IFERROR(__xludf.DUMMYFUNCTION("QUERY('Volunteer Survey'!A142)"),43551.42424122685)</f>
        <v>43551.42424</v>
      </c>
      <c r="B135" s="60" t="s">
        <v>275</v>
      </c>
      <c r="C135" s="61"/>
      <c r="D135" s="62"/>
      <c r="E135" s="60" t="s">
        <v>182</v>
      </c>
      <c r="F135" s="60" t="s">
        <v>182</v>
      </c>
      <c r="G135" s="60" t="s">
        <v>276</v>
      </c>
      <c r="H135" s="61"/>
      <c r="I135" s="63" t="s">
        <v>189</v>
      </c>
      <c r="J135" s="62"/>
      <c r="K135" s="62"/>
      <c r="L135" s="62" t="str">
        <f>IFERROR(__xludf.DUMMYFUNCTION("QUERY('Volunteer Survey'!B142)"),"Tyler Parris")</f>
        <v>Tyler Parris</v>
      </c>
      <c r="M135" s="62" t="str">
        <f>IFERROR(__xludf.DUMMYFUNCTION("QUERY('Volunteer Survey'!E142)"),"tylerchristianparrismd@gmail.com")</f>
        <v>tylerchristianparrismd@gmail.com</v>
      </c>
      <c r="N135" s="62" t="str">
        <f>IFERROR(__xludf.DUMMYFUNCTION("QUERY('Volunteer Survey'!F142)"),"Post Doc/Resident/Fellow (MD and/or PhD)")</f>
        <v>Post Doc/Resident/Fellow (MD and/or PhD)</v>
      </c>
      <c r="O135" s="60" t="str">
        <f>IFERROR(__xludf.DUMMYFUNCTION("QUERY('Volunteer Survey'!H142)"),"Baseline")</f>
        <v>Baseline</v>
      </c>
      <c r="P135" s="62" t="str">
        <f>IFERROR(__xludf.DUMMYFUNCTION("QUERY('Volunteer Survey'!I142)"),"Clinical Actionability")</f>
        <v>Clinical Actionability</v>
      </c>
      <c r="Q135" s="66" t="str">
        <f>IFERROR(__xludf.DUMMYFUNCTION("QUERY('Volunteer Survey'!J142)"),"")</f>
        <v/>
      </c>
      <c r="R135" s="62" t="str">
        <f>IFERROR(__xludf.DUMMYFUNCTION("QUERY('Volunteer Survey'!K142)"),"")</f>
        <v/>
      </c>
      <c r="S135" s="62" t="str">
        <f>IFERROR(__xludf.DUMMYFUNCTION("QUERY('Volunteer Survey'!L142)"),"")</f>
        <v/>
      </c>
      <c r="T135" s="62" t="str">
        <f>IFERROR(__xludf.DUMMYFUNCTION("QUERY('Volunteer Survey'!M142)"),"")</f>
        <v/>
      </c>
      <c r="U135" s="74" t="str">
        <f>IFERROR(__xludf.DUMMYFUNCTION("QUERY('Volunteer Survey'!N142)"),"")</f>
        <v/>
      </c>
      <c r="V135" s="62" t="str">
        <f>IFERROR(__xludf.DUMMYFUNCTION("QUERY('Volunteer Survey'!O142)"),"Possibly")</f>
        <v>Possibly</v>
      </c>
      <c r="W135" s="75" t="str">
        <f>IFERROR(__xludf.DUMMYFUNCTION("QUERY('Volunteer Survey'!P142)"),"")</f>
        <v/>
      </c>
      <c r="X135" s="74" t="str">
        <f>IFERROR(__xludf.DUMMYFUNCTION("QUERY('Volunteer Survey'!R142)"),"Maybe -- please contact me with other options, and I will decide based on what is available")</f>
        <v>Maybe -- please contact me with other options, and I will decide based on what is available</v>
      </c>
      <c r="Y135" s="61"/>
      <c r="Z135" s="67"/>
      <c r="AA135" s="62"/>
      <c r="AB135" s="62"/>
      <c r="AC135" s="62"/>
      <c r="AD135" s="62"/>
      <c r="AE135" s="62"/>
      <c r="AF135" s="62"/>
      <c r="AG135" s="62"/>
      <c r="AH135" s="62"/>
      <c r="AI135" s="62"/>
      <c r="AJ135" s="62"/>
      <c r="AK135" s="62"/>
      <c r="AL135" s="62"/>
      <c r="AM135" s="62"/>
      <c r="AN135" s="62"/>
      <c r="AO135" s="62"/>
    </row>
    <row r="136">
      <c r="A136" s="59">
        <f>IFERROR(__xludf.DUMMYFUNCTION("QUERY('Volunteer Survey'!A143)"),43556.9679415162)</f>
        <v>43556.96794</v>
      </c>
      <c r="B136" s="60" t="s">
        <v>275</v>
      </c>
      <c r="C136" s="61"/>
      <c r="D136" s="62"/>
      <c r="E136" s="60" t="s">
        <v>182</v>
      </c>
      <c r="F136" s="60" t="s">
        <v>182</v>
      </c>
      <c r="G136" s="60" t="s">
        <v>276</v>
      </c>
      <c r="H136" s="61"/>
      <c r="I136" s="63" t="s">
        <v>189</v>
      </c>
      <c r="J136" s="62"/>
      <c r="K136" s="62"/>
      <c r="L136" s="62" t="str">
        <f>IFERROR(__xludf.DUMMYFUNCTION("QUERY('Volunteer Survey'!B143)"),"Edward Shadiack")</f>
        <v>Edward Shadiack</v>
      </c>
      <c r="M136" s="62" t="str">
        <f>IFERROR(__xludf.DUMMYFUNCTION("QUERY('Volunteer Survey'!E143)"),"shadiaec@gmail.com")</f>
        <v>shadiaec@gmail.com</v>
      </c>
      <c r="N136" s="62" t="str">
        <f>IFERROR(__xludf.DUMMYFUNCTION("QUERY('Volunteer Survey'!F143)"),"Physician (Non-geneticist)")</f>
        <v>Physician (Non-geneticist)</v>
      </c>
      <c r="O136" s="60" t="str">
        <f>IFERROR(__xludf.DUMMYFUNCTION("QUERY('Volunteer Survey'!H143)"),"Baseline")</f>
        <v>Baseline</v>
      </c>
      <c r="P136" s="62" t="str">
        <f>IFERROR(__xludf.DUMMYFUNCTION("QUERY('Volunteer Survey'!I143)"),"Variant Pathogenicity")</f>
        <v>Variant Pathogenicity</v>
      </c>
      <c r="Q136" s="66" t="str">
        <f>IFERROR(__xludf.DUMMYFUNCTION("QUERY('Volunteer Survey'!J143)"),"Gene-Disease Validity")</f>
        <v>Gene-Disease Validity</v>
      </c>
      <c r="R136" s="62" t="str">
        <f>IFERROR(__xludf.DUMMYFUNCTION("QUERY('Volunteer Survey'!K143)"),"Clinical Actionability")</f>
        <v>Clinical Actionability</v>
      </c>
      <c r="S136" s="62" t="str">
        <f>IFERROR(__xludf.DUMMYFUNCTION("QUERY('Volunteer Survey'!L143)"),"Dosage Sensitivity")</f>
        <v>Dosage Sensitivity</v>
      </c>
      <c r="T136" s="62" t="str">
        <f>IFERROR(__xludf.DUMMYFUNCTION("QUERY('Volunteer Survey'!M143)"),"Somatic Cancer")</f>
        <v>Somatic Cancer</v>
      </c>
      <c r="U136" s="74" t="str">
        <f>IFERROR(__xludf.DUMMYFUNCTION("QUERY('Volunteer Survey'!N143)"),"No experience whatsoever")</f>
        <v>No experience whatsoever</v>
      </c>
      <c r="V136" s="62" t="str">
        <f>IFERROR(__xludf.DUMMYFUNCTION("QUERY('Volunteer Survey'!O143)"),"No")</f>
        <v>No</v>
      </c>
      <c r="W136" s="75" t="str">
        <f>IFERROR(__xludf.DUMMYFUNCTION("QUERY('Volunteer Survey'!P143)"),"Mitochondrial Diseases")</f>
        <v>Mitochondrial Diseases</v>
      </c>
      <c r="X136" s="74" t="str">
        <f>IFERROR(__xludf.DUMMYFUNCTION("QUERY('Volunteer Survey'!R143)"),"Yes- I am willing to volunteer with any available ClinGen group")</f>
        <v>Yes- I am willing to volunteer with any available ClinGen group</v>
      </c>
      <c r="Y136" s="61"/>
      <c r="Z136" s="67"/>
      <c r="AA136" s="62"/>
      <c r="AB136" s="62"/>
      <c r="AC136" s="62"/>
      <c r="AD136" s="62"/>
      <c r="AE136" s="62"/>
      <c r="AF136" s="62"/>
      <c r="AG136" s="62"/>
      <c r="AH136" s="62"/>
      <c r="AI136" s="62"/>
      <c r="AJ136" s="62"/>
      <c r="AK136" s="62"/>
      <c r="AL136" s="62"/>
      <c r="AM136" s="62"/>
      <c r="AN136" s="62"/>
      <c r="AO136" s="62"/>
    </row>
    <row r="137">
      <c r="A137" s="59">
        <f>IFERROR(__xludf.DUMMYFUNCTION("QUERY('Volunteer Survey'!A144)"),43558.13699107639)</f>
        <v>43558.13699</v>
      </c>
      <c r="B137" s="60" t="s">
        <v>282</v>
      </c>
      <c r="C137" s="61"/>
      <c r="D137" s="79">
        <v>43626.0</v>
      </c>
      <c r="E137" s="60" t="s">
        <v>277</v>
      </c>
      <c r="F137" s="60" t="s">
        <v>277</v>
      </c>
      <c r="G137" s="60" t="s">
        <v>288</v>
      </c>
      <c r="H137" s="63" t="s">
        <v>213</v>
      </c>
      <c r="I137" s="63" t="s">
        <v>189</v>
      </c>
      <c r="J137" s="79">
        <v>43712.0</v>
      </c>
      <c r="K137" s="79"/>
      <c r="L137" s="62" t="str">
        <f>IFERROR(__xludf.DUMMYFUNCTION("QUERY('Volunteer Survey'!B144)"),"Barbara Vona")</f>
        <v>Barbara Vona</v>
      </c>
      <c r="M137" s="62" t="str">
        <f>IFERROR(__xludf.DUMMYFUNCTION("QUERY('Volunteer Survey'!E144)"),"barbara.vona@uni-tuebingen.de")</f>
        <v>barbara.vona@uni-tuebingen.de</v>
      </c>
      <c r="N137" s="62" t="str">
        <f>IFERROR(__xludf.DUMMYFUNCTION("QUERY('Volunteer Survey'!F144)"),"Half variant analyst, half scientific researcher")</f>
        <v>Half variant analyst, half scientific researcher</v>
      </c>
      <c r="O137" s="60" t="str">
        <f>IFERROR(__xludf.DUMMYFUNCTION("QUERY('Volunteer Survey'!H144)"),"Comprehensive")</f>
        <v>Comprehensive</v>
      </c>
      <c r="P137" s="62" t="str">
        <f>IFERROR(__xludf.DUMMYFUNCTION("QUERY('Volunteer Survey'!I144)"),"Variant Pathogenicity")</f>
        <v>Variant Pathogenicity</v>
      </c>
      <c r="Q137" s="66" t="str">
        <f>IFERROR(__xludf.DUMMYFUNCTION("QUERY('Volunteer Survey'!J144)"),"Gene-Disease Validity")</f>
        <v>Gene-Disease Validity</v>
      </c>
      <c r="R137" s="62" t="str">
        <f>IFERROR(__xludf.DUMMYFUNCTION("QUERY('Volunteer Survey'!K144)"),"")</f>
        <v/>
      </c>
      <c r="S137" s="62" t="str">
        <f>IFERROR(__xludf.DUMMYFUNCTION("QUERY('Volunteer Survey'!L144)"),"")</f>
        <v/>
      </c>
      <c r="T137" s="62" t="str">
        <f>IFERROR(__xludf.DUMMYFUNCTION("QUERY('Volunteer Survey'!M144)"),"")</f>
        <v/>
      </c>
      <c r="U137" s="74" t="str">
        <f>IFERROR(__xludf.DUMMYFUNCTION("QUERY('Volunteer Survey'!N144)"),"LOVD3 variant curation for several hearing loss genes (STRC, GRHL2, CEACAM16, S1PR2)")</f>
        <v>LOVD3 variant curation for several hearing loss genes (STRC, GRHL2, CEACAM16, S1PR2)</v>
      </c>
      <c r="V137" s="62" t="str">
        <f>IFERROR(__xludf.DUMMYFUNCTION("QUERY('Volunteer Survey'!O144)"),"Yes")</f>
        <v>Yes</v>
      </c>
      <c r="W137" s="75" t="str">
        <f>IFERROR(__xludf.DUMMYFUNCTION("QUERY('Volunteer Survey'!P144)"),"Hearing Loss Variant and Gene Curation Expert Panels")</f>
        <v>Hearing Loss Variant and Gene Curation Expert Panels</v>
      </c>
      <c r="X137" s="74" t="str">
        <f>IFERROR(__xludf.DUMMYFUNCTION("QUERY('Volunteer Survey'!R144)"),"Maybe -- please contact me with other options, and I will decide based on what is available")</f>
        <v>Maybe -- please contact me with other options, and I will decide based on what is available</v>
      </c>
      <c r="Y137" s="61"/>
      <c r="Z137" s="67"/>
      <c r="AA137" s="62"/>
      <c r="AB137" s="62"/>
      <c r="AC137" s="62"/>
      <c r="AD137" s="62"/>
      <c r="AE137" s="62"/>
      <c r="AF137" s="62"/>
      <c r="AG137" s="62"/>
      <c r="AH137" s="62"/>
      <c r="AI137" s="62"/>
      <c r="AJ137" s="62"/>
      <c r="AK137" s="62"/>
      <c r="AL137" s="62"/>
      <c r="AM137" s="62"/>
      <c r="AN137" s="62"/>
      <c r="AO137" s="62"/>
    </row>
    <row r="138">
      <c r="A138" s="59">
        <f>IFERROR(__xludf.DUMMYFUNCTION("QUERY('Volunteer Survey'!A145)"),43558.605901724535)</f>
        <v>43558.6059</v>
      </c>
      <c r="B138" s="60" t="s">
        <v>282</v>
      </c>
      <c r="C138" s="61"/>
      <c r="D138" s="82">
        <v>43605.0</v>
      </c>
      <c r="E138" s="60" t="s">
        <v>277</v>
      </c>
      <c r="F138" s="60" t="s">
        <v>277</v>
      </c>
      <c r="G138" s="60" t="s">
        <v>288</v>
      </c>
      <c r="H138" s="63" t="s">
        <v>326</v>
      </c>
      <c r="I138" s="63" t="s">
        <v>189</v>
      </c>
      <c r="J138" s="79">
        <v>43712.0</v>
      </c>
      <c r="K138" s="79"/>
      <c r="L138" s="62" t="str">
        <f>IFERROR(__xludf.DUMMYFUNCTION("QUERY('Volunteer Survey'!B145)"),"Viridiana Murillo")</f>
        <v>Viridiana Murillo</v>
      </c>
      <c r="M138" s="62" t="str">
        <f>IFERROR(__xludf.DUMMYFUNCTION("QUERY('Volunteer Survey'!E145)"),"vmurillo18@students.kgi.edu")</f>
        <v>vmurillo18@students.kgi.edu</v>
      </c>
      <c r="N138" s="62" t="str">
        <f>IFERROR(__xludf.DUMMYFUNCTION("QUERY('Volunteer Survey'!F145)"),"Graduate Student")</f>
        <v>Graduate Student</v>
      </c>
      <c r="O138" s="60" t="str">
        <f>IFERROR(__xludf.DUMMYFUNCTION("QUERY('Volunteer Survey'!H145)"),"Comprehensive")</f>
        <v>Comprehensive</v>
      </c>
      <c r="P138" s="62" t="str">
        <f>IFERROR(__xludf.DUMMYFUNCTION("QUERY('Volunteer Survey'!I145)"),"Variant Pathogenicity")</f>
        <v>Variant Pathogenicity</v>
      </c>
      <c r="Q138" s="66" t="str">
        <f>IFERROR(__xludf.DUMMYFUNCTION("QUERY('Volunteer Survey'!J145)"),"")</f>
        <v/>
      </c>
      <c r="R138" s="62" t="str">
        <f>IFERROR(__xludf.DUMMYFUNCTION("QUERY('Volunteer Survey'!K145)"),"")</f>
        <v/>
      </c>
      <c r="S138" s="62" t="str">
        <f>IFERROR(__xludf.DUMMYFUNCTION("QUERY('Volunteer Survey'!L145)"),"")</f>
        <v/>
      </c>
      <c r="T138" s="62" t="str">
        <f>IFERROR(__xludf.DUMMYFUNCTION("QUERY('Volunteer Survey'!M145)"),"")</f>
        <v/>
      </c>
      <c r="U138" s="74" t="str">
        <f>IFERROR(__xludf.DUMMYFUNCTION("QUERY('Volunteer Survey'!N145)"),"We have had some introduction to variant curation using the ACMG guidelines in my Human Genomics course and a training we attended on variant curation. ")</f>
        <v>We have had some introduction to variant curation using the ACMG guidelines in my Human Genomics course and a training we attended on variant curation. </v>
      </c>
      <c r="V138" s="62" t="str">
        <f>IFERROR(__xludf.DUMMYFUNCTION("QUERY('Volunteer Survey'!O145)"),"Possibly")</f>
        <v>Possibly</v>
      </c>
      <c r="W138" s="75" t="str">
        <f>IFERROR(__xludf.DUMMYFUNCTION("QUERY('Volunteer Survey'!P145)"),"Metabolism (PAH) workgroup and/or  Epilepsy work group")</f>
        <v>Metabolism (PAH) workgroup and/or  Epilepsy work group</v>
      </c>
      <c r="X138" s="74" t="str">
        <f>IFERROR(__xludf.DUMMYFUNCTION("QUERY('Volunteer Survey'!R145)"),"Yes- I am willing to volunteer with any available ClinGen group")</f>
        <v>Yes- I am willing to volunteer with any available ClinGen group</v>
      </c>
      <c r="Y138" s="61"/>
      <c r="Z138" s="67"/>
      <c r="AA138" s="62"/>
      <c r="AB138" s="62"/>
      <c r="AC138" s="62"/>
      <c r="AD138" s="62"/>
      <c r="AE138" s="62"/>
      <c r="AF138" s="62"/>
      <c r="AG138" s="62"/>
      <c r="AH138" s="62"/>
      <c r="AI138" s="62"/>
      <c r="AJ138" s="62"/>
      <c r="AK138" s="62"/>
      <c r="AL138" s="62"/>
      <c r="AM138" s="62"/>
      <c r="AN138" s="62"/>
      <c r="AO138" s="62"/>
    </row>
    <row r="139">
      <c r="A139" s="59">
        <f>IFERROR(__xludf.DUMMYFUNCTION("QUERY('Volunteer Survey'!A146)"),43558.62698700232)</f>
        <v>43558.62699</v>
      </c>
      <c r="B139" s="60" t="s">
        <v>274</v>
      </c>
      <c r="C139" s="61"/>
      <c r="D139" s="82">
        <v>43605.0</v>
      </c>
      <c r="E139" s="60" t="s">
        <v>277</v>
      </c>
      <c r="F139" s="60" t="s">
        <v>182</v>
      </c>
      <c r="G139" s="60" t="s">
        <v>288</v>
      </c>
      <c r="H139" s="61"/>
      <c r="I139" s="63" t="s">
        <v>189</v>
      </c>
      <c r="J139" s="62"/>
      <c r="K139" s="62"/>
      <c r="L139" s="62" t="str">
        <f>IFERROR(__xludf.DUMMYFUNCTION("QUERY('Volunteer Survey'!B146)"),"Sharon Suchy")</f>
        <v>Sharon Suchy</v>
      </c>
      <c r="M139" s="62" t="str">
        <f>IFERROR(__xludf.DUMMYFUNCTION("QUERY('Volunteer Survey'!E146)"),"ssuchy@genedx.com")</f>
        <v>ssuchy@genedx.com</v>
      </c>
      <c r="N139" s="62" t="str">
        <f>IFERROR(__xludf.DUMMYFUNCTION("QUERY('Volunteer Survey'!F146)"),"Clinical laboratory geneticist")</f>
        <v>Clinical laboratory geneticist</v>
      </c>
      <c r="O139" s="60" t="str">
        <f>IFERROR(__xludf.DUMMYFUNCTION("QUERY('Volunteer Survey'!H146)"),"Comprehensive")</f>
        <v>Comprehensive</v>
      </c>
      <c r="P139" s="62" t="str">
        <f>IFERROR(__xludf.DUMMYFUNCTION("QUERY('Volunteer Survey'!I146)"),"Variant Pathogenicity")</f>
        <v>Variant Pathogenicity</v>
      </c>
      <c r="Q139" s="66" t="str">
        <f>IFERROR(__xludf.DUMMYFUNCTION("QUERY('Volunteer Survey'!J146)"),"Clinical Actionability")</f>
        <v>Clinical Actionability</v>
      </c>
      <c r="R139" s="62" t="str">
        <f>IFERROR(__xludf.DUMMYFUNCTION("QUERY('Volunteer Survey'!K146)"),"Gene-Disease Validity")</f>
        <v>Gene-Disease Validity</v>
      </c>
      <c r="S139" s="62" t="str">
        <f>IFERROR(__xludf.DUMMYFUNCTION("QUERY('Volunteer Survey'!L146)"),"")</f>
        <v/>
      </c>
      <c r="T139" s="62" t="str">
        <f>IFERROR(__xludf.DUMMYFUNCTION("QUERY('Volunteer Survey'!M146)"),"")</f>
        <v/>
      </c>
      <c r="U139" s="74" t="str">
        <f>IFERROR(__xludf.DUMMYFUNCTION("QUERY('Volunteer Survey'!N146)"),"yes, assessing variant pathogenicity /clinical actionability issues")</f>
        <v>yes, assessing variant pathogenicity /clinical actionability issues</v>
      </c>
      <c r="V139" s="62" t="str">
        <f>IFERROR(__xludf.DUMMYFUNCTION("QUERY('Volunteer Survey'!O146)"),"Possibly")</f>
        <v>Possibly</v>
      </c>
      <c r="W139" s="75" t="str">
        <f>IFERROR(__xludf.DUMMYFUNCTION("QUERY('Volunteer Survey'!P146)"),"lysosomal storage, inborn errors of metabolism")</f>
        <v>lysosomal storage, inborn errors of metabolism</v>
      </c>
      <c r="X139" s="74" t="str">
        <f>IFERROR(__xludf.DUMMYFUNCTION("QUERY('Volunteer Survey'!R146)"),"Maybe -- please contact me with other options, and I will decide based on what is available")</f>
        <v>Maybe -- please contact me with other options, and I will decide based on what is available</v>
      </c>
      <c r="Y139" s="61"/>
      <c r="Z139" s="67"/>
      <c r="AA139" s="62"/>
      <c r="AB139" s="62"/>
      <c r="AC139" s="62"/>
      <c r="AD139" s="62"/>
      <c r="AE139" s="62"/>
      <c r="AF139" s="62"/>
      <c r="AG139" s="62"/>
      <c r="AH139" s="62"/>
      <c r="AI139" s="62"/>
      <c r="AJ139" s="62"/>
      <c r="AK139" s="62"/>
      <c r="AL139" s="62"/>
      <c r="AM139" s="62"/>
      <c r="AN139" s="62"/>
      <c r="AO139" s="62"/>
    </row>
    <row r="140">
      <c r="A140" s="59">
        <f>IFERROR(__xludf.DUMMYFUNCTION("QUERY('Volunteer Survey'!A147)"),43558.975779976856)</f>
        <v>43558.97578</v>
      </c>
      <c r="B140" s="60" t="s">
        <v>275</v>
      </c>
      <c r="C140" s="63" t="s">
        <v>327</v>
      </c>
      <c r="D140" s="62"/>
      <c r="E140" s="60" t="s">
        <v>182</v>
      </c>
      <c r="F140" s="60" t="s">
        <v>182</v>
      </c>
      <c r="G140" s="60" t="s">
        <v>278</v>
      </c>
      <c r="H140" s="61"/>
      <c r="I140" s="63" t="s">
        <v>285</v>
      </c>
      <c r="J140" s="62"/>
      <c r="K140" s="62"/>
      <c r="L140" s="62" t="str">
        <f>IFERROR(__xludf.DUMMYFUNCTION("QUERY('Volunteer Survey'!B147)"),"GIFTY BHAT")</f>
        <v>GIFTY BHAT</v>
      </c>
      <c r="M140" s="62" t="str">
        <f>IFERROR(__xludf.DUMMYFUNCTION("QUERY('Volunteer Survey'!E147)"),"drgiftybhat@gmail.com")</f>
        <v>drgiftybhat@gmail.com</v>
      </c>
      <c r="N140" s="62" t="str">
        <f>IFERROR(__xludf.DUMMYFUNCTION("QUERY('Volunteer Survey'!F147)"),"Clinical Medical Geneticist")</f>
        <v>Clinical Medical Geneticist</v>
      </c>
      <c r="O140" s="60" t="str">
        <f>IFERROR(__xludf.DUMMYFUNCTION("QUERY('Volunteer Survey'!H147)"),"Comprehensive")</f>
        <v>Comprehensive</v>
      </c>
      <c r="P140" s="62" t="str">
        <f>IFERROR(__xludf.DUMMYFUNCTION("QUERY('Volunteer Survey'!I147)"),"Gene-Disease Validity")</f>
        <v>Gene-Disease Validity</v>
      </c>
      <c r="Q140" s="66" t="str">
        <f>IFERROR(__xludf.DUMMYFUNCTION("QUERY('Volunteer Survey'!J147)"),"Variant Pathogenicity")</f>
        <v>Variant Pathogenicity</v>
      </c>
      <c r="R140" s="62" t="str">
        <f>IFERROR(__xludf.DUMMYFUNCTION("QUERY('Volunteer Survey'!K147)"),"Clinical Actionability")</f>
        <v>Clinical Actionability</v>
      </c>
      <c r="S140" s="62" t="str">
        <f>IFERROR(__xludf.DUMMYFUNCTION("QUERY('Volunteer Survey'!L147)"),"Dosage Sensitivity")</f>
        <v>Dosage Sensitivity</v>
      </c>
      <c r="T140" s="62" t="str">
        <f>IFERROR(__xludf.DUMMYFUNCTION("QUERY('Volunteer Survey'!M147)"),"Somatic Cancer")</f>
        <v>Somatic Cancer</v>
      </c>
      <c r="U140" s="74" t="str">
        <f>IFERROR(__xludf.DUMMYFUNCTION("QUERY('Volunteer Survey'!N147)"),"Research activity for 6 months for neurodevelopmental disorders in consanguineous population")</f>
        <v>Research activity for 6 months for neurodevelopmental disorders in consanguineous population</v>
      </c>
      <c r="V140" s="62" t="str">
        <f>IFERROR(__xludf.DUMMYFUNCTION("QUERY('Volunteer Survey'!O147)"),"Yes")</f>
        <v>Yes</v>
      </c>
      <c r="W140" s="75" t="str">
        <f>IFERROR(__xludf.DUMMYFUNCTION("QUERY('Volunteer Survey'!P147)"),"Neurodevelopmental/intellectual disability, Rett-Angelman syndrome, PTEN related disorders")</f>
        <v>Neurodevelopmental/intellectual disability, Rett-Angelman syndrome, PTEN related disorders</v>
      </c>
      <c r="X140" s="74" t="str">
        <f>IFERROR(__xludf.DUMMYFUNCTION("QUERY('Volunteer Survey'!R147)"),"Yes- I am willing to volunteer with any available ClinGen group")</f>
        <v>Yes- I am willing to volunteer with any available ClinGen group</v>
      </c>
      <c r="Y140" s="61"/>
      <c r="Z140" s="67"/>
      <c r="AA140" s="62"/>
      <c r="AB140" s="62"/>
      <c r="AC140" s="62"/>
      <c r="AD140" s="62"/>
      <c r="AE140" s="62"/>
      <c r="AF140" s="62"/>
      <c r="AG140" s="62"/>
      <c r="AH140" s="62"/>
      <c r="AI140" s="62"/>
      <c r="AJ140" s="62"/>
      <c r="AK140" s="62"/>
      <c r="AL140" s="62"/>
      <c r="AM140" s="62"/>
      <c r="AN140" s="62"/>
      <c r="AO140" s="62"/>
    </row>
    <row r="141">
      <c r="A141" s="59">
        <f>IFERROR(__xludf.DUMMYFUNCTION("QUERY('Volunteer Survey'!A148)"),43559.45062822916)</f>
        <v>43559.45063</v>
      </c>
      <c r="B141" s="60" t="s">
        <v>282</v>
      </c>
      <c r="C141" s="61"/>
      <c r="D141" s="82">
        <v>43608.0</v>
      </c>
      <c r="E141" s="60" t="s">
        <v>277</v>
      </c>
      <c r="F141" s="60" t="s">
        <v>277</v>
      </c>
      <c r="G141" s="60" t="s">
        <v>288</v>
      </c>
      <c r="H141" s="63" t="s">
        <v>177</v>
      </c>
      <c r="I141" s="63" t="s">
        <v>189</v>
      </c>
      <c r="J141" s="79">
        <v>43712.0</v>
      </c>
      <c r="K141" s="79"/>
      <c r="L141" s="62" t="str">
        <f>IFERROR(__xludf.DUMMYFUNCTION("QUERY('Volunteer Survey'!B148)"),"Theodore E. Wilson")</f>
        <v>Theodore E. Wilson</v>
      </c>
      <c r="M141" s="62" t="str">
        <f>IFERROR(__xludf.DUMMYFUNCTION("QUERY('Volunteer Survey'!E148)"),"theowils@iu.edu")</f>
        <v>theowils@iu.edu</v>
      </c>
      <c r="N141" s="62" t="str">
        <f>IFERROR(__xludf.DUMMYFUNCTION("QUERY('Volunteer Survey'!F148)"),"Clinical Medical Geneticist")</f>
        <v>Clinical Medical Geneticist</v>
      </c>
      <c r="O141" s="60" t="str">
        <f>IFERROR(__xludf.DUMMYFUNCTION("QUERY('Volunteer Survey'!H148)"),"Comprehensive")</f>
        <v>Comprehensive</v>
      </c>
      <c r="P141" s="62" t="str">
        <f>IFERROR(__xludf.DUMMYFUNCTION("QUERY('Volunteer Survey'!I148)"),"Variant Pathogenicity")</f>
        <v>Variant Pathogenicity</v>
      </c>
      <c r="Q141" s="66" t="str">
        <f>IFERROR(__xludf.DUMMYFUNCTION("QUERY('Volunteer Survey'!J148)"),"Gene-Disease Validity")</f>
        <v>Gene-Disease Validity</v>
      </c>
      <c r="R141" s="62" t="str">
        <f>IFERROR(__xludf.DUMMYFUNCTION("QUERY('Volunteer Survey'!K148)"),"")</f>
        <v/>
      </c>
      <c r="S141" s="62" t="str">
        <f>IFERROR(__xludf.DUMMYFUNCTION("QUERY('Volunteer Survey'!L148)"),"")</f>
        <v/>
      </c>
      <c r="T141" s="62" t="str">
        <f>IFERROR(__xludf.DUMMYFUNCTION("QUERY('Volunteer Survey'!M148)"),"")</f>
        <v/>
      </c>
      <c r="U141" s="74" t="str">
        <f>IFERROR(__xludf.DUMMYFUNCTION("QUERY('Volunteer Survey'!N148)"),"During my fellowship I worked closely with ARUP Molecular geneticists to call variant pathogenicity based on the 2015 criteria.")</f>
        <v>During my fellowship I worked closely with ARUP Molecular geneticists to call variant pathogenicity based on the 2015 criteria.</v>
      </c>
      <c r="V141" s="62" t="str">
        <f>IFERROR(__xludf.DUMMYFUNCTION("QUERY('Volunteer Survey'!O148)"),"No")</f>
        <v>No</v>
      </c>
      <c r="W141" s="75" t="str">
        <f>IFERROR(__xludf.DUMMYFUNCTION("QUERY('Volunteer Survey'!P148)"),"cardiomyopathy")</f>
        <v>cardiomyopathy</v>
      </c>
      <c r="X141" s="74" t="str">
        <f>IFERROR(__xludf.DUMMYFUNCTION("QUERY('Volunteer Survey'!R148)"),"Maybe -- please contact me with other options, and I will decide based on what is available")</f>
        <v>Maybe -- please contact me with other options, and I will decide based on what is available</v>
      </c>
      <c r="Y141" s="61"/>
      <c r="Z141" s="67"/>
      <c r="AA141" s="62"/>
      <c r="AB141" s="62"/>
      <c r="AC141" s="62"/>
      <c r="AD141" s="62"/>
      <c r="AE141" s="62"/>
      <c r="AF141" s="62"/>
      <c r="AG141" s="62"/>
      <c r="AH141" s="62"/>
      <c r="AI141" s="62"/>
      <c r="AJ141" s="62"/>
      <c r="AK141" s="62"/>
      <c r="AL141" s="62"/>
      <c r="AM141" s="62"/>
      <c r="AN141" s="62"/>
      <c r="AO141" s="62"/>
    </row>
    <row r="142">
      <c r="A142" s="59">
        <f>IFERROR(__xludf.DUMMYFUNCTION("QUERY('Volunteer Survey'!A149)"),43559.49000396991)</f>
        <v>43559.49</v>
      </c>
      <c r="B142" s="60" t="s">
        <v>282</v>
      </c>
      <c r="C142" s="61"/>
      <c r="D142" s="82">
        <v>43605.0</v>
      </c>
      <c r="E142" s="60" t="s">
        <v>277</v>
      </c>
      <c r="F142" s="60" t="s">
        <v>277</v>
      </c>
      <c r="G142" s="60" t="s">
        <v>288</v>
      </c>
      <c r="H142" s="63" t="s">
        <v>309</v>
      </c>
      <c r="I142" s="63" t="s">
        <v>189</v>
      </c>
      <c r="J142" s="79">
        <v>43712.0</v>
      </c>
      <c r="K142" s="79"/>
      <c r="L142" s="62" t="str">
        <f>IFERROR(__xludf.DUMMYFUNCTION("QUERY('Volunteer Survey'!B149)"),"Christina Y Hung")</f>
        <v>Christina Y Hung</v>
      </c>
      <c r="M142" s="62" t="str">
        <f>IFERROR(__xludf.DUMMYFUNCTION("QUERY('Volunteer Survey'!E149)"),"christina.hung@childrens.harvard.edu")</f>
        <v>christina.hung@childrens.harvard.edu</v>
      </c>
      <c r="N142" s="62" t="str">
        <f>IFERROR(__xludf.DUMMYFUNCTION("QUERY('Volunteer Survey'!F149)"),"Scientific Researcher")</f>
        <v>Scientific Researcher</v>
      </c>
      <c r="O142" s="60" t="str">
        <f>IFERROR(__xludf.DUMMYFUNCTION("QUERY('Volunteer Survey'!H149)"),"Comprehensive")</f>
        <v>Comprehensive</v>
      </c>
      <c r="P142" s="62" t="str">
        <f>IFERROR(__xludf.DUMMYFUNCTION("QUERY('Volunteer Survey'!I149)"),"Variant Pathogenicity")</f>
        <v>Variant Pathogenicity</v>
      </c>
      <c r="Q142" s="66" t="str">
        <f>IFERROR(__xludf.DUMMYFUNCTION("QUERY('Volunteer Survey'!J149)"),"Gene-Disease Validity")</f>
        <v>Gene-Disease Validity</v>
      </c>
      <c r="R142" s="62" t="str">
        <f>IFERROR(__xludf.DUMMYFUNCTION("QUERY('Volunteer Survey'!K149)"),"Clinical Actionability")</f>
        <v>Clinical Actionability</v>
      </c>
      <c r="S142" s="62" t="str">
        <f>IFERROR(__xludf.DUMMYFUNCTION("QUERY('Volunteer Survey'!L149)"),"Dosage Sensitivity")</f>
        <v>Dosage Sensitivity</v>
      </c>
      <c r="T142" s="62" t="str">
        <f>IFERROR(__xludf.DUMMYFUNCTION("QUERY('Volunteer Survey'!M149)"),"")</f>
        <v/>
      </c>
      <c r="U142" s="74" t="str">
        <f>IFERROR(__xludf.DUMMYFUNCTION("QUERY('Volunteer Survey'!N149)"),"ABMGG training/fellowships")</f>
        <v>ABMGG training/fellowships</v>
      </c>
      <c r="V142" s="62" t="str">
        <f>IFERROR(__xludf.DUMMYFUNCTION("QUERY('Volunteer Survey'!O149)"),"Possibly")</f>
        <v>Possibly</v>
      </c>
      <c r="W142" s="75" t="str">
        <f>IFERROR(__xludf.DUMMYFUNCTION("QUERY('Volunteer Survey'!P149)"),"Inborn error of Metabolism, Lysosomal Storage Disorders, Aminoacidopathy; have talked to Meredith Weaver regarding options of joining Metabolism Workgroup")</f>
        <v>Inborn error of Metabolism, Lysosomal Storage Disorders, Aminoacidopathy; have talked to Meredith Weaver regarding options of joining Metabolism Workgroup</v>
      </c>
      <c r="X142" s="74" t="str">
        <f>IFERROR(__xludf.DUMMYFUNCTION("QUERY('Volunteer Survey'!R149)"),"Maybe -- please contact me with other options, and I will decide based on what is available")</f>
        <v>Maybe -- please contact me with other options, and I will decide based on what is available</v>
      </c>
      <c r="Y142" s="61"/>
      <c r="Z142" s="67"/>
      <c r="AA142" s="62"/>
      <c r="AB142" s="62"/>
      <c r="AC142" s="62"/>
      <c r="AD142" s="62"/>
      <c r="AE142" s="62"/>
      <c r="AF142" s="62"/>
      <c r="AG142" s="62"/>
      <c r="AH142" s="62"/>
      <c r="AI142" s="62"/>
      <c r="AJ142" s="62"/>
      <c r="AK142" s="62"/>
      <c r="AL142" s="62"/>
      <c r="AM142" s="62"/>
      <c r="AN142" s="62"/>
      <c r="AO142" s="62"/>
    </row>
    <row r="143">
      <c r="A143" s="59">
        <f>IFERROR(__xludf.DUMMYFUNCTION("QUERY('Volunteer Survey'!A150)"),43560.44773336806)</f>
        <v>43560.44773</v>
      </c>
      <c r="B143" s="60" t="s">
        <v>274</v>
      </c>
      <c r="C143" s="63" t="s">
        <v>328</v>
      </c>
      <c r="D143" s="62"/>
      <c r="E143" s="60" t="s">
        <v>182</v>
      </c>
      <c r="F143" s="60" t="s">
        <v>182</v>
      </c>
      <c r="G143" s="60" t="s">
        <v>27</v>
      </c>
      <c r="H143" s="76"/>
      <c r="I143" s="76" t="s">
        <v>189</v>
      </c>
      <c r="J143" s="62"/>
      <c r="K143" s="62"/>
      <c r="L143" s="62" t="str">
        <f>IFERROR(__xludf.DUMMYFUNCTION("QUERY('Volunteer Survey'!B150)"),"Alka Chaubey")</f>
        <v>Alka Chaubey</v>
      </c>
      <c r="M143" s="62" t="str">
        <f>IFERROR(__xludf.DUMMYFUNCTION("QUERY('Volunteer Survey'!E150)"),"")</f>
        <v/>
      </c>
      <c r="N143" s="62" t="str">
        <f>IFERROR(__xludf.DUMMYFUNCTION("QUERY('Volunteer Survey'!F150)"),"Clinical laboratory geneticist")</f>
        <v>Clinical laboratory geneticist</v>
      </c>
      <c r="O143" s="60" t="str">
        <f>IFERROR(__xludf.DUMMYFUNCTION("QUERY('Volunteer Survey'!H150)"),"Comprehensive")</f>
        <v>Comprehensive</v>
      </c>
      <c r="P143" s="62" t="str">
        <f>IFERROR(__xludf.DUMMYFUNCTION("QUERY('Volunteer Survey'!I150)"),"Clinical Actionability")</f>
        <v>Clinical Actionability</v>
      </c>
      <c r="Q143" s="66" t="str">
        <f>IFERROR(__xludf.DUMMYFUNCTION("QUERY('Volunteer Survey'!J150)"),"Gene-Disease Validity")</f>
        <v>Gene-Disease Validity</v>
      </c>
      <c r="R143" s="62" t="str">
        <f>IFERROR(__xludf.DUMMYFUNCTION("QUERY('Volunteer Survey'!K150)"),"Variant Pathogenicity")</f>
        <v>Variant Pathogenicity</v>
      </c>
      <c r="S143" s="62" t="str">
        <f>IFERROR(__xludf.DUMMYFUNCTION("QUERY('Volunteer Survey'!L150)"),"")</f>
        <v/>
      </c>
      <c r="T143" s="62" t="str">
        <f>IFERROR(__xludf.DUMMYFUNCTION("QUERY('Volunteer Survey'!M150)"),"")</f>
        <v/>
      </c>
      <c r="U143" s="74" t="str">
        <f>IFERROR(__xludf.DUMMYFUNCTION("QUERY('Volunteer Survey'!N150)"),"Participated in pilot dosage sensitivity effort of analyzing and curating CNVs")</f>
        <v>Participated in pilot dosage sensitivity effort of analyzing and curating CNVs</v>
      </c>
      <c r="V143" s="62" t="str">
        <f>IFERROR(__xludf.DUMMYFUNCTION("QUERY('Volunteer Survey'!O150)"),"Possibly")</f>
        <v>Possibly</v>
      </c>
      <c r="W143" s="75" t="str">
        <f>IFERROR(__xludf.DUMMYFUNCTION("QUERY('Volunteer Survey'!P150)"),"Dosage sensitivity and somatic cancer ")</f>
        <v>Dosage sensitivity and somatic cancer </v>
      </c>
      <c r="X143" s="74" t="str">
        <f>IFERROR(__xludf.DUMMYFUNCTION("QUERY('Volunteer Survey'!R150)"),"Maybe -- please contact me with other options, and I will decide based on what is available")</f>
        <v>Maybe -- please contact me with other options, and I will decide based on what is available</v>
      </c>
      <c r="Y143" s="61"/>
      <c r="Z143" s="67"/>
      <c r="AA143" s="62"/>
      <c r="AB143" s="62"/>
      <c r="AC143" s="62"/>
      <c r="AD143" s="62"/>
      <c r="AE143" s="62"/>
      <c r="AF143" s="62"/>
      <c r="AG143" s="62"/>
      <c r="AH143" s="62"/>
      <c r="AI143" s="62"/>
      <c r="AJ143" s="62"/>
      <c r="AK143" s="62"/>
      <c r="AL143" s="62"/>
      <c r="AM143" s="62"/>
      <c r="AN143" s="62"/>
      <c r="AO143" s="62"/>
    </row>
    <row r="144">
      <c r="A144" s="59">
        <f>IFERROR(__xludf.DUMMYFUNCTION("QUERY('Volunteer Survey'!A151)"),43560.45181064815)</f>
        <v>43560.45181</v>
      </c>
      <c r="B144" s="60" t="s">
        <v>282</v>
      </c>
      <c r="C144" s="61"/>
      <c r="D144" s="82">
        <v>43605.0</v>
      </c>
      <c r="E144" s="60" t="s">
        <v>277</v>
      </c>
      <c r="F144" s="60" t="s">
        <v>277</v>
      </c>
      <c r="G144" s="60" t="s">
        <v>288</v>
      </c>
      <c r="H144" s="63" t="s">
        <v>59</v>
      </c>
      <c r="I144" s="63" t="s">
        <v>189</v>
      </c>
      <c r="J144" s="79">
        <v>43712.0</v>
      </c>
      <c r="K144" s="79"/>
      <c r="L144" s="62" t="str">
        <f>IFERROR(__xludf.DUMMYFUNCTION("QUERY('Volunteer Survey'!B151)"),"Junyu Zhang")</f>
        <v>Junyu Zhang</v>
      </c>
      <c r="M144" s="62" t="str">
        <f>IFERROR(__xludf.DUMMYFUNCTION("QUERY('Volunteer Survey'!E151)"),"junyuzhang@hotmail.com")</f>
        <v>junyuzhang@hotmail.com</v>
      </c>
      <c r="N144" s="62" t="str">
        <f>IFERROR(__xludf.DUMMYFUNCTION("QUERY('Volunteer Survey'!F151)"),"Clinical laboratory geneticist")</f>
        <v>Clinical laboratory geneticist</v>
      </c>
      <c r="O144" s="60" t="str">
        <f>IFERROR(__xludf.DUMMYFUNCTION("QUERY('Volunteer Survey'!H151)"),"Comprehensive")</f>
        <v>Comprehensive</v>
      </c>
      <c r="P144" s="62" t="str">
        <f>IFERROR(__xludf.DUMMYFUNCTION("QUERY('Volunteer Survey'!I151)"),"Variant Pathogenicity")</f>
        <v>Variant Pathogenicity</v>
      </c>
      <c r="Q144" s="66" t="str">
        <f>IFERROR(__xludf.DUMMYFUNCTION("QUERY('Volunteer Survey'!J151)"),"Gene-Disease Validity")</f>
        <v>Gene-Disease Validity</v>
      </c>
      <c r="R144" s="62" t="str">
        <f>IFERROR(__xludf.DUMMYFUNCTION("QUERY('Volunteer Survey'!K151)"),"Clinical Actionability")</f>
        <v>Clinical Actionability</v>
      </c>
      <c r="S144" s="62" t="str">
        <f>IFERROR(__xludf.DUMMYFUNCTION("QUERY('Volunteer Survey'!L151)"),"")</f>
        <v/>
      </c>
      <c r="T144" s="62" t="str">
        <f>IFERROR(__xludf.DUMMYFUNCTION("QUERY('Volunteer Survey'!M151)"),"")</f>
        <v/>
      </c>
      <c r="U144" s="74" t="str">
        <f>IFERROR(__xludf.DUMMYFUNCTION("QUERY('Volunteer Survey'!N151)"),"Curate more than 1000 variants in Chinese patients ")</f>
        <v>Curate more than 1000 variants in Chinese patients </v>
      </c>
      <c r="V144" s="62" t="str">
        <f>IFERROR(__xludf.DUMMYFUNCTION("QUERY('Volunteer Survey'!O151)"),"Possibly")</f>
        <v>Possibly</v>
      </c>
      <c r="W144" s="75" t="str">
        <f>IFERROR(__xludf.DUMMYFUNCTION("QUERY('Volunteer Survey'!P151)"),"Yes. Brain Malformations")</f>
        <v>Yes. Brain Malformations</v>
      </c>
      <c r="X144" s="74" t="str">
        <f>IFERROR(__xludf.DUMMYFUNCTION("QUERY('Volunteer Survey'!R151)"),"Maybe -- please contact me with other options, and I will decide based on what is available")</f>
        <v>Maybe -- please contact me with other options, and I will decide based on what is available</v>
      </c>
      <c r="Y144" s="61"/>
      <c r="Z144" s="67"/>
      <c r="AA144" s="62"/>
      <c r="AB144" s="62"/>
      <c r="AC144" s="62"/>
      <c r="AD144" s="62"/>
      <c r="AE144" s="62"/>
      <c r="AF144" s="62"/>
      <c r="AG144" s="62"/>
      <c r="AH144" s="62"/>
      <c r="AI144" s="62"/>
      <c r="AJ144" s="62"/>
      <c r="AK144" s="62"/>
      <c r="AL144" s="62"/>
      <c r="AM144" s="62"/>
      <c r="AN144" s="62"/>
      <c r="AO144" s="62"/>
    </row>
    <row r="145">
      <c r="A145" s="59">
        <f>IFERROR(__xludf.DUMMYFUNCTION("QUERY('Volunteer Survey'!A152)"),43560.45312697917)</f>
        <v>43560.45313</v>
      </c>
      <c r="B145" s="60" t="s">
        <v>275</v>
      </c>
      <c r="C145" s="61"/>
      <c r="D145" s="82">
        <v>43585.0</v>
      </c>
      <c r="E145" s="60" t="s">
        <v>277</v>
      </c>
      <c r="F145" s="60" t="s">
        <v>277</v>
      </c>
      <c r="G145" s="60" t="s">
        <v>278</v>
      </c>
      <c r="H145" s="63" t="s">
        <v>291</v>
      </c>
      <c r="I145" s="63" t="s">
        <v>189</v>
      </c>
      <c r="J145" s="79">
        <v>43712.0</v>
      </c>
      <c r="K145" s="79"/>
      <c r="L145" s="62" t="str">
        <f>IFERROR(__xludf.DUMMYFUNCTION("QUERY('Volunteer Survey'!B152)"),"Jing Zhang")</f>
        <v>Jing Zhang</v>
      </c>
      <c r="M145" s="62" t="str">
        <f>IFERROR(__xludf.DUMMYFUNCTION("QUERY('Volunteer Survey'!E152)"),"jzhang@wuxinextcode.com")</f>
        <v>jzhang@wuxinextcode.com</v>
      </c>
      <c r="N145" s="62" t="str">
        <f>IFERROR(__xludf.DUMMYFUNCTION("QUERY('Volunteer Survey'!F152)"),"Clinical laboratory geneticist")</f>
        <v>Clinical laboratory geneticist</v>
      </c>
      <c r="O145" s="60" t="str">
        <f>IFERROR(__xludf.DUMMYFUNCTION("QUERY('Volunteer Survey'!H152)"),"Comprehensive")</f>
        <v>Comprehensive</v>
      </c>
      <c r="P145" s="62" t="str">
        <f>IFERROR(__xludf.DUMMYFUNCTION("QUERY('Volunteer Survey'!I152)"),"Gene-Disease Validity")</f>
        <v>Gene-Disease Validity</v>
      </c>
      <c r="Q145" s="66" t="str">
        <f>IFERROR(__xludf.DUMMYFUNCTION("QUERY('Volunteer Survey'!J152)"),"Variant Pathogenicity")</f>
        <v>Variant Pathogenicity</v>
      </c>
      <c r="R145" s="62" t="str">
        <f>IFERROR(__xludf.DUMMYFUNCTION("QUERY('Volunteer Survey'!K152)"),"Clinical Actionability")</f>
        <v>Clinical Actionability</v>
      </c>
      <c r="S145" s="62" t="str">
        <f>IFERROR(__xludf.DUMMYFUNCTION("QUERY('Volunteer Survey'!L152)"),"Somatic Cancer")</f>
        <v>Somatic Cancer</v>
      </c>
      <c r="T145" s="62" t="str">
        <f>IFERROR(__xludf.DUMMYFUNCTION("QUERY('Volunteer Survey'!M152)"),"")</f>
        <v/>
      </c>
      <c r="U145" s="74" t="str">
        <f>IFERROR(__xludf.DUMMYFUNCTION("QUERY('Volunteer Survey'!N152)"),"As the director of clinical genomic interpretation division of WuXi NextCODE, I do gene/variant curation on daily basis. ")</f>
        <v>As the director of clinical genomic interpretation division of WuXi NextCODE, I do gene/variant curation on daily basis. </v>
      </c>
      <c r="V145" s="62" t="str">
        <f>IFERROR(__xludf.DUMMYFUNCTION("QUERY('Volunteer Survey'!O152)"),"Possibly")</f>
        <v>Possibly</v>
      </c>
      <c r="W145" s="75" t="str">
        <f>IFERROR(__xludf.DUMMYFUNCTION("QUERY('Volunteer Survey'!P152)"),"")</f>
        <v/>
      </c>
      <c r="X145" s="74" t="str">
        <f>IFERROR(__xludf.DUMMYFUNCTION("QUERY('Volunteer Survey'!R152)"),"Yes- I am willing to volunteer with any available ClinGen group")</f>
        <v>Yes- I am willing to volunteer with any available ClinGen group</v>
      </c>
      <c r="Y145" s="61"/>
      <c r="Z145" s="67"/>
      <c r="AA145" s="62"/>
      <c r="AB145" s="62"/>
      <c r="AC145" s="62"/>
      <c r="AD145" s="62"/>
      <c r="AE145" s="62"/>
      <c r="AF145" s="62"/>
      <c r="AG145" s="62"/>
      <c r="AH145" s="62"/>
      <c r="AI145" s="62"/>
      <c r="AJ145" s="62"/>
      <c r="AK145" s="62"/>
      <c r="AL145" s="62"/>
      <c r="AM145" s="62"/>
      <c r="AN145" s="62"/>
      <c r="AO145" s="62"/>
    </row>
    <row r="146">
      <c r="A146" s="59">
        <f>IFERROR(__xludf.DUMMYFUNCTION("QUERY('Volunteer Survey'!A153)"),43560.47645966435)</f>
        <v>43560.47646</v>
      </c>
      <c r="B146" s="60" t="s">
        <v>274</v>
      </c>
      <c r="C146" s="61"/>
      <c r="D146" s="62"/>
      <c r="E146" s="60" t="s">
        <v>182</v>
      </c>
      <c r="F146" s="60" t="s">
        <v>182</v>
      </c>
      <c r="G146" s="60" t="s">
        <v>278</v>
      </c>
      <c r="H146" s="61"/>
      <c r="I146" s="63" t="s">
        <v>189</v>
      </c>
      <c r="J146" s="62"/>
      <c r="K146" s="62"/>
      <c r="L146" s="62" t="str">
        <f>IFERROR(__xludf.DUMMYFUNCTION("QUERY('Volunteer Survey'!B153)"),"Mary-Alice Abbott")</f>
        <v>Mary-Alice Abbott</v>
      </c>
      <c r="M146" s="62" t="str">
        <f>IFERROR(__xludf.DUMMYFUNCTION("QUERY('Volunteer Survey'!E153)"),"Maryalice.abbott@baystatehealth.org")</f>
        <v>Maryalice.abbott@baystatehealth.org</v>
      </c>
      <c r="N146" s="62" t="str">
        <f>IFERROR(__xludf.DUMMYFUNCTION("QUERY('Volunteer Survey'!F153)"),"Clinical Medical Geneticist")</f>
        <v>Clinical Medical Geneticist</v>
      </c>
      <c r="O146" s="60" t="str">
        <f>IFERROR(__xludf.DUMMYFUNCTION("QUERY('Volunteer Survey'!H153)"),"Comprehensive")</f>
        <v>Comprehensive</v>
      </c>
      <c r="P146" s="62" t="str">
        <f>IFERROR(__xludf.DUMMYFUNCTION("QUERY('Volunteer Survey'!I153)"),"Gene-Disease Validity")</f>
        <v>Gene-Disease Validity</v>
      </c>
      <c r="Q146" s="66" t="str">
        <f>IFERROR(__xludf.DUMMYFUNCTION("QUERY('Volunteer Survey'!J153)"),"Clinical Actionability")</f>
        <v>Clinical Actionability</v>
      </c>
      <c r="R146" s="62" t="str">
        <f>IFERROR(__xludf.DUMMYFUNCTION("QUERY('Volunteer Survey'!K153)"),"")</f>
        <v/>
      </c>
      <c r="S146" s="62" t="str">
        <f>IFERROR(__xludf.DUMMYFUNCTION("QUERY('Volunteer Survey'!L153)"),"")</f>
        <v/>
      </c>
      <c r="T146" s="62" t="str">
        <f>IFERROR(__xludf.DUMMYFUNCTION("QUERY('Volunteer Survey'!M153)"),"")</f>
        <v/>
      </c>
      <c r="U146" s="74" t="str">
        <f>IFERROR(__xludf.DUMMYFUNCTION("QUERY('Volunteer Survey'!N153)"),"As clinical geneticist I regularly interpret clinical significance of gene variants for my patients but do not have formal variant interpretation experience ")</f>
        <v>As clinical geneticist I regularly interpret clinical significance of gene variants for my patients but do not have formal variant interpretation experience </v>
      </c>
      <c r="V146" s="62" t="str">
        <f>IFERROR(__xludf.DUMMYFUNCTION("QUERY('Volunteer Survey'!O153)"),"No")</f>
        <v>No</v>
      </c>
      <c r="W146" s="75" t="str">
        <f>IFERROR(__xludf.DUMMYFUNCTION("QUERY('Volunteer Survey'!P153)"),"LSD, ID, actionability")</f>
        <v>LSD, ID, actionability</v>
      </c>
      <c r="X146" s="74" t="str">
        <f>IFERROR(__xludf.DUMMYFUNCTION("QUERY('Volunteer Survey'!R153)"),"Maybe -- please contact me with other options, and I will decide based on what is available")</f>
        <v>Maybe -- please contact me with other options, and I will decide based on what is available</v>
      </c>
      <c r="Y146" s="61"/>
      <c r="Z146" s="67"/>
      <c r="AA146" s="62"/>
      <c r="AB146" s="62"/>
      <c r="AC146" s="62"/>
      <c r="AD146" s="62"/>
      <c r="AE146" s="62"/>
      <c r="AF146" s="62"/>
      <c r="AG146" s="62"/>
      <c r="AH146" s="62"/>
      <c r="AI146" s="62"/>
      <c r="AJ146" s="62"/>
      <c r="AK146" s="62"/>
      <c r="AL146" s="62"/>
      <c r="AM146" s="62"/>
      <c r="AN146" s="62"/>
      <c r="AO146" s="62"/>
    </row>
    <row r="147">
      <c r="A147" s="59">
        <f>IFERROR(__xludf.DUMMYFUNCTION("QUERY('Volunteer Survey'!A154)"),43560.5073359838)</f>
        <v>43560.50734</v>
      </c>
      <c r="B147" s="60" t="s">
        <v>282</v>
      </c>
      <c r="C147" s="61"/>
      <c r="D147" s="82">
        <v>43605.0</v>
      </c>
      <c r="E147" s="60" t="s">
        <v>277</v>
      </c>
      <c r="F147" s="60" t="s">
        <v>277</v>
      </c>
      <c r="G147" s="60" t="s">
        <v>288</v>
      </c>
      <c r="H147" s="63" t="s">
        <v>264</v>
      </c>
      <c r="I147" s="63" t="s">
        <v>189</v>
      </c>
      <c r="J147" s="79">
        <v>43712.0</v>
      </c>
      <c r="K147" s="79"/>
      <c r="L147" s="62" t="str">
        <f>IFERROR(__xludf.DUMMYFUNCTION("QUERY('Volunteer Survey'!B154)"),"Emily Higgs")</f>
        <v>Emily Higgs</v>
      </c>
      <c r="M147" s="62" t="str">
        <f>IFERROR(__xludf.DUMMYFUNCTION("QUERY('Volunteer Survey'!E154)"),"ehiggs@stanford.edu")</f>
        <v>ehiggs@stanford.edu</v>
      </c>
      <c r="N147" s="62" t="str">
        <f>IFERROR(__xludf.DUMMYFUNCTION("QUERY('Volunteer Survey'!F154)"),"Variant Analyst/Scientist - Academic")</f>
        <v>Variant Analyst/Scientist - Academic</v>
      </c>
      <c r="O147" s="60" t="str">
        <f>IFERROR(__xludf.DUMMYFUNCTION("QUERY('Volunteer Survey'!H154)"),"Comprehensive")</f>
        <v>Comprehensive</v>
      </c>
      <c r="P147" s="62" t="str">
        <f>IFERROR(__xludf.DUMMYFUNCTION("QUERY('Volunteer Survey'!I154)"),"Variant Pathogenicity")</f>
        <v>Variant Pathogenicity</v>
      </c>
      <c r="Q147" s="66" t="str">
        <f>IFERROR(__xludf.DUMMYFUNCTION("QUERY('Volunteer Survey'!J154)"),"Gene-Disease Validity")</f>
        <v>Gene-Disease Validity</v>
      </c>
      <c r="R147" s="62" t="str">
        <f>IFERROR(__xludf.DUMMYFUNCTION("QUERY('Volunteer Survey'!K154)"),"Dosage Sensitivity")</f>
        <v>Dosage Sensitivity</v>
      </c>
      <c r="S147" s="62" t="str">
        <f>IFERROR(__xludf.DUMMYFUNCTION("QUERY('Volunteer Survey'!L154)"),"")</f>
        <v/>
      </c>
      <c r="T147" s="62" t="str">
        <f>IFERROR(__xludf.DUMMYFUNCTION("QUERY('Volunteer Survey'!M154)"),"")</f>
        <v/>
      </c>
      <c r="U147" s="74" t="str">
        <f>IFERROR(__xludf.DUMMYFUNCTION("QUERY('Volunteer Survey'!N154)"),"For the past year I have been doing variant interpretation for 'healthy exomes' in the research setting and supervising Master of Genetic Counseling students' variant interpretation rotations.  ")</f>
        <v>For the past year I have been doing variant interpretation for 'healthy exomes' in the research setting and supervising Master of Genetic Counseling students' variant interpretation rotations.  </v>
      </c>
      <c r="V147" s="62" t="str">
        <f>IFERROR(__xludf.DUMMYFUNCTION("QUERY('Volunteer Survey'!O154)"),"Possibly")</f>
        <v>Possibly</v>
      </c>
      <c r="W147" s="75" t="str">
        <f>IFERROR(__xludf.DUMMYFUNCTION("QUERY('Volunteer Survey'!P154)"),"Dosage- Neurodevelopemental; Gene curation - Intellectual Disability and Autism,
Epilepsy, Hereditary Cancer, Mitochondrial Diseases, Brain Malformations, Monogenic Diabetes; Variant curation - VHL, CDH1, Brain Malformations, Monogenic Diabetes, Colorecta"&amp;"l Cancer ")</f>
        <v>Dosage- Neurodevelopemental; Gene curation - Intellectual Disability and Autism,
Epilepsy, Hereditary Cancer, Mitochondrial Diseases, Brain Malformations, Monogenic Diabetes; Variant curation - VHL, CDH1, Brain Malformations, Monogenic Diabetes, Colorectal Cancer </v>
      </c>
      <c r="X147" s="74" t="str">
        <f>IFERROR(__xludf.DUMMYFUNCTION("QUERY('Volunteer Survey'!R154)"),"Yes- I am willing to volunteer with any available ClinGen group")</f>
        <v>Yes- I am willing to volunteer with any available ClinGen group</v>
      </c>
      <c r="Y147" s="61"/>
      <c r="Z147" s="67"/>
      <c r="AA147" s="62"/>
      <c r="AB147" s="62"/>
      <c r="AC147" s="62"/>
      <c r="AD147" s="62"/>
      <c r="AE147" s="62"/>
      <c r="AF147" s="62"/>
      <c r="AG147" s="62"/>
      <c r="AH147" s="62"/>
      <c r="AI147" s="62"/>
      <c r="AJ147" s="62"/>
      <c r="AK147" s="62"/>
      <c r="AL147" s="62"/>
      <c r="AM147" s="62"/>
      <c r="AN147" s="62"/>
      <c r="AO147" s="62"/>
    </row>
    <row r="148">
      <c r="A148" s="59">
        <f>IFERROR(__xludf.DUMMYFUNCTION("QUERY('Volunteer Survey'!A155)"),43560.65032049768)</f>
        <v>43560.65032</v>
      </c>
      <c r="B148" s="60" t="s">
        <v>275</v>
      </c>
      <c r="C148" s="80">
        <v>43819.0</v>
      </c>
      <c r="D148" s="62"/>
      <c r="E148" s="60" t="s">
        <v>182</v>
      </c>
      <c r="F148" s="60" t="s">
        <v>182</v>
      </c>
      <c r="G148" s="60" t="s">
        <v>288</v>
      </c>
      <c r="H148" s="61"/>
      <c r="I148" s="63" t="s">
        <v>189</v>
      </c>
      <c r="J148" s="62"/>
      <c r="K148" s="62"/>
      <c r="L148" s="62" t="str">
        <f>IFERROR(__xludf.DUMMYFUNCTION("QUERY('Volunteer Survey'!B155)"),"Matt Wright")</f>
        <v>Matt Wright</v>
      </c>
      <c r="M148" s="62" t="str">
        <f>IFERROR(__xludf.DUMMYFUNCTION("QUERY('Volunteer Survey'!E155)"),"wrightmw@stanford.edu")</f>
        <v>wrightmw@stanford.edu</v>
      </c>
      <c r="N148" s="62" t="str">
        <f>IFERROR(__xludf.DUMMYFUNCTION("QUERY('Volunteer Survey'!F155)"),"Biocurator")</f>
        <v>Biocurator</v>
      </c>
      <c r="O148" s="60" t="str">
        <f>IFERROR(__xludf.DUMMYFUNCTION("QUERY('Volunteer Survey'!H155)"),"Comprehensive")</f>
        <v>Comprehensive</v>
      </c>
      <c r="P148" s="62" t="str">
        <f>IFERROR(__xludf.DUMMYFUNCTION("QUERY('Volunteer Survey'!I155)"),"Variant Pathogenicity")</f>
        <v>Variant Pathogenicity</v>
      </c>
      <c r="Q148" s="66" t="str">
        <f>IFERROR(__xludf.DUMMYFUNCTION("QUERY('Volunteer Survey'!J155)"),"")</f>
        <v/>
      </c>
      <c r="R148" s="62" t="str">
        <f>IFERROR(__xludf.DUMMYFUNCTION("QUERY('Volunteer Survey'!K155)"),"")</f>
        <v/>
      </c>
      <c r="S148" s="62" t="str">
        <f>IFERROR(__xludf.DUMMYFUNCTION("QUERY('Volunteer Survey'!L155)"),"")</f>
        <v/>
      </c>
      <c r="T148" s="62" t="str">
        <f>IFERROR(__xludf.DUMMYFUNCTION("QUERY('Volunteer Survey'!M155)"),"")</f>
        <v/>
      </c>
      <c r="U148" s="74" t="str">
        <f>IFERROR(__xludf.DUMMYFUNCTION("QUERY('Volunteer Survey'!N155)"),"Most of my experience is gene-level curation but I’m especially interested in the variant curator’s experience")</f>
        <v>Most of my experience is gene-level curation but I’m especially interested in the variant curator’s experience</v>
      </c>
      <c r="V148" s="62" t="str">
        <f>IFERROR(__xludf.DUMMYFUNCTION("QUERY('Volunteer Survey'!O155)"),"No")</f>
        <v>No</v>
      </c>
      <c r="W148" s="75" t="str">
        <f>IFERROR(__xludf.DUMMYFUNCTION("QUERY('Volunteer Survey'!P155)"),"Hearing Loss or Brain Malformations or Cardiomyopathy ")</f>
        <v>Hearing Loss or Brain Malformations or Cardiomyopathy </v>
      </c>
      <c r="X148" s="74" t="str">
        <f>IFERROR(__xludf.DUMMYFUNCTION("QUERY('Volunteer Survey'!R155)"),"Maybe -- please contact me with other options, and I will decide based on what is available")</f>
        <v>Maybe -- please contact me with other options, and I will decide based on what is available</v>
      </c>
      <c r="Y148" s="61"/>
      <c r="Z148" s="67"/>
      <c r="AA148" s="62"/>
      <c r="AB148" s="62"/>
      <c r="AC148" s="62"/>
      <c r="AD148" s="62"/>
      <c r="AE148" s="62"/>
      <c r="AF148" s="62"/>
      <c r="AG148" s="62"/>
      <c r="AH148" s="62"/>
      <c r="AI148" s="62"/>
      <c r="AJ148" s="62"/>
      <c r="AK148" s="62"/>
      <c r="AL148" s="62"/>
      <c r="AM148" s="62"/>
      <c r="AN148" s="62"/>
      <c r="AO148" s="62"/>
    </row>
    <row r="149">
      <c r="A149" s="59">
        <f>IFERROR(__xludf.DUMMYFUNCTION("QUERY('Volunteer Survey'!A156)"),43560.80082045139)</f>
        <v>43560.80082</v>
      </c>
      <c r="B149" s="60" t="s">
        <v>178</v>
      </c>
      <c r="C149" s="61"/>
      <c r="D149" s="78">
        <v>43570.0</v>
      </c>
      <c r="E149" s="60" t="s">
        <v>277</v>
      </c>
      <c r="F149" s="60" t="s">
        <v>277</v>
      </c>
      <c r="G149" s="60" t="s">
        <v>278</v>
      </c>
      <c r="H149" s="63" t="s">
        <v>291</v>
      </c>
      <c r="I149" s="63" t="s">
        <v>189</v>
      </c>
      <c r="J149" s="79">
        <v>43712.0</v>
      </c>
      <c r="K149" s="79"/>
      <c r="L149" s="62" t="str">
        <f>IFERROR(__xludf.DUMMYFUNCTION("QUERY('Volunteer Survey'!B156)"),"Samantha Chill")</f>
        <v>Samantha Chill</v>
      </c>
      <c r="M149" s="62" t="str">
        <f>IFERROR(__xludf.DUMMYFUNCTION("QUERY('Volunteer Survey'!E156)"),"slsevilla@gmail.com")</f>
        <v>slsevilla@gmail.com</v>
      </c>
      <c r="N149" s="62" t="str">
        <f>IFERROR(__xludf.DUMMYFUNCTION("QUERY('Volunteer Survey'!F156)"),"Graduate Student")</f>
        <v>Graduate Student</v>
      </c>
      <c r="O149" s="60" t="str">
        <f>IFERROR(__xludf.DUMMYFUNCTION("QUERY('Volunteer Survey'!H156)"),"Comprehensive")</f>
        <v>Comprehensive</v>
      </c>
      <c r="P149" s="62" t="str">
        <f>IFERROR(__xludf.DUMMYFUNCTION("QUERY('Volunteer Survey'!I156)"),"Gene-Disease Validity")</f>
        <v>Gene-Disease Validity</v>
      </c>
      <c r="Q149" s="66" t="str">
        <f>IFERROR(__xludf.DUMMYFUNCTION("QUERY('Volunteer Survey'!J156)"),"Variant Pathogenicity")</f>
        <v>Variant Pathogenicity</v>
      </c>
      <c r="R149" s="62" t="str">
        <f>IFERROR(__xludf.DUMMYFUNCTION("QUERY('Volunteer Survey'!K156)"),"Somatic Cancer")</f>
        <v>Somatic Cancer</v>
      </c>
      <c r="S149" s="62" t="str">
        <f>IFERROR(__xludf.DUMMYFUNCTION("QUERY('Volunteer Survey'!L156)"),"Dosage Sensitivity")</f>
        <v>Dosage Sensitivity</v>
      </c>
      <c r="T149" s="62" t="str">
        <f>IFERROR(__xludf.DUMMYFUNCTION("QUERY('Volunteer Survey'!M156)"),"Clinical Actionability")</f>
        <v>Clinical Actionability</v>
      </c>
      <c r="U149" s="74" t="str">
        <f>IFERROR(__xludf.DUMMYFUNCTION("QUERY('Volunteer Survey'!N156)"),"")</f>
        <v/>
      </c>
      <c r="V149" s="62" t="str">
        <f>IFERROR(__xludf.DUMMYFUNCTION("QUERY('Volunteer Survey'!O156)"),"Possibly")</f>
        <v>Possibly</v>
      </c>
      <c r="W149" s="75" t="str">
        <f>IFERROR(__xludf.DUMMYFUNCTION("QUERY('Volunteer Survey'!P156)"),"")</f>
        <v/>
      </c>
      <c r="X149" s="74" t="str">
        <f>IFERROR(__xludf.DUMMYFUNCTION("QUERY('Volunteer Survey'!R156)"),"Maybe -- please contact me with other options, and I will decide based on what is available")</f>
        <v>Maybe -- please contact me with other options, and I will decide based on what is available</v>
      </c>
      <c r="Y149" s="61"/>
      <c r="Z149" s="67"/>
      <c r="AA149" s="62"/>
      <c r="AB149" s="62"/>
      <c r="AC149" s="62"/>
      <c r="AD149" s="62"/>
      <c r="AE149" s="62"/>
      <c r="AF149" s="62"/>
      <c r="AG149" s="62"/>
      <c r="AH149" s="62"/>
      <c r="AI149" s="62"/>
      <c r="AJ149" s="62"/>
      <c r="AK149" s="62"/>
      <c r="AL149" s="62"/>
      <c r="AM149" s="62"/>
      <c r="AN149" s="62"/>
      <c r="AO149" s="62"/>
    </row>
    <row r="150">
      <c r="A150" s="59">
        <f>IFERROR(__xludf.DUMMYFUNCTION("QUERY('Volunteer Survey'!A157)"),43560.84205873843)</f>
        <v>43560.84206</v>
      </c>
      <c r="B150" s="60" t="s">
        <v>275</v>
      </c>
      <c r="C150" s="61"/>
      <c r="D150" s="82"/>
      <c r="E150" s="60" t="s">
        <v>182</v>
      </c>
      <c r="F150" s="60" t="s">
        <v>182</v>
      </c>
      <c r="G150" s="60" t="s">
        <v>276</v>
      </c>
      <c r="H150" s="61"/>
      <c r="I150" s="63" t="s">
        <v>189</v>
      </c>
      <c r="J150" s="62"/>
      <c r="K150" s="62"/>
      <c r="L150" s="62" t="str">
        <f>IFERROR(__xludf.DUMMYFUNCTION("QUERY('Volunteer Survey'!B157)"),"Kristin Maloney")</f>
        <v>Kristin Maloney</v>
      </c>
      <c r="M150" s="62" t="str">
        <f>IFERROR(__xludf.DUMMYFUNCTION("QUERY('Volunteer Survey'!E157)"),"kmaloney1@som.umaryland.edu")</f>
        <v>kmaloney1@som.umaryland.edu</v>
      </c>
      <c r="N150" s="62" t="str">
        <f>IFERROR(__xludf.DUMMYFUNCTION("QUERY('Volunteer Survey'!F157)"),"Genetic counselor")</f>
        <v>Genetic counselor</v>
      </c>
      <c r="O150" s="60" t="str">
        <f>IFERROR(__xludf.DUMMYFUNCTION("QUERY('Volunteer Survey'!H157)"),"Baseline")</f>
        <v>Baseline</v>
      </c>
      <c r="P150" s="62" t="str">
        <f>IFERROR(__xludf.DUMMYFUNCTION("QUERY('Volunteer Survey'!I157)"),"Somatic Cancer")</f>
        <v>Somatic Cancer</v>
      </c>
      <c r="Q150" s="66" t="str">
        <f>IFERROR(__xludf.DUMMYFUNCTION("QUERY('Volunteer Survey'!J157)"),"")</f>
        <v/>
      </c>
      <c r="R150" s="62" t="str">
        <f>IFERROR(__xludf.DUMMYFUNCTION("QUERY('Volunteer Survey'!K157)"),"")</f>
        <v/>
      </c>
      <c r="S150" s="62" t="str">
        <f>IFERROR(__xludf.DUMMYFUNCTION("QUERY('Volunteer Survey'!L157)"),"")</f>
        <v/>
      </c>
      <c r="T150" s="62" t="str">
        <f>IFERROR(__xludf.DUMMYFUNCTION("QUERY('Volunteer Survey'!M157)"),"")</f>
        <v/>
      </c>
      <c r="U150" s="74" t="str">
        <f>IFERROR(__xludf.DUMMYFUNCTION("QUERY('Volunteer Survey'!N157)"),"I don't have much experience with somatic variant interpretation, but am a biocurator on the monogenic diabetes expert panel.")</f>
        <v>I don't have much experience with somatic variant interpretation, but am a biocurator on the monogenic diabetes expert panel.</v>
      </c>
      <c r="V150" s="62" t="str">
        <f>IFERROR(__xludf.DUMMYFUNCTION("QUERY('Volunteer Survey'!O157)"),"No")</f>
        <v>No</v>
      </c>
      <c r="W150" s="75" t="str">
        <f>IFERROR(__xludf.DUMMYFUNCTION("QUERY('Volunteer Survey'!P157)"),"Somatic cancer (am already on the monogenic diabetes expert panel)")</f>
        <v>Somatic cancer (am already on the monogenic diabetes expert panel)</v>
      </c>
      <c r="X150" s="74" t="str">
        <f>IFERROR(__xludf.DUMMYFUNCTION("QUERY('Volunteer Survey'!R157)"),"No - I am only interested in the group(s) I previously indicated")</f>
        <v>No - I am only interested in the group(s) I previously indicated</v>
      </c>
      <c r="Y150" s="61"/>
      <c r="Z150" s="67"/>
      <c r="AA150" s="62"/>
      <c r="AB150" s="62"/>
      <c r="AC150" s="62"/>
      <c r="AD150" s="62"/>
      <c r="AE150" s="62"/>
      <c r="AF150" s="62"/>
      <c r="AG150" s="62"/>
      <c r="AH150" s="62"/>
      <c r="AI150" s="62"/>
      <c r="AJ150" s="62"/>
      <c r="AK150" s="62"/>
      <c r="AL150" s="62"/>
      <c r="AM150" s="62"/>
      <c r="AN150" s="62"/>
      <c r="AO150" s="62"/>
    </row>
    <row r="151">
      <c r="A151" s="59">
        <f>IFERROR(__xludf.DUMMYFUNCTION("QUERY('Volunteer Survey'!A158)"),43560.988255763885)</f>
        <v>43560.98826</v>
      </c>
      <c r="B151" s="60" t="s">
        <v>275</v>
      </c>
      <c r="C151" s="61"/>
      <c r="D151" s="82">
        <v>43585.0</v>
      </c>
      <c r="E151" s="60" t="s">
        <v>277</v>
      </c>
      <c r="F151" s="60" t="s">
        <v>277</v>
      </c>
      <c r="G151" s="60" t="s">
        <v>278</v>
      </c>
      <c r="H151" s="63" t="s">
        <v>290</v>
      </c>
      <c r="I151" s="63" t="s">
        <v>189</v>
      </c>
      <c r="J151" s="79">
        <v>43712.0</v>
      </c>
      <c r="K151" s="79"/>
      <c r="L151" s="62" t="str">
        <f>IFERROR(__xludf.DUMMYFUNCTION("QUERY('Volunteer Survey'!B158)"),"HECTOR RODRIGO MENDEZ")</f>
        <v>HECTOR RODRIGO MENDEZ</v>
      </c>
      <c r="M151" s="62" t="str">
        <f>IFERROR(__xludf.DUMMYFUNCTION("QUERY('Volunteer Survey'!E158)"),"rodrigomendezh@gmail.com")</f>
        <v>rodrigomendezh@gmail.com</v>
      </c>
      <c r="N151" s="62" t="str">
        <f>IFERROR(__xludf.DUMMYFUNCTION("QUERY('Volunteer Survey'!F158)"),"Clinical Medical Geneticist")</f>
        <v>Clinical Medical Geneticist</v>
      </c>
      <c r="O151" s="60" t="str">
        <f>IFERROR(__xludf.DUMMYFUNCTION("QUERY('Volunteer Survey'!H158)"),"Comprehensive")</f>
        <v>Comprehensive</v>
      </c>
      <c r="P151" s="62" t="str">
        <f>IFERROR(__xludf.DUMMYFUNCTION("QUERY('Volunteer Survey'!I158)"),"Gene-Disease Validity")</f>
        <v>Gene-Disease Validity</v>
      </c>
      <c r="Q151" s="66" t="str">
        <f>IFERROR(__xludf.DUMMYFUNCTION("QUERY('Volunteer Survey'!J158)"),"Variant Pathogenicity")</f>
        <v>Variant Pathogenicity</v>
      </c>
      <c r="R151" s="62" t="str">
        <f>IFERROR(__xludf.DUMMYFUNCTION("QUERY('Volunteer Survey'!K158)"),"Clinical Actionability")</f>
        <v>Clinical Actionability</v>
      </c>
      <c r="S151" s="62" t="str">
        <f>IFERROR(__xludf.DUMMYFUNCTION("QUERY('Volunteer Survey'!L158)"),"")</f>
        <v/>
      </c>
      <c r="T151" s="62" t="str">
        <f>IFERROR(__xludf.DUMMYFUNCTION("QUERY('Volunteer Survey'!M158)"),"")</f>
        <v/>
      </c>
      <c r="U151" s="74" t="str">
        <f>IFERROR(__xludf.DUMMYFUNCTION("QUERY('Volunteer Survey'!N158)"),"My Master´s thesis project was about the utility of whole Exome sequencing in some patient in the NICU.")</f>
        <v>My Master´s thesis project was about the utility of whole Exome sequencing in some patient in the NICU.</v>
      </c>
      <c r="V151" s="62" t="str">
        <f>IFERROR(__xludf.DUMMYFUNCTION("QUERY('Volunteer Survey'!O158)"),"Possibly")</f>
        <v>Possibly</v>
      </c>
      <c r="W151" s="75" t="str">
        <f>IFERROR(__xludf.DUMMYFUNCTION("QUERY('Volunteer Survey'!P158)"),"Intellectual Disability and Autism, RASopathy")</f>
        <v>Intellectual Disability and Autism, RASopathy</v>
      </c>
      <c r="X151" s="74" t="str">
        <f>IFERROR(__xludf.DUMMYFUNCTION("QUERY('Volunteer Survey'!R158)"),"Yes- I am willing to volunteer with any available ClinGen group")</f>
        <v>Yes- I am willing to volunteer with any available ClinGen group</v>
      </c>
      <c r="Y151" s="61"/>
      <c r="Z151" s="67"/>
      <c r="AA151" s="62"/>
      <c r="AB151" s="62"/>
      <c r="AC151" s="62"/>
      <c r="AD151" s="62"/>
      <c r="AE151" s="62"/>
      <c r="AF151" s="62"/>
      <c r="AG151" s="62"/>
      <c r="AH151" s="62"/>
      <c r="AI151" s="62"/>
      <c r="AJ151" s="62"/>
      <c r="AK151" s="62"/>
      <c r="AL151" s="62"/>
      <c r="AM151" s="62"/>
      <c r="AN151" s="62"/>
      <c r="AO151" s="62"/>
    </row>
    <row r="152">
      <c r="A152" s="59">
        <f>IFERROR(__xludf.DUMMYFUNCTION("QUERY('Volunteer Survey'!A159)"),43562.74876119213)</f>
        <v>43562.74876</v>
      </c>
      <c r="B152" s="60" t="s">
        <v>275</v>
      </c>
      <c r="C152" s="61"/>
      <c r="D152" s="62"/>
      <c r="E152" s="60" t="s">
        <v>182</v>
      </c>
      <c r="F152" s="60" t="s">
        <v>182</v>
      </c>
      <c r="G152" s="60" t="s">
        <v>276</v>
      </c>
      <c r="H152" s="61"/>
      <c r="I152" s="63" t="s">
        <v>189</v>
      </c>
      <c r="J152" s="62"/>
      <c r="K152" s="62"/>
      <c r="L152" s="62" t="str">
        <f>IFERROR(__xludf.DUMMYFUNCTION("QUERY('Volunteer Survey'!B159)"),"M.I. anwar")</f>
        <v>M.I. anwar</v>
      </c>
      <c r="M152" s="62" t="str">
        <f>IFERROR(__xludf.DUMMYFUNCTION("QUERY('Volunteer Survey'!E159)"),"mimtiazanwar@gmail.com")</f>
        <v>mimtiazanwar@gmail.com</v>
      </c>
      <c r="N152" s="62" t="str">
        <f>IFERROR(__xludf.DUMMYFUNCTION("QUERY('Volunteer Survey'!F159)"),"Scientific Researcher")</f>
        <v>Scientific Researcher</v>
      </c>
      <c r="O152" s="60" t="str">
        <f>IFERROR(__xludf.DUMMYFUNCTION("QUERY('Volunteer Survey'!H159)"),"Baseline")</f>
        <v>Baseline</v>
      </c>
      <c r="P152" s="62" t="str">
        <f>IFERROR(__xludf.DUMMYFUNCTION("QUERY('Volunteer Survey'!I159)"),"Clinical Actionability")</f>
        <v>Clinical Actionability</v>
      </c>
      <c r="Q152" s="66" t="str">
        <f>IFERROR(__xludf.DUMMYFUNCTION("QUERY('Volunteer Survey'!J159)"),"")</f>
        <v/>
      </c>
      <c r="R152" s="62" t="str">
        <f>IFERROR(__xludf.DUMMYFUNCTION("QUERY('Volunteer Survey'!K159)"),"")</f>
        <v/>
      </c>
      <c r="S152" s="62" t="str">
        <f>IFERROR(__xludf.DUMMYFUNCTION("QUERY('Volunteer Survey'!L159)"),"")</f>
        <v/>
      </c>
      <c r="T152" s="62" t="str">
        <f>IFERROR(__xludf.DUMMYFUNCTION("QUERY('Volunteer Survey'!M159)"),"")</f>
        <v/>
      </c>
      <c r="U152" s="74" t="str">
        <f>IFERROR(__xludf.DUMMYFUNCTION("QUERY('Volunteer Survey'!N159)"),"")</f>
        <v/>
      </c>
      <c r="V152" s="62" t="str">
        <f>IFERROR(__xludf.DUMMYFUNCTION("QUERY('Volunteer Survey'!O159)"),"Yes")</f>
        <v>Yes</v>
      </c>
      <c r="W152" s="75" t="str">
        <f>IFERROR(__xludf.DUMMYFUNCTION("QUERY('Volunteer Survey'!P159)"),"YES I AM")</f>
        <v>YES I AM</v>
      </c>
      <c r="X152" s="74" t="str">
        <f>IFERROR(__xludf.DUMMYFUNCTION("QUERY('Volunteer Survey'!R159)"),"Yes- I am willing to volunteer with any available ClinGen group")</f>
        <v>Yes- I am willing to volunteer with any available ClinGen group</v>
      </c>
      <c r="Y152" s="61"/>
      <c r="Z152" s="67"/>
      <c r="AA152" s="62"/>
      <c r="AB152" s="62"/>
      <c r="AC152" s="62"/>
      <c r="AD152" s="62"/>
      <c r="AE152" s="62"/>
      <c r="AF152" s="62"/>
      <c r="AG152" s="62"/>
      <c r="AH152" s="62"/>
      <c r="AI152" s="62"/>
      <c r="AJ152" s="62"/>
      <c r="AK152" s="62"/>
      <c r="AL152" s="62"/>
      <c r="AM152" s="62"/>
      <c r="AN152" s="62"/>
      <c r="AO152" s="62"/>
    </row>
    <row r="153">
      <c r="A153" s="59">
        <f>IFERROR(__xludf.DUMMYFUNCTION("QUERY('Volunteer Survey'!A160)"),43563.39827228009)</f>
        <v>43563.39827</v>
      </c>
      <c r="B153" s="60" t="s">
        <v>275</v>
      </c>
      <c r="C153" s="61"/>
      <c r="D153" s="82">
        <v>43594.0</v>
      </c>
      <c r="E153" s="60" t="s">
        <v>277</v>
      </c>
      <c r="F153" s="60" t="s">
        <v>277</v>
      </c>
      <c r="G153" s="60" t="s">
        <v>27</v>
      </c>
      <c r="H153" s="76" t="s">
        <v>27</v>
      </c>
      <c r="I153" s="76" t="s">
        <v>189</v>
      </c>
      <c r="J153" s="79">
        <v>43712.0</v>
      </c>
      <c r="K153" s="79"/>
      <c r="L153" s="62" t="str">
        <f>IFERROR(__xludf.DUMMYFUNCTION("QUERY('Volunteer Survey'!B160)"),"Karen Hanson")</f>
        <v>Karen Hanson</v>
      </c>
      <c r="M153" s="62" t="str">
        <f>IFERROR(__xludf.DUMMYFUNCTION("QUERY('Volunteer Survey'!E160)"),"krhms3@gmail.com")</f>
        <v>krhms3@gmail.com</v>
      </c>
      <c r="N153" s="62" t="str">
        <f>IFERROR(__xludf.DUMMYFUNCTION("QUERY('Volunteer Survey'!F160)"),"Genetic counselor")</f>
        <v>Genetic counselor</v>
      </c>
      <c r="O153" s="60" t="str">
        <f>IFERROR(__xludf.DUMMYFUNCTION("QUERY('Volunteer Survey'!H160)"),"Comprehensive")</f>
        <v>Comprehensive</v>
      </c>
      <c r="P153" s="62" t="str">
        <f>IFERROR(__xludf.DUMMYFUNCTION("QUERY('Volunteer Survey'!I160)"),"Clinical Actionability")</f>
        <v>Clinical Actionability</v>
      </c>
      <c r="Q153" s="66" t="str">
        <f>IFERROR(__xludf.DUMMYFUNCTION("QUERY('Volunteer Survey'!J160)"),"Gene-Disease Validity")</f>
        <v>Gene-Disease Validity</v>
      </c>
      <c r="R153" s="62" t="str">
        <f>IFERROR(__xludf.DUMMYFUNCTION("QUERY('Volunteer Survey'!K160)"),"Somatic Cancer")</f>
        <v>Somatic Cancer</v>
      </c>
      <c r="S153" s="62" t="str">
        <f>IFERROR(__xludf.DUMMYFUNCTION("QUERY('Volunteer Survey'!L160)"),"")</f>
        <v/>
      </c>
      <c r="T153" s="62" t="str">
        <f>IFERROR(__xludf.DUMMYFUNCTION("QUERY('Volunteer Survey'!M160)"),"")</f>
        <v/>
      </c>
      <c r="U153" s="74" t="str">
        <f>IFERROR(__xludf.DUMMYFUNCTION("QUERY('Volunteer Survey'!N160)"),"n/a")</f>
        <v>n/a</v>
      </c>
      <c r="V153" s="62" t="str">
        <f>IFERROR(__xludf.DUMMYFUNCTION("QUERY('Volunteer Survey'!O160)"),"Possibly")</f>
        <v>Possibly</v>
      </c>
      <c r="W153" s="75" t="str">
        <f>IFERROR(__xludf.DUMMYFUNCTION("QUERY('Volunteer Survey'!P160)"),"brain malformations, cancer")</f>
        <v>brain malformations, cancer</v>
      </c>
      <c r="X153" s="74" t="str">
        <f>IFERROR(__xludf.DUMMYFUNCTION("QUERY('Volunteer Survey'!R160)"),"Yes- I am willing to volunteer with any available ClinGen group")</f>
        <v>Yes- I am willing to volunteer with any available ClinGen group</v>
      </c>
      <c r="Y153" s="61"/>
      <c r="Z153" s="67"/>
      <c r="AA153" s="62"/>
      <c r="AB153" s="62"/>
      <c r="AC153" s="62"/>
      <c r="AD153" s="62"/>
      <c r="AE153" s="62"/>
      <c r="AF153" s="62"/>
      <c r="AG153" s="62"/>
      <c r="AH153" s="62"/>
      <c r="AI153" s="62"/>
      <c r="AJ153" s="62"/>
      <c r="AK153" s="62"/>
      <c r="AL153" s="62"/>
      <c r="AM153" s="62"/>
      <c r="AN153" s="62"/>
      <c r="AO153" s="62"/>
    </row>
    <row r="154">
      <c r="A154" s="59">
        <f>IFERROR(__xludf.DUMMYFUNCTION("QUERY('Volunteer Survey'!A161)"),43563.56040282408)</f>
        <v>43563.5604</v>
      </c>
      <c r="B154" s="60" t="s">
        <v>275</v>
      </c>
      <c r="C154" s="61"/>
      <c r="D154" s="117">
        <v>43859.0</v>
      </c>
      <c r="E154" s="60" t="s">
        <v>277</v>
      </c>
      <c r="F154" s="60" t="s">
        <v>277</v>
      </c>
      <c r="G154" s="60" t="s">
        <v>288</v>
      </c>
      <c r="H154" s="61"/>
      <c r="I154" s="63" t="s">
        <v>189</v>
      </c>
      <c r="J154" s="62"/>
      <c r="K154" s="62"/>
      <c r="L154" s="62" t="str">
        <f>IFERROR(__xludf.DUMMYFUNCTION("QUERY('Volunteer Survey'!B161)"),"Daniel Reich")</f>
        <v>Daniel Reich</v>
      </c>
      <c r="M154" s="62" t="str">
        <f>IFERROR(__xludf.DUMMYFUNCTION("QUERY('Volunteer Survey'!E161)"),"daniel.reich@aruplab.com")</f>
        <v>daniel.reich@aruplab.com</v>
      </c>
      <c r="N154" s="62" t="str">
        <f>IFERROR(__xludf.DUMMYFUNCTION("QUERY('Volunteer Survey'!F161)"),"Variant Analyst/Scientist - Industry")</f>
        <v>Variant Analyst/Scientist - Industry</v>
      </c>
      <c r="O154" s="60" t="str">
        <f>IFERROR(__xludf.DUMMYFUNCTION("QUERY('Volunteer Survey'!H161)"),"Comprehensive")</f>
        <v>Comprehensive</v>
      </c>
      <c r="P154" s="62" t="str">
        <f>IFERROR(__xludf.DUMMYFUNCTION("QUERY('Volunteer Survey'!I161)"),"Variant Pathogenicity")</f>
        <v>Variant Pathogenicity</v>
      </c>
      <c r="Q154" s="66" t="str">
        <f>IFERROR(__xludf.DUMMYFUNCTION("QUERY('Volunteer Survey'!J161)"),"Gene-Disease Validity")</f>
        <v>Gene-Disease Validity</v>
      </c>
      <c r="R154" s="62" t="str">
        <f>IFERROR(__xludf.DUMMYFUNCTION("QUERY('Volunteer Survey'!K161)"),"Clinical Actionability")</f>
        <v>Clinical Actionability</v>
      </c>
      <c r="S154" s="62" t="str">
        <f>IFERROR(__xludf.DUMMYFUNCTION("QUERY('Volunteer Survey'!L161)"),"")</f>
        <v/>
      </c>
      <c r="T154" s="62" t="str">
        <f>IFERROR(__xludf.DUMMYFUNCTION("QUERY('Volunteer Survey'!M161)"),"")</f>
        <v/>
      </c>
      <c r="U154" s="74" t="str">
        <f>IFERROR(__xludf.DUMMYFUNCTION("QUERY('Volunteer Survey'!N161)"),"As a variant scientist, I have been doing variant classification for clinical genetics tests for ~10 months. I have been involved in discussing gene-disease validity, though only for the last 1-2 months.")</f>
        <v>As a variant scientist, I have been doing variant classification for clinical genetics tests for ~10 months. I have been involved in discussing gene-disease validity, though only for the last 1-2 months.</v>
      </c>
      <c r="V154" s="62" t="str">
        <f>IFERROR(__xludf.DUMMYFUNCTION("QUERY('Volunteer Survey'!O161)"),"No")</f>
        <v>No</v>
      </c>
      <c r="W154" s="75" t="str">
        <f>IFERROR(__xludf.DUMMYFUNCTION("QUERY('Volunteer Survey'!P161)"),"Cerebral Creatine Deficiency Syndromes")</f>
        <v>Cerebral Creatine Deficiency Syndromes</v>
      </c>
      <c r="X154" s="74" t="str">
        <f>IFERROR(__xludf.DUMMYFUNCTION("QUERY('Volunteer Survey'!R161)"),"Yes- I am willing to volunteer with any available ClinGen group")</f>
        <v>Yes- I am willing to volunteer with any available ClinGen group</v>
      </c>
      <c r="Y154" s="61"/>
      <c r="Z154" s="67"/>
      <c r="AA154" s="62"/>
      <c r="AB154" s="62"/>
      <c r="AC154" s="62"/>
      <c r="AD154" s="62"/>
      <c r="AE154" s="62"/>
      <c r="AF154" s="62"/>
      <c r="AG154" s="62"/>
      <c r="AH154" s="62"/>
      <c r="AI154" s="62"/>
      <c r="AJ154" s="62"/>
      <c r="AK154" s="62"/>
      <c r="AL154" s="62"/>
      <c r="AM154" s="62"/>
      <c r="AN154" s="62"/>
      <c r="AO154" s="62"/>
    </row>
    <row r="155">
      <c r="A155" s="59">
        <f>IFERROR(__xludf.DUMMYFUNCTION("QUERY('Volunteer Survey'!A162)"),43563.61847023148)</f>
        <v>43563.61847</v>
      </c>
      <c r="B155" s="60" t="s">
        <v>275</v>
      </c>
      <c r="C155" s="61"/>
      <c r="D155" s="82">
        <v>43580.0</v>
      </c>
      <c r="E155" s="60" t="s">
        <v>277</v>
      </c>
      <c r="F155" s="60" t="s">
        <v>277</v>
      </c>
      <c r="G155" s="60" t="s">
        <v>283</v>
      </c>
      <c r="H155" s="61"/>
      <c r="I155" s="63" t="s">
        <v>189</v>
      </c>
      <c r="J155" s="79">
        <v>43712.0</v>
      </c>
      <c r="K155" s="79"/>
      <c r="L155" s="62" t="str">
        <f>IFERROR(__xludf.DUMMYFUNCTION("QUERY('Volunteer Survey'!B162)"),"Christine Preston")</f>
        <v>Christine Preston</v>
      </c>
      <c r="M155" s="62" t="str">
        <f>IFERROR(__xludf.DUMMYFUNCTION("QUERY('Volunteer Survey'!E162)"),"christip@stanford.edu")</f>
        <v>christip@stanford.edu</v>
      </c>
      <c r="N155" s="62" t="str">
        <f>IFERROR(__xludf.DUMMYFUNCTION("QUERY('Volunteer Survey'!F162)"),"Biocurator")</f>
        <v>Biocurator</v>
      </c>
      <c r="O155" s="60" t="str">
        <f>IFERROR(__xludf.DUMMYFUNCTION("QUERY('Volunteer Survey'!H162)"),"Comprehensive")</f>
        <v>Comprehensive</v>
      </c>
      <c r="P155" s="62" t="str">
        <f>IFERROR(__xludf.DUMMYFUNCTION("QUERY('Volunteer Survey'!I162)"),"Dosage Sensitivity")</f>
        <v>Dosage Sensitivity</v>
      </c>
      <c r="Q155" s="66" t="str">
        <f>IFERROR(__xludf.DUMMYFUNCTION("QUERY('Volunteer Survey'!J162)"),"Clinical Actionability")</f>
        <v>Clinical Actionability</v>
      </c>
      <c r="R155" s="62" t="str">
        <f>IFERROR(__xludf.DUMMYFUNCTION("QUERY('Volunteer Survey'!K162)"),"Variant Pathogenicity")</f>
        <v>Variant Pathogenicity</v>
      </c>
      <c r="S155" s="62" t="str">
        <f>IFERROR(__xludf.DUMMYFUNCTION("QUERY('Volunteer Survey'!L162)"),"")</f>
        <v/>
      </c>
      <c r="T155" s="62" t="str">
        <f>IFERROR(__xludf.DUMMYFUNCTION("QUERY('Volunteer Survey'!M162)"),"")</f>
        <v/>
      </c>
      <c r="U155" s="74" t="str">
        <f>IFERROR(__xludf.DUMMYFUNCTION("QUERY('Volunteer Survey'!N162)"),"")</f>
        <v/>
      </c>
      <c r="V155" s="62" t="str">
        <f>IFERROR(__xludf.DUMMYFUNCTION("QUERY('Volunteer Survey'!O162)"),"No")</f>
        <v>No</v>
      </c>
      <c r="W155" s="75" t="str">
        <f>IFERROR(__xludf.DUMMYFUNCTION("QUERY('Volunteer Survey'!P162)"),"Dosage Sensitivity Working Group")</f>
        <v>Dosage Sensitivity Working Group</v>
      </c>
      <c r="X155" s="74" t="str">
        <f>IFERROR(__xludf.DUMMYFUNCTION("QUERY('Volunteer Survey'!R162)"),"Maybe -- please contact me with other options, and I will decide based on what is available")</f>
        <v>Maybe -- please contact me with other options, and I will decide based on what is available</v>
      </c>
      <c r="Y155" s="61"/>
      <c r="Z155" s="67"/>
      <c r="AA155" s="62"/>
      <c r="AB155" s="62"/>
      <c r="AC155" s="62"/>
      <c r="AD155" s="62"/>
      <c r="AE155" s="62"/>
      <c r="AF155" s="62"/>
      <c r="AG155" s="62"/>
      <c r="AH155" s="62"/>
      <c r="AI155" s="62"/>
      <c r="AJ155" s="62"/>
      <c r="AK155" s="62"/>
      <c r="AL155" s="62"/>
      <c r="AM155" s="62"/>
      <c r="AN155" s="62"/>
      <c r="AO155" s="62"/>
    </row>
    <row r="156">
      <c r="A156" s="59">
        <f>IFERROR(__xludf.DUMMYFUNCTION("QUERY('Volunteer Survey'!A163)"),43564.41759017361)</f>
        <v>43564.41759</v>
      </c>
      <c r="B156" s="60" t="s">
        <v>275</v>
      </c>
      <c r="C156" s="80">
        <v>43819.0</v>
      </c>
      <c r="D156" s="62"/>
      <c r="E156" s="60" t="s">
        <v>182</v>
      </c>
      <c r="F156" s="60" t="s">
        <v>182</v>
      </c>
      <c r="G156" s="60" t="s">
        <v>278</v>
      </c>
      <c r="H156" s="61"/>
      <c r="I156" s="63" t="s">
        <v>189</v>
      </c>
      <c r="J156" s="62"/>
      <c r="K156" s="62"/>
      <c r="L156" s="62" t="str">
        <f>IFERROR(__xludf.DUMMYFUNCTION("QUERY('Volunteer Survey'!B163)"),"Julie Hathaway")</f>
        <v>Julie Hathaway</v>
      </c>
      <c r="M156" s="62" t="str">
        <f>IFERROR(__xludf.DUMMYFUNCTION("QUERY('Volunteer Survey'!E163)"),"julie.hathaway@blueprintgenetics.com")</f>
        <v>julie.hathaway@blueprintgenetics.com</v>
      </c>
      <c r="N156" s="62" t="str">
        <f>IFERROR(__xludf.DUMMYFUNCTION("QUERY('Volunteer Survey'!F163)"),"Genetic counselor")</f>
        <v>Genetic counselor</v>
      </c>
      <c r="O156" s="60" t="str">
        <f>IFERROR(__xludf.DUMMYFUNCTION("QUERY('Volunteer Survey'!H163)"),"Comprehensive")</f>
        <v>Comprehensive</v>
      </c>
      <c r="P156" s="62" t="str">
        <f>IFERROR(__xludf.DUMMYFUNCTION("QUERY('Volunteer Survey'!I163)"),"Variant Pathogenicity")</f>
        <v>Variant Pathogenicity</v>
      </c>
      <c r="Q156" s="66" t="str">
        <f>IFERROR(__xludf.DUMMYFUNCTION("QUERY('Volunteer Survey'!J163)"),"Gene-Disease Validity")</f>
        <v>Gene-Disease Validity</v>
      </c>
      <c r="R156" s="62" t="str">
        <f>IFERROR(__xludf.DUMMYFUNCTION("QUERY('Volunteer Survey'!K163)"),"Clinical Actionability")</f>
        <v>Clinical Actionability</v>
      </c>
      <c r="S156" s="62" t="str">
        <f>IFERROR(__xludf.DUMMYFUNCTION("QUERY('Volunteer Survey'!L163)"),"Dosage Sensitivity")</f>
        <v>Dosage Sensitivity</v>
      </c>
      <c r="T156" s="62" t="str">
        <f>IFERROR(__xludf.DUMMYFUNCTION("QUERY('Volunteer Survey'!M163)"),"Somatic Cancer")</f>
        <v>Somatic Cancer</v>
      </c>
      <c r="U156" s="74" t="str">
        <f>IFERROR(__xludf.DUMMYFUNCTION("QUERY('Volunteer Survey'!N163)"),"I have worked in the clinic and now in a commercial laboratory. In the clinic, we performed our own internal variant classifications and also, part of this included thoroughly researching gene-disease associations. In the laboratory, I have a clinical sup"&amp;"port role, contributing to gene panel curation/creation. ")</f>
        <v>I have worked in the clinic and now in a commercial laboratory. In the clinic, we performed our own internal variant classifications and also, part of this included thoroughly researching gene-disease associations. In the laboratory, I have a clinical support role, contributing to gene panel curation/creation. </v>
      </c>
      <c r="V156" s="62" t="str">
        <f>IFERROR(__xludf.DUMMYFUNCTION("QUERY('Volunteer Survey'!O163)"),"No")</f>
        <v>No</v>
      </c>
      <c r="W156" s="75" t="str">
        <f>IFERROR(__xludf.DUMMYFUNCTION("QUERY('Volunteer Survey'!P163)"),"Cardiomyopathy (or arrhythmias if available- I tried to be involved in the KCNQ1 variant curation group but I understand their group is now full) ")</f>
        <v>Cardiomyopathy (or arrhythmias if available- I tried to be involved in the KCNQ1 variant curation group but I understand their group is now full) </v>
      </c>
      <c r="X156" s="74" t="str">
        <f>IFERROR(__xludf.DUMMYFUNCTION("QUERY('Volunteer Survey'!R163)"),"Maybe -- please contact me with other options, and I will decide based on what is available")</f>
        <v>Maybe -- please contact me with other options, and I will decide based on what is available</v>
      </c>
      <c r="Y156" s="61"/>
      <c r="Z156" s="67"/>
      <c r="AA156" s="62"/>
      <c r="AB156" s="62"/>
      <c r="AC156" s="62"/>
      <c r="AD156" s="62"/>
      <c r="AE156" s="62"/>
      <c r="AF156" s="62"/>
      <c r="AG156" s="62"/>
      <c r="AH156" s="62"/>
      <c r="AI156" s="62"/>
      <c r="AJ156" s="62"/>
      <c r="AK156" s="62"/>
      <c r="AL156" s="62"/>
      <c r="AM156" s="62"/>
      <c r="AN156" s="62"/>
      <c r="AO156" s="62"/>
    </row>
    <row r="157">
      <c r="A157" s="59">
        <f>IFERROR(__xludf.DUMMYFUNCTION("QUERY('Volunteer Survey'!A164)"),43564.41960033565)</f>
        <v>43564.4196</v>
      </c>
      <c r="B157" s="60" t="s">
        <v>275</v>
      </c>
      <c r="C157" s="61"/>
      <c r="D157" s="62"/>
      <c r="E157" s="60" t="s">
        <v>182</v>
      </c>
      <c r="F157" s="60" t="s">
        <v>182</v>
      </c>
      <c r="G157" s="60" t="s">
        <v>276</v>
      </c>
      <c r="H157" s="61"/>
      <c r="I157" s="63" t="s">
        <v>189</v>
      </c>
      <c r="J157" s="62"/>
      <c r="K157" s="62"/>
      <c r="L157" s="62" t="str">
        <f>IFERROR(__xludf.DUMMYFUNCTION("QUERY('Volunteer Survey'!B164)"),"Jose Maria Urbano")</f>
        <v>Jose Maria Urbano</v>
      </c>
      <c r="M157" s="62" t="str">
        <f>IFERROR(__xludf.DUMMYFUNCTION("QUERY('Volunteer Survey'!E164)"),"jmu22@cam.ac.uk")</f>
        <v>jmu22@cam.ac.uk</v>
      </c>
      <c r="N157" s="62" t="str">
        <f>IFERROR(__xludf.DUMMYFUNCTION("QUERY('Volunteer Survey'!F164)"),"Biocurator")</f>
        <v>Biocurator</v>
      </c>
      <c r="O157" s="60" t="str">
        <f>IFERROR(__xludf.DUMMYFUNCTION("QUERY('Volunteer Survey'!H164)"),"Baseline")</f>
        <v>Baseline</v>
      </c>
      <c r="P157" s="62" t="str">
        <f>IFERROR(__xludf.DUMMYFUNCTION("QUERY('Volunteer Survey'!I164)"),"Gene-Disease Validity")</f>
        <v>Gene-Disease Validity</v>
      </c>
      <c r="Q157" s="66" t="str">
        <f>IFERROR(__xludf.DUMMYFUNCTION("QUERY('Volunteer Survey'!J164)"),"Variant Pathogenicity")</f>
        <v>Variant Pathogenicity</v>
      </c>
      <c r="R157" s="62" t="str">
        <f>IFERROR(__xludf.DUMMYFUNCTION("QUERY('Volunteer Survey'!K164)"),"Dosage Sensitivity")</f>
        <v>Dosage Sensitivity</v>
      </c>
      <c r="S157" s="62" t="str">
        <f>IFERROR(__xludf.DUMMYFUNCTION("QUERY('Volunteer Survey'!L164)"),"Somatic Cancer")</f>
        <v>Somatic Cancer</v>
      </c>
      <c r="T157" s="62" t="str">
        <f>IFERROR(__xludf.DUMMYFUNCTION("QUERY('Volunteer Survey'!M164)"),"Clinical Actionability")</f>
        <v>Clinical Actionability</v>
      </c>
      <c r="U157" s="74" t="str">
        <f>IFERROR(__xludf.DUMMYFUNCTION("QUERY('Volunteer Survey'!N164)"),"I am a Drosophila biocurator. I've been working for FlyBase for 4 years")</f>
        <v>I am a Drosophila biocurator. I've been working for FlyBase for 4 years</v>
      </c>
      <c r="V157" s="62" t="str">
        <f>IFERROR(__xludf.DUMMYFUNCTION("QUERY('Volunteer Survey'!O164)"),"No")</f>
        <v>No</v>
      </c>
      <c r="W157" s="75" t="str">
        <f>IFERROR(__xludf.DUMMYFUNCTION("QUERY('Volunteer Survey'!P164)"),"")</f>
        <v/>
      </c>
      <c r="X157" s="74" t="str">
        <f>IFERROR(__xludf.DUMMYFUNCTION("QUERY('Volunteer Survey'!R164)"),"")</f>
        <v/>
      </c>
      <c r="Y157" s="61"/>
      <c r="Z157" s="67"/>
      <c r="AA157" s="62"/>
      <c r="AB157" s="62"/>
      <c r="AC157" s="62"/>
      <c r="AD157" s="62"/>
      <c r="AE157" s="62"/>
      <c r="AF157" s="62"/>
      <c r="AG157" s="62"/>
      <c r="AH157" s="62"/>
      <c r="AI157" s="62"/>
      <c r="AJ157" s="62"/>
      <c r="AK157" s="62"/>
      <c r="AL157" s="62"/>
      <c r="AM157" s="62"/>
      <c r="AN157" s="62"/>
      <c r="AO157" s="62"/>
    </row>
    <row r="158">
      <c r="A158" s="59">
        <f>IFERROR(__xludf.DUMMYFUNCTION("QUERY('Volunteer Survey'!A165)"),43564.493346400464)</f>
        <v>43564.49335</v>
      </c>
      <c r="B158" s="60" t="s">
        <v>275</v>
      </c>
      <c r="C158" s="61"/>
      <c r="D158" s="82">
        <v>43585.0</v>
      </c>
      <c r="E158" s="60" t="s">
        <v>277</v>
      </c>
      <c r="F158" s="60" t="s">
        <v>277</v>
      </c>
      <c r="G158" s="60" t="s">
        <v>278</v>
      </c>
      <c r="H158" s="63" t="s">
        <v>107</v>
      </c>
      <c r="I158" s="63" t="s">
        <v>189</v>
      </c>
      <c r="J158" s="79">
        <v>43712.0</v>
      </c>
      <c r="K158" s="79"/>
      <c r="L158" s="62" t="str">
        <f>IFERROR(__xludf.DUMMYFUNCTION("QUERY('Volunteer Survey'!B165)"),"Alexander Ing")</f>
        <v>Alexander Ing</v>
      </c>
      <c r="M158" s="62" t="str">
        <f>IFERROR(__xludf.DUMMYFUNCTION("QUERY('Volunteer Survey'!E165)"),"aing@luriechildrens.org")</f>
        <v>aing@luriechildrens.org</v>
      </c>
      <c r="N158" s="62" t="str">
        <f>IFERROR(__xludf.DUMMYFUNCTION("QUERY('Volunteer Survey'!F165)"),"Genetic counselor")</f>
        <v>Genetic counselor</v>
      </c>
      <c r="O158" s="60" t="str">
        <f>IFERROR(__xludf.DUMMYFUNCTION("QUERY('Volunteer Survey'!H165)"),"Comprehensive")</f>
        <v>Comprehensive</v>
      </c>
      <c r="P158" s="62" t="str">
        <f>IFERROR(__xludf.DUMMYFUNCTION("QUERY('Volunteer Survey'!I165)"),"Gene-Disease Validity")</f>
        <v>Gene-Disease Validity</v>
      </c>
      <c r="Q158" s="66" t="str">
        <f>IFERROR(__xludf.DUMMYFUNCTION("QUERY('Volunteer Survey'!J165)"),"Variant Pathogenicity")</f>
        <v>Variant Pathogenicity</v>
      </c>
      <c r="R158" s="62" t="str">
        <f>IFERROR(__xludf.DUMMYFUNCTION("QUERY('Volunteer Survey'!K165)"),"Clinical Actionability")</f>
        <v>Clinical Actionability</v>
      </c>
      <c r="S158" s="62" t="str">
        <f>IFERROR(__xludf.DUMMYFUNCTION("QUERY('Volunteer Survey'!L165)"),"")</f>
        <v/>
      </c>
      <c r="T158" s="62" t="str">
        <f>IFERROR(__xludf.DUMMYFUNCTION("QUERY('Volunteer Survey'!M165)"),"")</f>
        <v/>
      </c>
      <c r="U158" s="74" t="str">
        <f>IFERROR(__xludf.DUMMYFUNCTION("QUERY('Volunteer Survey'!N165)"),"I am a laboratory genetic counselor and my responsibilities are centered around variant interpretation and test reporting. I have served in this role for 4 years. I have some gene curation experience.")</f>
        <v>I am a laboratory genetic counselor and my responsibilities are centered around variant interpretation and test reporting. I have served in this role for 4 years. I have some gene curation experience.</v>
      </c>
      <c r="V158" s="62" t="str">
        <f>IFERROR(__xludf.DUMMYFUNCTION("QUERY('Volunteer Survey'!O165)"),"Possibly")</f>
        <v>Possibly</v>
      </c>
      <c r="W158" s="75" t="str">
        <f>IFERROR(__xludf.DUMMYFUNCTION("QUERY('Volunteer Survey'!P165)"),"epilepsy")</f>
        <v>epilepsy</v>
      </c>
      <c r="X158" s="74" t="str">
        <f>IFERROR(__xludf.DUMMYFUNCTION("QUERY('Volunteer Survey'!R165)"),"Maybe -- please contact me with other options, and I will decide based on what is available")</f>
        <v>Maybe -- please contact me with other options, and I will decide based on what is available</v>
      </c>
      <c r="Y158" s="61"/>
      <c r="Z158" s="67"/>
      <c r="AA158" s="62"/>
      <c r="AB158" s="62"/>
      <c r="AC158" s="62"/>
      <c r="AD158" s="62"/>
      <c r="AE158" s="62"/>
      <c r="AF158" s="62"/>
      <c r="AG158" s="62"/>
      <c r="AH158" s="62"/>
      <c r="AI158" s="62"/>
      <c r="AJ158" s="62"/>
      <c r="AK158" s="62"/>
      <c r="AL158" s="62"/>
      <c r="AM158" s="62"/>
      <c r="AN158" s="62"/>
      <c r="AO158" s="62"/>
    </row>
    <row r="159">
      <c r="A159" s="59">
        <f>IFERROR(__xludf.DUMMYFUNCTION("QUERY('Volunteer Survey'!A166)"),43564.694213055554)</f>
        <v>43564.69421</v>
      </c>
      <c r="B159" s="60" t="s">
        <v>275</v>
      </c>
      <c r="C159" s="61"/>
      <c r="D159" s="82">
        <v>43692.0</v>
      </c>
      <c r="E159" s="60" t="s">
        <v>277</v>
      </c>
      <c r="F159" s="60" t="s">
        <v>182</v>
      </c>
      <c r="G159" s="60" t="s">
        <v>278</v>
      </c>
      <c r="H159" s="61"/>
      <c r="I159" s="63" t="s">
        <v>189</v>
      </c>
      <c r="J159" s="62"/>
      <c r="K159" s="62"/>
      <c r="L159" s="62" t="str">
        <f>IFERROR(__xludf.DUMMYFUNCTION("QUERY('Volunteer Survey'!B166)"),"Jun Liao")</f>
        <v>Jun Liao</v>
      </c>
      <c r="M159" s="62" t="str">
        <f>IFERROR(__xludf.DUMMYFUNCTION("QUERY('Volunteer Survey'!E166)"),"jl5098@cumc.columbia.edu")</f>
        <v>jl5098@cumc.columbia.edu</v>
      </c>
      <c r="N159" s="62" t="str">
        <f>IFERROR(__xludf.DUMMYFUNCTION("QUERY('Volunteer Survey'!F166)"),"Clinical laboratory geneticist")</f>
        <v>Clinical laboratory geneticist</v>
      </c>
      <c r="O159" s="60" t="str">
        <f>IFERROR(__xludf.DUMMYFUNCTION("QUERY('Volunteer Survey'!H166)"),"Comprehensive")</f>
        <v>Comprehensive</v>
      </c>
      <c r="P159" s="62" t="str">
        <f>IFERROR(__xludf.DUMMYFUNCTION("QUERY('Volunteer Survey'!I166)"),"Gene-Disease Validity")</f>
        <v>Gene-Disease Validity</v>
      </c>
      <c r="Q159" s="66" t="str">
        <f>IFERROR(__xludf.DUMMYFUNCTION("QUERY('Volunteer Survey'!J166)"),"Variant Pathogenicity")</f>
        <v>Variant Pathogenicity</v>
      </c>
      <c r="R159" s="62" t="str">
        <f>IFERROR(__xludf.DUMMYFUNCTION("QUERY('Volunteer Survey'!K166)"),"Dosage Sensitivity")</f>
        <v>Dosage Sensitivity</v>
      </c>
      <c r="S159" s="62" t="str">
        <f>IFERROR(__xludf.DUMMYFUNCTION("QUERY('Volunteer Survey'!L166)"),"Clinical Actionability")</f>
        <v>Clinical Actionability</v>
      </c>
      <c r="T159" s="62" t="str">
        <f>IFERROR(__xludf.DUMMYFUNCTION("QUERY('Volunteer Survey'!M166)"),"Somatic Cancer")</f>
        <v>Somatic Cancer</v>
      </c>
      <c r="U159" s="74" t="str">
        <f>IFERROR(__xludf.DUMMYFUNCTION("QUERY('Volunteer Survey'!N166)"),"As a laboratory director, I sign out WES, NGS panel, and microarray cases daily. So I am very familiar with curation activities for variant pathogenicity, gene-disease validity, and dosage sensitivity.")</f>
        <v>As a laboratory director, I sign out WES, NGS panel, and microarray cases daily. So I am very familiar with curation activities for variant pathogenicity, gene-disease validity, and dosage sensitivity.</v>
      </c>
      <c r="V159" s="62" t="str">
        <f>IFERROR(__xludf.DUMMYFUNCTION("QUERY('Volunteer Survey'!O166)"),"Yes")</f>
        <v>Yes</v>
      </c>
      <c r="W159" s="75" t="str">
        <f>IFERROR(__xludf.DUMMYFUNCTION("QUERY('Volunteer Survey'!P166)"),"1. Lysosomal Storage Disorders VCEP; 2. ID/Autism GCEP")</f>
        <v>1. Lysosomal Storage Disorders VCEP; 2. ID/Autism GCEP</v>
      </c>
      <c r="X159" s="74" t="str">
        <f>IFERROR(__xludf.DUMMYFUNCTION("QUERY('Volunteer Survey'!R166)"),"Maybe -- please contact me with other options, and I will decide based on what is available")</f>
        <v>Maybe -- please contact me with other options, and I will decide based on what is available</v>
      </c>
      <c r="Y159" s="61"/>
      <c r="Z159" s="67"/>
      <c r="AA159" s="62"/>
      <c r="AB159" s="62"/>
      <c r="AC159" s="62"/>
      <c r="AD159" s="62"/>
      <c r="AE159" s="62"/>
      <c r="AF159" s="62"/>
      <c r="AG159" s="62"/>
      <c r="AH159" s="62"/>
      <c r="AI159" s="62"/>
      <c r="AJ159" s="62"/>
      <c r="AK159" s="62"/>
      <c r="AL159" s="62"/>
      <c r="AM159" s="62"/>
      <c r="AN159" s="62"/>
      <c r="AO159" s="62"/>
    </row>
    <row r="160">
      <c r="A160" s="59">
        <f>IFERROR(__xludf.DUMMYFUNCTION("QUERY('Volunteer Survey'!A167)"),43564.71066725694)</f>
        <v>43564.71067</v>
      </c>
      <c r="B160" s="60" t="s">
        <v>275</v>
      </c>
      <c r="C160" s="61"/>
      <c r="D160" s="82">
        <v>43585.0</v>
      </c>
      <c r="E160" s="60" t="s">
        <v>277</v>
      </c>
      <c r="F160" s="60" t="s">
        <v>277</v>
      </c>
      <c r="G160" s="60" t="s">
        <v>278</v>
      </c>
      <c r="H160" s="63" t="s">
        <v>107</v>
      </c>
      <c r="I160" s="63" t="s">
        <v>189</v>
      </c>
      <c r="J160" s="79">
        <v>43712.0</v>
      </c>
      <c r="K160" s="79"/>
      <c r="L160" s="62" t="str">
        <f>IFERROR(__xludf.DUMMYFUNCTION("QUERY('Volunteer Survey'!B167)"),"Maki Kaneko")</f>
        <v>Maki Kaneko</v>
      </c>
      <c r="M160" s="62" t="str">
        <f>IFERROR(__xludf.DUMMYFUNCTION("QUERY('Volunteer Survey'!E167)"),"mkaneko@chla.usc.edu")</f>
        <v>mkaneko@chla.usc.edu</v>
      </c>
      <c r="N160" s="62" t="str">
        <f>IFERROR(__xludf.DUMMYFUNCTION("QUERY('Volunteer Survey'!F167)"),"Genetic counselor")</f>
        <v>Genetic counselor</v>
      </c>
      <c r="O160" s="60" t="str">
        <f>IFERROR(__xludf.DUMMYFUNCTION("QUERY('Volunteer Survey'!H167)"),"Comprehensive")</f>
        <v>Comprehensive</v>
      </c>
      <c r="P160" s="62" t="str">
        <f>IFERROR(__xludf.DUMMYFUNCTION("QUERY('Volunteer Survey'!I167)"),"Gene-Disease Validity")</f>
        <v>Gene-Disease Validity</v>
      </c>
      <c r="Q160" s="66" t="str">
        <f>IFERROR(__xludf.DUMMYFUNCTION("QUERY('Volunteer Survey'!J167)"),"Variant Pathogenicity")</f>
        <v>Variant Pathogenicity</v>
      </c>
      <c r="R160" s="62" t="str">
        <f>IFERROR(__xludf.DUMMYFUNCTION("QUERY('Volunteer Survey'!K167)"),"Clinical Actionability")</f>
        <v>Clinical Actionability</v>
      </c>
      <c r="S160" s="62" t="str">
        <f>IFERROR(__xludf.DUMMYFUNCTION("QUERY('Volunteer Survey'!L167)"),"Dosage Sensitivity")</f>
        <v>Dosage Sensitivity</v>
      </c>
      <c r="T160" s="62" t="str">
        <f>IFERROR(__xludf.DUMMYFUNCTION("QUERY('Volunteer Survey'!M167)"),"Somatic Cancer")</f>
        <v>Somatic Cancer</v>
      </c>
      <c r="U160" s="74" t="str">
        <f>IFERROR(__xludf.DUMMYFUNCTION("QUERY('Volunteer Survey'!N167)"),"")</f>
        <v/>
      </c>
      <c r="V160" s="62" t="str">
        <f>IFERROR(__xludf.DUMMYFUNCTION("QUERY('Volunteer Survey'!O167)"),"No")</f>
        <v>No</v>
      </c>
      <c r="W160" s="75" t="str">
        <f>IFERROR(__xludf.DUMMYFUNCTION("QUERY('Volunteer Survey'!P167)"),"Epilepsy")</f>
        <v>Epilepsy</v>
      </c>
      <c r="X160" s="74" t="str">
        <f>IFERROR(__xludf.DUMMYFUNCTION("QUERY('Volunteer Survey'!R167)"),"Maybe -- please contact me with other options, and I will decide based on what is available")</f>
        <v>Maybe -- please contact me with other options, and I will decide based on what is available</v>
      </c>
      <c r="Y160" s="61"/>
      <c r="Z160" s="67"/>
      <c r="AA160" s="62"/>
      <c r="AB160" s="62"/>
      <c r="AC160" s="62"/>
      <c r="AD160" s="62"/>
      <c r="AE160" s="62"/>
      <c r="AF160" s="62"/>
      <c r="AG160" s="62"/>
      <c r="AH160" s="62"/>
      <c r="AI160" s="62"/>
      <c r="AJ160" s="62"/>
      <c r="AK160" s="62"/>
      <c r="AL160" s="62"/>
      <c r="AM160" s="62"/>
      <c r="AN160" s="62"/>
      <c r="AO160" s="62"/>
    </row>
    <row r="161">
      <c r="A161" s="59">
        <f>IFERROR(__xludf.DUMMYFUNCTION("QUERY('Volunteer Survey'!A168)"),43564.76043560185)</f>
        <v>43564.76044</v>
      </c>
      <c r="B161" s="60" t="s">
        <v>275</v>
      </c>
      <c r="C161" s="61"/>
      <c r="D161" s="62"/>
      <c r="E161" s="60" t="s">
        <v>182</v>
      </c>
      <c r="F161" s="60" t="s">
        <v>182</v>
      </c>
      <c r="G161" s="60" t="s">
        <v>276</v>
      </c>
      <c r="H161" s="61"/>
      <c r="I161" s="63" t="s">
        <v>189</v>
      </c>
      <c r="J161" s="62"/>
      <c r="K161" s="62"/>
      <c r="L161" s="62" t="str">
        <f>IFERROR(__xludf.DUMMYFUNCTION("QUERY('Volunteer Survey'!B168)"),"Emma Leach")</f>
        <v>Emma Leach</v>
      </c>
      <c r="M161" s="62" t="str">
        <f>IFERROR(__xludf.DUMMYFUNCTION("QUERY('Volunteer Survey'!E168)"),"eleach@providencehealth.bc.ca")</f>
        <v>eleach@providencehealth.bc.ca</v>
      </c>
      <c r="N161" s="62" t="str">
        <f>IFERROR(__xludf.DUMMYFUNCTION("QUERY('Volunteer Survey'!F168)"),"Genetic counselor")</f>
        <v>Genetic counselor</v>
      </c>
      <c r="O161" s="60" t="str">
        <f>IFERROR(__xludf.DUMMYFUNCTION("QUERY('Volunteer Survey'!H168)"),"Baseline")</f>
        <v>Baseline</v>
      </c>
      <c r="P161" s="62" t="str">
        <f>IFERROR(__xludf.DUMMYFUNCTION("QUERY('Volunteer Survey'!I168)"),"Clinical Actionability")</f>
        <v>Clinical Actionability</v>
      </c>
      <c r="Q161" s="66" t="str">
        <f>IFERROR(__xludf.DUMMYFUNCTION("QUERY('Volunteer Survey'!J168)"),"Gene-Disease Validity")</f>
        <v>Gene-Disease Validity</v>
      </c>
      <c r="R161" s="62" t="str">
        <f>IFERROR(__xludf.DUMMYFUNCTION("QUERY('Volunteer Survey'!K168)"),"Variant Pathogenicity")</f>
        <v>Variant Pathogenicity</v>
      </c>
      <c r="S161" s="62" t="str">
        <f>IFERROR(__xludf.DUMMYFUNCTION("QUERY('Volunteer Survey'!L168)"),"Somatic Cancer")</f>
        <v>Somatic Cancer</v>
      </c>
      <c r="T161" s="62" t="str">
        <f>IFERROR(__xludf.DUMMYFUNCTION("QUERY('Volunteer Survey'!M168)"),"Dosage Sensitivity")</f>
        <v>Dosage Sensitivity</v>
      </c>
      <c r="U161" s="74" t="str">
        <f>IFERROR(__xludf.DUMMYFUNCTION("QUERY('Volunteer Survey'!N168)"),"previously published systematic literature review")</f>
        <v>previously published systematic literature review</v>
      </c>
      <c r="V161" s="62" t="str">
        <f>IFERROR(__xludf.DUMMYFUNCTION("QUERY('Volunteer Survey'!O168)"),"Yes")</f>
        <v>Yes</v>
      </c>
      <c r="W161" s="75" t="str">
        <f>IFERROR(__xludf.DUMMYFUNCTION("QUERY('Volunteer Survey'!P168)"),"cardiomyopathy")</f>
        <v>cardiomyopathy</v>
      </c>
      <c r="X161" s="74" t="str">
        <f>IFERROR(__xludf.DUMMYFUNCTION("QUERY('Volunteer Survey'!R168)"),"Yes- I am willing to volunteer with any available ClinGen group")</f>
        <v>Yes- I am willing to volunteer with any available ClinGen group</v>
      </c>
      <c r="Y161" s="61"/>
      <c r="Z161" s="67"/>
      <c r="AA161" s="62"/>
      <c r="AB161" s="62"/>
      <c r="AC161" s="62"/>
      <c r="AD161" s="62"/>
      <c r="AE161" s="62"/>
      <c r="AF161" s="62"/>
      <c r="AG161" s="62"/>
      <c r="AH161" s="62"/>
      <c r="AI161" s="62"/>
      <c r="AJ161" s="62"/>
      <c r="AK161" s="62"/>
      <c r="AL161" s="62"/>
      <c r="AM161" s="62"/>
      <c r="AN161" s="62"/>
      <c r="AO161" s="62"/>
    </row>
    <row r="162">
      <c r="A162" s="59">
        <f>IFERROR(__xludf.DUMMYFUNCTION("QUERY('Volunteer Survey'!A169)"),43565.61995707176)</f>
        <v>43565.61996</v>
      </c>
      <c r="B162" s="60" t="s">
        <v>275</v>
      </c>
      <c r="C162" s="61"/>
      <c r="D162" s="62"/>
      <c r="E162" s="60" t="s">
        <v>182</v>
      </c>
      <c r="F162" s="60" t="s">
        <v>182</v>
      </c>
      <c r="G162" s="60" t="s">
        <v>276</v>
      </c>
      <c r="H162" s="61"/>
      <c r="I162" s="63" t="s">
        <v>189</v>
      </c>
      <c r="J162" s="62"/>
      <c r="K162" s="62"/>
      <c r="L162" s="62" t="str">
        <f>IFERROR(__xludf.DUMMYFUNCTION("QUERY('Volunteer Survey'!B169)"),"Megan Lynch")</f>
        <v>Megan Lynch</v>
      </c>
      <c r="M162" s="62" t="str">
        <f>IFERROR(__xludf.DUMMYFUNCTION("QUERY('Volunteer Survey'!E169)"),"megan.lynch@umaryland.edu")</f>
        <v>megan.lynch@umaryland.edu</v>
      </c>
      <c r="N162" s="62" t="str">
        <f>IFERROR(__xludf.DUMMYFUNCTION("QUERY('Volunteer Survey'!F169)"),"Graduate Student")</f>
        <v>Graduate Student</v>
      </c>
      <c r="O162" s="60" t="str">
        <f>IFERROR(__xludf.DUMMYFUNCTION("QUERY('Volunteer Survey'!H169)"),"Baseline")</f>
        <v>Baseline</v>
      </c>
      <c r="P162" s="62" t="str">
        <f>IFERROR(__xludf.DUMMYFUNCTION("QUERY('Volunteer Survey'!I169)"),"Dosage Sensitivity")</f>
        <v>Dosage Sensitivity</v>
      </c>
      <c r="Q162" s="66" t="str">
        <f>IFERROR(__xludf.DUMMYFUNCTION("QUERY('Volunteer Survey'!J169)"),"Variant Pathogenicity")</f>
        <v>Variant Pathogenicity</v>
      </c>
      <c r="R162" s="62" t="str">
        <f>IFERROR(__xludf.DUMMYFUNCTION("QUERY('Volunteer Survey'!K169)"),"Clinical Actionability")</f>
        <v>Clinical Actionability</v>
      </c>
      <c r="S162" s="62" t="str">
        <f>IFERROR(__xludf.DUMMYFUNCTION("QUERY('Volunteer Survey'!L169)"),"")</f>
        <v/>
      </c>
      <c r="T162" s="62" t="str">
        <f>IFERROR(__xludf.DUMMYFUNCTION("QUERY('Volunteer Survey'!M169)"),"")</f>
        <v/>
      </c>
      <c r="U162" s="74" t="str">
        <f>IFERROR(__xludf.DUMMYFUNCTION("QUERY('Volunteer Survey'!N169)"),"")</f>
        <v/>
      </c>
      <c r="V162" s="62" t="str">
        <f>IFERROR(__xludf.DUMMYFUNCTION("QUERY('Volunteer Survey'!O169)"),"Possibly")</f>
        <v>Possibly</v>
      </c>
      <c r="W162" s="75" t="str">
        <f>IFERROR(__xludf.DUMMYFUNCTION("QUERY('Volunteer Survey'!P169)"),"any of the cardiovascular working groups")</f>
        <v>any of the cardiovascular working groups</v>
      </c>
      <c r="X162" s="74" t="str">
        <f>IFERROR(__xludf.DUMMYFUNCTION("QUERY('Volunteer Survey'!R169)"),"No - I am only interested in the group(s) I previously indicated")</f>
        <v>No - I am only interested in the group(s) I previously indicated</v>
      </c>
      <c r="Y162" s="61"/>
      <c r="Z162" s="67"/>
      <c r="AA162" s="62"/>
      <c r="AB162" s="62"/>
      <c r="AC162" s="62"/>
      <c r="AD162" s="62"/>
      <c r="AE162" s="62"/>
      <c r="AF162" s="62"/>
      <c r="AG162" s="62"/>
      <c r="AH162" s="62"/>
      <c r="AI162" s="62"/>
      <c r="AJ162" s="62"/>
      <c r="AK162" s="62"/>
      <c r="AL162" s="62"/>
      <c r="AM162" s="62"/>
      <c r="AN162" s="62"/>
      <c r="AO162" s="62"/>
    </row>
    <row r="163">
      <c r="A163" s="59">
        <f>IFERROR(__xludf.DUMMYFUNCTION("QUERY('Volunteer Survey'!A170)"),43566.03965038195)</f>
        <v>43566.03965</v>
      </c>
      <c r="B163" s="60" t="s">
        <v>282</v>
      </c>
      <c r="C163" s="61"/>
      <c r="D163" s="79">
        <v>43627.0</v>
      </c>
      <c r="E163" s="60" t="s">
        <v>277</v>
      </c>
      <c r="F163" s="60" t="s">
        <v>277</v>
      </c>
      <c r="G163" s="60" t="s">
        <v>288</v>
      </c>
      <c r="H163" s="63" t="s">
        <v>135</v>
      </c>
      <c r="I163" s="63" t="s">
        <v>189</v>
      </c>
      <c r="J163" s="79">
        <v>43712.0</v>
      </c>
      <c r="K163" s="79"/>
      <c r="L163" s="62" t="str">
        <f>IFERROR(__xludf.DUMMYFUNCTION("QUERY('Volunteer Survey'!B170)"),"Suvina To")</f>
        <v>Suvina To</v>
      </c>
      <c r="M163" s="62" t="str">
        <f>IFERROR(__xludf.DUMMYFUNCTION("QUERY('Volunteer Survey'!E170)"),"suvina@gmail.com")</f>
        <v>suvina@gmail.com</v>
      </c>
      <c r="N163" s="62" t="str">
        <f>IFERROR(__xludf.DUMMYFUNCTION("QUERY('Volunteer Survey'!F170)"),"Variant Analyst/Scientist - Industry")</f>
        <v>Variant Analyst/Scientist - Industry</v>
      </c>
      <c r="O163" s="60" t="str">
        <f>IFERROR(__xludf.DUMMYFUNCTION("QUERY('Volunteer Survey'!H170)"),"Comprehensive")</f>
        <v>Comprehensive</v>
      </c>
      <c r="P163" s="62" t="str">
        <f>IFERROR(__xludf.DUMMYFUNCTION("QUERY('Volunteer Survey'!I170)"),"Variant Pathogenicity")</f>
        <v>Variant Pathogenicity</v>
      </c>
      <c r="Q163" s="66" t="str">
        <f>IFERROR(__xludf.DUMMYFUNCTION("QUERY('Volunteer Survey'!J170)"),"Dosage Sensitivity")</f>
        <v>Dosage Sensitivity</v>
      </c>
      <c r="R163" s="62" t="str">
        <f>IFERROR(__xludf.DUMMYFUNCTION("QUERY('Volunteer Survey'!K170)"),"Gene-Disease Validity")</f>
        <v>Gene-Disease Validity</v>
      </c>
      <c r="S163" s="62" t="str">
        <f>IFERROR(__xludf.DUMMYFUNCTION("QUERY('Volunteer Survey'!L170)"),"Clinical Actionability")</f>
        <v>Clinical Actionability</v>
      </c>
      <c r="T163" s="62" t="str">
        <f>IFERROR(__xludf.DUMMYFUNCTION("QUERY('Volunteer Survey'!M170)"),"Somatic Cancer")</f>
        <v>Somatic Cancer</v>
      </c>
      <c r="U163" s="74" t="str">
        <f>IFERROR(__xludf.DUMMYFUNCTION("QUERY('Volunteer Survey'!N170)"),"I am a variant curation specialist in my company")</f>
        <v>I am a variant curation specialist in my company</v>
      </c>
      <c r="V163" s="62" t="str">
        <f>IFERROR(__xludf.DUMMYFUNCTION("QUERY('Volunteer Survey'!O170)"),"Possibly")</f>
        <v>Possibly</v>
      </c>
      <c r="W163" s="75" t="str">
        <f>IFERROR(__xludf.DUMMYFUNCTION("QUERY('Volunteer Survey'!P170)"),"monogenic diabetes")</f>
        <v>monogenic diabetes</v>
      </c>
      <c r="X163" s="74" t="str">
        <f>IFERROR(__xludf.DUMMYFUNCTION("QUERY('Volunteer Survey'!R170)"),"Yes- I am willing to volunteer with any available ClinGen group")</f>
        <v>Yes- I am willing to volunteer with any available ClinGen group</v>
      </c>
      <c r="Y163" s="61"/>
      <c r="Z163" s="67"/>
      <c r="AA163" s="62"/>
      <c r="AB163" s="62"/>
      <c r="AC163" s="62"/>
      <c r="AD163" s="62"/>
      <c r="AE163" s="62"/>
      <c r="AF163" s="62"/>
      <c r="AG163" s="62"/>
      <c r="AH163" s="62"/>
      <c r="AI163" s="62"/>
      <c r="AJ163" s="62"/>
      <c r="AK163" s="62"/>
      <c r="AL163" s="62"/>
      <c r="AM163" s="62"/>
      <c r="AN163" s="62"/>
      <c r="AO163" s="62"/>
    </row>
    <row r="164">
      <c r="A164" s="59">
        <f>IFERROR(__xludf.DUMMYFUNCTION("QUERY('Volunteer Survey'!A171)"),43566.525071446755)</f>
        <v>43566.52507</v>
      </c>
      <c r="B164" s="60" t="s">
        <v>282</v>
      </c>
      <c r="C164" s="61"/>
      <c r="D164" s="82">
        <v>43608.0</v>
      </c>
      <c r="E164" s="60" t="s">
        <v>277</v>
      </c>
      <c r="F164" s="60" t="s">
        <v>277</v>
      </c>
      <c r="G164" s="60" t="s">
        <v>288</v>
      </c>
      <c r="H164" s="63" t="s">
        <v>173</v>
      </c>
      <c r="I164" s="63" t="s">
        <v>189</v>
      </c>
      <c r="J164" s="79">
        <v>43712.0</v>
      </c>
      <c r="K164" s="79"/>
      <c r="L164" s="62" t="str">
        <f>IFERROR(__xludf.DUMMYFUNCTION("QUERY('Volunteer Survey'!B171)"),"Lemuel Racacho")</f>
        <v>Lemuel Racacho</v>
      </c>
      <c r="M164" s="62" t="str">
        <f>IFERROR(__xludf.DUMMYFUNCTION("QUERY('Volunteer Survey'!E171)"),"lracacho@cheo.on.ca")</f>
        <v>lracacho@cheo.on.ca</v>
      </c>
      <c r="N164" s="62" t="str">
        <f>IFERROR(__xludf.DUMMYFUNCTION("QUERY('Volunteer Survey'!F171)"),"Post Doc/Resident/Fellow (MD and/or PhD)")</f>
        <v>Post Doc/Resident/Fellow (MD and/or PhD)</v>
      </c>
      <c r="O164" s="60" t="str">
        <f>IFERROR(__xludf.DUMMYFUNCTION("QUERY('Volunteer Survey'!H171)"),"Comprehensive")</f>
        <v>Comprehensive</v>
      </c>
      <c r="P164" s="62" t="str">
        <f>IFERROR(__xludf.DUMMYFUNCTION("QUERY('Volunteer Survey'!I171)"),"Variant Pathogenicity")</f>
        <v>Variant Pathogenicity</v>
      </c>
      <c r="Q164" s="66" t="str">
        <f>IFERROR(__xludf.DUMMYFUNCTION("QUERY('Volunteer Survey'!J171)"),"Gene-Disease Validity")</f>
        <v>Gene-Disease Validity</v>
      </c>
      <c r="R164" s="62" t="str">
        <f>IFERROR(__xludf.DUMMYFUNCTION("QUERY('Volunteer Survey'!K171)"),"Clinical Actionability")</f>
        <v>Clinical Actionability</v>
      </c>
      <c r="S164" s="62" t="str">
        <f>IFERROR(__xludf.DUMMYFUNCTION("QUERY('Volunteer Survey'!L171)"),"Dosage Sensitivity")</f>
        <v>Dosage Sensitivity</v>
      </c>
      <c r="T164" s="62" t="str">
        <f>IFERROR(__xludf.DUMMYFUNCTION("QUERY('Volunteer Survey'!M171)"),"Somatic Cancer")</f>
        <v>Somatic Cancer</v>
      </c>
      <c r="U164" s="74" t="str">
        <f>IFERROR(__xludf.DUMMYFUNCTION("QUERY('Volunteer Survey'!N171)"),"Yes, I currently interpret variants for mitochondrial based disorders")</f>
        <v>Yes, I currently interpret variants for mitochondrial based disorders</v>
      </c>
      <c r="V164" s="62" t="str">
        <f>IFERROR(__xludf.DUMMYFUNCTION("QUERY('Volunteer Survey'!O171)"),"Possibly")</f>
        <v>Possibly</v>
      </c>
      <c r="W164" s="75" t="str">
        <f>IFERROR(__xludf.DUMMYFUNCTION("QUERY('Volunteer Survey'!P171)"),"Inborn errors of metabolism; Low penetrance/risk allele")</f>
        <v>Inborn errors of metabolism; Low penetrance/risk allele</v>
      </c>
      <c r="X164" s="74" t="str">
        <f>IFERROR(__xludf.DUMMYFUNCTION("QUERY('Volunteer Survey'!R171)"),"Yes- I am willing to volunteer with any available ClinGen group")</f>
        <v>Yes- I am willing to volunteer with any available ClinGen group</v>
      </c>
      <c r="Y164" s="61"/>
      <c r="Z164" s="67"/>
      <c r="AA164" s="62"/>
      <c r="AB164" s="62"/>
      <c r="AC164" s="62"/>
      <c r="AD164" s="62"/>
      <c r="AE164" s="62"/>
      <c r="AF164" s="62"/>
      <c r="AG164" s="62"/>
      <c r="AH164" s="62"/>
      <c r="AI164" s="62"/>
      <c r="AJ164" s="62"/>
      <c r="AK164" s="62"/>
      <c r="AL164" s="62"/>
      <c r="AM164" s="62"/>
      <c r="AN164" s="62"/>
      <c r="AO164" s="62"/>
    </row>
    <row r="165">
      <c r="A165" s="59">
        <f>IFERROR(__xludf.DUMMYFUNCTION("QUERY('Volunteer Survey'!A172)"),43566.667404039355)</f>
        <v>43566.6674</v>
      </c>
      <c r="B165" s="60" t="s">
        <v>275</v>
      </c>
      <c r="C165" s="80">
        <v>43819.0</v>
      </c>
      <c r="D165" s="62"/>
      <c r="E165" s="60" t="s">
        <v>182</v>
      </c>
      <c r="F165" s="60" t="s">
        <v>182</v>
      </c>
      <c r="G165" s="60" t="s">
        <v>278</v>
      </c>
      <c r="H165" s="61"/>
      <c r="I165" s="63" t="s">
        <v>189</v>
      </c>
      <c r="J165" s="62"/>
      <c r="K165" s="62"/>
      <c r="L165" s="62" t="str">
        <f>IFERROR(__xludf.DUMMYFUNCTION("QUERY('Volunteer Survey'!B172)"),"Bo Yuan")</f>
        <v>Bo Yuan</v>
      </c>
      <c r="M165" s="62" t="str">
        <f>IFERROR(__xludf.DUMMYFUNCTION("QUERY('Volunteer Survey'!E172)"),"by2@bcm.edu")</f>
        <v>by2@bcm.edu</v>
      </c>
      <c r="N165" s="62" t="str">
        <f>IFERROR(__xludf.DUMMYFUNCTION("QUERY('Volunteer Survey'!F172)"),"Clinical laboratory geneticist")</f>
        <v>Clinical laboratory geneticist</v>
      </c>
      <c r="O165" s="60" t="str">
        <f>IFERROR(__xludf.DUMMYFUNCTION("QUERY('Volunteer Survey'!H172)"),"Comprehensive")</f>
        <v>Comprehensive</v>
      </c>
      <c r="P165" s="62" t="str">
        <f>IFERROR(__xludf.DUMMYFUNCTION("QUERY('Volunteer Survey'!I172)"),"Gene-Disease Validity")</f>
        <v>Gene-Disease Validity</v>
      </c>
      <c r="Q165" s="66" t="str">
        <f>IFERROR(__xludf.DUMMYFUNCTION("QUERY('Volunteer Survey'!J172)"),"Somatic Cancer")</f>
        <v>Somatic Cancer</v>
      </c>
      <c r="R165" s="62" t="str">
        <f>IFERROR(__xludf.DUMMYFUNCTION("QUERY('Volunteer Survey'!K172)"),"Clinical Actionability")</f>
        <v>Clinical Actionability</v>
      </c>
      <c r="S165" s="62" t="str">
        <f>IFERROR(__xludf.DUMMYFUNCTION("QUERY('Volunteer Survey'!L172)"),"Variant Pathogenicity")</f>
        <v>Variant Pathogenicity</v>
      </c>
      <c r="T165" s="62" t="str">
        <f>IFERROR(__xludf.DUMMYFUNCTION("QUERY('Volunteer Survey'!M172)"),"Dosage Sensitivity")</f>
        <v>Dosage Sensitivity</v>
      </c>
      <c r="U165" s="74" t="str">
        <f>IFERROR(__xludf.DUMMYFUNCTION("QUERY('Volunteer Survey'!N172)"),"I have been involved in some gene curation using ClinGen format. Variant curation is part of my routine practice.")</f>
        <v>I have been involved in some gene curation using ClinGen format. Variant curation is part of my routine practice.</v>
      </c>
      <c r="V165" s="62" t="str">
        <f>IFERROR(__xludf.DUMMYFUNCTION("QUERY('Volunteer Survey'!O172)"),"Yes")</f>
        <v>Yes</v>
      </c>
      <c r="W165" s="75" t="str">
        <f>IFERROR(__xludf.DUMMYFUNCTION("QUERY('Volunteer Survey'!P172)"),"")</f>
        <v/>
      </c>
      <c r="X165" s="74" t="str">
        <f>IFERROR(__xludf.DUMMYFUNCTION("QUERY('Volunteer Survey'!R172)"),"Maybe -- please contact me with other options, and I will decide based on what is available")</f>
        <v>Maybe -- please contact me with other options, and I will decide based on what is available</v>
      </c>
      <c r="Y165" s="61"/>
      <c r="Z165" s="67"/>
      <c r="AA165" s="62"/>
      <c r="AB165" s="62"/>
      <c r="AC165" s="62"/>
      <c r="AD165" s="62"/>
      <c r="AE165" s="62"/>
      <c r="AF165" s="62"/>
      <c r="AG165" s="62"/>
      <c r="AH165" s="62"/>
      <c r="AI165" s="62"/>
      <c r="AJ165" s="62"/>
      <c r="AK165" s="62"/>
      <c r="AL165" s="62"/>
      <c r="AM165" s="62"/>
      <c r="AN165" s="62"/>
      <c r="AO165" s="62"/>
    </row>
    <row r="166">
      <c r="A166" s="59">
        <f>IFERROR(__xludf.DUMMYFUNCTION("QUERY('Volunteer Survey'!A173)"),43566.96253849537)</f>
        <v>43566.96254</v>
      </c>
      <c r="B166" s="60" t="s">
        <v>275</v>
      </c>
      <c r="C166" s="80">
        <v>43819.0</v>
      </c>
      <c r="D166" s="62"/>
      <c r="E166" s="60" t="s">
        <v>182</v>
      </c>
      <c r="F166" s="60" t="s">
        <v>182</v>
      </c>
      <c r="G166" s="60" t="s">
        <v>278</v>
      </c>
      <c r="H166" s="61"/>
      <c r="I166" s="63" t="s">
        <v>189</v>
      </c>
      <c r="J166" s="62"/>
      <c r="K166" s="62"/>
      <c r="L166" s="62" t="str">
        <f>IFERROR(__xludf.DUMMYFUNCTION("QUERY('Volunteer Survey'!B173)"),"Avinash Dharmadhikari")</f>
        <v>Avinash Dharmadhikari</v>
      </c>
      <c r="M166" s="62" t="str">
        <f>IFERROR(__xludf.DUMMYFUNCTION("QUERY('Volunteer Survey'!E173)"),"avd2129@cumc.columbia.edu")</f>
        <v>avd2129@cumc.columbia.edu</v>
      </c>
      <c r="N166" s="62" t="str">
        <f>IFERROR(__xludf.DUMMYFUNCTION("QUERY('Volunteer Survey'!F173)"),"Post Doc/Resident/Fellow (MD and/or PhD)")</f>
        <v>Post Doc/Resident/Fellow (MD and/or PhD)</v>
      </c>
      <c r="O166" s="60" t="str">
        <f>IFERROR(__xludf.DUMMYFUNCTION("QUERY('Volunteer Survey'!H173)"),"Comprehensive")</f>
        <v>Comprehensive</v>
      </c>
      <c r="P166" s="62" t="str">
        <f>IFERROR(__xludf.DUMMYFUNCTION("QUERY('Volunteer Survey'!I173)"),"Gene-Disease Validity")</f>
        <v>Gene-Disease Validity</v>
      </c>
      <c r="Q166" s="66" t="str">
        <f>IFERROR(__xludf.DUMMYFUNCTION("QUERY('Volunteer Survey'!J173)"),"Variant Pathogenicity")</f>
        <v>Variant Pathogenicity</v>
      </c>
      <c r="R166" s="62" t="str">
        <f>IFERROR(__xludf.DUMMYFUNCTION("QUERY('Volunteer Survey'!K173)"),"Dosage Sensitivity")</f>
        <v>Dosage Sensitivity</v>
      </c>
      <c r="S166" s="62" t="str">
        <f>IFERROR(__xludf.DUMMYFUNCTION("QUERY('Volunteer Survey'!L173)"),"")</f>
        <v/>
      </c>
      <c r="T166" s="62" t="str">
        <f>IFERROR(__xludf.DUMMYFUNCTION("QUERY('Volunteer Survey'!M173)"),"")</f>
        <v/>
      </c>
      <c r="U166" s="74" t="str">
        <f>IFERROR(__xludf.DUMMYFUNCTION("QUERY('Volunteer Survey'!N173)"),"Previously variant analyst/curator at Baylor Genetics and Natera; currently LGG fellow at Columbia University")</f>
        <v>Previously variant analyst/curator at Baylor Genetics and Natera; currently LGG fellow at Columbia University</v>
      </c>
      <c r="V166" s="62" t="str">
        <f>IFERROR(__xludf.DUMMYFUNCTION("QUERY('Volunteer Survey'!O173)"),"Possibly")</f>
        <v>Possibly</v>
      </c>
      <c r="W166" s="75" t="str">
        <f>IFERROR(__xludf.DUMMYFUNCTION("QUERY('Volunteer Survey'!P173)"),"Hearing Loss VCEP &amp; GCEP or Dosage Sensitivity WG or ID/Autism GCEP")</f>
        <v>Hearing Loss VCEP &amp; GCEP or Dosage Sensitivity WG or ID/Autism GCEP</v>
      </c>
      <c r="X166" s="74" t="str">
        <f>IFERROR(__xludf.DUMMYFUNCTION("QUERY('Volunteer Survey'!R173)"),"Maybe -- please contact me with other options, and I will decide based on what is available")</f>
        <v>Maybe -- please contact me with other options, and I will decide based on what is available</v>
      </c>
      <c r="Y166" s="61"/>
      <c r="Z166" s="67"/>
      <c r="AA166" s="62"/>
      <c r="AB166" s="62"/>
      <c r="AC166" s="62"/>
      <c r="AD166" s="62"/>
      <c r="AE166" s="62"/>
      <c r="AF166" s="62"/>
      <c r="AG166" s="62"/>
      <c r="AH166" s="62"/>
      <c r="AI166" s="62"/>
      <c r="AJ166" s="62"/>
      <c r="AK166" s="62"/>
      <c r="AL166" s="62"/>
      <c r="AM166" s="62"/>
      <c r="AN166" s="62"/>
      <c r="AO166" s="62"/>
    </row>
    <row r="167">
      <c r="A167" s="59">
        <f>IFERROR(__xludf.DUMMYFUNCTION("QUERY('Volunteer Survey'!A174)"),43567.67818671296)</f>
        <v>43567.67819</v>
      </c>
      <c r="B167" s="60" t="s">
        <v>274</v>
      </c>
      <c r="C167" s="61"/>
      <c r="D167" s="62"/>
      <c r="E167" s="60" t="s">
        <v>182</v>
      </c>
      <c r="F167" s="60" t="s">
        <v>182</v>
      </c>
      <c r="G167" s="60" t="s">
        <v>288</v>
      </c>
      <c r="H167" s="61"/>
      <c r="I167" s="63" t="s">
        <v>189</v>
      </c>
      <c r="J167" s="62"/>
      <c r="K167" s="62"/>
      <c r="L167" s="62" t="str">
        <f>IFERROR(__xludf.DUMMYFUNCTION("QUERY('Volunteer Survey'!B174)"),"Sara Fitzgerald-Butt")</f>
        <v>Sara Fitzgerald-Butt</v>
      </c>
      <c r="M167" s="62" t="str">
        <f>IFERROR(__xludf.DUMMYFUNCTION("QUERY('Volunteer Survey'!E174)"),"sfitzge@iu.edu")</f>
        <v>sfitzge@iu.edu</v>
      </c>
      <c r="N167" s="62" t="str">
        <f>IFERROR(__xludf.DUMMYFUNCTION("QUERY('Volunteer Survey'!F174)"),"Genetic counselor")</f>
        <v>Genetic counselor</v>
      </c>
      <c r="O167" s="60" t="str">
        <f>IFERROR(__xludf.DUMMYFUNCTION("QUERY('Volunteer Survey'!H174)"),"Comprehensive")</f>
        <v>Comprehensive</v>
      </c>
      <c r="P167" s="62" t="str">
        <f>IFERROR(__xludf.DUMMYFUNCTION("QUERY('Volunteer Survey'!I174)"),"Variant Pathogenicity")</f>
        <v>Variant Pathogenicity</v>
      </c>
      <c r="Q167" s="66" t="str">
        <f>IFERROR(__xludf.DUMMYFUNCTION("QUERY('Volunteer Survey'!J174)"),"Gene-Disease Validity")</f>
        <v>Gene-Disease Validity</v>
      </c>
      <c r="R167" s="62" t="str">
        <f>IFERROR(__xludf.DUMMYFUNCTION("QUERY('Volunteer Survey'!K174)"),"")</f>
        <v/>
      </c>
      <c r="S167" s="62" t="str">
        <f>IFERROR(__xludf.DUMMYFUNCTION("QUERY('Volunteer Survey'!L174)"),"")</f>
        <v/>
      </c>
      <c r="T167" s="62" t="str">
        <f>IFERROR(__xludf.DUMMYFUNCTION("QUERY('Volunteer Survey'!M174)"),"")</f>
        <v/>
      </c>
      <c r="U167" s="74" t="str">
        <f>IFERROR(__xludf.DUMMYFUNCTION("QUERY('Volunteer Survey'!N174)"),"I was part of a research team that reinterpreted the variants seen in our pediatric arrhythmia patients following the release of the 2015 ACMG/AMP guidelines.  Also, as a genetic counselor, I an evaluating the interpretation of the clinical laboratory.")</f>
        <v>I was part of a research team that reinterpreted the variants seen in our pediatric arrhythmia patients following the release of the 2015 ACMG/AMP guidelines.  Also, as a genetic counselor, I an evaluating the interpretation of the clinical laboratory.</v>
      </c>
      <c r="V167" s="62" t="str">
        <f>IFERROR(__xludf.DUMMYFUNCTION("QUERY('Volunteer Survey'!O174)"),"No")</f>
        <v>No</v>
      </c>
      <c r="W167" s="75" t="str">
        <f>IFERROR(__xludf.DUMMYFUNCTION("QUERY('Volunteer Survey'!P174)"),"Cardiovascular, cardiomyopathy, Long QT syndrome, FBN1")</f>
        <v>Cardiovascular, cardiomyopathy, Long QT syndrome, FBN1</v>
      </c>
      <c r="X167" s="74" t="str">
        <f>IFERROR(__xludf.DUMMYFUNCTION("QUERY('Volunteer Survey'!R174)"),"Maybe -- please contact me with other options, and I will decide based on what is available")</f>
        <v>Maybe -- please contact me with other options, and I will decide based on what is available</v>
      </c>
      <c r="Y167" s="61"/>
      <c r="Z167" s="67"/>
      <c r="AA167" s="62"/>
      <c r="AB167" s="62"/>
      <c r="AC167" s="62"/>
      <c r="AD167" s="62"/>
      <c r="AE167" s="62"/>
      <c r="AF167" s="62"/>
      <c r="AG167" s="62"/>
      <c r="AH167" s="62"/>
      <c r="AI167" s="62"/>
      <c r="AJ167" s="62"/>
      <c r="AK167" s="62"/>
      <c r="AL167" s="62"/>
      <c r="AM167" s="62"/>
      <c r="AN167" s="62"/>
      <c r="AO167" s="62"/>
    </row>
    <row r="168">
      <c r="A168" s="59">
        <f>IFERROR(__xludf.DUMMYFUNCTION("QUERY('Volunteer Survey'!A175)"),43567.92645009259)</f>
        <v>43567.92645</v>
      </c>
      <c r="B168" s="60" t="s">
        <v>282</v>
      </c>
      <c r="C168" s="61"/>
      <c r="D168" s="82">
        <v>43608.0</v>
      </c>
      <c r="E168" s="60" t="s">
        <v>277</v>
      </c>
      <c r="F168" s="60" t="s">
        <v>277</v>
      </c>
      <c r="G168" s="60" t="s">
        <v>288</v>
      </c>
      <c r="H168" s="63" t="s">
        <v>335</v>
      </c>
      <c r="I168" s="63"/>
      <c r="J168" s="79">
        <v>43712.0</v>
      </c>
      <c r="K168" s="79"/>
      <c r="L168" s="62" t="str">
        <f>IFERROR(__xludf.DUMMYFUNCTION("QUERY('Volunteer Survey'!B175)"),"Samya Chakravorty")</f>
        <v>Samya Chakravorty</v>
      </c>
      <c r="M168" s="62" t="str">
        <f>IFERROR(__xludf.DUMMYFUNCTION("QUERY('Volunteer Survey'!E175)"),"samya.chakravorty@emory.edu")</f>
        <v>samya.chakravorty@emory.edu</v>
      </c>
      <c r="N168" s="62" t="str">
        <f>IFERROR(__xludf.DUMMYFUNCTION("QUERY('Volunteer Survey'!F175)"),"Scientific Researcher")</f>
        <v>Scientific Researcher</v>
      </c>
      <c r="O168" s="60" t="str">
        <f>IFERROR(__xludf.DUMMYFUNCTION("QUERY('Volunteer Survey'!H175)"),"Comprehensive")</f>
        <v>Comprehensive</v>
      </c>
      <c r="P168" s="62" t="str">
        <f>IFERROR(__xludf.DUMMYFUNCTION("QUERY('Volunteer Survey'!I175)"),"Variant Pathogenicity")</f>
        <v>Variant Pathogenicity</v>
      </c>
      <c r="Q168" s="66" t="str">
        <f>IFERROR(__xludf.DUMMYFUNCTION("QUERY('Volunteer Survey'!J175)"),"Gene-Disease Validity")</f>
        <v>Gene-Disease Validity</v>
      </c>
      <c r="R168" s="62" t="str">
        <f>IFERROR(__xludf.DUMMYFUNCTION("QUERY('Volunteer Survey'!K175)"),"Clinical Actionability")</f>
        <v>Clinical Actionability</v>
      </c>
      <c r="S168" s="62" t="str">
        <f>IFERROR(__xludf.DUMMYFUNCTION("QUERY('Volunteer Survey'!L175)"),"Dosage Sensitivity")</f>
        <v>Dosage Sensitivity</v>
      </c>
      <c r="T168" s="62" t="str">
        <f>IFERROR(__xludf.DUMMYFUNCTION("QUERY('Volunteer Survey'!M175)"),"")</f>
        <v/>
      </c>
      <c r="U168" s="74" t="str">
        <f>IFERROR(__xludf.DUMMYFUNCTION("QUERY('Volunteer Survey'!N175)"),"I do have experience in classifying variants based on my functional data and submitting in Clinvar, other databases, and understanding variant annotation and classification based on 2015 ACMG-AMP guidelines. I also have experience in understanding the dis"&amp;"ease causality of variants and genes in correlation with clinical data. Though most of my experiences are in clinical research setting, but I do work closely with CLIA labs, organizations, and board-certified clinical geneticists. ")</f>
        <v>I do have experience in classifying variants based on my functional data and submitting in Clinvar, other databases, and understanding variant annotation and classification based on 2015 ACMG-AMP guidelines. I also have experience in understanding the disease causality of variants and genes in correlation with clinical data. Though most of my experiences are in clinical research setting, but I do work closely with CLIA labs, organizations, and board-certified clinical geneticists. </v>
      </c>
      <c r="V168" s="62" t="str">
        <f>IFERROR(__xludf.DUMMYFUNCTION("QUERY('Volunteer Survey'!O175)"),"Yes")</f>
        <v>Yes</v>
      </c>
      <c r="W168" s="75" t="str">
        <f>IFERROR(__xludf.DUMMYFUNCTION("QUERY('Volunteer Survey'!P175)"),"Lysosomal Storage Disorders, Epilepsy")</f>
        <v>Lysosomal Storage Disorders, Epilepsy</v>
      </c>
      <c r="X168" s="74" t="str">
        <f>IFERROR(__xludf.DUMMYFUNCTION("QUERY('Volunteer Survey'!R175)"),"Maybe -- please contact me with other options, and I will decide based on what is available")</f>
        <v>Maybe -- please contact me with other options, and I will decide based on what is available</v>
      </c>
      <c r="Y168" s="61"/>
      <c r="Z168" s="67"/>
      <c r="AA168" s="62"/>
      <c r="AB168" s="62"/>
      <c r="AC168" s="62"/>
      <c r="AD168" s="62"/>
      <c r="AE168" s="62"/>
      <c r="AF168" s="62"/>
      <c r="AG168" s="62"/>
      <c r="AH168" s="62"/>
      <c r="AI168" s="62"/>
      <c r="AJ168" s="62"/>
      <c r="AK168" s="62"/>
      <c r="AL168" s="62"/>
      <c r="AM168" s="62"/>
      <c r="AN168" s="62"/>
      <c r="AO168" s="62"/>
    </row>
    <row r="169" ht="20.25" customHeight="1">
      <c r="A169" s="59">
        <f>IFERROR(__xludf.DUMMYFUNCTION("QUERY('Volunteer Survey'!A176)"),43568.82464288195)</f>
        <v>43568.82464</v>
      </c>
      <c r="B169" s="60" t="s">
        <v>282</v>
      </c>
      <c r="C169" s="90">
        <v>43787.0</v>
      </c>
      <c r="D169" s="62"/>
      <c r="E169" s="60" t="s">
        <v>182</v>
      </c>
      <c r="F169" s="60" t="s">
        <v>182</v>
      </c>
      <c r="G169" s="60" t="s">
        <v>27</v>
      </c>
      <c r="H169" s="61"/>
      <c r="I169" s="63" t="s">
        <v>189</v>
      </c>
      <c r="J169" s="62"/>
      <c r="K169" s="62"/>
      <c r="L169" s="62" t="str">
        <f>IFERROR(__xludf.DUMMYFUNCTION("QUERY('Volunteer Survey'!B176)"),"Fareed Al Qusous")</f>
        <v>Fareed Al Qusous</v>
      </c>
      <c r="M169" s="62" t="str">
        <f>IFERROR(__xludf.DUMMYFUNCTION("QUERY('Volunteer Survey'!E176)"),"Fareedh.al.qusous@hotmail.com")</f>
        <v>Fareedh.al.qusous@hotmail.com</v>
      </c>
      <c r="N169" s="62" t="str">
        <f>IFERROR(__xludf.DUMMYFUNCTION("QUERY('Volunteer Survey'!F176)"),"Undergraduate Student")</f>
        <v>Undergraduate Student</v>
      </c>
      <c r="O169" s="60" t="str">
        <f>IFERROR(__xludf.DUMMYFUNCTION("QUERY('Volunteer Survey'!H176)"),"Comprehensive")</f>
        <v>Comprehensive</v>
      </c>
      <c r="P169" s="62" t="str">
        <f>IFERROR(__xludf.DUMMYFUNCTION("QUERY('Volunteer Survey'!I176)"),"Clinical Actionability")</f>
        <v>Clinical Actionability</v>
      </c>
      <c r="Q169" s="66" t="str">
        <f>IFERROR(__xludf.DUMMYFUNCTION("QUERY('Volunteer Survey'!J176)"),"Gene-Disease Validity")</f>
        <v>Gene-Disease Validity</v>
      </c>
      <c r="R169" s="62" t="str">
        <f>IFERROR(__xludf.DUMMYFUNCTION("QUERY('Volunteer Survey'!K176)"),"Variant Pathogenicity")</f>
        <v>Variant Pathogenicity</v>
      </c>
      <c r="S169" s="62" t="str">
        <f>IFERROR(__xludf.DUMMYFUNCTION("QUERY('Volunteer Survey'!L176)"),"Dosage Sensitivity")</f>
        <v>Dosage Sensitivity</v>
      </c>
      <c r="T169" s="62" t="str">
        <f>IFERROR(__xludf.DUMMYFUNCTION("QUERY('Volunteer Survey'!M176)"),"Somatic Cancer")</f>
        <v>Somatic Cancer</v>
      </c>
      <c r="U169" s="74" t="str">
        <f>IFERROR(__xludf.DUMMYFUNCTION("QUERY('Volunteer Survey'!N176)"),"")</f>
        <v/>
      </c>
      <c r="V169" s="62" t="str">
        <f>IFERROR(__xludf.DUMMYFUNCTION("QUERY('Volunteer Survey'!O176)"),"Possibly")</f>
        <v>Possibly</v>
      </c>
      <c r="W169" s="75" t="str">
        <f>IFERROR(__xludf.DUMMYFUNCTION("QUERY('Volunteer Survey'!P176)"),"")</f>
        <v/>
      </c>
      <c r="X169" s="74" t="str">
        <f>IFERROR(__xludf.DUMMYFUNCTION("QUERY('Volunteer Survey'!R176)"),"Maybe -- please contact me with other options, and I will decide based on what is available")</f>
        <v>Maybe -- please contact me with other options, and I will decide based on what is available</v>
      </c>
      <c r="Y169" s="63" t="s">
        <v>336</v>
      </c>
      <c r="Z169" s="67"/>
      <c r="AA169" s="62"/>
      <c r="AB169" s="62"/>
      <c r="AC169" s="62"/>
      <c r="AD169" s="62"/>
      <c r="AE169" s="62"/>
      <c r="AF169" s="62"/>
      <c r="AG169" s="62"/>
      <c r="AH169" s="62"/>
      <c r="AI169" s="62"/>
      <c r="AJ169" s="62"/>
      <c r="AK169" s="62"/>
      <c r="AL169" s="62"/>
      <c r="AM169" s="62"/>
      <c r="AN169" s="62"/>
      <c r="AO169" s="62"/>
    </row>
    <row r="170">
      <c r="A170" s="59">
        <f>IFERROR(__xludf.DUMMYFUNCTION("QUERY('Volunteer Survey'!A177)"),43570.893279675925)</f>
        <v>43570.89328</v>
      </c>
      <c r="B170" s="60" t="s">
        <v>275</v>
      </c>
      <c r="C170" s="61"/>
      <c r="D170" s="62"/>
      <c r="E170" s="60" t="s">
        <v>182</v>
      </c>
      <c r="F170" s="60" t="s">
        <v>182</v>
      </c>
      <c r="G170" s="60" t="s">
        <v>276</v>
      </c>
      <c r="H170" s="61"/>
      <c r="I170" s="63" t="s">
        <v>189</v>
      </c>
      <c r="J170" s="62"/>
      <c r="K170" s="62"/>
      <c r="L170" s="62" t="str">
        <f>IFERROR(__xludf.DUMMYFUNCTION("QUERY('Volunteer Survey'!B177)"),"Mi-Ae Jang")</f>
        <v>Mi-Ae Jang</v>
      </c>
      <c r="M170" s="62" t="str">
        <f>IFERROR(__xludf.DUMMYFUNCTION("QUERY('Volunteer Survey'!E177)"),"miaeyaho@gmail.com")</f>
        <v>miaeyaho@gmail.com</v>
      </c>
      <c r="N170" s="62" t="str">
        <f>IFERROR(__xludf.DUMMYFUNCTION("QUERY('Volunteer Survey'!F177)"),"Clinical laboratory geneticist")</f>
        <v>Clinical laboratory geneticist</v>
      </c>
      <c r="O170" s="60" t="str">
        <f>IFERROR(__xludf.DUMMYFUNCTION("QUERY('Volunteer Survey'!H177)"),"Baseline")</f>
        <v>Baseline</v>
      </c>
      <c r="P170" s="62" t="str">
        <f>IFERROR(__xludf.DUMMYFUNCTION("QUERY('Volunteer Survey'!I177)"),"")</f>
        <v/>
      </c>
      <c r="Q170" s="66" t="str">
        <f>IFERROR(__xludf.DUMMYFUNCTION("QUERY('Volunteer Survey'!J177)"),"")</f>
        <v/>
      </c>
      <c r="R170" s="62" t="str">
        <f>IFERROR(__xludf.DUMMYFUNCTION("QUERY('Volunteer Survey'!K177)"),"")</f>
        <v/>
      </c>
      <c r="S170" s="62" t="str">
        <f>IFERROR(__xludf.DUMMYFUNCTION("QUERY('Volunteer Survey'!L177)"),"")</f>
        <v/>
      </c>
      <c r="T170" s="62" t="str">
        <f>IFERROR(__xludf.DUMMYFUNCTION("QUERY('Volunteer Survey'!M177)"),"")</f>
        <v/>
      </c>
      <c r="U170" s="74" t="str">
        <f>IFERROR(__xludf.DUMMYFUNCTION("QUERY('Volunteer Survey'!N177)"),"")</f>
        <v/>
      </c>
      <c r="V170" s="62" t="str">
        <f>IFERROR(__xludf.DUMMYFUNCTION("QUERY('Volunteer Survey'!O177)"),"Possibly")</f>
        <v>Possibly</v>
      </c>
      <c r="W170" s="75" t="str">
        <f>IFERROR(__xludf.DUMMYFUNCTION("QUERY('Volunteer Survey'!P177)"),"Variant curation expert panel for myeloid malignancy and brain malformation")</f>
        <v>Variant curation expert panel for myeloid malignancy and brain malformation</v>
      </c>
      <c r="X170" s="74" t="str">
        <f>IFERROR(__xludf.DUMMYFUNCTION("QUERY('Volunteer Survey'!R177)"),"Maybe -- please contact me with other options, and I will decide based on what is available")</f>
        <v>Maybe -- please contact me with other options, and I will decide based on what is available</v>
      </c>
      <c r="Y170" s="61"/>
      <c r="Z170" s="67"/>
      <c r="AA170" s="62"/>
      <c r="AB170" s="62"/>
      <c r="AC170" s="62"/>
      <c r="AD170" s="62"/>
      <c r="AE170" s="62"/>
      <c r="AF170" s="62"/>
      <c r="AG170" s="62"/>
      <c r="AH170" s="62"/>
      <c r="AI170" s="62"/>
      <c r="AJ170" s="62"/>
      <c r="AK170" s="62"/>
      <c r="AL170" s="62"/>
      <c r="AM170" s="62"/>
      <c r="AN170" s="62"/>
      <c r="AO170" s="62"/>
    </row>
    <row r="171">
      <c r="A171" s="59">
        <f>IFERROR(__xludf.DUMMYFUNCTION("QUERY('Volunteer Survey'!A178)"),43571.977917592594)</f>
        <v>43571.97792</v>
      </c>
      <c r="B171" s="60" t="s">
        <v>275</v>
      </c>
      <c r="C171" s="61"/>
      <c r="D171" s="82">
        <v>43692.0</v>
      </c>
      <c r="E171" s="60" t="s">
        <v>277</v>
      </c>
      <c r="F171" s="60" t="s">
        <v>182</v>
      </c>
      <c r="G171" s="60" t="s">
        <v>278</v>
      </c>
      <c r="H171" s="61"/>
      <c r="I171" s="63" t="s">
        <v>189</v>
      </c>
      <c r="J171" s="62"/>
      <c r="K171" s="62"/>
      <c r="L171" s="62" t="str">
        <f>IFERROR(__xludf.DUMMYFUNCTION("QUERY('Volunteer Survey'!B178)"),"Alison Bright")</f>
        <v>Alison Bright</v>
      </c>
      <c r="M171" s="62" t="str">
        <f>IFERROR(__xludf.DUMMYFUNCTION("QUERY('Volunteer Survey'!E178)"),"alison.r.bright@questdiagnostics.com")</f>
        <v>alison.r.bright@questdiagnostics.com</v>
      </c>
      <c r="N171" s="62" t="str">
        <f>IFERROR(__xludf.DUMMYFUNCTION("QUERY('Volunteer Survey'!F178)"),"Variant Analyst/Scientist - Industry")</f>
        <v>Variant Analyst/Scientist - Industry</v>
      </c>
      <c r="O171" s="60" t="str">
        <f>IFERROR(__xludf.DUMMYFUNCTION("QUERY('Volunteer Survey'!H178)"),"Comprehensive")</f>
        <v>Comprehensive</v>
      </c>
      <c r="P171" s="62" t="str">
        <f>IFERROR(__xludf.DUMMYFUNCTION("QUERY('Volunteer Survey'!I178)"),"Gene-Disease Validity")</f>
        <v>Gene-Disease Validity</v>
      </c>
      <c r="Q171" s="66" t="str">
        <f>IFERROR(__xludf.DUMMYFUNCTION("QUERY('Volunteer Survey'!J178)"),"Dosage Sensitivity")</f>
        <v>Dosage Sensitivity</v>
      </c>
      <c r="R171" s="62" t="str">
        <f>IFERROR(__xludf.DUMMYFUNCTION("QUERY('Volunteer Survey'!K178)"),"")</f>
        <v/>
      </c>
      <c r="S171" s="62" t="str">
        <f>IFERROR(__xludf.DUMMYFUNCTION("QUERY('Volunteer Survey'!L178)"),"")</f>
        <v/>
      </c>
      <c r="T171" s="62" t="str">
        <f>IFERROR(__xludf.DUMMYFUNCTION("QUERY('Volunteer Survey'!M178)"),"")</f>
        <v/>
      </c>
      <c r="U171" s="74" t="str">
        <f>IFERROR(__xludf.DUMMYFUNCTION("QUERY('Volunteer Survey'!N178)"),"6 years as a variant scientist: past 2 years focused on CNVs identified by microarray. Prior to that was focused on SNVs identified by single gene and panel tests.")</f>
        <v>6 years as a variant scientist: past 2 years focused on CNVs identified by microarray. Prior to that was focused on SNVs identified by single gene and panel tests.</v>
      </c>
      <c r="V171" s="62" t="str">
        <f>IFERROR(__xludf.DUMMYFUNCTION("QUERY('Volunteer Survey'!O178)"),"No")</f>
        <v>No</v>
      </c>
      <c r="W171" s="75" t="str">
        <f>IFERROR(__xludf.DUMMYFUNCTION("QUERY('Volunteer Survey'!P178)"),"ID/Autism")</f>
        <v>ID/Autism</v>
      </c>
      <c r="X171" s="74" t="str">
        <f>IFERROR(__xludf.DUMMYFUNCTION("QUERY('Volunteer Survey'!R178)"),"Maybe -- please contact me with other options, and I will decide based on what is available")</f>
        <v>Maybe -- please contact me with other options, and I will decide based on what is available</v>
      </c>
      <c r="Y171" s="61"/>
      <c r="Z171" s="67"/>
      <c r="AA171" s="62"/>
      <c r="AB171" s="62"/>
      <c r="AC171" s="62"/>
      <c r="AD171" s="62"/>
      <c r="AE171" s="62"/>
      <c r="AF171" s="62"/>
      <c r="AG171" s="62"/>
      <c r="AH171" s="62"/>
      <c r="AI171" s="62"/>
      <c r="AJ171" s="62"/>
      <c r="AK171" s="62"/>
      <c r="AL171" s="62"/>
      <c r="AM171" s="62"/>
      <c r="AN171" s="62"/>
      <c r="AO171" s="62"/>
    </row>
    <row r="172">
      <c r="A172" s="59">
        <f>IFERROR(__xludf.DUMMYFUNCTION("QUERY('Volunteer Survey'!A179)"),43577.60680598379)</f>
        <v>43577.60681</v>
      </c>
      <c r="B172" s="60" t="s">
        <v>275</v>
      </c>
      <c r="C172" s="80">
        <v>43819.0</v>
      </c>
      <c r="D172" s="117">
        <v>43859.0</v>
      </c>
      <c r="E172" s="60" t="s">
        <v>277</v>
      </c>
      <c r="F172" s="60" t="s">
        <v>277</v>
      </c>
      <c r="G172" s="60" t="s">
        <v>288</v>
      </c>
      <c r="H172" s="61"/>
      <c r="I172" s="63" t="s">
        <v>189</v>
      </c>
      <c r="J172" s="62"/>
      <c r="K172" s="62"/>
      <c r="L172" s="62" t="str">
        <f>IFERROR(__xludf.DUMMYFUNCTION("QUERY('Volunteer Survey'!B179)"),"Chloe Whitten")</f>
        <v>Chloe Whitten</v>
      </c>
      <c r="M172" s="62" t="str">
        <f>IFERROR(__xludf.DUMMYFUNCTION("QUERY('Volunteer Survey'!E179)"),"cwhitten@ambrygen.com")</f>
        <v>cwhitten@ambrygen.com</v>
      </c>
      <c r="N172" s="62" t="str">
        <f>IFERROR(__xludf.DUMMYFUNCTION("QUERY('Volunteer Survey'!F179)"),"Recent graduate, can help with more admin tasks")</f>
        <v>Recent graduate, can help with more admin tasks</v>
      </c>
      <c r="O172" s="60" t="str">
        <f>IFERROR(__xludf.DUMMYFUNCTION("QUERY('Volunteer Survey'!H179)"),"Comprehensive")</f>
        <v>Comprehensive</v>
      </c>
      <c r="P172" s="62" t="str">
        <f>IFERROR(__xludf.DUMMYFUNCTION("QUERY('Volunteer Survey'!I179)"),"Variant Pathogenicity")</f>
        <v>Variant Pathogenicity</v>
      </c>
      <c r="Q172" s="66" t="str">
        <f>IFERROR(__xludf.DUMMYFUNCTION("QUERY('Volunteer Survey'!J179)"),"")</f>
        <v/>
      </c>
      <c r="R172" s="62" t="str">
        <f>IFERROR(__xludf.DUMMYFUNCTION("QUERY('Volunteer Survey'!K179)"),"")</f>
        <v/>
      </c>
      <c r="S172" s="62" t="str">
        <f>IFERROR(__xludf.DUMMYFUNCTION("QUERY('Volunteer Survey'!L179)"),"")</f>
        <v/>
      </c>
      <c r="T172" s="62" t="str">
        <f>IFERROR(__xludf.DUMMYFUNCTION("QUERY('Volunteer Survey'!M179)"),"")</f>
        <v/>
      </c>
      <c r="U172" s="74" t="str">
        <f>IFERROR(__xludf.DUMMYFUNCTION("QUERY('Volunteer Survey'!N179)"),"I don’t have experience with curation but I am eager to learn and have experience with more administrative/tedious tasks. I’d love to be involved but I understand that I do not have an clinical degrees")</f>
        <v>I don’t have experience with curation but I am eager to learn and have experience with more administrative/tedious tasks. I’d love to be involved but I understand that I do not have an clinical degrees</v>
      </c>
      <c r="V172" s="62" t="str">
        <f>IFERROR(__xludf.DUMMYFUNCTION("QUERY('Volunteer Survey'!O179)"),"Possibly")</f>
        <v>Possibly</v>
      </c>
      <c r="W172" s="75" t="str">
        <f>IFERROR(__xludf.DUMMYFUNCTION("QUERY('Volunteer Survey'!P179)"),"FBN1, PKU or LSD")</f>
        <v>FBN1, PKU or LSD</v>
      </c>
      <c r="X172" s="74" t="str">
        <f>IFERROR(__xludf.DUMMYFUNCTION("QUERY('Volunteer Survey'!R179)"),"Yes- I am willing to volunteer with any available ClinGen group")</f>
        <v>Yes- I am willing to volunteer with any available ClinGen group</v>
      </c>
      <c r="Y172" s="61"/>
      <c r="Z172" s="67"/>
      <c r="AA172" s="62"/>
      <c r="AB172" s="62"/>
      <c r="AC172" s="62"/>
      <c r="AD172" s="62"/>
      <c r="AE172" s="62"/>
      <c r="AF172" s="62"/>
      <c r="AG172" s="62"/>
      <c r="AH172" s="62"/>
      <c r="AI172" s="62"/>
      <c r="AJ172" s="62"/>
      <c r="AK172" s="62"/>
      <c r="AL172" s="62"/>
      <c r="AM172" s="62"/>
      <c r="AN172" s="62"/>
      <c r="AO172" s="62"/>
    </row>
    <row r="173">
      <c r="A173" s="59">
        <f>IFERROR(__xludf.DUMMYFUNCTION("QUERY('Volunteer Survey'!A180)"),43577.87438443287)</f>
        <v>43577.87438</v>
      </c>
      <c r="B173" s="60" t="s">
        <v>275</v>
      </c>
      <c r="C173" s="61"/>
      <c r="D173" s="62"/>
      <c r="E173" s="60"/>
      <c r="F173" s="60" t="s">
        <v>182</v>
      </c>
      <c r="G173" s="60" t="s">
        <v>276</v>
      </c>
      <c r="H173" s="61"/>
      <c r="I173" s="63" t="s">
        <v>189</v>
      </c>
      <c r="J173" s="62"/>
      <c r="K173" s="62"/>
      <c r="L173" s="62" t="str">
        <f>IFERROR(__xludf.DUMMYFUNCTION("QUERY('Volunteer Survey'!B180)"),"Jaclyn Murry")</f>
        <v>Jaclyn Murry</v>
      </c>
      <c r="M173" s="62" t="str">
        <f>IFERROR(__xludf.DUMMYFUNCTION("QUERY('Volunteer Survey'!E180)"),"jmurry@mednet.ucla.edu")</f>
        <v>jmurry@mednet.ucla.edu</v>
      </c>
      <c r="N173" s="62" t="str">
        <f>IFERROR(__xludf.DUMMYFUNCTION("QUERY('Volunteer Survey'!F180)"),"Clinical laboratory geneticist")</f>
        <v>Clinical laboratory geneticist</v>
      </c>
      <c r="O173" s="60" t="str">
        <f>IFERROR(__xludf.DUMMYFUNCTION("QUERY('Volunteer Survey'!H180)"),"Baseline")</f>
        <v>Baseline</v>
      </c>
      <c r="P173" s="62" t="str">
        <f>IFERROR(__xludf.DUMMYFUNCTION("QUERY('Volunteer Survey'!I180)"),"Dosage Sensitivity")</f>
        <v>Dosage Sensitivity</v>
      </c>
      <c r="Q173" s="66" t="str">
        <f>IFERROR(__xludf.DUMMYFUNCTION("QUERY('Volunteer Survey'!J180)"),"Variant Pathogenicity")</f>
        <v>Variant Pathogenicity</v>
      </c>
      <c r="R173" s="62" t="str">
        <f>IFERROR(__xludf.DUMMYFUNCTION("QUERY('Volunteer Survey'!K180)"),"")</f>
        <v/>
      </c>
      <c r="S173" s="62" t="str">
        <f>IFERROR(__xludf.DUMMYFUNCTION("QUERY('Volunteer Survey'!L180)"),"")</f>
        <v/>
      </c>
      <c r="T173" s="62" t="str">
        <f>IFERROR(__xludf.DUMMYFUNCTION("QUERY('Volunteer Survey'!M180)"),"")</f>
        <v/>
      </c>
      <c r="U173" s="74" t="str">
        <f>IFERROR(__xludf.DUMMYFUNCTION("QUERY('Volunteer Survey'!N180)"),"Currently review CMA cases on service")</f>
        <v>Currently review CMA cases on service</v>
      </c>
      <c r="V173" s="62" t="str">
        <f>IFERROR(__xludf.DUMMYFUNCTION("QUERY('Volunteer Survey'!O180)"),"No")</f>
        <v>No</v>
      </c>
      <c r="W173" s="75" t="str">
        <f>IFERROR(__xludf.DUMMYFUNCTION("QUERY('Volunteer Survey'!P180)"),"Interest in CNVs")</f>
        <v>Interest in CNVs</v>
      </c>
      <c r="X173" s="74" t="str">
        <f>IFERROR(__xludf.DUMMYFUNCTION("QUERY('Volunteer Survey'!R180)"),"Maybe -- please contact me with other options, and I will decide based on what is available")</f>
        <v>Maybe -- please contact me with other options, and I will decide based on what is available</v>
      </c>
      <c r="Y173" s="61"/>
      <c r="Z173" s="67"/>
      <c r="AA173" s="62"/>
      <c r="AB173" s="62"/>
      <c r="AC173" s="62"/>
      <c r="AD173" s="62"/>
      <c r="AE173" s="62"/>
      <c r="AF173" s="62"/>
      <c r="AG173" s="62"/>
      <c r="AH173" s="62"/>
      <c r="AI173" s="62"/>
      <c r="AJ173" s="62"/>
      <c r="AK173" s="62"/>
      <c r="AL173" s="62"/>
      <c r="AM173" s="62"/>
      <c r="AN173" s="62"/>
      <c r="AO173" s="62"/>
    </row>
    <row r="174">
      <c r="A174" s="59">
        <f>IFERROR(__xludf.DUMMYFUNCTION("QUERY('Volunteer Survey'!A181)"),43578.689141759256)</f>
        <v>43578.68914</v>
      </c>
      <c r="B174" s="60" t="s">
        <v>275</v>
      </c>
      <c r="C174" s="61"/>
      <c r="D174" s="78">
        <v>43581.0</v>
      </c>
      <c r="E174" s="60" t="s">
        <v>277</v>
      </c>
      <c r="F174" s="60" t="s">
        <v>182</v>
      </c>
      <c r="G174" s="60" t="s">
        <v>150</v>
      </c>
      <c r="H174" s="61"/>
      <c r="I174" s="63" t="s">
        <v>189</v>
      </c>
      <c r="J174" s="79">
        <v>43712.0</v>
      </c>
      <c r="K174" s="79"/>
      <c r="L174" s="62" t="str">
        <f>IFERROR(__xludf.DUMMYFUNCTION("QUERY('Volunteer Survey'!B181)"),"Ying Zou")</f>
        <v>Ying Zou</v>
      </c>
      <c r="M174" s="62" t="str">
        <f>IFERROR(__xludf.DUMMYFUNCTION("QUERY('Volunteer Survey'!E181)")," yzou19@jhmi.edu")</f>
        <v> yzou19@jhmi.edu</v>
      </c>
      <c r="N174" s="62" t="str">
        <f>IFERROR(__xludf.DUMMYFUNCTION("QUERY('Volunteer Survey'!F181)"),"Clinical laboratory geneticist")</f>
        <v>Clinical laboratory geneticist</v>
      </c>
      <c r="O174" s="60" t="str">
        <f>IFERROR(__xludf.DUMMYFUNCTION("QUERY('Volunteer Survey'!H181)"),"Comprehensive")</f>
        <v>Comprehensive</v>
      </c>
      <c r="P174" s="62" t="str">
        <f>IFERROR(__xludf.DUMMYFUNCTION("QUERY('Volunteer Survey'!I181)"),"Somatic Cancer")</f>
        <v>Somatic Cancer</v>
      </c>
      <c r="Q174" s="66" t="str">
        <f>IFERROR(__xludf.DUMMYFUNCTION("QUERY('Volunteer Survey'!J181)"),"Variant Pathogenicity")</f>
        <v>Variant Pathogenicity</v>
      </c>
      <c r="R174" s="62" t="str">
        <f>IFERROR(__xludf.DUMMYFUNCTION("QUERY('Volunteer Survey'!K181)"),"Clinical Actionability")</f>
        <v>Clinical Actionability</v>
      </c>
      <c r="S174" s="62" t="str">
        <f>IFERROR(__xludf.DUMMYFUNCTION("QUERY('Volunteer Survey'!L181)"),"Gene-Disease Validity")</f>
        <v>Gene-Disease Validity</v>
      </c>
      <c r="T174" s="62" t="str">
        <f>IFERROR(__xludf.DUMMYFUNCTION("QUERY('Volunteer Survey'!M181)"),"Dosage Sensitivity")</f>
        <v>Dosage Sensitivity</v>
      </c>
      <c r="U174" s="74" t="str">
        <f>IFERROR(__xludf.DUMMYFUNCTION("QUERY('Volunteer Survey'!N181)"),"")</f>
        <v/>
      </c>
      <c r="V174" s="62" t="str">
        <f>IFERROR(__xludf.DUMMYFUNCTION("QUERY('Volunteer Survey'!O181)"),"Possibly")</f>
        <v>Possibly</v>
      </c>
      <c r="W174" s="75" t="str">
        <f>IFERROR(__xludf.DUMMYFUNCTION("QUERY('Volunteer Survey'!P181)"),"somatic cancer")</f>
        <v>somatic cancer</v>
      </c>
      <c r="X174" s="74" t="str">
        <f>IFERROR(__xludf.DUMMYFUNCTION("QUERY('Volunteer Survey'!R181)"),"Maybe -- please contact me with other options, and I will decide based on what is available")</f>
        <v>Maybe -- please contact me with other options, and I will decide based on what is available</v>
      </c>
      <c r="Y174" s="61"/>
      <c r="Z174" s="67"/>
      <c r="AA174" s="62"/>
      <c r="AB174" s="62"/>
      <c r="AC174" s="62"/>
      <c r="AD174" s="62"/>
      <c r="AE174" s="62"/>
      <c r="AF174" s="62"/>
      <c r="AG174" s="62"/>
      <c r="AH174" s="62"/>
      <c r="AI174" s="62"/>
      <c r="AJ174" s="62"/>
      <c r="AK174" s="62"/>
      <c r="AL174" s="62"/>
      <c r="AM174" s="62"/>
      <c r="AN174" s="62"/>
      <c r="AO174" s="62"/>
    </row>
    <row r="175">
      <c r="A175" s="59">
        <f>IFERROR(__xludf.DUMMYFUNCTION("QUERY('Volunteer Survey'!A182)"),43581.01534331018)</f>
        <v>43581.01534</v>
      </c>
      <c r="B175" s="60" t="s">
        <v>274</v>
      </c>
      <c r="C175" s="61"/>
      <c r="D175" s="82">
        <v>43570.0</v>
      </c>
      <c r="E175" s="60" t="s">
        <v>277</v>
      </c>
      <c r="F175" s="60" t="s">
        <v>277</v>
      </c>
      <c r="G175" s="60" t="s">
        <v>301</v>
      </c>
      <c r="H175" s="61"/>
      <c r="I175" s="63" t="s">
        <v>189</v>
      </c>
      <c r="J175" s="62"/>
      <c r="K175" s="62"/>
      <c r="L175" s="62" t="str">
        <f>IFERROR(__xludf.DUMMYFUNCTION("QUERY('Volunteer Survey'!B182)"),"JIXIA LIU")</f>
        <v>JIXIA LIU</v>
      </c>
      <c r="M175" s="62" t="str">
        <f>IFERROR(__xludf.DUMMYFUNCTION("QUERY('Volunteer Survey'!E182)"),"jixialiu@gmail.com")</f>
        <v>jixialiu@gmail.com</v>
      </c>
      <c r="N175" s="62" t="str">
        <f>IFERROR(__xludf.DUMMYFUNCTION("QUERY('Volunteer Survey'!F182)"),"Clinical Variant Curator")</f>
        <v>Clinical Variant Curator</v>
      </c>
      <c r="O175" s="60" t="str">
        <f>IFERROR(__xludf.DUMMYFUNCTION("QUERY('Volunteer Survey'!H182)"),"Comprehensive")</f>
        <v>Comprehensive</v>
      </c>
      <c r="P175" s="62" t="str">
        <f>IFERROR(__xludf.DUMMYFUNCTION("QUERY('Volunteer Survey'!I182)"),"Gene-Disease Validity")</f>
        <v>Gene-Disease Validity</v>
      </c>
      <c r="Q175" s="66" t="str">
        <f>IFERROR(__xludf.DUMMYFUNCTION("QUERY('Volunteer Survey'!J182)"),"Variant Pathogenicity")</f>
        <v>Variant Pathogenicity</v>
      </c>
      <c r="R175" s="62" t="str">
        <f>IFERROR(__xludf.DUMMYFUNCTION("QUERY('Volunteer Survey'!K182)"),"Somatic Cancer")</f>
        <v>Somatic Cancer</v>
      </c>
      <c r="S175" s="62" t="str">
        <f>IFERROR(__xludf.DUMMYFUNCTION("QUERY('Volunteer Survey'!L182)"),"Clinical Actionability")</f>
        <v>Clinical Actionability</v>
      </c>
      <c r="T175" s="62" t="str">
        <f>IFERROR(__xludf.DUMMYFUNCTION("QUERY('Volunteer Survey'!M182)"),"Dosage Sensitivity")</f>
        <v>Dosage Sensitivity</v>
      </c>
      <c r="U175" s="74" t="str">
        <f>IFERROR(__xludf.DUMMYFUNCTION("QUERY('Volunteer Survey'!N182)"),"I have had one year working experience with variant pathogenicity  in carrier testing. I have some knowledge about Gene-Disease Validity and Somatic Cancer curation by attending seminars and working on research project.")</f>
        <v>I have had one year working experience with variant pathogenicity  in carrier testing. I have some knowledge about Gene-Disease Validity and Somatic Cancer curation by attending seminars and working on research project.</v>
      </c>
      <c r="V175" s="62" t="str">
        <f>IFERROR(__xludf.DUMMYFUNCTION("QUERY('Volunteer Survey'!O182)"),"Possibly")</f>
        <v>Possibly</v>
      </c>
      <c r="W175" s="75" t="str">
        <f>IFERROR(__xludf.DUMMYFUNCTION("QUERY('Volunteer Survey'!P182)"),"I am in Variant Curation for Lysosomal Storage Disorders now, and would be interested in any gene curation group as well.")</f>
        <v>I am in Variant Curation for Lysosomal Storage Disorders now, and would be interested in any gene curation group as well.</v>
      </c>
      <c r="X175" s="74" t="str">
        <f>IFERROR(__xludf.DUMMYFUNCTION("QUERY('Volunteer Survey'!R182)"),"Yes- I am willing to volunteer with any available ClinGen group")</f>
        <v>Yes- I am willing to volunteer with any available ClinGen group</v>
      </c>
      <c r="Y175" s="61"/>
      <c r="Z175" s="67"/>
      <c r="AA175" s="62"/>
      <c r="AB175" s="62"/>
      <c r="AC175" s="62"/>
      <c r="AD175" s="62"/>
      <c r="AE175" s="62"/>
      <c r="AF175" s="62"/>
      <c r="AG175" s="62"/>
      <c r="AH175" s="62"/>
      <c r="AI175" s="62"/>
      <c r="AJ175" s="62"/>
      <c r="AK175" s="62"/>
      <c r="AL175" s="62"/>
      <c r="AM175" s="62"/>
      <c r="AN175" s="62"/>
      <c r="AO175" s="62"/>
    </row>
    <row r="176" ht="18.0" customHeight="1">
      <c r="A176" s="59">
        <f>IFERROR(__xludf.DUMMYFUNCTION("QUERY('Volunteer Survey'!A183)"),43581.592380995375)</f>
        <v>43581.59238</v>
      </c>
      <c r="B176" s="60" t="s">
        <v>282</v>
      </c>
      <c r="C176" s="61"/>
      <c r="D176" s="79">
        <v>43605.0</v>
      </c>
      <c r="E176" s="60" t="s">
        <v>277</v>
      </c>
      <c r="F176" s="60" t="s">
        <v>277</v>
      </c>
      <c r="G176" s="60" t="s">
        <v>288</v>
      </c>
      <c r="H176" s="63" t="s">
        <v>337</v>
      </c>
      <c r="I176" s="63" t="s">
        <v>189</v>
      </c>
      <c r="J176" s="79">
        <v>43712.0</v>
      </c>
      <c r="K176" s="79"/>
      <c r="L176" s="62" t="str">
        <f>IFERROR(__xludf.DUMMYFUNCTION("QUERY('Volunteer Survey'!B183)"),"Catherine Driscoll")</f>
        <v>Catherine Driscoll</v>
      </c>
      <c r="M176" s="62" t="str">
        <f>IFERROR(__xludf.DUMMYFUNCTION("QUERY('Volunteer Survey'!E183)"),"kate.driscoll@nih.gov")</f>
        <v>kate.driscoll@nih.gov</v>
      </c>
      <c r="N176" s="62" t="str">
        <f>IFERROR(__xludf.DUMMYFUNCTION("QUERY('Volunteer Survey'!F183)"),"Clinical laboratory geneticist")</f>
        <v>Clinical laboratory geneticist</v>
      </c>
      <c r="O176" s="60" t="str">
        <f>IFERROR(__xludf.DUMMYFUNCTION("QUERY('Volunteer Survey'!H183)"),"Comprehensive")</f>
        <v>Comprehensive</v>
      </c>
      <c r="P176" s="62" t="str">
        <f>IFERROR(__xludf.DUMMYFUNCTION("QUERY('Volunteer Survey'!I183)"),"Variant Pathogenicity")</f>
        <v>Variant Pathogenicity</v>
      </c>
      <c r="Q176" s="66" t="str">
        <f>IFERROR(__xludf.DUMMYFUNCTION("QUERY('Volunteer Survey'!J183)"),"")</f>
        <v/>
      </c>
      <c r="R176" s="62" t="str">
        <f>IFERROR(__xludf.DUMMYFUNCTION("QUERY('Volunteer Survey'!K183)"),"")</f>
        <v/>
      </c>
      <c r="S176" s="62" t="str">
        <f>IFERROR(__xludf.DUMMYFUNCTION("QUERY('Volunteer Survey'!L183)"),"")</f>
        <v/>
      </c>
      <c r="T176" s="62" t="str">
        <f>IFERROR(__xludf.DUMMYFUNCTION("QUERY('Volunteer Survey'!M183)"),"")</f>
        <v/>
      </c>
      <c r="U176" s="74" t="str">
        <f>IFERROR(__xludf.DUMMYFUNCTION("QUERY('Volunteer Survey'!N183)"),"Yes, my main task at work is annotation of variants in Dr. Biesecker's lab")</f>
        <v>Yes, my main task at work is annotation of variants in Dr. Biesecker's lab</v>
      </c>
      <c r="V176" s="62" t="str">
        <f>IFERROR(__xludf.DUMMYFUNCTION("QUERY('Volunteer Survey'!O183)"),"No")</f>
        <v>No</v>
      </c>
      <c r="W176" s="75" t="str">
        <f>IFERROR(__xludf.DUMMYFUNCTION("QUERY('Volunteer Survey'!P183)"),"Yes, RYR1 MHS")</f>
        <v>Yes, RYR1 MHS</v>
      </c>
      <c r="X176" s="74" t="str">
        <f>IFERROR(__xludf.DUMMYFUNCTION("QUERY('Volunteer Survey'!R183)"),"No - I am only interested in the group(s) I previously indicated")</f>
        <v>No - I am only interested in the group(s) I previously indicated</v>
      </c>
      <c r="Y176" s="63" t="s">
        <v>338</v>
      </c>
      <c r="Z176" s="67"/>
      <c r="AA176" s="62"/>
      <c r="AB176" s="62"/>
      <c r="AC176" s="62"/>
      <c r="AD176" s="62"/>
      <c r="AE176" s="62"/>
      <c r="AF176" s="62"/>
      <c r="AG176" s="62"/>
      <c r="AH176" s="62"/>
      <c r="AI176" s="62"/>
      <c r="AJ176" s="62"/>
      <c r="AK176" s="62"/>
      <c r="AL176" s="62"/>
      <c r="AM176" s="62"/>
      <c r="AN176" s="62"/>
      <c r="AO176" s="62"/>
    </row>
    <row r="177">
      <c r="A177" s="59">
        <f>IFERROR(__xludf.DUMMYFUNCTION("QUERY('Volunteer Survey'!A184)"),43584.797477719905)</f>
        <v>43584.79748</v>
      </c>
      <c r="B177" s="60" t="s">
        <v>275</v>
      </c>
      <c r="C177" s="61"/>
      <c r="D177" s="62"/>
      <c r="E177" s="60"/>
      <c r="F177" s="60" t="s">
        <v>182</v>
      </c>
      <c r="G177" s="60" t="s">
        <v>276</v>
      </c>
      <c r="H177" s="61"/>
      <c r="I177" s="63" t="s">
        <v>189</v>
      </c>
      <c r="J177" s="62"/>
      <c r="K177" s="62"/>
      <c r="L177" s="62" t="str">
        <f>IFERROR(__xludf.DUMMYFUNCTION("QUERY('Volunteer Survey'!B184)"),"Sara King")</f>
        <v>Sara King</v>
      </c>
      <c r="M177" s="62" t="str">
        <f>IFERROR(__xludf.DUMMYFUNCTION("QUERY('Volunteer Survey'!E184)"),"sking127@student.umuc.edu")</f>
        <v>sking127@student.umuc.edu</v>
      </c>
      <c r="N177" s="62" t="str">
        <f>IFERROR(__xludf.DUMMYFUNCTION("QUERY('Volunteer Survey'!F184)"),"Graduate Student")</f>
        <v>Graduate Student</v>
      </c>
      <c r="O177" s="60" t="str">
        <f>IFERROR(__xludf.DUMMYFUNCTION("QUERY('Volunteer Survey'!H184)"),"Baseline")</f>
        <v>Baseline</v>
      </c>
      <c r="P177" s="62" t="str">
        <f>IFERROR(__xludf.DUMMYFUNCTION("QUERY('Volunteer Survey'!I184)"),"")</f>
        <v/>
      </c>
      <c r="Q177" s="66" t="str">
        <f>IFERROR(__xludf.DUMMYFUNCTION("QUERY('Volunteer Survey'!J184)"),"")</f>
        <v/>
      </c>
      <c r="R177" s="62" t="str">
        <f>IFERROR(__xludf.DUMMYFUNCTION("QUERY('Volunteer Survey'!K184)"),"")</f>
        <v/>
      </c>
      <c r="S177" s="62" t="str">
        <f>IFERROR(__xludf.DUMMYFUNCTION("QUERY('Volunteer Survey'!L184)"),"")</f>
        <v/>
      </c>
      <c r="T177" s="62" t="str">
        <f>IFERROR(__xludf.DUMMYFUNCTION("QUERY('Volunteer Survey'!M184)"),"")</f>
        <v/>
      </c>
      <c r="U177" s="74" t="str">
        <f>IFERROR(__xludf.DUMMYFUNCTION("QUERY('Volunteer Survey'!N184)"),"")</f>
        <v/>
      </c>
      <c r="V177" s="62" t="str">
        <f>IFERROR(__xludf.DUMMYFUNCTION("QUERY('Volunteer Survey'!O184)"),"Possibly")</f>
        <v>Possibly</v>
      </c>
      <c r="W177" s="75" t="str">
        <f>IFERROR(__xludf.DUMMYFUNCTION("QUERY('Volunteer Survey'!P184)"),"")</f>
        <v/>
      </c>
      <c r="X177" s="74" t="str">
        <f>IFERROR(__xludf.DUMMYFUNCTION("QUERY('Volunteer Survey'!R184)"),"")</f>
        <v/>
      </c>
      <c r="Y177" s="63"/>
      <c r="Z177" s="67"/>
      <c r="AA177" s="62"/>
      <c r="AB177" s="62"/>
      <c r="AC177" s="62"/>
      <c r="AD177" s="62"/>
      <c r="AE177" s="62"/>
      <c r="AF177" s="62"/>
      <c r="AG177" s="62"/>
      <c r="AH177" s="62"/>
      <c r="AI177" s="62"/>
      <c r="AJ177" s="62"/>
      <c r="AK177" s="62"/>
      <c r="AL177" s="62"/>
      <c r="AM177" s="62"/>
      <c r="AN177" s="62"/>
      <c r="AO177" s="62"/>
    </row>
    <row r="178">
      <c r="A178" s="59">
        <f>IFERROR(__xludf.DUMMYFUNCTION("QUERY('Volunteer Survey'!A185)"),43585.63376069444)</f>
        <v>43585.63376</v>
      </c>
      <c r="B178" s="60" t="s">
        <v>275</v>
      </c>
      <c r="C178" s="80">
        <v>43689.0</v>
      </c>
      <c r="D178" s="79">
        <v>43768.0</v>
      </c>
      <c r="E178" s="60" t="s">
        <v>277</v>
      </c>
      <c r="F178" s="60" t="s">
        <v>277</v>
      </c>
      <c r="G178" s="60" t="s">
        <v>27</v>
      </c>
      <c r="H178" s="76" t="s">
        <v>27</v>
      </c>
      <c r="I178" s="76" t="s">
        <v>189</v>
      </c>
      <c r="J178" s="62"/>
      <c r="K178" s="62"/>
      <c r="L178" s="62" t="str">
        <f>IFERROR(__xludf.DUMMYFUNCTION("QUERY('Volunteer Survey'!B185)"),"Gifty Bhat")</f>
        <v>Gifty Bhat</v>
      </c>
      <c r="M178" s="62" t="str">
        <f>IFERROR(__xludf.DUMMYFUNCTION("QUERY('Volunteer Survey'!E185)"),"drgiftybhat@gmail.com")</f>
        <v>drgiftybhat@gmail.com</v>
      </c>
      <c r="N178" s="62" t="str">
        <f>IFERROR(__xludf.DUMMYFUNCTION("QUERY('Volunteer Survey'!F185)"),"Clinical Medical Geneticist")</f>
        <v>Clinical Medical Geneticist</v>
      </c>
      <c r="O178" s="60" t="str">
        <f>IFERROR(__xludf.DUMMYFUNCTION("QUERY('Volunteer Survey'!H185)"),"Comprehensive")</f>
        <v>Comprehensive</v>
      </c>
      <c r="P178" s="62" t="str">
        <f>IFERROR(__xludf.DUMMYFUNCTION("QUERY('Volunteer Survey'!I185)"),"Clinical Actionability")</f>
        <v>Clinical Actionability</v>
      </c>
      <c r="Q178" s="66" t="str">
        <f>IFERROR(__xludf.DUMMYFUNCTION("QUERY('Volunteer Survey'!J185)"),"Gene-Disease Validity")</f>
        <v>Gene-Disease Validity</v>
      </c>
      <c r="R178" s="62" t="str">
        <f>IFERROR(__xludf.DUMMYFUNCTION("QUERY('Volunteer Survey'!K185)"),"Variant Pathogenicity")</f>
        <v>Variant Pathogenicity</v>
      </c>
      <c r="S178" s="62" t="str">
        <f>IFERROR(__xludf.DUMMYFUNCTION("QUERY('Volunteer Survey'!L185)"),"Dosage Sensitivity")</f>
        <v>Dosage Sensitivity</v>
      </c>
      <c r="T178" s="62" t="str">
        <f>IFERROR(__xludf.DUMMYFUNCTION("QUERY('Volunteer Survey'!M185)"),"Somatic Cancer")</f>
        <v>Somatic Cancer</v>
      </c>
      <c r="U178" s="74" t="str">
        <f>IFERROR(__xludf.DUMMYFUNCTION("QUERY('Volunteer Survey'!N185)"),"")</f>
        <v/>
      </c>
      <c r="V178" s="62" t="str">
        <f>IFERROR(__xludf.DUMMYFUNCTION("QUERY('Volunteer Survey'!O185)"),"Yes")</f>
        <v>Yes</v>
      </c>
      <c r="W178" s="75" t="str">
        <f>IFERROR(__xludf.DUMMYFUNCTION("QUERY('Volunteer Survey'!P185)"),"Intellectual disability and autism")</f>
        <v>Intellectual disability and autism</v>
      </c>
      <c r="X178" s="74" t="str">
        <f>IFERROR(__xludf.DUMMYFUNCTION("QUERY('Volunteer Survey'!R185)"),"Yes- I am willing to volunteer with any available ClinGen group")</f>
        <v>Yes- I am willing to volunteer with any available ClinGen group</v>
      </c>
      <c r="Y178" s="63"/>
      <c r="Z178" s="62"/>
      <c r="AA178" s="62"/>
      <c r="AB178" s="62"/>
      <c r="AC178" s="62"/>
      <c r="AD178" s="62"/>
      <c r="AE178" s="62"/>
      <c r="AF178" s="62"/>
      <c r="AG178" s="62"/>
      <c r="AH178" s="62"/>
      <c r="AI178" s="62"/>
      <c r="AJ178" s="62"/>
      <c r="AK178" s="62"/>
      <c r="AL178" s="62"/>
      <c r="AM178" s="62"/>
      <c r="AN178" s="62"/>
      <c r="AO178" s="62"/>
    </row>
    <row r="179" ht="17.25" customHeight="1">
      <c r="A179" s="59">
        <f>IFERROR(__xludf.DUMMYFUNCTION("QUERY('Volunteer Survey'!A186)"),43586.59645730324)</f>
        <v>43586.59646</v>
      </c>
      <c r="B179" s="60" t="s">
        <v>282</v>
      </c>
      <c r="C179" s="61"/>
      <c r="D179" s="79">
        <v>43608.0</v>
      </c>
      <c r="E179" s="60" t="s">
        <v>277</v>
      </c>
      <c r="F179" s="60" t="s">
        <v>277</v>
      </c>
      <c r="G179" s="60" t="s">
        <v>288</v>
      </c>
      <c r="H179" s="63" t="s">
        <v>59</v>
      </c>
      <c r="I179" s="76" t="s">
        <v>189</v>
      </c>
      <c r="J179" s="79">
        <v>43712.0</v>
      </c>
      <c r="K179" s="79"/>
      <c r="L179" s="62" t="str">
        <f>IFERROR(__xludf.DUMMYFUNCTION("QUERY('Volunteer Survey'!B186)"),"Ashley Marsh")</f>
        <v>Ashley Marsh</v>
      </c>
      <c r="M179" s="62" t="str">
        <f>IFERROR(__xludf.DUMMYFUNCTION("QUERY('Volunteer Survey'!E186)"),"amarsh@ucsd.edu")</f>
        <v>amarsh@ucsd.edu</v>
      </c>
      <c r="N179" s="62" t="str">
        <f>IFERROR(__xludf.DUMMYFUNCTION("QUERY('Volunteer Survey'!F186)"),"Post Doc/Resident/Fellow (MD and/or PhD)")</f>
        <v>Post Doc/Resident/Fellow (MD and/or PhD)</v>
      </c>
      <c r="O179" s="60" t="str">
        <f>IFERROR(__xludf.DUMMYFUNCTION("QUERY('Volunteer Survey'!H186)"),"Comprehensive")</f>
        <v>Comprehensive</v>
      </c>
      <c r="P179" s="62" t="str">
        <f>IFERROR(__xludf.DUMMYFUNCTION("QUERY('Volunteer Survey'!I186)"),"Variant Pathogenicity")</f>
        <v>Variant Pathogenicity</v>
      </c>
      <c r="Q179" s="66" t="str">
        <f>IFERROR(__xludf.DUMMYFUNCTION("QUERY('Volunteer Survey'!J186)"),"Gene-Disease Validity")</f>
        <v>Gene-Disease Validity</v>
      </c>
      <c r="R179" s="62" t="str">
        <f>IFERROR(__xludf.DUMMYFUNCTION("QUERY('Volunteer Survey'!K186)"),"")</f>
        <v/>
      </c>
      <c r="S179" s="62" t="str">
        <f>IFERROR(__xludf.DUMMYFUNCTION("QUERY('Volunteer Survey'!L186)"),"")</f>
        <v/>
      </c>
      <c r="T179" s="62" t="str">
        <f>IFERROR(__xludf.DUMMYFUNCTION("QUERY('Volunteer Survey'!M186)"),"")</f>
        <v/>
      </c>
      <c r="U179" s="74" t="str">
        <f>IFERROR(__xludf.DUMMYFUNCTION("QUERY('Volunteer Survey'!N186)"),"Variant Pathogenicity – I gained extensive sequence variant interpretation experience through my undergraduate and graduate research projects. I assessed the pathogenicity of variants associated with inherited cardiomyopathies during my undergraduate degr"&amp;"ee and undertook similar assessments during my graduate studies, focused on neurodevelopment and novel disease gene discovery. I published a Nature Genetics paper in 2017 describing the first genetic cause of isolated agenesis of the corpus callosum. I su"&amp;"bsequently created and maintain a LOVD for the disease gene (DCC), where I use ACMG and other criteria (in silico, conversation, population databases, etc.) to assess the pathogenicity of reported variants.
Gene-Disease Validity – My PhD dissertation foc"&amp;"used on novel disease gene discovery. Throughout my candidature, I utilized modern genomic technologies (including exome and targeted resequencing) to identify and characterize novel disease genes associated with neurodevelopmental disorders such as agene"&amp;"sis of the corpus callosum and focal cortical dysplasia.")</f>
        <v>Variant Pathogenicity – I gained extensive sequence variant interpretation experience through my undergraduate and graduate research projects. I assessed the pathogenicity of variants associated with inherited cardiomyopathies during my undergraduate degree and undertook similar assessments during my graduate studies, focused on neurodevelopment and novel disease gene discovery. I published a Nature Genetics paper in 2017 describing the first genetic cause of isolated agenesis of the corpus callosum. I subsequently created and maintain a LOVD for the disease gene (DCC), where I use ACMG and other criteria (in silico, conversation, population databases, etc.) to assess the pathogenicity of reported variants.
Gene-Disease Validity – My PhD dissertation focused on novel disease gene discovery. Throughout my candidature, I utilized modern genomic technologies (including exome and targeted resequencing) to identify and characterize novel disease genes associated with neurodevelopmental disorders such as agenesis of the corpus callosum and focal cortical dysplasia.</v>
      </c>
      <c r="V179" s="62" t="str">
        <f>IFERROR(__xludf.DUMMYFUNCTION("QUERY('Volunteer Survey'!O186)"),"Possibly")</f>
        <v>Possibly</v>
      </c>
      <c r="W179" s="75" t="str">
        <f>IFERROR(__xludf.DUMMYFUNCTION("QUERY('Volunteer Survey'!P186)"),"•	Brain Malformations Variant Curation Expert Panel
•	Brain Malformations Gene Curation Expert Panel")</f>
        <v>•	Brain Malformations Variant Curation Expert Panel
•	Brain Malformations Gene Curation Expert Panel</v>
      </c>
      <c r="X179" s="74" t="str">
        <f>IFERROR(__xludf.DUMMYFUNCTION("QUERY('Volunteer Survey'!R186)"),"Maybe -- please contact me with other options, and I will decide based on what is available")</f>
        <v>Maybe -- please contact me with other options, and I will decide based on what is available</v>
      </c>
      <c r="Y179" s="63"/>
      <c r="Z179" s="62"/>
      <c r="AA179" s="62"/>
      <c r="AB179" s="62"/>
      <c r="AC179" s="62"/>
      <c r="AD179" s="62"/>
      <c r="AE179" s="62"/>
      <c r="AF179" s="62"/>
      <c r="AG179" s="62"/>
      <c r="AH179" s="62"/>
      <c r="AI179" s="62"/>
      <c r="AJ179" s="62"/>
      <c r="AK179" s="62"/>
      <c r="AL179" s="62"/>
      <c r="AM179" s="62"/>
      <c r="AN179" s="62"/>
      <c r="AO179" s="62"/>
    </row>
    <row r="180">
      <c r="A180" s="59">
        <f>IFERROR(__xludf.DUMMYFUNCTION("QUERY('Volunteer Survey'!A187)"),43587.167243738426)</f>
        <v>43587.16724</v>
      </c>
      <c r="B180" s="60" t="s">
        <v>275</v>
      </c>
      <c r="C180" s="61"/>
      <c r="D180" s="82">
        <v>43585.0</v>
      </c>
      <c r="E180" s="60" t="s">
        <v>277</v>
      </c>
      <c r="F180" s="60" t="s">
        <v>277</v>
      </c>
      <c r="G180" s="60" t="s">
        <v>278</v>
      </c>
      <c r="H180" s="63" t="s">
        <v>135</v>
      </c>
      <c r="I180" s="76" t="s">
        <v>189</v>
      </c>
      <c r="J180" s="62"/>
      <c r="K180" s="62"/>
      <c r="L180" s="62" t="str">
        <f>IFERROR(__xludf.DUMMYFUNCTION("QUERY('Volunteer Survey'!B187)"),"Kevin Colclough")</f>
        <v>Kevin Colclough</v>
      </c>
      <c r="M180" s="62" t="str">
        <f>IFERROR(__xludf.DUMMYFUNCTION("QUERY('Volunteer Survey'!E187)"),"kevin.colclough@nhs.net")</f>
        <v>kevin.colclough@nhs.net</v>
      </c>
      <c r="N180" s="62" t="str">
        <f>IFERROR(__xludf.DUMMYFUNCTION("QUERY('Volunteer Survey'!F187)"),"Clinical laboratory geneticist")</f>
        <v>Clinical laboratory geneticist</v>
      </c>
      <c r="O180" s="60" t="str">
        <f>IFERROR(__xludf.DUMMYFUNCTION("QUERY('Volunteer Survey'!H187)"),"Comprehensive")</f>
        <v>Comprehensive</v>
      </c>
      <c r="P180" s="62" t="str">
        <f>IFERROR(__xludf.DUMMYFUNCTION("QUERY('Volunteer Survey'!I187)"),"Variant Pathogenicity")</f>
        <v>Variant Pathogenicity</v>
      </c>
      <c r="Q180" s="66" t="str">
        <f>IFERROR(__xludf.DUMMYFUNCTION("QUERY('Volunteer Survey'!J187)"),"Gene-Disease Validity")</f>
        <v>Gene-Disease Validity</v>
      </c>
      <c r="R180" s="62" t="str">
        <f>IFERROR(__xludf.DUMMYFUNCTION("QUERY('Volunteer Survey'!K187)"),"Clinical Actionability")</f>
        <v>Clinical Actionability</v>
      </c>
      <c r="S180" s="62" t="str">
        <f>IFERROR(__xludf.DUMMYFUNCTION("QUERY('Volunteer Survey'!L187)"),"Dosage Sensitivity")</f>
        <v>Dosage Sensitivity</v>
      </c>
      <c r="T180" s="62" t="str">
        <f>IFERROR(__xludf.DUMMYFUNCTION("QUERY('Volunteer Survey'!M187)"),"Somatic Cancer")</f>
        <v>Somatic Cancer</v>
      </c>
      <c r="U180" s="74" t="str">
        <f>IFERROR(__xludf.DUMMYFUNCTION("QUERY('Volunteer Survey'!N187)"),"I routinely perform variant pathogenicity classification and gene-disease validity as part of my routine diagnostic laboratory work.")</f>
        <v>I routinely perform variant pathogenicity classification and gene-disease validity as part of my routine diagnostic laboratory work.</v>
      </c>
      <c r="V180" s="62" t="str">
        <f>IFERROR(__xludf.DUMMYFUNCTION("QUERY('Volunteer Survey'!O187)"),"Yes")</f>
        <v>Yes</v>
      </c>
      <c r="W180" s="75" t="str">
        <f>IFERROR(__xludf.DUMMYFUNCTION("QUERY('Volunteer Survey'!P187)"),"I am a member of the variant curation and gene curation expert panels for monogenic diabetes.")</f>
        <v>I am a member of the variant curation and gene curation expert panels for monogenic diabetes.</v>
      </c>
      <c r="X180" s="74" t="str">
        <f>IFERROR(__xludf.DUMMYFUNCTION("QUERY('Volunteer Survey'!R187)"),"No - I am only interested in the group(s) I previously indicated")</f>
        <v>No - I am only interested in the group(s) I previously indicated</v>
      </c>
      <c r="Y180" s="63"/>
      <c r="Z180" s="62"/>
      <c r="AA180" s="62"/>
      <c r="AB180" s="62"/>
      <c r="AC180" s="62"/>
      <c r="AD180" s="62"/>
      <c r="AE180" s="62"/>
      <c r="AF180" s="62"/>
      <c r="AG180" s="62"/>
      <c r="AH180" s="62"/>
      <c r="AI180" s="62"/>
      <c r="AJ180" s="62"/>
      <c r="AK180" s="62"/>
      <c r="AL180" s="62"/>
      <c r="AM180" s="62"/>
      <c r="AN180" s="62"/>
      <c r="AO180" s="62"/>
    </row>
    <row r="181">
      <c r="A181" s="59">
        <f>IFERROR(__xludf.DUMMYFUNCTION("QUERY('Volunteer Survey'!A188)"),43588.538737627314)</f>
        <v>43588.53874</v>
      </c>
      <c r="B181" s="60" t="s">
        <v>275</v>
      </c>
      <c r="C181" s="80">
        <v>43705.0</v>
      </c>
      <c r="D181" s="62"/>
      <c r="E181" s="60"/>
      <c r="F181" s="60" t="s">
        <v>182</v>
      </c>
      <c r="G181" s="60" t="s">
        <v>150</v>
      </c>
      <c r="H181" s="61"/>
      <c r="I181" s="76" t="s">
        <v>189</v>
      </c>
      <c r="J181" s="62"/>
      <c r="K181" s="62"/>
      <c r="L181" s="62" t="str">
        <f>IFERROR(__xludf.DUMMYFUNCTION("QUERY('Volunteer Survey'!B188)"),"Erin Sybouts")</f>
        <v>Erin Sybouts</v>
      </c>
      <c r="M181" s="62" t="str">
        <f>IFERROR(__xludf.DUMMYFUNCTION("QUERY('Volunteer Survey'!E188)"),"sybouts@livemail.uthscsa.edu")</f>
        <v>sybouts@livemail.uthscsa.edu</v>
      </c>
      <c r="N181" s="62" t="str">
        <f>IFERROR(__xludf.DUMMYFUNCTION("QUERY('Volunteer Survey'!F188)"),"Graduate Student")</f>
        <v>Graduate Student</v>
      </c>
      <c r="O181" s="60" t="str">
        <f>IFERROR(__xludf.DUMMYFUNCTION("QUERY('Volunteer Survey'!H188)"),"Comprehensive")</f>
        <v>Comprehensive</v>
      </c>
      <c r="P181" s="62" t="str">
        <f>IFERROR(__xludf.DUMMYFUNCTION("QUERY('Volunteer Survey'!I188)"),"Somatic Cancer")</f>
        <v>Somatic Cancer</v>
      </c>
      <c r="Q181" s="66" t="str">
        <f>IFERROR(__xludf.DUMMYFUNCTION("QUERY('Volunteer Survey'!J188)"),"Dosage Sensitivity")</f>
        <v>Dosage Sensitivity</v>
      </c>
      <c r="R181" s="62" t="str">
        <f>IFERROR(__xludf.DUMMYFUNCTION("QUERY('Volunteer Survey'!K188)"),"Gene-Disease Validity")</f>
        <v>Gene-Disease Validity</v>
      </c>
      <c r="S181" s="62" t="str">
        <f>IFERROR(__xludf.DUMMYFUNCTION("QUERY('Volunteer Survey'!L188)"),"Variant Pathogenicity")</f>
        <v>Variant Pathogenicity</v>
      </c>
      <c r="T181" s="62" t="str">
        <f>IFERROR(__xludf.DUMMYFUNCTION("QUERY('Volunteer Survey'!M188)"),"Clinical Actionability")</f>
        <v>Clinical Actionability</v>
      </c>
      <c r="U181" s="74" t="str">
        <f>IFERROR(__xludf.DUMMYFUNCTION("QUERY('Volunteer Survey'!N188)"),"")</f>
        <v/>
      </c>
      <c r="V181" s="62" t="str">
        <f>IFERROR(__xludf.DUMMYFUNCTION("QUERY('Volunteer Survey'!O188)"),"Yes")</f>
        <v>Yes</v>
      </c>
      <c r="W181" s="75" t="str">
        <f>IFERROR(__xludf.DUMMYFUNCTION("QUERY('Volunteer Survey'!P188)"),"TP53")</f>
        <v>TP53</v>
      </c>
      <c r="X181" s="74" t="str">
        <f>IFERROR(__xludf.DUMMYFUNCTION("QUERY('Volunteer Survey'!R188)"),"Yes- I am willing to volunteer with any available ClinGen group")</f>
        <v>Yes- I am willing to volunteer with any available ClinGen group</v>
      </c>
      <c r="Y181" s="63"/>
      <c r="Z181" s="62"/>
      <c r="AA181" s="62"/>
      <c r="AB181" s="62"/>
      <c r="AC181" s="62"/>
      <c r="AD181" s="62"/>
      <c r="AE181" s="62"/>
      <c r="AF181" s="62"/>
      <c r="AG181" s="62"/>
      <c r="AH181" s="62"/>
      <c r="AI181" s="62"/>
      <c r="AJ181" s="62"/>
      <c r="AK181" s="62"/>
      <c r="AL181" s="62"/>
      <c r="AM181" s="62"/>
      <c r="AN181" s="62"/>
      <c r="AO181" s="62"/>
    </row>
    <row r="182">
      <c r="A182" s="59">
        <f>IFERROR(__xludf.DUMMYFUNCTION("QUERY('Volunteer Survey'!A189)"),43591.44244180556)</f>
        <v>43591.44244</v>
      </c>
      <c r="B182" s="60" t="s">
        <v>275</v>
      </c>
      <c r="C182" s="61"/>
      <c r="D182" s="62"/>
      <c r="E182" s="60"/>
      <c r="F182" s="60" t="s">
        <v>182</v>
      </c>
      <c r="G182" s="60" t="s">
        <v>276</v>
      </c>
      <c r="H182" s="61"/>
      <c r="I182" s="76" t="s">
        <v>189</v>
      </c>
      <c r="J182" s="62"/>
      <c r="K182" s="62"/>
      <c r="L182" s="62" t="str">
        <f>IFERROR(__xludf.DUMMYFUNCTION("QUERY('Volunteer Survey'!B189)"),"Jimena Murguia")</f>
        <v>Jimena Murguia</v>
      </c>
      <c r="M182" s="62" t="str">
        <f>IFERROR(__xludf.DUMMYFUNCTION("QUERY('Volunteer Survey'!E189)"),"jimena887@yahoo.es")</f>
        <v>jimena887@yahoo.es</v>
      </c>
      <c r="N182" s="62" t="str">
        <f>IFERROR(__xludf.DUMMYFUNCTION("QUERY('Volunteer Survey'!F189)"),"Clinical laboratory geneticist")</f>
        <v>Clinical laboratory geneticist</v>
      </c>
      <c r="O182" s="60" t="str">
        <f>IFERROR(__xludf.DUMMYFUNCTION("QUERY('Volunteer Survey'!H189)"),"Baseline")</f>
        <v>Baseline</v>
      </c>
      <c r="P182" s="62" t="str">
        <f>IFERROR(__xludf.DUMMYFUNCTION("QUERY('Volunteer Survey'!I189)"),"Variant Pathogenicity")</f>
        <v>Variant Pathogenicity</v>
      </c>
      <c r="Q182" s="66" t="str">
        <f>IFERROR(__xludf.DUMMYFUNCTION("QUERY('Volunteer Survey'!J189)"),"Clinical Actionability")</f>
        <v>Clinical Actionability</v>
      </c>
      <c r="R182" s="62" t="str">
        <f>IFERROR(__xludf.DUMMYFUNCTION("QUERY('Volunteer Survey'!K189)"),"Gene-Disease Validity")</f>
        <v>Gene-Disease Validity</v>
      </c>
      <c r="S182" s="62" t="str">
        <f>IFERROR(__xludf.DUMMYFUNCTION("QUERY('Volunteer Survey'!L189)"),"Dosage Sensitivity")</f>
        <v>Dosage Sensitivity</v>
      </c>
      <c r="T182" s="62" t="str">
        <f>IFERROR(__xludf.DUMMYFUNCTION("QUERY('Volunteer Survey'!M189)"),"Somatic Cancer")</f>
        <v>Somatic Cancer</v>
      </c>
      <c r="U182" s="74" t="str">
        <f>IFERROR(__xludf.DUMMYFUNCTION("QUERY('Volunteer Survey'!N189)"),"")</f>
        <v/>
      </c>
      <c r="V182" s="62" t="str">
        <f>IFERROR(__xludf.DUMMYFUNCTION("QUERY('Volunteer Survey'!O189)"),"Possibly")</f>
        <v>Possibly</v>
      </c>
      <c r="W182" s="75" t="str">
        <f>IFERROR(__xludf.DUMMYFUNCTION("QUERY('Volunteer Survey'!P189)"),"")</f>
        <v/>
      </c>
      <c r="X182" s="74" t="str">
        <f>IFERROR(__xludf.DUMMYFUNCTION("QUERY('Volunteer Survey'!R189)"),"Yes- I am willing to volunteer with any available ClinGen group")</f>
        <v>Yes- I am willing to volunteer with any available ClinGen group</v>
      </c>
      <c r="Y182" s="63"/>
      <c r="Z182" s="62"/>
      <c r="AA182" s="62"/>
      <c r="AB182" s="62"/>
      <c r="AC182" s="62"/>
      <c r="AD182" s="62"/>
      <c r="AE182" s="62"/>
      <c r="AF182" s="62"/>
      <c r="AG182" s="62"/>
      <c r="AH182" s="62"/>
      <c r="AI182" s="62"/>
      <c r="AJ182" s="62"/>
      <c r="AK182" s="62"/>
      <c r="AL182" s="62"/>
      <c r="AM182" s="62"/>
      <c r="AN182" s="62"/>
      <c r="AO182" s="62"/>
    </row>
    <row r="183">
      <c r="A183" s="59">
        <f>IFERROR(__xludf.DUMMYFUNCTION("QUERY('Volunteer Survey'!A190)"),43591.690803784724)</f>
        <v>43591.6908</v>
      </c>
      <c r="B183" s="60" t="s">
        <v>275</v>
      </c>
      <c r="C183" s="61"/>
      <c r="D183" s="62"/>
      <c r="E183" s="60"/>
      <c r="F183" s="60" t="s">
        <v>182</v>
      </c>
      <c r="G183" s="60" t="s">
        <v>276</v>
      </c>
      <c r="H183" s="61"/>
      <c r="I183" s="76" t="s">
        <v>189</v>
      </c>
      <c r="J183" s="62"/>
      <c r="K183" s="62"/>
      <c r="L183" s="62" t="str">
        <f>IFERROR(__xludf.DUMMYFUNCTION("QUERY('Volunteer Survey'!B190)"),"Robert Lewis")</f>
        <v>Robert Lewis</v>
      </c>
      <c r="M183" s="62" t="str">
        <f>IFERROR(__xludf.DUMMYFUNCTION("QUERY('Volunteer Survey'!E190)"),"rglewis@uci.edu")</f>
        <v>rglewis@uci.edu</v>
      </c>
      <c r="N183" s="62" t="str">
        <f>IFERROR(__xludf.DUMMYFUNCTION("QUERY('Volunteer Survey'!F190)"),"Graduate Student")</f>
        <v>Graduate Student</v>
      </c>
      <c r="O183" s="60" t="str">
        <f>IFERROR(__xludf.DUMMYFUNCTION("QUERY('Volunteer Survey'!H190)"),"Baseline")</f>
        <v>Baseline</v>
      </c>
      <c r="P183" s="62" t="str">
        <f>IFERROR(__xludf.DUMMYFUNCTION("QUERY('Volunteer Survey'!I190)"),"Gene-Disease Validity")</f>
        <v>Gene-Disease Validity</v>
      </c>
      <c r="Q183" s="66" t="str">
        <f>IFERROR(__xludf.DUMMYFUNCTION("QUERY('Volunteer Survey'!J190)"),"Variant Pathogenicity")</f>
        <v>Variant Pathogenicity</v>
      </c>
      <c r="R183" s="62" t="str">
        <f>IFERROR(__xludf.DUMMYFUNCTION("QUERY('Volunteer Survey'!K190)"),"Clinical Actionability")</f>
        <v>Clinical Actionability</v>
      </c>
      <c r="S183" s="62" t="str">
        <f>IFERROR(__xludf.DUMMYFUNCTION("QUERY('Volunteer Survey'!L190)"),"Dosage Sensitivity")</f>
        <v>Dosage Sensitivity</v>
      </c>
      <c r="T183" s="62" t="str">
        <f>IFERROR(__xludf.DUMMYFUNCTION("QUERY('Volunteer Survey'!M190)"),"Somatic Cancer")</f>
        <v>Somatic Cancer</v>
      </c>
      <c r="U183" s="74" t="str">
        <f>IFERROR(__xludf.DUMMYFUNCTION("QUERY('Volunteer Survey'!N190)"),"")</f>
        <v/>
      </c>
      <c r="V183" s="62" t="str">
        <f>IFERROR(__xludf.DUMMYFUNCTION("QUERY('Volunteer Survey'!O190)"),"Possibly")</f>
        <v>Possibly</v>
      </c>
      <c r="W183" s="75" t="str">
        <f>IFERROR(__xludf.DUMMYFUNCTION("QUERY('Volunteer Survey'!P190)"),"Neurodevelopmental")</f>
        <v>Neurodevelopmental</v>
      </c>
      <c r="X183" s="74" t="str">
        <f>IFERROR(__xludf.DUMMYFUNCTION("QUERY('Volunteer Survey'!R190)"),"Maybe -- please contact me with other options, and I will decide based on what is available")</f>
        <v>Maybe -- please contact me with other options, and I will decide based on what is available</v>
      </c>
      <c r="Y183" s="61"/>
      <c r="Z183" s="62"/>
      <c r="AA183" s="62"/>
      <c r="AB183" s="62"/>
      <c r="AC183" s="62"/>
      <c r="AD183" s="62"/>
      <c r="AE183" s="62"/>
      <c r="AF183" s="62"/>
      <c r="AG183" s="62"/>
      <c r="AH183" s="62"/>
      <c r="AI183" s="62"/>
      <c r="AJ183" s="62"/>
      <c r="AK183" s="62"/>
      <c r="AL183" s="62"/>
      <c r="AM183" s="62"/>
      <c r="AN183" s="62"/>
      <c r="AO183" s="62"/>
    </row>
    <row r="184">
      <c r="A184" s="59">
        <f>IFERROR(__xludf.DUMMYFUNCTION("QUERY('Volunteer Survey'!A191)"),43592.73996135417)</f>
        <v>43592.73996</v>
      </c>
      <c r="B184" s="60" t="s">
        <v>275</v>
      </c>
      <c r="C184" s="61"/>
      <c r="D184" s="82">
        <v>43692.0</v>
      </c>
      <c r="E184" s="60" t="s">
        <v>277</v>
      </c>
      <c r="F184" s="60" t="s">
        <v>277</v>
      </c>
      <c r="G184" s="60" t="s">
        <v>278</v>
      </c>
      <c r="H184" s="61"/>
      <c r="I184" s="76" t="s">
        <v>189</v>
      </c>
      <c r="J184" s="62"/>
      <c r="K184" s="62"/>
      <c r="L184" s="62" t="str">
        <f>IFERROR(__xludf.DUMMYFUNCTION("QUERY('Volunteer Survey'!B191)"),"FEN GUO")</f>
        <v>FEN GUO</v>
      </c>
      <c r="M184" s="62" t="str">
        <f>IFERROR(__xludf.DUMMYFUNCTION("QUERY('Volunteer Survey'!E191)"),"fguo34@wisc.edu")</f>
        <v>fguo34@wisc.edu</v>
      </c>
      <c r="N184" s="62" t="str">
        <f>IFERROR(__xludf.DUMMYFUNCTION("QUERY('Volunteer Survey'!F191)"),"Post Doc/Resident/Fellow (MD and/or PhD)")</f>
        <v>Post Doc/Resident/Fellow (MD and/or PhD)</v>
      </c>
      <c r="O184" s="60" t="str">
        <f>IFERROR(__xludf.DUMMYFUNCTION("QUERY('Volunteer Survey'!H191)"),"Comprehensive")</f>
        <v>Comprehensive</v>
      </c>
      <c r="P184" s="62" t="str">
        <f>IFERROR(__xludf.DUMMYFUNCTION("QUERY('Volunteer Survey'!I191)"),"Gene-Disease Validity")</f>
        <v>Gene-Disease Validity</v>
      </c>
      <c r="Q184" s="66" t="str">
        <f>IFERROR(__xludf.DUMMYFUNCTION("QUERY('Volunteer Survey'!J191)"),"Variant Pathogenicity")</f>
        <v>Variant Pathogenicity</v>
      </c>
      <c r="R184" s="62" t="str">
        <f>IFERROR(__xludf.DUMMYFUNCTION("QUERY('Volunteer Survey'!K191)"),"Somatic Cancer")</f>
        <v>Somatic Cancer</v>
      </c>
      <c r="S184" s="62" t="str">
        <f>IFERROR(__xludf.DUMMYFUNCTION("QUERY('Volunteer Survey'!L191)"),"Clinical Actionability")</f>
        <v>Clinical Actionability</v>
      </c>
      <c r="T184" s="62" t="str">
        <f>IFERROR(__xludf.DUMMYFUNCTION("QUERY('Volunteer Survey'!M191)"),"Dosage Sensitivity")</f>
        <v>Dosage Sensitivity</v>
      </c>
      <c r="U184" s="74" t="str">
        <f>IFERROR(__xludf.DUMMYFUNCTION("QUERY('Volunteer Survey'!N191)"),"No")</f>
        <v>No</v>
      </c>
      <c r="V184" s="62" t="str">
        <f>IFERROR(__xludf.DUMMYFUNCTION("QUERY('Volunteer Survey'!O191)"),"Possibly")</f>
        <v>Possibly</v>
      </c>
      <c r="W184" s="75" t="str">
        <f>IFERROR(__xludf.DUMMYFUNCTION("QUERY('Volunteer Survey'!P191)"),"Gene Curation Expert Panels-Hereditary Cancer")</f>
        <v>Gene Curation Expert Panels-Hereditary Cancer</v>
      </c>
      <c r="X184" s="74" t="str">
        <f>IFERROR(__xludf.DUMMYFUNCTION("QUERY('Volunteer Survey'!R191)"),"Yes- I am willing to volunteer with any available ClinGen group")</f>
        <v>Yes- I am willing to volunteer with any available ClinGen group</v>
      </c>
      <c r="Y184" s="61"/>
      <c r="Z184" s="62"/>
      <c r="AA184" s="62"/>
      <c r="AB184" s="62"/>
      <c r="AC184" s="62"/>
      <c r="AD184" s="62"/>
      <c r="AE184" s="62"/>
      <c r="AF184" s="62"/>
      <c r="AG184" s="62"/>
      <c r="AH184" s="62"/>
      <c r="AI184" s="62"/>
      <c r="AJ184" s="62"/>
      <c r="AK184" s="62"/>
      <c r="AL184" s="62"/>
      <c r="AM184" s="62"/>
      <c r="AN184" s="62"/>
      <c r="AO184" s="62"/>
    </row>
    <row r="185">
      <c r="A185" s="59">
        <f>IFERROR(__xludf.DUMMYFUNCTION("QUERY('Volunteer Survey'!A192)"),43592.88754996528)</f>
        <v>43592.88755</v>
      </c>
      <c r="B185" s="60" t="s">
        <v>275</v>
      </c>
      <c r="C185" s="80">
        <v>43819.0</v>
      </c>
      <c r="D185" s="62"/>
      <c r="E185" s="60"/>
      <c r="F185" s="60" t="s">
        <v>182</v>
      </c>
      <c r="G185" s="60" t="s">
        <v>278</v>
      </c>
      <c r="H185" s="61"/>
      <c r="I185" s="76" t="s">
        <v>189</v>
      </c>
      <c r="J185" s="62"/>
      <c r="K185" s="62"/>
      <c r="L185" s="62" t="str">
        <f>IFERROR(__xludf.DUMMYFUNCTION("QUERY('Volunteer Survey'!B192)"),"Elizabeth Palmer")</f>
        <v>Elizabeth Palmer</v>
      </c>
      <c r="M185" s="62" t="str">
        <f>IFERROR(__xludf.DUMMYFUNCTION("QUERY('Volunteer Survey'!E192)"),"elizabeth.palmer1@health.nsw.gov.au")</f>
        <v>elizabeth.palmer1@health.nsw.gov.au</v>
      </c>
      <c r="N185" s="62" t="str">
        <f>IFERROR(__xludf.DUMMYFUNCTION("QUERY('Volunteer Survey'!F192)"),"Clinical Medical Geneticist")</f>
        <v>Clinical Medical Geneticist</v>
      </c>
      <c r="O185" s="60" t="str">
        <f>IFERROR(__xludf.DUMMYFUNCTION("QUERY('Volunteer Survey'!H192)"),"Comprehensive")</f>
        <v>Comprehensive</v>
      </c>
      <c r="P185" s="62" t="str">
        <f>IFERROR(__xludf.DUMMYFUNCTION("QUERY('Volunteer Survey'!I192)"),"Gene-Disease Validity")</f>
        <v>Gene-Disease Validity</v>
      </c>
      <c r="Q185" s="66" t="str">
        <f>IFERROR(__xludf.DUMMYFUNCTION("QUERY('Volunteer Survey'!J192)"),"Variant Pathogenicity")</f>
        <v>Variant Pathogenicity</v>
      </c>
      <c r="R185" s="62" t="str">
        <f>IFERROR(__xludf.DUMMYFUNCTION("QUERY('Volunteer Survey'!K192)"),"")</f>
        <v/>
      </c>
      <c r="S185" s="62" t="str">
        <f>IFERROR(__xludf.DUMMYFUNCTION("QUERY('Volunteer Survey'!L192)"),"")</f>
        <v/>
      </c>
      <c r="T185" s="62" t="str">
        <f>IFERROR(__xludf.DUMMYFUNCTION("QUERY('Volunteer Survey'!M192)"),"")</f>
        <v/>
      </c>
      <c r="U185" s="74" t="str">
        <f>IFERROR(__xludf.DUMMYFUNCTION("QUERY('Volunteer Survey'!N192)"),"member of AUSTRALIAN FUNCTIONAL GENOMICS CLINICAL REVIEW PANEL. Variant curation as part of my PhD and clinical research practice. ")</f>
        <v>member of AUSTRALIAN FUNCTIONAL GENOMICS CLINICAL REVIEW PANEL. Variant curation as part of my PhD and clinical research practice. </v>
      </c>
      <c r="V185" s="62" t="str">
        <f>IFERROR(__xludf.DUMMYFUNCTION("QUERY('Volunteer Survey'!O192)"),"No")</f>
        <v>No</v>
      </c>
      <c r="W185" s="75" t="str">
        <f>IFERROR(__xludf.DUMMYFUNCTION("QUERY('Volunteer Survey'!P192)"),"epilepsy / ID and autism")</f>
        <v>epilepsy / ID and autism</v>
      </c>
      <c r="X185" s="74" t="str">
        <f>IFERROR(__xludf.DUMMYFUNCTION("QUERY('Volunteer Survey'!R192)"),"Maybe -- please contact me with other options, and I will decide based on what is available")</f>
        <v>Maybe -- please contact me with other options, and I will decide based on what is available</v>
      </c>
      <c r="Y185" s="61"/>
      <c r="Z185" s="62"/>
      <c r="AA185" s="62"/>
      <c r="AB185" s="62"/>
      <c r="AC185" s="62"/>
      <c r="AD185" s="62"/>
      <c r="AE185" s="62"/>
      <c r="AF185" s="62"/>
      <c r="AG185" s="62"/>
      <c r="AH185" s="62"/>
      <c r="AI185" s="62"/>
      <c r="AJ185" s="62"/>
      <c r="AK185" s="62"/>
      <c r="AL185" s="62"/>
      <c r="AM185" s="62"/>
      <c r="AN185" s="62"/>
      <c r="AO185" s="62"/>
    </row>
    <row r="186">
      <c r="A186" s="59">
        <f>IFERROR(__xludf.DUMMYFUNCTION("QUERY('Volunteer Survey'!A193)"),43593.204109722225)</f>
        <v>43593.20411</v>
      </c>
      <c r="B186" s="60" t="s">
        <v>275</v>
      </c>
      <c r="C186" s="61"/>
      <c r="D186" s="62"/>
      <c r="E186" s="60"/>
      <c r="F186" s="60" t="s">
        <v>182</v>
      </c>
      <c r="G186" s="60" t="s">
        <v>276</v>
      </c>
      <c r="H186" s="61"/>
      <c r="I186" s="76" t="s">
        <v>189</v>
      </c>
      <c r="J186" s="62"/>
      <c r="K186" s="62"/>
      <c r="L186" s="62" t="str">
        <f>IFERROR(__xludf.DUMMYFUNCTION("QUERY('Volunteer Survey'!B193)"),"Vira Lamtieva")</f>
        <v>Vira Lamtieva</v>
      </c>
      <c r="M186" s="62" t="str">
        <f>IFERROR(__xludf.DUMMYFUNCTION("QUERY('Volunteer Survey'!E193)"),"lamteva.vera@gmail.com")</f>
        <v>lamteva.vera@gmail.com</v>
      </c>
      <c r="N186" s="62" t="str">
        <f>IFERROR(__xludf.DUMMYFUNCTION("QUERY('Volunteer Survey'!F193)"),"Clinical laboratory geneticist")</f>
        <v>Clinical laboratory geneticist</v>
      </c>
      <c r="O186" s="60" t="str">
        <f>IFERROR(__xludf.DUMMYFUNCTION("QUERY('Volunteer Survey'!H193)"),"Baseline")</f>
        <v>Baseline</v>
      </c>
      <c r="P186" s="62" t="str">
        <f>IFERROR(__xludf.DUMMYFUNCTION("QUERY('Volunteer Survey'!I193)"),"Variant Pathogenicity")</f>
        <v>Variant Pathogenicity</v>
      </c>
      <c r="Q186" s="66" t="str">
        <f>IFERROR(__xludf.DUMMYFUNCTION("QUERY('Volunteer Survey'!J193)"),"Gene-Disease Validity")</f>
        <v>Gene-Disease Validity</v>
      </c>
      <c r="R186" s="62" t="str">
        <f>IFERROR(__xludf.DUMMYFUNCTION("QUERY('Volunteer Survey'!K193)"),"")</f>
        <v/>
      </c>
      <c r="S186" s="62" t="str">
        <f>IFERROR(__xludf.DUMMYFUNCTION("QUERY('Volunteer Survey'!L193)"),"")</f>
        <v/>
      </c>
      <c r="T186" s="62" t="str">
        <f>IFERROR(__xludf.DUMMYFUNCTION("QUERY('Volunteer Survey'!M193)"),"")</f>
        <v/>
      </c>
      <c r="U186" s="74" t="str">
        <f>IFERROR(__xludf.DUMMYFUNCTION("QUERY('Volunteer Survey'!N193)"),"I don't have curation experience but I have been learning variant analysis and interpretation since 2016. Our lab has been offering WES interpretation for some time, and it is currently my working responsibility. Yet I have analysed up to 10 cases so far."&amp;" ")</f>
        <v>I don't have curation experience but I have been learning variant analysis and interpretation since 2016. Our lab has been offering WES interpretation for some time, and it is currently my working responsibility. Yet I have analysed up to 10 cases so far. </v>
      </c>
      <c r="V186" s="62" t="str">
        <f>IFERROR(__xludf.DUMMYFUNCTION("QUERY('Volunteer Survey'!O193)"),"Possibly")</f>
        <v>Possibly</v>
      </c>
      <c r="W186" s="75" t="str">
        <f>IFERROR(__xludf.DUMMYFUNCTION("QUERY('Volunteer Survey'!P193)"),"Brain malformations, Lysosomal storage diseases, Mitochondrial diseases, Intellectual Disability/Autism")</f>
        <v>Brain malformations, Lysosomal storage diseases, Mitochondrial diseases, Intellectual Disability/Autism</v>
      </c>
      <c r="X186" s="74" t="str">
        <f>IFERROR(__xludf.DUMMYFUNCTION("QUERY('Volunteer Survey'!R193)"),"Maybe -- please contact me with other options, and I will decide based on what is available")</f>
        <v>Maybe -- please contact me with other options, and I will decide based on what is available</v>
      </c>
      <c r="Y186" s="61"/>
      <c r="Z186" s="62"/>
      <c r="AA186" s="62"/>
      <c r="AB186" s="62"/>
      <c r="AC186" s="62"/>
      <c r="AD186" s="62"/>
      <c r="AE186" s="62"/>
      <c r="AF186" s="62"/>
      <c r="AG186" s="62"/>
      <c r="AH186" s="62"/>
      <c r="AI186" s="62"/>
      <c r="AJ186" s="62"/>
      <c r="AK186" s="62"/>
      <c r="AL186" s="62"/>
      <c r="AM186" s="62"/>
      <c r="AN186" s="62"/>
      <c r="AO186" s="62"/>
    </row>
    <row r="187">
      <c r="A187" s="59">
        <f>IFERROR(__xludf.DUMMYFUNCTION("QUERY('Volunteer Survey'!A194)"),43593.56649472222)</f>
        <v>43593.56649</v>
      </c>
      <c r="B187" s="60" t="s">
        <v>274</v>
      </c>
      <c r="C187" s="61"/>
      <c r="D187" s="79">
        <v>43476.0</v>
      </c>
      <c r="E187" s="60" t="s">
        <v>277</v>
      </c>
      <c r="F187" s="60" t="s">
        <v>182</v>
      </c>
      <c r="G187" s="60" t="s">
        <v>150</v>
      </c>
      <c r="H187" s="61"/>
      <c r="I187" s="63" t="s">
        <v>189</v>
      </c>
      <c r="J187" s="79">
        <v>43593.0</v>
      </c>
      <c r="K187" s="79">
        <v>43713.0</v>
      </c>
      <c r="L187" s="62" t="str">
        <f>IFERROR(__xludf.DUMMYFUNCTION("QUERY('Volunteer Survey'!B194)"),"Lisa Dyer")</f>
        <v>Lisa Dyer</v>
      </c>
      <c r="M187" s="62" t="str">
        <f>IFERROR(__xludf.DUMMYFUNCTION("QUERY('Volunteer Survey'!E194)"),"Lisa.Dyer@cchmc.org")</f>
        <v>Lisa.Dyer@cchmc.org</v>
      </c>
      <c r="N187" s="62" t="str">
        <f>IFERROR(__xludf.DUMMYFUNCTION("QUERY('Volunteer Survey'!F194)"),"NA")</f>
        <v>NA</v>
      </c>
      <c r="O187" s="60" t="str">
        <f>IFERROR(__xludf.DUMMYFUNCTION("QUERY('Volunteer Survey'!H194)"),"Comprehensive")</f>
        <v>Comprehensive</v>
      </c>
      <c r="P187" s="62" t="str">
        <f>IFERROR(__xludf.DUMMYFUNCTION("QUERY('Volunteer Survey'!I194)"),"Somatic Cancer")</f>
        <v>Somatic Cancer</v>
      </c>
      <c r="Q187" s="66" t="str">
        <f>IFERROR(__xludf.DUMMYFUNCTION("QUERY('Volunteer Survey'!J194)"),"")</f>
        <v/>
      </c>
      <c r="R187" s="62" t="str">
        <f>IFERROR(__xludf.DUMMYFUNCTION("QUERY('Volunteer Survey'!K194)"),"")</f>
        <v/>
      </c>
      <c r="S187" s="62" t="str">
        <f>IFERROR(__xludf.DUMMYFUNCTION("QUERY('Volunteer Survey'!L194)"),"")</f>
        <v/>
      </c>
      <c r="T187" s="62" t="str">
        <f>IFERROR(__xludf.DUMMYFUNCTION("QUERY('Volunteer Survey'!M194)"),"")</f>
        <v/>
      </c>
      <c r="U187" s="74" t="str">
        <f>IFERROR(__xludf.DUMMYFUNCTION("QUERY('Volunteer Survey'!N194)"),"")</f>
        <v/>
      </c>
      <c r="V187" s="62" t="str">
        <f>IFERROR(__xludf.DUMMYFUNCTION("QUERY('Volunteer Survey'!O194)"),"")</f>
        <v/>
      </c>
      <c r="W187" s="75" t="str">
        <f>IFERROR(__xludf.DUMMYFUNCTION("QUERY('Volunteer Survey'!P194)"),"")</f>
        <v/>
      </c>
      <c r="X187" s="74" t="str">
        <f>IFERROR(__xludf.DUMMYFUNCTION("QUERY('Volunteer Survey'!R194)"),"")</f>
        <v/>
      </c>
      <c r="Y187" s="91" t="s">
        <v>307</v>
      </c>
      <c r="Z187" s="62"/>
      <c r="AA187" s="62"/>
      <c r="AB187" s="62"/>
      <c r="AC187" s="62"/>
      <c r="AD187" s="62"/>
      <c r="AE187" s="62"/>
      <c r="AF187" s="62"/>
      <c r="AG187" s="62"/>
      <c r="AH187" s="62"/>
      <c r="AI187" s="62"/>
      <c r="AJ187" s="62"/>
      <c r="AK187" s="62"/>
      <c r="AL187" s="62"/>
      <c r="AM187" s="62"/>
      <c r="AN187" s="62"/>
      <c r="AO187" s="62"/>
    </row>
    <row r="188">
      <c r="A188" s="59">
        <f>IFERROR(__xludf.DUMMYFUNCTION("QUERY('Volunteer Survey'!A195)"),43593.736186539354)</f>
        <v>43593.73619</v>
      </c>
      <c r="B188" s="60" t="s">
        <v>275</v>
      </c>
      <c r="C188" s="80">
        <v>43819.0</v>
      </c>
      <c r="D188" s="62"/>
      <c r="E188" s="60"/>
      <c r="F188" s="60" t="s">
        <v>182</v>
      </c>
      <c r="G188" s="60" t="s">
        <v>278</v>
      </c>
      <c r="H188" s="61"/>
      <c r="I188" s="63" t="s">
        <v>189</v>
      </c>
      <c r="J188" s="79"/>
      <c r="K188" s="79"/>
      <c r="L188" s="62" t="str">
        <f>IFERROR(__xludf.DUMMYFUNCTION("QUERY('Volunteer Survey'!B195)"),"Andrea Hallberg")</f>
        <v>Andrea Hallberg</v>
      </c>
      <c r="M188" s="62" t="str">
        <f>IFERROR(__xludf.DUMMYFUNCTION("QUERY('Volunteer Survey'!E195)"),"hallberg.andrea@gmail.com")</f>
        <v>hallberg.andrea@gmail.com</v>
      </c>
      <c r="N188" s="62" t="str">
        <f>IFERROR(__xludf.DUMMYFUNCTION("QUERY('Volunteer Survey'!F195)"),"Post Doc/Resident/Fellow (MD and/or PhD)")</f>
        <v>Post Doc/Resident/Fellow (MD and/or PhD)</v>
      </c>
      <c r="O188" s="60" t="str">
        <f>IFERROR(__xludf.DUMMYFUNCTION("QUERY('Volunteer Survey'!H195)"),"Comprehensive")</f>
        <v>Comprehensive</v>
      </c>
      <c r="P188" s="62" t="str">
        <f>IFERROR(__xludf.DUMMYFUNCTION("QUERY('Volunteer Survey'!I195)"),"Gene-Disease Validity")</f>
        <v>Gene-Disease Validity</v>
      </c>
      <c r="Q188" s="66" t="str">
        <f>IFERROR(__xludf.DUMMYFUNCTION("QUERY('Volunteer Survey'!J195)"),"Variant Pathogenicity")</f>
        <v>Variant Pathogenicity</v>
      </c>
      <c r="R188" s="62" t="str">
        <f>IFERROR(__xludf.DUMMYFUNCTION("QUERY('Volunteer Survey'!K195)"),"Dosage Sensitivity")</f>
        <v>Dosage Sensitivity</v>
      </c>
      <c r="S188" s="62" t="str">
        <f>IFERROR(__xludf.DUMMYFUNCTION("QUERY('Volunteer Survey'!L195)"),"Clinical Actionability")</f>
        <v>Clinical Actionability</v>
      </c>
      <c r="T188" s="62" t="str">
        <f>IFERROR(__xludf.DUMMYFUNCTION("QUERY('Volunteer Survey'!M195)"),"Somatic Cancer")</f>
        <v>Somatic Cancer</v>
      </c>
      <c r="U188" s="74" t="str">
        <f>IFERROR(__xludf.DUMMYFUNCTION("QUERY('Volunteer Survey'!N195)"),"No ")</f>
        <v>No </v>
      </c>
      <c r="V188" s="62" t="str">
        <f>IFERROR(__xludf.DUMMYFUNCTION("QUERY('Volunteer Survey'!O195)"),"Possibly")</f>
        <v>Possibly</v>
      </c>
      <c r="W188" s="75" t="str">
        <f>IFERROR(__xludf.DUMMYFUNCTION("QUERY('Volunteer Survey'!P195)"),"")</f>
        <v/>
      </c>
      <c r="X188" s="74" t="str">
        <f>IFERROR(__xludf.DUMMYFUNCTION("QUERY('Volunteer Survey'!R195)"),"Yes- I am willing to volunteer with any available ClinGen group")</f>
        <v>Yes- I am willing to volunteer with any available ClinGen group</v>
      </c>
      <c r="Y188" s="61"/>
      <c r="Z188" s="62"/>
      <c r="AA188" s="62"/>
      <c r="AB188" s="62"/>
      <c r="AC188" s="62"/>
      <c r="AD188" s="62"/>
      <c r="AE188" s="62"/>
      <c r="AF188" s="62"/>
      <c r="AG188" s="62"/>
      <c r="AH188" s="62"/>
      <c r="AI188" s="62"/>
      <c r="AJ188" s="62"/>
      <c r="AK188" s="62"/>
      <c r="AL188" s="62"/>
      <c r="AM188" s="62"/>
      <c r="AN188" s="62"/>
      <c r="AO188" s="62"/>
    </row>
    <row r="189">
      <c r="A189" s="59">
        <f>IFERROR(__xludf.DUMMYFUNCTION("QUERY('Volunteer Survey'!A196)"),43595.37445846065)</f>
        <v>43595.37446</v>
      </c>
      <c r="B189" s="60" t="s">
        <v>275</v>
      </c>
      <c r="C189" s="61"/>
      <c r="D189" s="62"/>
      <c r="E189" s="60"/>
      <c r="F189" s="60" t="s">
        <v>182</v>
      </c>
      <c r="G189" s="60" t="s">
        <v>276</v>
      </c>
      <c r="H189" s="61"/>
      <c r="I189" s="63" t="s">
        <v>189</v>
      </c>
      <c r="J189" s="62"/>
      <c r="K189" s="62"/>
      <c r="L189" s="62" t="str">
        <f>IFERROR(__xludf.DUMMYFUNCTION("QUERY('Volunteer Survey'!B196)"),"Bianca Tesi")</f>
        <v>Bianca Tesi</v>
      </c>
      <c r="M189" s="62" t="str">
        <f>IFERROR(__xludf.DUMMYFUNCTION("QUERY('Volunteer Survey'!E196)"),"bianca.tesi@sll.se")</f>
        <v>bianca.tesi@sll.se</v>
      </c>
      <c r="N189" s="62" t="str">
        <f>IFERROR(__xludf.DUMMYFUNCTION("QUERY('Volunteer Survey'!F196)"),"Post Doc/Resident/Fellow (MD and/or PhD)")</f>
        <v>Post Doc/Resident/Fellow (MD and/or PhD)</v>
      </c>
      <c r="O189" s="60" t="str">
        <f>IFERROR(__xludf.DUMMYFUNCTION("QUERY('Volunteer Survey'!H196)"),"Baseline")</f>
        <v>Baseline</v>
      </c>
      <c r="P189" s="62" t="str">
        <f>IFERROR(__xludf.DUMMYFUNCTION("QUERY('Volunteer Survey'!I196)"),"Clinical Actionability")</f>
        <v>Clinical Actionability</v>
      </c>
      <c r="Q189" s="66" t="str">
        <f>IFERROR(__xludf.DUMMYFUNCTION("QUERY('Volunteer Survey'!J196)"),"Gene-Disease Validity")</f>
        <v>Gene-Disease Validity</v>
      </c>
      <c r="R189" s="62" t="str">
        <f>IFERROR(__xludf.DUMMYFUNCTION("QUERY('Volunteer Survey'!K196)"),"Variant Pathogenicity")</f>
        <v>Variant Pathogenicity</v>
      </c>
      <c r="S189" s="62" t="str">
        <f>IFERROR(__xludf.DUMMYFUNCTION("QUERY('Volunteer Survey'!L196)"),"Somatic Cancer")</f>
        <v>Somatic Cancer</v>
      </c>
      <c r="T189" s="62" t="str">
        <f>IFERROR(__xludf.DUMMYFUNCTION("QUERY('Volunteer Survey'!M196)"),"Dosage Sensitivity")</f>
        <v>Dosage Sensitivity</v>
      </c>
      <c r="U189" s="74" t="str">
        <f>IFERROR(__xludf.DUMMYFUNCTION("QUERY('Volunteer Survey'!N196)"),"Experienced with reading literature, evaluating results in the clinical setting.")</f>
        <v>Experienced with reading literature, evaluating results in the clinical setting.</v>
      </c>
      <c r="V189" s="62" t="str">
        <f>IFERROR(__xludf.DUMMYFUNCTION("QUERY('Volunteer Survey'!O196)"),"Possibly")</f>
        <v>Possibly</v>
      </c>
      <c r="W189" s="75" t="str">
        <f>IFERROR(__xludf.DUMMYFUNCTION("QUERY('Volunteer Survey'!P196)"),"myeloid neoplasm, hereditary cancer")</f>
        <v>myeloid neoplasm, hereditary cancer</v>
      </c>
      <c r="X189" s="74" t="str">
        <f>IFERROR(__xludf.DUMMYFUNCTION("QUERY('Volunteer Survey'!R196)"),"Yes- I am willing to volunteer with any available ClinGen group")</f>
        <v>Yes- I am willing to volunteer with any available ClinGen group</v>
      </c>
      <c r="Y189" s="61"/>
      <c r="Z189" s="62"/>
      <c r="AA189" s="62"/>
      <c r="AB189" s="62"/>
      <c r="AC189" s="62"/>
      <c r="AD189" s="62"/>
      <c r="AE189" s="62"/>
      <c r="AF189" s="62"/>
      <c r="AG189" s="62"/>
      <c r="AH189" s="62"/>
      <c r="AI189" s="62"/>
      <c r="AJ189" s="62"/>
      <c r="AK189" s="62"/>
      <c r="AL189" s="62"/>
      <c r="AM189" s="62"/>
      <c r="AN189" s="62"/>
      <c r="AO189" s="62"/>
    </row>
    <row r="190">
      <c r="A190" s="59">
        <f>IFERROR(__xludf.DUMMYFUNCTION("QUERY('Volunteer Survey'!A197)"),43596.24046488426)</f>
        <v>43596.24046</v>
      </c>
      <c r="B190" s="60" t="s">
        <v>275</v>
      </c>
      <c r="C190" s="80">
        <v>43819.0</v>
      </c>
      <c r="D190" s="62"/>
      <c r="E190" s="60"/>
      <c r="F190" s="60" t="s">
        <v>182</v>
      </c>
      <c r="G190" s="60" t="s">
        <v>288</v>
      </c>
      <c r="H190" s="61"/>
      <c r="I190" s="63" t="s">
        <v>189</v>
      </c>
      <c r="J190" s="62"/>
      <c r="K190" s="62"/>
      <c r="L190" s="62" t="str">
        <f>IFERROR(__xludf.DUMMYFUNCTION("QUERY('Volunteer Survey'!B197)"),"Lisa Chen")</f>
        <v>Lisa Chen</v>
      </c>
      <c r="M190" s="62" t="str">
        <f>IFERROR(__xludf.DUMMYFUNCTION("QUERY('Volunteer Survey'!E197)"),"lisa498484901@gmail.com")</f>
        <v>lisa498484901@gmail.com</v>
      </c>
      <c r="N190" s="62" t="str">
        <f>IFERROR(__xludf.DUMMYFUNCTION("QUERY('Volunteer Survey'!F197)"),"Graduate Student")</f>
        <v>Graduate Student</v>
      </c>
      <c r="O190" s="60" t="str">
        <f>IFERROR(__xludf.DUMMYFUNCTION("QUERY('Volunteer Survey'!H197)"),"Comprehensive")</f>
        <v>Comprehensive</v>
      </c>
      <c r="P190" s="62" t="str">
        <f>IFERROR(__xludf.DUMMYFUNCTION("QUERY('Volunteer Survey'!I197)"),"Variant Pathogenicity")</f>
        <v>Variant Pathogenicity</v>
      </c>
      <c r="Q190" s="66" t="str">
        <f>IFERROR(__xludf.DUMMYFUNCTION("QUERY('Volunteer Survey'!J197)"),"Gene-Disease Validity")</f>
        <v>Gene-Disease Validity</v>
      </c>
      <c r="R190" s="62" t="str">
        <f>IFERROR(__xludf.DUMMYFUNCTION("QUERY('Volunteer Survey'!K197)"),"Clinical Actionability")</f>
        <v>Clinical Actionability</v>
      </c>
      <c r="S190" s="62" t="str">
        <f>IFERROR(__xludf.DUMMYFUNCTION("QUERY('Volunteer Survey'!L197)"),"Dosage Sensitivity")</f>
        <v>Dosage Sensitivity</v>
      </c>
      <c r="T190" s="62" t="str">
        <f>IFERROR(__xludf.DUMMYFUNCTION("QUERY('Volunteer Survey'!M197)"),"Somatic Cancer")</f>
        <v>Somatic Cancer</v>
      </c>
      <c r="U190" s="74" t="str">
        <f>IFERROR(__xludf.DUMMYFUNCTION("QUERY('Volunteer Survey'!N197)"),"I have been doing variant classification for 4 years.")</f>
        <v>I have been doing variant classification for 4 years.</v>
      </c>
      <c r="V190" s="62" t="str">
        <f>IFERROR(__xludf.DUMMYFUNCTION("QUERY('Volunteer Survey'!O197)"),"Possibly")</f>
        <v>Possibly</v>
      </c>
      <c r="W190" s="75" t="str">
        <f>IFERROR(__xludf.DUMMYFUNCTION("QUERY('Volunteer Survey'!P197)"),"Congenital Myopathies")</f>
        <v>Congenital Myopathies</v>
      </c>
      <c r="X190" s="74" t="str">
        <f>IFERROR(__xludf.DUMMYFUNCTION("QUERY('Volunteer Survey'!R197)"),"Yes- I am willing to volunteer with any available ClinGen group")</f>
        <v>Yes- I am willing to volunteer with any available ClinGen group</v>
      </c>
      <c r="Y190" s="61"/>
      <c r="Z190" s="62"/>
      <c r="AA190" s="62"/>
      <c r="AB190" s="62"/>
      <c r="AC190" s="62"/>
      <c r="AD190" s="62"/>
      <c r="AE190" s="62"/>
      <c r="AF190" s="62"/>
      <c r="AG190" s="62"/>
      <c r="AH190" s="62"/>
      <c r="AI190" s="62"/>
      <c r="AJ190" s="62"/>
      <c r="AK190" s="62"/>
      <c r="AL190" s="62"/>
      <c r="AM190" s="62"/>
      <c r="AN190" s="62"/>
      <c r="AO190" s="62"/>
    </row>
    <row r="191">
      <c r="A191" s="59">
        <f>IFERROR(__xludf.DUMMYFUNCTION("QUERY('Volunteer Survey'!A198)"),43390.565046296295)</f>
        <v>43390.56505</v>
      </c>
      <c r="B191" s="60" t="s">
        <v>275</v>
      </c>
      <c r="C191" s="80">
        <v>43819.0</v>
      </c>
      <c r="D191" s="62"/>
      <c r="E191" s="60"/>
      <c r="F191" s="60" t="s">
        <v>182</v>
      </c>
      <c r="G191" s="60" t="s">
        <v>278</v>
      </c>
      <c r="H191" s="61"/>
      <c r="I191" s="63" t="s">
        <v>189</v>
      </c>
      <c r="J191" s="62"/>
      <c r="K191" s="62"/>
      <c r="L191" s="62" t="str">
        <f>IFERROR(__xludf.DUMMYFUNCTION("QUERY('Volunteer Survey'!B198)"),"Ingrid Paine")</f>
        <v>Ingrid Paine</v>
      </c>
      <c r="M191" s="62" t="str">
        <f>IFERROR(__xludf.DUMMYFUNCTION("QUERY('Volunteer Survey'!E198)"),"runquist@alumni.bcm.edu")</f>
        <v>runquist@alumni.bcm.edu</v>
      </c>
      <c r="N191" s="62" t="str">
        <f>IFERROR(__xludf.DUMMYFUNCTION("QUERY('Volunteer Survey'!F198)"),"Post Doc/Resident/Fellow (MD and/or PhD)")</f>
        <v>Post Doc/Resident/Fellow (MD and/or PhD)</v>
      </c>
      <c r="O191" s="60" t="str">
        <f>IFERROR(__xludf.DUMMYFUNCTION("QUERY('Volunteer Survey'!H198)"),"Comprehensive")</f>
        <v>Comprehensive</v>
      </c>
      <c r="P191" s="62" t="str">
        <f>IFERROR(__xludf.DUMMYFUNCTION("QUERY('Volunteer Survey'!I198)"),"Gene-Disease Validity")</f>
        <v>Gene-Disease Validity</v>
      </c>
      <c r="Q191" s="66" t="str">
        <f>IFERROR(__xludf.DUMMYFUNCTION("QUERY('Volunteer Survey'!J198)"),"Variant Pathogenicity")</f>
        <v>Variant Pathogenicity</v>
      </c>
      <c r="R191" s="62" t="str">
        <f>IFERROR(__xludf.DUMMYFUNCTION("QUERY('Volunteer Survey'!K198)"),"")</f>
        <v/>
      </c>
      <c r="S191" s="62" t="str">
        <f>IFERROR(__xludf.DUMMYFUNCTION("QUERY('Volunteer Survey'!L198)"),"")</f>
        <v/>
      </c>
      <c r="T191" s="62" t="str">
        <f>IFERROR(__xludf.DUMMYFUNCTION("QUERY('Volunteer Survey'!M198)"),"")</f>
        <v/>
      </c>
      <c r="U191" s="74" t="str">
        <f>IFERROR(__xludf.DUMMYFUNCTION("QUERY('Volunteer Survey'!N198)"),"No")</f>
        <v>No</v>
      </c>
      <c r="V191" s="62" t="str">
        <f>IFERROR(__xludf.DUMMYFUNCTION("QUERY('Volunteer Survey'!O198)"),"Possibly")</f>
        <v>Possibly</v>
      </c>
      <c r="W191" s="75" t="str">
        <f>IFERROR(__xludf.DUMMYFUNCTION("QUERY('Volunteer Survey'!P198)"),"Epilepsy genes and neurodevelopmental")</f>
        <v>Epilepsy genes and neurodevelopmental</v>
      </c>
      <c r="X191" s="74" t="str">
        <f>IFERROR(__xludf.DUMMYFUNCTION("QUERY('Volunteer Survey'!R198)"),"Maybe -- please contact me with other options, and I will decide based on what is available")</f>
        <v>Maybe -- please contact me with other options, and I will decide based on what is available</v>
      </c>
      <c r="Y191" s="104" t="s">
        <v>339</v>
      </c>
      <c r="Z191" s="62"/>
      <c r="AA191" s="62"/>
      <c r="AB191" s="62"/>
      <c r="AC191" s="62"/>
      <c r="AD191" s="62"/>
      <c r="AE191" s="62"/>
      <c r="AF191" s="62"/>
      <c r="AG191" s="62"/>
      <c r="AH191" s="62"/>
      <c r="AI191" s="62"/>
      <c r="AJ191" s="62"/>
      <c r="AK191" s="62"/>
      <c r="AL191" s="62"/>
      <c r="AM191" s="62"/>
      <c r="AN191" s="62"/>
      <c r="AO191" s="62"/>
    </row>
    <row r="192">
      <c r="A192" s="59">
        <f>IFERROR(__xludf.DUMMYFUNCTION("QUERY('Volunteer Survey'!A199)"),43601.325485277775)</f>
        <v>43601.32549</v>
      </c>
      <c r="B192" s="60" t="s">
        <v>340</v>
      </c>
      <c r="C192" s="61"/>
      <c r="D192" s="62"/>
      <c r="E192" s="60"/>
      <c r="F192" s="60" t="s">
        <v>182</v>
      </c>
      <c r="G192" s="60" t="s">
        <v>276</v>
      </c>
      <c r="H192" s="61"/>
      <c r="I192" s="63" t="s">
        <v>189</v>
      </c>
      <c r="J192" s="62"/>
      <c r="K192" s="62"/>
      <c r="L192" s="62" t="str">
        <f>IFERROR(__xludf.DUMMYFUNCTION("QUERY('Volunteer Survey'!B199)"),"Michelle Paczosa")</f>
        <v>Michelle Paczosa</v>
      </c>
      <c r="M192" s="62" t="str">
        <f>IFERROR(__xludf.DUMMYFUNCTION("QUERY('Volunteer Survey'!E199)"),"Michelle.K.Paczosa@questdiagnostics.com")</f>
        <v>Michelle.K.Paczosa@questdiagnostics.com</v>
      </c>
      <c r="N192" s="62" t="str">
        <f>IFERROR(__xludf.DUMMYFUNCTION("QUERY('Volunteer Survey'!F199)"),"Variant Analyst/Scientist - Industry")</f>
        <v>Variant Analyst/Scientist - Industry</v>
      </c>
      <c r="O192" s="60" t="str">
        <f>IFERROR(__xludf.DUMMYFUNCTION("QUERY('Volunteer Survey'!H199)"),"Comprehensive")</f>
        <v>Comprehensive</v>
      </c>
      <c r="P192" s="62" t="str">
        <f>IFERROR(__xludf.DUMMYFUNCTION("QUERY('Volunteer Survey'!I199)"),"Dosage Sensitivity")</f>
        <v>Dosage Sensitivity</v>
      </c>
      <c r="Q192" s="66" t="str">
        <f>IFERROR(__xludf.DUMMYFUNCTION("QUERY('Volunteer Survey'!J199)"),"Gene-Disease Validity")</f>
        <v>Gene-Disease Validity</v>
      </c>
      <c r="R192" s="62" t="str">
        <f>IFERROR(__xludf.DUMMYFUNCTION("QUERY('Volunteer Survey'!K199)"),"")</f>
        <v/>
      </c>
      <c r="S192" s="62" t="str">
        <f>IFERROR(__xludf.DUMMYFUNCTION("QUERY('Volunteer Survey'!L199)"),"")</f>
        <v/>
      </c>
      <c r="T192" s="62" t="str">
        <f>IFERROR(__xludf.DUMMYFUNCTION("QUERY('Volunteer Survey'!M199)"),"")</f>
        <v/>
      </c>
      <c r="U192" s="74" t="str">
        <f>IFERROR(__xludf.DUMMYFUNCTION("QUERY('Volunteer Survey'!N199)"),"")</f>
        <v/>
      </c>
      <c r="V192" s="62" t="str">
        <f>IFERROR(__xludf.DUMMYFUNCTION("QUERY('Volunteer Survey'!O199)"),"")</f>
        <v/>
      </c>
      <c r="W192" s="75" t="str">
        <f>IFERROR(__xludf.DUMMYFUNCTION("QUERY('Volunteer Survey'!P199)"),"1. Recurrent 2. Neurodevelopmental 3. Cancer 4. Mitochondrial 5.Hereditary Cancer 6. Monogenic Diabetes")</f>
        <v>1. Recurrent 2. Neurodevelopmental 3. Cancer 4. Mitochondrial 5.Hereditary Cancer 6. Monogenic Diabetes</v>
      </c>
      <c r="X192" s="74" t="str">
        <f>IFERROR(__xludf.DUMMYFUNCTION("QUERY('Volunteer Survey'!R199)"),"Yes- I am willing to volunteer with any available ClinGen group")</f>
        <v>Yes- I am willing to volunteer with any available ClinGen group</v>
      </c>
      <c r="Y192" s="63" t="s">
        <v>341</v>
      </c>
      <c r="Z192" s="62"/>
      <c r="AA192" s="62"/>
      <c r="AB192" s="62"/>
      <c r="AC192" s="62"/>
      <c r="AD192" s="62"/>
      <c r="AE192" s="62"/>
      <c r="AF192" s="62"/>
      <c r="AG192" s="62"/>
      <c r="AH192" s="62"/>
      <c r="AI192" s="62"/>
      <c r="AJ192" s="62"/>
      <c r="AK192" s="62"/>
      <c r="AL192" s="62"/>
      <c r="AM192" s="62"/>
      <c r="AN192" s="62"/>
      <c r="AO192" s="62"/>
    </row>
    <row r="193">
      <c r="A193" s="59">
        <f>IFERROR(__xludf.DUMMYFUNCTION("QUERY('Volunteer Survey'!A200)"),43601.53615817129)</f>
        <v>43601.53616</v>
      </c>
      <c r="B193" s="60" t="s">
        <v>282</v>
      </c>
      <c r="C193" s="61"/>
      <c r="D193" s="79">
        <v>43605.0</v>
      </c>
      <c r="E193" s="60" t="s">
        <v>277</v>
      </c>
      <c r="F193" s="60" t="s">
        <v>277</v>
      </c>
      <c r="G193" s="60" t="s">
        <v>288</v>
      </c>
      <c r="H193" s="63" t="s">
        <v>264</v>
      </c>
      <c r="I193" s="63" t="s">
        <v>342</v>
      </c>
      <c r="J193" s="79">
        <v>43712.0</v>
      </c>
      <c r="K193" s="79"/>
      <c r="L193" s="62" t="str">
        <f>IFERROR(__xludf.DUMMYFUNCTION("QUERY('Volunteer Survey'!B200)"),"Olivia Rennie")</f>
        <v>Olivia Rennie</v>
      </c>
      <c r="M193" s="62" t="str">
        <f>IFERROR(__xludf.DUMMYFUNCTION("QUERY('Volunteer Survey'!E200)"),"olivia.rennie@sickkids.ca")</f>
        <v>olivia.rennie@sickkids.ca</v>
      </c>
      <c r="N193" s="62" t="str">
        <f>IFERROR(__xludf.DUMMYFUNCTION("QUERY('Volunteer Survey'!F200)"),"Biocurator")</f>
        <v>Biocurator</v>
      </c>
      <c r="O193" s="60" t="str">
        <f>IFERROR(__xludf.DUMMYFUNCTION("QUERY('Volunteer Survey'!H200)"),"Comprehensive")</f>
        <v>Comprehensive</v>
      </c>
      <c r="P193" s="62" t="str">
        <f>IFERROR(__xludf.DUMMYFUNCTION("QUERY('Volunteer Survey'!I200)"),"Variant Pathogenicity")</f>
        <v>Variant Pathogenicity</v>
      </c>
      <c r="Q193" s="66" t="str">
        <f>IFERROR(__xludf.DUMMYFUNCTION("QUERY('Volunteer Survey'!J200)"),"Somatic Cancer")</f>
        <v>Somatic Cancer</v>
      </c>
      <c r="R193" s="62" t="str">
        <f>IFERROR(__xludf.DUMMYFUNCTION("QUERY('Volunteer Survey'!K200)"),"Clinical Actionability")</f>
        <v>Clinical Actionability</v>
      </c>
      <c r="S193" s="62" t="str">
        <f>IFERROR(__xludf.DUMMYFUNCTION("QUERY('Volunteer Survey'!L200)"),"")</f>
        <v/>
      </c>
      <c r="T193" s="62" t="str">
        <f>IFERROR(__xludf.DUMMYFUNCTION("QUERY('Volunteer Survey'!M200)"),"")</f>
        <v/>
      </c>
      <c r="U193" s="74" t="str">
        <f>IFERROR(__xludf.DUMMYFUNCTION("QUERY('Volunteer Survey'!N200)"),"As noted above, I am currently a gene-disease curator with the ID &amp; ASD EP.")</f>
        <v>As noted above, I am currently a gene-disease curator with the ID &amp; ASD EP.</v>
      </c>
      <c r="V193" s="62" t="str">
        <f>IFERROR(__xludf.DUMMYFUNCTION("QUERY('Volunteer Survey'!O200)"),"Yes")</f>
        <v>Yes</v>
      </c>
      <c r="W193" s="75" t="str">
        <f>IFERROR(__xludf.DUMMYFUNCTION("QUERY('Volunteer Survey'!P200)"),"I am open to any variant curation EPs that are currently looking for volunteers. ")</f>
        <v>I am open to any variant curation EPs that are currently looking for volunteers. </v>
      </c>
      <c r="X193" s="74" t="str">
        <f>IFERROR(__xludf.DUMMYFUNCTION("QUERY('Volunteer Survey'!R200)"),"Yes- I am willing to volunteer with any available ClinGen group")</f>
        <v>Yes- I am willing to volunteer with any available ClinGen group</v>
      </c>
      <c r="Y193" s="63" t="s">
        <v>343</v>
      </c>
      <c r="Z193" s="62"/>
      <c r="AA193" s="62"/>
      <c r="AB193" s="62"/>
      <c r="AC193" s="62"/>
      <c r="AD193" s="62"/>
      <c r="AE193" s="62"/>
      <c r="AF193" s="62"/>
      <c r="AG193" s="62"/>
      <c r="AH193" s="62"/>
      <c r="AI193" s="62"/>
      <c r="AJ193" s="62"/>
      <c r="AK193" s="62"/>
      <c r="AL193" s="62"/>
      <c r="AM193" s="62"/>
      <c r="AN193" s="62"/>
      <c r="AO193" s="62"/>
    </row>
    <row r="194">
      <c r="A194" s="59">
        <f>IFERROR(__xludf.DUMMYFUNCTION("QUERY('Volunteer Survey'!A201)"),43602.702408564815)</f>
        <v>43602.70241</v>
      </c>
      <c r="B194" s="60" t="s">
        <v>275</v>
      </c>
      <c r="C194" s="61"/>
      <c r="D194" s="79">
        <v>43627.0</v>
      </c>
      <c r="E194" s="60" t="s">
        <v>277</v>
      </c>
      <c r="F194" s="60" t="s">
        <v>277</v>
      </c>
      <c r="G194" s="60" t="s">
        <v>301</v>
      </c>
      <c r="H194" s="61"/>
      <c r="I194" s="63" t="s">
        <v>189</v>
      </c>
      <c r="J194" s="62"/>
      <c r="K194" s="62"/>
      <c r="L194" s="62" t="str">
        <f>IFERROR(__xludf.DUMMYFUNCTION("QUERY('Volunteer Survey'!B201)"),"Aleš Maver")</f>
        <v>Aleš Maver</v>
      </c>
      <c r="M194" s="62" t="str">
        <f>IFERROR(__xludf.DUMMYFUNCTION("QUERY('Volunteer Survey'!E201)"),"ales.maver@kclj.si")</f>
        <v>ales.maver@kclj.si</v>
      </c>
      <c r="N194" s="62" t="str">
        <f>IFERROR(__xludf.DUMMYFUNCTION("QUERY('Volunteer Survey'!F201)"),"Clinical laboratory geneticist")</f>
        <v>Clinical laboratory geneticist</v>
      </c>
      <c r="O194" s="60" t="str">
        <f>IFERROR(__xludf.DUMMYFUNCTION("QUERY('Volunteer Survey'!H201)"),"Comprehensive")</f>
        <v>Comprehensive</v>
      </c>
      <c r="P194" s="62" t="str">
        <f>IFERROR(__xludf.DUMMYFUNCTION("QUERY('Volunteer Survey'!I201)"),"Variant Pathogenicity")</f>
        <v>Variant Pathogenicity</v>
      </c>
      <c r="Q194" s="66" t="str">
        <f>IFERROR(__xludf.DUMMYFUNCTION("QUERY('Volunteer Survey'!J201)"),"Gene-Disease Validity")</f>
        <v>Gene-Disease Validity</v>
      </c>
      <c r="R194" s="62" t="str">
        <f>IFERROR(__xludf.DUMMYFUNCTION("QUERY('Volunteer Survey'!K201)"),"Clinical Actionability")</f>
        <v>Clinical Actionability</v>
      </c>
      <c r="S194" s="62" t="str">
        <f>IFERROR(__xludf.DUMMYFUNCTION("QUERY('Volunteer Survey'!L201)"),"Dosage Sensitivity")</f>
        <v>Dosage Sensitivity</v>
      </c>
      <c r="T194" s="62" t="str">
        <f>IFERROR(__xludf.DUMMYFUNCTION("QUERY('Volunteer Survey'!M201)"),"Somatic Cancer")</f>
        <v>Somatic Cancer</v>
      </c>
      <c r="U194" s="74" t="str">
        <f>IFERROR(__xludf.DUMMYFUNCTION("QUERY('Volunteer Survey'!N201)"),"Not extensive, but I am the responsible person for ClinVar deposits and data sharing at our institution. I also participate in the Variant discrepancy resolution project led by Steven Harrison. ")</f>
        <v>Not extensive, but I am the responsible person for ClinVar deposits and data sharing at our institution. I also participate in the Variant discrepancy resolution project led by Steven Harrison. </v>
      </c>
      <c r="V194" s="62" t="str">
        <f>IFERROR(__xludf.DUMMYFUNCTION("QUERY('Volunteer Survey'!O201)"),"Yes")</f>
        <v>Yes</v>
      </c>
      <c r="W194" s="75" t="str">
        <f>IFERROR(__xludf.DUMMYFUNCTION("QUERY('Volunteer Survey'!P201)"),"Variant Curation Expert Panels and Gene Curation Expert Panels")</f>
        <v>Variant Curation Expert Panels and Gene Curation Expert Panels</v>
      </c>
      <c r="X194" s="74" t="str">
        <f>IFERROR(__xludf.DUMMYFUNCTION("QUERY('Volunteer Survey'!R201)"),"Yes- I am willing to volunteer with any available ClinGen group")</f>
        <v>Yes- I am willing to volunteer with any available ClinGen group</v>
      </c>
      <c r="Y194" s="61"/>
      <c r="Z194" s="62"/>
      <c r="AA194" s="62"/>
      <c r="AB194" s="62"/>
      <c r="AC194" s="62"/>
      <c r="AD194" s="62"/>
      <c r="AE194" s="62"/>
      <c r="AF194" s="62"/>
      <c r="AG194" s="62"/>
      <c r="AH194" s="62"/>
      <c r="AI194" s="62"/>
      <c r="AJ194" s="62"/>
      <c r="AK194" s="62"/>
      <c r="AL194" s="62"/>
      <c r="AM194" s="62"/>
      <c r="AN194" s="62"/>
      <c r="AO194" s="62"/>
    </row>
    <row r="195">
      <c r="A195" s="59">
        <f>IFERROR(__xludf.DUMMYFUNCTION("QUERY('Volunteer Survey'!A202)"),43605.50311005787)</f>
        <v>43605.50311</v>
      </c>
      <c r="B195" s="60" t="s">
        <v>275</v>
      </c>
      <c r="C195" s="80">
        <v>43689.0</v>
      </c>
      <c r="D195" s="62"/>
      <c r="E195" s="60"/>
      <c r="F195" s="60" t="s">
        <v>182</v>
      </c>
      <c r="G195" s="60" t="s">
        <v>27</v>
      </c>
      <c r="H195" s="76"/>
      <c r="I195" s="76" t="s">
        <v>189</v>
      </c>
      <c r="J195" s="62"/>
      <c r="K195" s="62"/>
      <c r="L195" s="62" t="str">
        <f>IFERROR(__xludf.DUMMYFUNCTION("QUERY('Volunteer Survey'!B202)"),"Léon Tshilolo")</f>
        <v>Léon Tshilolo</v>
      </c>
      <c r="M195" s="62" t="str">
        <f>IFERROR(__xludf.DUMMYFUNCTION("QUERY('Volunteer Survey'!E202)"),"leon.tshilolo2012@gmail.com")</f>
        <v>leon.tshilolo2012@gmail.com</v>
      </c>
      <c r="N195" s="62" t="str">
        <f>IFERROR(__xludf.DUMMYFUNCTION("QUERY('Volunteer Survey'!F202)"),"hematologist, expert of SCD")</f>
        <v>hematologist, expert of SCD</v>
      </c>
      <c r="O195" s="60" t="str">
        <f>IFERROR(__xludf.DUMMYFUNCTION("QUERY('Volunteer Survey'!H202)"),"Comprehensive")</f>
        <v>Comprehensive</v>
      </c>
      <c r="P195" s="62" t="str">
        <f>IFERROR(__xludf.DUMMYFUNCTION("QUERY('Volunteer Survey'!I202)"),"Clinical Actionability")</f>
        <v>Clinical Actionability</v>
      </c>
      <c r="Q195" s="66" t="str">
        <f>IFERROR(__xludf.DUMMYFUNCTION("QUERY('Volunteer Survey'!J202)"),"Variant Pathogenicity")</f>
        <v>Variant Pathogenicity</v>
      </c>
      <c r="R195" s="62" t="str">
        <f>IFERROR(__xludf.DUMMYFUNCTION("QUERY('Volunteer Survey'!K202)"),"Gene-Disease Validity")</f>
        <v>Gene-Disease Validity</v>
      </c>
      <c r="S195" s="62" t="str">
        <f>IFERROR(__xludf.DUMMYFUNCTION("QUERY('Volunteer Survey'!L202)"),"Dosage Sensitivity")</f>
        <v>Dosage Sensitivity</v>
      </c>
      <c r="T195" s="62" t="str">
        <f>IFERROR(__xludf.DUMMYFUNCTION("QUERY('Volunteer Survey'!M202)"),"Somatic Cancer")</f>
        <v>Somatic Cancer</v>
      </c>
      <c r="U195" s="74" t="str">
        <f>IFERROR(__xludf.DUMMYFUNCTION("QUERY('Volunteer Survey'!N202)"),"")</f>
        <v/>
      </c>
      <c r="V195" s="62" t="str">
        <f>IFERROR(__xludf.DUMMYFUNCTION("QUERY('Volunteer Survey'!O202)"),"No")</f>
        <v>No</v>
      </c>
      <c r="W195" s="75" t="str">
        <f>IFERROR(__xludf.DUMMYFUNCTION("QUERY('Volunteer Survey'!P202)"),"hemoglobinopathies")</f>
        <v>hemoglobinopathies</v>
      </c>
      <c r="X195" s="74" t="str">
        <f>IFERROR(__xludf.DUMMYFUNCTION("QUERY('Volunteer Survey'!R202)"),"Maybe -- please contact me with other options, and I will decide based on what is available")</f>
        <v>Maybe -- please contact me with other options, and I will decide based on what is available</v>
      </c>
      <c r="Y195" s="61"/>
      <c r="Z195" s="62"/>
      <c r="AA195" s="62"/>
      <c r="AB195" s="62"/>
      <c r="AC195" s="62"/>
      <c r="AD195" s="62"/>
      <c r="AE195" s="62"/>
      <c r="AF195" s="62"/>
      <c r="AG195" s="62"/>
      <c r="AH195" s="62"/>
      <c r="AI195" s="62"/>
      <c r="AJ195" s="62"/>
      <c r="AK195" s="62"/>
      <c r="AL195" s="62"/>
      <c r="AM195" s="62"/>
      <c r="AN195" s="62"/>
      <c r="AO195" s="62"/>
    </row>
    <row r="196">
      <c r="A196" s="59">
        <f>IFERROR(__xludf.DUMMYFUNCTION("QUERY('Volunteer Survey'!A203)"),43605.743656238425)</f>
        <v>43605.74366</v>
      </c>
      <c r="B196" s="60" t="s">
        <v>275</v>
      </c>
      <c r="C196" s="61"/>
      <c r="D196" s="79"/>
      <c r="E196" s="60"/>
      <c r="F196" s="60" t="s">
        <v>182</v>
      </c>
      <c r="G196" s="60" t="s">
        <v>276</v>
      </c>
      <c r="H196" s="61"/>
      <c r="I196" s="63" t="s">
        <v>189</v>
      </c>
      <c r="J196" s="62"/>
      <c r="K196" s="62"/>
      <c r="L196" s="62" t="str">
        <f>IFERROR(__xludf.DUMMYFUNCTION("QUERY('Volunteer Survey'!B203)"),"Danielle Mouhlas")</f>
        <v>Danielle Mouhlas</v>
      </c>
      <c r="M196" s="62" t="str">
        <f>IFERROR(__xludf.DUMMYFUNCTION("QUERY('Volunteer Survey'!E203)"),"danielle.mouhlas@nationwidechildrens.org")</f>
        <v>danielle.mouhlas@nationwidechildrens.org</v>
      </c>
      <c r="N196" s="62" t="str">
        <f>IFERROR(__xludf.DUMMYFUNCTION("QUERY('Volunteer Survey'!F203)"),"Genetic counselor")</f>
        <v>Genetic counselor</v>
      </c>
      <c r="O196" s="60" t="str">
        <f>IFERROR(__xludf.DUMMYFUNCTION("QUERY('Volunteer Survey'!H203)"),"Baseline")</f>
        <v>Baseline</v>
      </c>
      <c r="P196" s="62" t="str">
        <f>IFERROR(__xludf.DUMMYFUNCTION("QUERY('Volunteer Survey'!I203)"),"Variant Pathogenicity")</f>
        <v>Variant Pathogenicity</v>
      </c>
      <c r="Q196" s="66" t="str">
        <f>IFERROR(__xludf.DUMMYFUNCTION("QUERY('Volunteer Survey'!J203)"),"Gene-Disease Validity")</f>
        <v>Gene-Disease Validity</v>
      </c>
      <c r="R196" s="62" t="str">
        <f>IFERROR(__xludf.DUMMYFUNCTION("QUERY('Volunteer Survey'!K203)"),"Dosage Sensitivity")</f>
        <v>Dosage Sensitivity</v>
      </c>
      <c r="S196" s="62" t="str">
        <f>IFERROR(__xludf.DUMMYFUNCTION("QUERY('Volunteer Survey'!L203)"),"Clinical Actionability")</f>
        <v>Clinical Actionability</v>
      </c>
      <c r="T196" s="62" t="str">
        <f>IFERROR(__xludf.DUMMYFUNCTION("QUERY('Volunteer Survey'!M203)"),"Somatic Cancer")</f>
        <v>Somatic Cancer</v>
      </c>
      <c r="U196" s="74" t="str">
        <f>IFERROR(__xludf.DUMMYFUNCTION("QUERY('Volunteer Survey'!N203)"),"I have performed some variant interpretation for clinical report writing. ")</f>
        <v>I have performed some variant interpretation for clinical report writing. </v>
      </c>
      <c r="V196" s="62" t="str">
        <f>IFERROR(__xludf.DUMMYFUNCTION("QUERY('Volunteer Survey'!O203)"),"Yes")</f>
        <v>Yes</v>
      </c>
      <c r="W196" s="75" t="str">
        <f>IFERROR(__xludf.DUMMYFUNCTION("QUERY('Volunteer Survey'!P203)"),"")</f>
        <v/>
      </c>
      <c r="X196" s="74" t="str">
        <f>IFERROR(__xludf.DUMMYFUNCTION("QUERY('Volunteer Survey'!R203)"),"")</f>
        <v/>
      </c>
      <c r="Y196" s="63" t="s">
        <v>344</v>
      </c>
      <c r="Z196" s="62"/>
      <c r="AA196" s="62"/>
      <c r="AB196" s="62"/>
      <c r="AC196" s="62"/>
      <c r="AD196" s="62"/>
      <c r="AE196" s="62"/>
      <c r="AF196" s="62"/>
      <c r="AG196" s="62"/>
      <c r="AH196" s="62"/>
      <c r="AI196" s="62"/>
      <c r="AJ196" s="62"/>
      <c r="AK196" s="62"/>
      <c r="AL196" s="62"/>
      <c r="AM196" s="62"/>
      <c r="AN196" s="62"/>
      <c r="AO196" s="62"/>
    </row>
    <row r="197" ht="17.25" customHeight="1">
      <c r="A197" s="59">
        <f>IFERROR(__xludf.DUMMYFUNCTION("QUERY('Volunteer Survey'!A204)"),43606.40039928241)</f>
        <v>43606.4004</v>
      </c>
      <c r="B197" s="60" t="s">
        <v>275</v>
      </c>
      <c r="C197" s="80">
        <v>43819.0</v>
      </c>
      <c r="D197" s="79"/>
      <c r="E197" s="60"/>
      <c r="F197" s="60" t="s">
        <v>182</v>
      </c>
      <c r="G197" s="60" t="s">
        <v>278</v>
      </c>
      <c r="H197" s="63"/>
      <c r="I197" s="63" t="s">
        <v>342</v>
      </c>
      <c r="J197" s="62"/>
      <c r="K197" s="62"/>
      <c r="L197" s="62" t="str">
        <f>IFERROR(__xludf.DUMMYFUNCTION("QUERY('Volunteer Survey'!B204)"),"Emma Reble")</f>
        <v>Emma Reble</v>
      </c>
      <c r="M197" s="62" t="str">
        <f>IFERROR(__xludf.DUMMYFUNCTION("QUERY('Volunteer Survey'!E204)"),"reblee@smh.ca")</f>
        <v>reblee@smh.ca</v>
      </c>
      <c r="N197" s="62" t="str">
        <f>IFERROR(__xludf.DUMMYFUNCTION("QUERY('Volunteer Survey'!F204)"),"Variant Analyst/Scientist - Academic")</f>
        <v>Variant Analyst/Scientist - Academic</v>
      </c>
      <c r="O197" s="60" t="str">
        <f>IFERROR(__xludf.DUMMYFUNCTION("QUERY('Volunteer Survey'!H204)"),"Comprehensive")</f>
        <v>Comprehensive</v>
      </c>
      <c r="P197" s="62" t="str">
        <f>IFERROR(__xludf.DUMMYFUNCTION("QUERY('Volunteer Survey'!I204)"),"Gene-Disease Validity")</f>
        <v>Gene-Disease Validity</v>
      </c>
      <c r="Q197" s="66" t="str">
        <f>IFERROR(__xludf.DUMMYFUNCTION("QUERY('Volunteer Survey'!J204)"),"")</f>
        <v/>
      </c>
      <c r="R197" s="62" t="str">
        <f>IFERROR(__xludf.DUMMYFUNCTION("QUERY('Volunteer Survey'!K204)"),"")</f>
        <v/>
      </c>
      <c r="S197" s="62" t="str">
        <f>IFERROR(__xludf.DUMMYFUNCTION("QUERY('Volunteer Survey'!L204)"),"")</f>
        <v/>
      </c>
      <c r="T197" s="62" t="str">
        <f>IFERROR(__xludf.DUMMYFUNCTION("QUERY('Volunteer Survey'!M204)"),"")</f>
        <v/>
      </c>
      <c r="U197" s="74" t="str">
        <f>IFERROR(__xludf.DUMMYFUNCTION("QUERY('Volunteer Survey'!N204)"),"This is my second time filing out this survey. I am doing the variant curation training and have re-filled out this survey to participate in the gene curation training in the future. ")</f>
        <v>This is my second time filing out this survey. I am doing the variant curation training and have re-filled out this survey to participate in the gene curation training in the future. </v>
      </c>
      <c r="V197" s="62" t="str">
        <f>IFERROR(__xludf.DUMMYFUNCTION("QUERY('Volunteer Survey'!O204)"),"Yes")</f>
        <v>Yes</v>
      </c>
      <c r="W197" s="75" t="str">
        <f>IFERROR(__xludf.DUMMYFUNCTION("QUERY('Volunteer Survey'!P204)"),"ID/Autism")</f>
        <v>ID/Autism</v>
      </c>
      <c r="X197" s="74" t="str">
        <f>IFERROR(__xludf.DUMMYFUNCTION("QUERY('Volunteer Survey'!R204)"),"Maybe -- please contact me with other options, and I will decide based on what is available")</f>
        <v>Maybe -- please contact me with other options, and I will decide based on what is available</v>
      </c>
      <c r="Y197" s="63" t="s">
        <v>345</v>
      </c>
      <c r="Z197" s="62"/>
      <c r="AA197" s="62"/>
      <c r="AB197" s="62"/>
      <c r="AC197" s="62"/>
      <c r="AD197" s="62"/>
      <c r="AE197" s="62"/>
      <c r="AF197" s="62"/>
      <c r="AG197" s="62"/>
      <c r="AH197" s="62"/>
      <c r="AI197" s="62"/>
      <c r="AJ197" s="62"/>
      <c r="AK197" s="62"/>
      <c r="AL197" s="62"/>
      <c r="AM197" s="62"/>
      <c r="AN197" s="62"/>
      <c r="AO197" s="62"/>
    </row>
    <row r="198">
      <c r="A198" s="59">
        <f>IFERROR(__xludf.DUMMYFUNCTION("QUERY('Volunteer Survey'!A205)"),43607.54873863426)</f>
        <v>43607.54874</v>
      </c>
      <c r="B198" s="60" t="s">
        <v>275</v>
      </c>
      <c r="C198" s="61"/>
      <c r="D198" s="79">
        <v>43627.0</v>
      </c>
      <c r="E198" s="60" t="s">
        <v>277</v>
      </c>
      <c r="F198" s="60" t="s">
        <v>277</v>
      </c>
      <c r="G198" s="60" t="s">
        <v>301</v>
      </c>
      <c r="H198" s="61"/>
      <c r="I198" s="63" t="s">
        <v>189</v>
      </c>
      <c r="J198" s="62"/>
      <c r="K198" s="62"/>
      <c r="L198" s="62" t="str">
        <f>IFERROR(__xludf.DUMMYFUNCTION("QUERY('Volunteer Survey'!B205)"),"Robert Butler")</f>
        <v>Robert Butler</v>
      </c>
      <c r="M198" s="62" t="str">
        <f>IFERROR(__xludf.DUMMYFUNCTION("QUERY('Volunteer Survey'!E205)"),"rbutler@northshore.org")</f>
        <v>rbutler@northshore.org</v>
      </c>
      <c r="N198" s="62" t="str">
        <f>IFERROR(__xludf.DUMMYFUNCTION("QUERY('Volunteer Survey'!F205)"),"Post Doc/Resident/Fellow (MD and/or PhD)")</f>
        <v>Post Doc/Resident/Fellow (MD and/or PhD)</v>
      </c>
      <c r="O198" s="60" t="str">
        <f>IFERROR(__xludf.DUMMYFUNCTION("QUERY('Volunteer Survey'!H205)"),"Comprehensive")</f>
        <v>Comprehensive</v>
      </c>
      <c r="P198" s="62" t="str">
        <f>IFERROR(__xludf.DUMMYFUNCTION("QUERY('Volunteer Survey'!I205)"),"Variant Pathogenicity")</f>
        <v>Variant Pathogenicity</v>
      </c>
      <c r="Q198" s="66" t="str">
        <f>IFERROR(__xludf.DUMMYFUNCTION("QUERY('Volunteer Survey'!J205)"),"Gene-Disease Validity")</f>
        <v>Gene-Disease Validity</v>
      </c>
      <c r="R198" s="62" t="str">
        <f>IFERROR(__xludf.DUMMYFUNCTION("QUERY('Volunteer Survey'!K205)"),"")</f>
        <v/>
      </c>
      <c r="S198" s="62" t="str">
        <f>IFERROR(__xludf.DUMMYFUNCTION("QUERY('Volunteer Survey'!L205)"),"")</f>
        <v/>
      </c>
      <c r="T198" s="62" t="str">
        <f>IFERROR(__xludf.DUMMYFUNCTION("QUERY('Volunteer Survey'!M205)"),"")</f>
        <v/>
      </c>
      <c r="U198" s="74" t="str">
        <f>IFERROR(__xludf.DUMMYFUNCTION("QUERY('Volunteer Survey'!N205)"),"I have some experience with variant interpretation and classification. My primary role in my job at NorthShore is research on our hospital cohort of variant data. I also authored a software tool, Clinotator, to examine variant evidence in ClinVar. My seco"&amp;"ndary job position is with the UChicago Department of Psychiatry and Behavioral Neuroscience and deals with neurodegenerative conditions (mainly AD). ")</f>
        <v>I have some experience with variant interpretation and classification. My primary role in my job at NorthShore is research on our hospital cohort of variant data. I also authored a software tool, Clinotator, to examine variant evidence in ClinVar. My secondary job position is with the UChicago Department of Psychiatry and Behavioral Neuroscience and deals with neurodegenerative conditions (mainly AD). </v>
      </c>
      <c r="V198" s="62" t="str">
        <f>IFERROR(__xludf.DUMMYFUNCTION("QUERY('Volunteer Survey'!O205)"),"Possibly")</f>
        <v>Possibly</v>
      </c>
      <c r="W198" s="75" t="str">
        <f>IFERROR(__xludf.DUMMYFUNCTION("QUERY('Volunteer Survey'!P205)"),"Ideally a working group regarding my experience, like Sequence Variant Discrepancy Resolution or Interpretation. Alternately, I have a growing interest (but much less knowledge) in the three areas of dosage sensitivity working groups, coming from a comput"&amp;"ational perspective (equal interest in all three). ")</f>
        <v>Ideally a working group regarding my experience, like Sequence Variant Discrepancy Resolution or Interpretation. Alternately, I have a growing interest (but much less knowledge) in the three areas of dosage sensitivity working groups, coming from a computational perspective (equal interest in all three). </v>
      </c>
      <c r="X198" s="74" t="str">
        <f>IFERROR(__xludf.DUMMYFUNCTION("QUERY('Volunteer Survey'!R205)"),"Maybe -- please contact me with other options, and I will decide based on what is available")</f>
        <v>Maybe -- please contact me with other options, and I will decide based on what is available</v>
      </c>
      <c r="Y198" s="61"/>
      <c r="Z198" s="62"/>
      <c r="AA198" s="62"/>
      <c r="AB198" s="62"/>
      <c r="AC198" s="62"/>
      <c r="AD198" s="62"/>
      <c r="AE198" s="62"/>
      <c r="AF198" s="62"/>
      <c r="AG198" s="62"/>
      <c r="AH198" s="62"/>
      <c r="AI198" s="62"/>
      <c r="AJ198" s="62"/>
      <c r="AK198" s="62"/>
      <c r="AL198" s="62"/>
      <c r="AM198" s="62"/>
      <c r="AN198" s="62"/>
      <c r="AO198" s="62"/>
    </row>
    <row r="199">
      <c r="A199" s="59">
        <f>IFERROR(__xludf.DUMMYFUNCTION("QUERY('Volunteer Survey'!A206)"),43609.955753240734)</f>
        <v>43609.95575</v>
      </c>
      <c r="B199" s="60" t="s">
        <v>275</v>
      </c>
      <c r="C199" s="61"/>
      <c r="D199" s="79">
        <v>43626.0</v>
      </c>
      <c r="E199" s="60" t="s">
        <v>277</v>
      </c>
      <c r="F199" s="60" t="s">
        <v>277</v>
      </c>
      <c r="G199" s="60" t="s">
        <v>288</v>
      </c>
      <c r="H199" s="61"/>
      <c r="I199" s="63" t="s">
        <v>342</v>
      </c>
      <c r="J199" s="62"/>
      <c r="K199" s="62"/>
      <c r="L199" s="62" t="str">
        <f>IFERROR(__xludf.DUMMYFUNCTION("QUERY('Volunteer Survey'!B206)"),"Ljubica Caldovic")</f>
        <v>Ljubica Caldovic</v>
      </c>
      <c r="M199" s="62" t="str">
        <f>IFERROR(__xludf.DUMMYFUNCTION("QUERY('Volunteer Survey'!E206)"),"lcaldovic@childrensnational.org")</f>
        <v>lcaldovic@childrensnational.org</v>
      </c>
      <c r="N199" s="62" t="str">
        <f>IFERROR(__xludf.DUMMYFUNCTION("QUERY('Volunteer Survey'!F206)"),"Scientific Researcher")</f>
        <v>Scientific Researcher</v>
      </c>
      <c r="O199" s="60" t="str">
        <f>IFERROR(__xludf.DUMMYFUNCTION("QUERY('Volunteer Survey'!H206)"),"Comprehensive")</f>
        <v>Comprehensive</v>
      </c>
      <c r="P199" s="62" t="str">
        <f>IFERROR(__xludf.DUMMYFUNCTION("QUERY('Volunteer Survey'!I206)"),"Variant Pathogenicity")</f>
        <v>Variant Pathogenicity</v>
      </c>
      <c r="Q199" s="66" t="str">
        <f>IFERROR(__xludf.DUMMYFUNCTION("QUERY('Volunteer Survey'!J206)"),"Gene-Disease Validity")</f>
        <v>Gene-Disease Validity</v>
      </c>
      <c r="R199" s="62" t="str">
        <f>IFERROR(__xludf.DUMMYFUNCTION("QUERY('Volunteer Survey'!K206)"),"")</f>
        <v/>
      </c>
      <c r="S199" s="62" t="str">
        <f>IFERROR(__xludf.DUMMYFUNCTION("QUERY('Volunteer Survey'!L206)"),"")</f>
        <v/>
      </c>
      <c r="T199" s="62" t="str">
        <f>IFERROR(__xludf.DUMMYFUNCTION("QUERY('Volunteer Survey'!M206)"),"")</f>
        <v/>
      </c>
      <c r="U199" s="74" t="str">
        <f>IFERROR(__xludf.DUMMYFUNCTION("QUERY('Volunteer Survey'!N206)"),"I am currently a member of the aminoacidopathy expert panel and curator for the NAGS gene. Because of my expertise in molecular biology, biochemistry, genetics and genomics I am really interested in variant curation")</f>
        <v>I am currently a member of the aminoacidopathy expert panel and curator for the NAGS gene. Because of my expertise in molecular biology, biochemistry, genetics and genomics I am really interested in variant curation</v>
      </c>
      <c r="V199" s="62" t="str">
        <f>IFERROR(__xludf.DUMMYFUNCTION("QUERY('Volunteer Survey'!O206)"),"Yes")</f>
        <v>Yes</v>
      </c>
      <c r="W199" s="75" t="str">
        <f>IFERROR(__xludf.DUMMYFUNCTION("QUERY('Volunteer Survey'!P206)"),"I am a member of the aminoacidopathy expert panel")</f>
        <v>I am a member of the aminoacidopathy expert panel</v>
      </c>
      <c r="X199" s="74" t="str">
        <f>IFERROR(__xludf.DUMMYFUNCTION("QUERY('Volunteer Survey'!R206)"),"No - I am only interested in the group(s) I previously indicated")</f>
        <v>No - I am only interested in the group(s) I previously indicated</v>
      </c>
      <c r="Y199" s="63" t="s">
        <v>346</v>
      </c>
      <c r="Z199" s="62"/>
      <c r="AA199" s="62"/>
      <c r="AB199" s="62"/>
      <c r="AC199" s="62"/>
      <c r="AD199" s="62"/>
      <c r="AE199" s="62"/>
      <c r="AF199" s="62"/>
      <c r="AG199" s="62"/>
      <c r="AH199" s="62"/>
      <c r="AI199" s="62"/>
      <c r="AJ199" s="62"/>
      <c r="AK199" s="62"/>
      <c r="AL199" s="62"/>
      <c r="AM199" s="62"/>
      <c r="AN199" s="62"/>
      <c r="AO199" s="62"/>
    </row>
    <row r="200">
      <c r="A200" s="59">
        <f>IFERROR(__xludf.DUMMYFUNCTION("QUERY('Volunteer Survey'!A207)"),43610.740048368054)</f>
        <v>43610.74005</v>
      </c>
      <c r="B200" s="60" t="s">
        <v>282</v>
      </c>
      <c r="C200" s="61"/>
      <c r="D200" s="79">
        <v>43627.0</v>
      </c>
      <c r="E200" s="60" t="s">
        <v>277</v>
      </c>
      <c r="F200" s="60" t="s">
        <v>277</v>
      </c>
      <c r="G200" s="60" t="s">
        <v>288</v>
      </c>
      <c r="H200" s="63" t="s">
        <v>310</v>
      </c>
      <c r="I200" s="63" t="s">
        <v>189</v>
      </c>
      <c r="J200" s="79">
        <v>43712.0</v>
      </c>
      <c r="K200" s="79"/>
      <c r="L200" s="62" t="str">
        <f>IFERROR(__xludf.DUMMYFUNCTION("QUERY('Volunteer Survey'!B207)"),"Joy Goffena")</f>
        <v>Joy Goffena</v>
      </c>
      <c r="M200" s="62" t="str">
        <f>IFERROR(__xludf.DUMMYFUNCTION("QUERY('Volunteer Survey'!E207)"),"joy.goffena@gmail.com")</f>
        <v>joy.goffena@gmail.com</v>
      </c>
      <c r="N200" s="62" t="str">
        <f>IFERROR(__xludf.DUMMYFUNCTION("QUERY('Volunteer Survey'!F207)"),"Scientific Researcher")</f>
        <v>Scientific Researcher</v>
      </c>
      <c r="O200" s="60" t="str">
        <f>IFERROR(__xludf.DUMMYFUNCTION("QUERY('Volunteer Survey'!H207)"),"Comprehensive")</f>
        <v>Comprehensive</v>
      </c>
      <c r="P200" s="62" t="str">
        <f>IFERROR(__xludf.DUMMYFUNCTION("QUERY('Volunteer Survey'!I207)"),"Variant Pathogenicity")</f>
        <v>Variant Pathogenicity</v>
      </c>
      <c r="Q200" s="66" t="str">
        <f>IFERROR(__xludf.DUMMYFUNCTION("QUERY('Volunteer Survey'!J207)"),"Gene-Disease Validity")</f>
        <v>Gene-Disease Validity</v>
      </c>
      <c r="R200" s="62" t="str">
        <f>IFERROR(__xludf.DUMMYFUNCTION("QUERY('Volunteer Survey'!K207)"),"Somatic Cancer")</f>
        <v>Somatic Cancer</v>
      </c>
      <c r="S200" s="62" t="str">
        <f>IFERROR(__xludf.DUMMYFUNCTION("QUERY('Volunteer Survey'!L207)"),"Clinical Actionability")</f>
        <v>Clinical Actionability</v>
      </c>
      <c r="T200" s="62" t="str">
        <f>IFERROR(__xludf.DUMMYFUNCTION("QUERY('Volunteer Survey'!M207)"),"Dosage Sensitivity")</f>
        <v>Dosage Sensitivity</v>
      </c>
      <c r="U200" s="74" t="str">
        <f>IFERROR(__xludf.DUMMYFUNCTION("QUERY('Volunteer Survey'!N207)"),"")</f>
        <v/>
      </c>
      <c r="V200" s="62" t="str">
        <f>IFERROR(__xludf.DUMMYFUNCTION("QUERY('Volunteer Survey'!O207)"),"Yes")</f>
        <v>Yes</v>
      </c>
      <c r="W200" s="75" t="str">
        <f>IFERROR(__xludf.DUMMYFUNCTION("QUERY('Volunteer Survey'!P207)"),"")</f>
        <v/>
      </c>
      <c r="X200" s="74" t="str">
        <f>IFERROR(__xludf.DUMMYFUNCTION("QUERY('Volunteer Survey'!R207)"),"Yes- I am willing to volunteer with any available ClinGen group")</f>
        <v>Yes- I am willing to volunteer with any available ClinGen group</v>
      </c>
      <c r="Y200" s="61"/>
      <c r="Z200" s="62"/>
      <c r="AA200" s="62"/>
      <c r="AB200" s="62"/>
      <c r="AC200" s="62"/>
      <c r="AD200" s="62"/>
      <c r="AE200" s="62"/>
      <c r="AF200" s="62"/>
      <c r="AG200" s="62"/>
      <c r="AH200" s="62"/>
      <c r="AI200" s="62"/>
      <c r="AJ200" s="62"/>
      <c r="AK200" s="62"/>
      <c r="AL200" s="62"/>
      <c r="AM200" s="62"/>
      <c r="AN200" s="62"/>
      <c r="AO200" s="62"/>
    </row>
    <row r="201">
      <c r="A201" s="59">
        <f>IFERROR(__xludf.DUMMYFUNCTION("QUERY('Volunteer Survey'!A208)"),43612.744829560186)</f>
        <v>43612.74483</v>
      </c>
      <c r="B201" s="60" t="s">
        <v>275</v>
      </c>
      <c r="C201" s="61"/>
      <c r="D201" s="82">
        <v>43692.0</v>
      </c>
      <c r="E201" s="60" t="s">
        <v>277</v>
      </c>
      <c r="F201" s="60" t="s">
        <v>277</v>
      </c>
      <c r="G201" s="60" t="s">
        <v>278</v>
      </c>
      <c r="H201" s="61"/>
      <c r="I201" s="63" t="s">
        <v>285</v>
      </c>
      <c r="J201" s="62"/>
      <c r="K201" s="62"/>
      <c r="L201" s="62" t="str">
        <f>IFERROR(__xludf.DUMMYFUNCTION("QUERY('Volunteer Survey'!B208)"),"Amruta Phatak")</f>
        <v>Amruta Phatak</v>
      </c>
      <c r="M201" s="62" t="str">
        <f>IFERROR(__xludf.DUMMYFUNCTION("QUERY('Volunteer Survey'!E208)"),"arphatak@iu.edu")</f>
        <v>arphatak@iu.edu</v>
      </c>
      <c r="N201" s="62" t="str">
        <f>IFERROR(__xludf.DUMMYFUNCTION("QUERY('Volunteer Survey'!F208)"),"Post Doc/Resident/Fellow (MD and/or PhD)")</f>
        <v>Post Doc/Resident/Fellow (MD and/or PhD)</v>
      </c>
      <c r="O201" s="60" t="str">
        <f>IFERROR(__xludf.DUMMYFUNCTION("QUERY('Volunteer Survey'!H208)"),"Comprehensive")</f>
        <v>Comprehensive</v>
      </c>
      <c r="P201" s="62" t="str">
        <f>IFERROR(__xludf.DUMMYFUNCTION("QUERY('Volunteer Survey'!I208)"),"Gene-Disease Validity")</f>
        <v>Gene-Disease Validity</v>
      </c>
      <c r="Q201" s="66" t="str">
        <f>IFERROR(__xludf.DUMMYFUNCTION("QUERY('Volunteer Survey'!J208)"),"Variant Pathogenicity")</f>
        <v>Variant Pathogenicity</v>
      </c>
      <c r="R201" s="62" t="str">
        <f>IFERROR(__xludf.DUMMYFUNCTION("QUERY('Volunteer Survey'!K208)"),"Dosage Sensitivity")</f>
        <v>Dosage Sensitivity</v>
      </c>
      <c r="S201" s="62" t="str">
        <f>IFERROR(__xludf.DUMMYFUNCTION("QUERY('Volunteer Survey'!L208)"),"")</f>
        <v/>
      </c>
      <c r="T201" s="62" t="str">
        <f>IFERROR(__xludf.DUMMYFUNCTION("QUERY('Volunteer Survey'!M208)"),"")</f>
        <v/>
      </c>
      <c r="U201" s="74" t="str">
        <f>IFERROR(__xludf.DUMMYFUNCTION("QUERY('Volunteer Survey'!N208)"),"")</f>
        <v/>
      </c>
      <c r="V201" s="62" t="str">
        <f>IFERROR(__xludf.DUMMYFUNCTION("QUERY('Volunteer Survey'!O208)"),"Yes")</f>
        <v>Yes</v>
      </c>
      <c r="W201" s="75" t="str">
        <f>IFERROR(__xludf.DUMMYFUNCTION("QUERY('Volunteer Survey'!P208)"),"")</f>
        <v/>
      </c>
      <c r="X201" s="74" t="str">
        <f>IFERROR(__xludf.DUMMYFUNCTION("QUERY('Volunteer Survey'!R208)"),"Yes- I am willing to volunteer with any available ClinGen group")</f>
        <v>Yes- I am willing to volunteer with any available ClinGen group</v>
      </c>
      <c r="Y201" s="61"/>
      <c r="Z201" s="62"/>
      <c r="AA201" s="62"/>
      <c r="AB201" s="62"/>
      <c r="AC201" s="62"/>
      <c r="AD201" s="62"/>
      <c r="AE201" s="62"/>
      <c r="AF201" s="62"/>
      <c r="AG201" s="62"/>
      <c r="AH201" s="62"/>
      <c r="AI201" s="62"/>
      <c r="AJ201" s="62"/>
      <c r="AK201" s="62"/>
      <c r="AL201" s="62"/>
      <c r="AM201" s="62"/>
      <c r="AN201" s="62"/>
      <c r="AO201" s="62"/>
    </row>
    <row r="202">
      <c r="A202" s="59">
        <f>IFERROR(__xludf.DUMMYFUNCTION("QUERY('Volunteer Survey'!A209)"),43614.60976244212)</f>
        <v>43614.60976</v>
      </c>
      <c r="B202" s="60" t="s">
        <v>275</v>
      </c>
      <c r="C202" s="61"/>
      <c r="D202" s="62"/>
      <c r="E202" s="62"/>
      <c r="F202" s="60" t="s">
        <v>182</v>
      </c>
      <c r="G202" s="60" t="s">
        <v>276</v>
      </c>
      <c r="H202" s="61"/>
      <c r="I202" s="63" t="s">
        <v>189</v>
      </c>
      <c r="J202" s="62"/>
      <c r="K202" s="62"/>
      <c r="L202" s="62" t="str">
        <f>IFERROR(__xludf.DUMMYFUNCTION("QUERY('Volunteer Survey'!B209)"),"Marcela Dias Hanna")</f>
        <v>Marcela Dias Hanna</v>
      </c>
      <c r="M202" s="62" t="str">
        <f>IFERROR(__xludf.DUMMYFUNCTION("QUERY('Volunteer Survey'!E209)"),"marcelahanna8@gmail.com")</f>
        <v>marcelahanna8@gmail.com</v>
      </c>
      <c r="N202" s="62" t="str">
        <f>IFERROR(__xludf.DUMMYFUNCTION("QUERY('Volunteer Survey'!F209)"),"Graduate Student")</f>
        <v>Graduate Student</v>
      </c>
      <c r="O202" s="60" t="str">
        <f>IFERROR(__xludf.DUMMYFUNCTION("QUERY('Volunteer Survey'!H209)"),"Baseline")</f>
        <v>Baseline</v>
      </c>
      <c r="P202" s="62" t="str">
        <f>IFERROR(__xludf.DUMMYFUNCTION("QUERY('Volunteer Survey'!I209)"),"Gene-Disease Validity")</f>
        <v>Gene-Disease Validity</v>
      </c>
      <c r="Q202" s="66" t="str">
        <f>IFERROR(__xludf.DUMMYFUNCTION("QUERY('Volunteer Survey'!J209)"),"Variant Pathogenicity")</f>
        <v>Variant Pathogenicity</v>
      </c>
      <c r="R202" s="62" t="str">
        <f>IFERROR(__xludf.DUMMYFUNCTION("QUERY('Volunteer Survey'!K209)"),"Somatic Cancer")</f>
        <v>Somatic Cancer</v>
      </c>
      <c r="S202" s="62" t="str">
        <f>IFERROR(__xludf.DUMMYFUNCTION("QUERY('Volunteer Survey'!L209)"),"")</f>
        <v/>
      </c>
      <c r="T202" s="62" t="str">
        <f>IFERROR(__xludf.DUMMYFUNCTION("QUERY('Volunteer Survey'!M209)"),"")</f>
        <v/>
      </c>
      <c r="U202" s="74" t="str">
        <f>IFERROR(__xludf.DUMMYFUNCTION("QUERY('Volunteer Survey'!N209)"),"No.")</f>
        <v>No.</v>
      </c>
      <c r="V202" s="62" t="str">
        <f>IFERROR(__xludf.DUMMYFUNCTION("QUERY('Volunteer Survey'!O209)"),"No")</f>
        <v>No</v>
      </c>
      <c r="W202" s="75" t="str">
        <f>IFERROR(__xludf.DUMMYFUNCTION("QUERY('Volunteer Survey'!P209)"),"In order of preference: Gene curations: brain malformations; Variant: platelet disorder, TP53, VHL, brain malformations; Somatic: prediatric")</f>
        <v>In order of preference: Gene curations: brain malformations; Variant: platelet disorder, TP53, VHL, brain malformations; Somatic: prediatric</v>
      </c>
      <c r="X202" s="74" t="str">
        <f>IFERROR(__xludf.DUMMYFUNCTION("QUERY('Volunteer Survey'!R209)"),"Maybe -- please contact me with other options, and I will decide based on what is available")</f>
        <v>Maybe -- please contact me with other options, and I will decide based on what is available</v>
      </c>
      <c r="Y202" s="61"/>
      <c r="Z202" s="62"/>
      <c r="AA202" s="62"/>
      <c r="AB202" s="62"/>
      <c r="AC202" s="62"/>
      <c r="AD202" s="62"/>
      <c r="AE202" s="62"/>
      <c r="AF202" s="62"/>
      <c r="AG202" s="62"/>
      <c r="AH202" s="62"/>
      <c r="AI202" s="62"/>
      <c r="AJ202" s="62"/>
      <c r="AK202" s="62"/>
      <c r="AL202" s="62"/>
      <c r="AM202" s="62"/>
      <c r="AN202" s="62"/>
      <c r="AO202" s="62"/>
    </row>
    <row r="203">
      <c r="A203" s="59">
        <f>IFERROR(__xludf.DUMMYFUNCTION("QUERY('Volunteer Survey'!A210)"),43615.06075428241)</f>
        <v>43615.06075</v>
      </c>
      <c r="B203" s="60" t="s">
        <v>347</v>
      </c>
      <c r="C203" s="80">
        <v>43819.0</v>
      </c>
      <c r="D203" s="62"/>
      <c r="E203" s="62"/>
      <c r="F203" s="60" t="s">
        <v>182</v>
      </c>
      <c r="G203" s="60" t="s">
        <v>288</v>
      </c>
      <c r="H203" s="61"/>
      <c r="I203" s="63" t="s">
        <v>189</v>
      </c>
      <c r="J203" s="62"/>
      <c r="K203" s="62"/>
      <c r="L203" s="62" t="str">
        <f>IFERROR(__xludf.DUMMYFUNCTION("QUERY('Volunteer Survey'!B210)"),"Cath Tyner")</f>
        <v>Cath Tyner</v>
      </c>
      <c r="M203" s="62" t="str">
        <f>IFERROR(__xludf.DUMMYFUNCTION("QUERY('Volunteer Survey'!E210)"),"cathtyner@gmail.com")</f>
        <v>cathtyner@gmail.com</v>
      </c>
      <c r="N203" s="62" t="str">
        <f>IFERROR(__xludf.DUMMYFUNCTION("QUERY('Volunteer Survey'!F210)"),"Software QA Engineer at Invitae")</f>
        <v>Software QA Engineer at Invitae</v>
      </c>
      <c r="O203" s="60" t="str">
        <f>IFERROR(__xludf.DUMMYFUNCTION("QUERY('Volunteer Survey'!H210)"),"Comprehensive")</f>
        <v>Comprehensive</v>
      </c>
      <c r="P203" s="62" t="str">
        <f>IFERROR(__xludf.DUMMYFUNCTION("QUERY('Volunteer Survey'!I210)"),"Variant Pathogenicity")</f>
        <v>Variant Pathogenicity</v>
      </c>
      <c r="Q203" s="66" t="str">
        <f>IFERROR(__xludf.DUMMYFUNCTION("QUERY('Volunteer Survey'!J210)"),"Gene-Disease Validity")</f>
        <v>Gene-Disease Validity</v>
      </c>
      <c r="R203" s="62" t="str">
        <f>IFERROR(__xludf.DUMMYFUNCTION("QUERY('Volunteer Survey'!K210)"),"Clinical Actionability")</f>
        <v>Clinical Actionability</v>
      </c>
      <c r="S203" s="62" t="str">
        <f>IFERROR(__xludf.DUMMYFUNCTION("QUERY('Volunteer Survey'!L210)"),"Somatic Cancer")</f>
        <v>Somatic Cancer</v>
      </c>
      <c r="T203" s="62" t="str">
        <f>IFERROR(__xludf.DUMMYFUNCTION("QUERY('Volunteer Survey'!M210)"),"Dosage Sensitivity")</f>
        <v>Dosage Sensitivity</v>
      </c>
      <c r="U203" s="74" t="str">
        <f>IFERROR(__xludf.DUMMYFUNCTION("QUERY('Volunteer Survey'!N210)"),"QA software which is used in gene curation for Invitae")</f>
        <v>QA software which is used in gene curation for Invitae</v>
      </c>
      <c r="V203" s="62" t="str">
        <f>IFERROR(__xludf.DUMMYFUNCTION("QUERY('Volunteer Survey'!O210)"),"Possibly")</f>
        <v>Possibly</v>
      </c>
      <c r="W203" s="75" t="str">
        <f>IFERROR(__xludf.DUMMYFUNCTION("QUERY('Volunteer Survey'!P210)"),"")</f>
        <v/>
      </c>
      <c r="X203" s="74" t="str">
        <f>IFERROR(__xludf.DUMMYFUNCTION("QUERY('Volunteer Survey'!R210)"),"Maybe -- please contact me with other options, and I will decide based on what is available")</f>
        <v>Maybe -- please contact me with other options, and I will decide based on what is available</v>
      </c>
      <c r="Y203" s="63" t="s">
        <v>341</v>
      </c>
      <c r="Z203" s="62"/>
      <c r="AA203" s="62"/>
      <c r="AB203" s="62"/>
      <c r="AC203" s="62"/>
      <c r="AD203" s="62"/>
      <c r="AE203" s="62"/>
      <c r="AF203" s="62"/>
      <c r="AG203" s="62"/>
      <c r="AH203" s="62"/>
      <c r="AI203" s="62"/>
      <c r="AJ203" s="62"/>
      <c r="AK203" s="62"/>
      <c r="AL203" s="62"/>
      <c r="AM203" s="62"/>
      <c r="AN203" s="62"/>
      <c r="AO203" s="62"/>
    </row>
    <row r="204">
      <c r="A204" s="59">
        <f>IFERROR(__xludf.DUMMYFUNCTION("QUERY('Volunteer Survey'!A211)"),43615.399297673604)</f>
        <v>43615.3993</v>
      </c>
      <c r="B204" s="60" t="s">
        <v>275</v>
      </c>
      <c r="C204" s="61"/>
      <c r="D204" s="79">
        <v>43627.0</v>
      </c>
      <c r="E204" s="60" t="s">
        <v>277</v>
      </c>
      <c r="F204" s="60" t="s">
        <v>182</v>
      </c>
      <c r="G204" s="60" t="s">
        <v>288</v>
      </c>
      <c r="H204" s="61"/>
      <c r="I204" s="63" t="s">
        <v>189</v>
      </c>
      <c r="J204" s="62"/>
      <c r="K204" s="62"/>
      <c r="L204" s="62" t="str">
        <f>IFERROR(__xludf.DUMMYFUNCTION("QUERY('Volunteer Survey'!B211)"),"Abdelazeem Elhabyan ")</f>
        <v>Abdelazeem Elhabyan </v>
      </c>
      <c r="M204" s="62" t="str">
        <f>IFERROR(__xludf.DUMMYFUNCTION("QUERY('Volunteer Survey'!E211)"),"Abdelazeem_abdelhameed2015505@yahoo.com")</f>
        <v>Abdelazeem_abdelhameed2015505@yahoo.com</v>
      </c>
      <c r="N204" s="62" t="str">
        <f>IFERROR(__xludf.DUMMYFUNCTION("QUERY('Volunteer Survey'!F211)"),"Graduate Student")</f>
        <v>Graduate Student</v>
      </c>
      <c r="O204" s="60" t="str">
        <f>IFERROR(__xludf.DUMMYFUNCTION("QUERY('Volunteer Survey'!H211)"),"Comprehensive")</f>
        <v>Comprehensive</v>
      </c>
      <c r="P204" s="62" t="str">
        <f>IFERROR(__xludf.DUMMYFUNCTION("QUERY('Volunteer Survey'!I211)"),"Variant Pathogenicity")</f>
        <v>Variant Pathogenicity</v>
      </c>
      <c r="Q204" s="66" t="str">
        <f>IFERROR(__xludf.DUMMYFUNCTION("QUERY('Volunteer Survey'!J211)"),"Somatic Cancer")</f>
        <v>Somatic Cancer</v>
      </c>
      <c r="R204" s="62" t="str">
        <f>IFERROR(__xludf.DUMMYFUNCTION("QUERY('Volunteer Survey'!K211)"),"Gene-Disease Validity")</f>
        <v>Gene-Disease Validity</v>
      </c>
      <c r="S204" s="62" t="str">
        <f>IFERROR(__xludf.DUMMYFUNCTION("QUERY('Volunteer Survey'!L211)"),"Clinical Actionability")</f>
        <v>Clinical Actionability</v>
      </c>
      <c r="T204" s="62" t="str">
        <f>IFERROR(__xludf.DUMMYFUNCTION("QUERY('Volunteer Survey'!M211)"),"Dosage Sensitivity")</f>
        <v>Dosage Sensitivity</v>
      </c>
      <c r="U204" s="74" t="str">
        <f>IFERROR(__xludf.DUMMYFUNCTION("QUERY('Volunteer Survey'!N211)"),"I have received training In mapping,  variant calling using galaxy project and received many online courses in genomics ")</f>
        <v>I have received training In mapping,  variant calling using galaxy project and received many online courses in genomics </v>
      </c>
      <c r="V204" s="62" t="str">
        <f>IFERROR(__xludf.DUMMYFUNCTION("QUERY('Volunteer Survey'!O211)"),"Yes")</f>
        <v>Yes</v>
      </c>
      <c r="W204" s="75" t="str">
        <f>IFERROR(__xludf.DUMMYFUNCTION("QUERY('Volunteer Survey'!P211)"),"Hereditary cancer ")</f>
        <v>Hereditary cancer </v>
      </c>
      <c r="X204" s="74" t="str">
        <f>IFERROR(__xludf.DUMMYFUNCTION("QUERY('Volunteer Survey'!R211)"),"Yes- I am willing to volunteer with any available ClinGen group")</f>
        <v>Yes- I am willing to volunteer with any available ClinGen group</v>
      </c>
      <c r="Y204" s="61"/>
      <c r="Z204" s="62"/>
      <c r="AA204" s="62"/>
      <c r="AB204" s="62"/>
      <c r="AC204" s="62"/>
      <c r="AD204" s="62"/>
      <c r="AE204" s="62"/>
      <c r="AF204" s="62"/>
      <c r="AG204" s="62"/>
      <c r="AH204" s="62"/>
      <c r="AI204" s="62"/>
      <c r="AJ204" s="62"/>
      <c r="AK204" s="62"/>
      <c r="AL204" s="62"/>
      <c r="AM204" s="62"/>
      <c r="AN204" s="62"/>
      <c r="AO204" s="62"/>
    </row>
    <row r="205">
      <c r="A205" s="59">
        <f>IFERROR(__xludf.DUMMYFUNCTION("QUERY('Volunteer Survey'!A212)"),43615.57070869213)</f>
        <v>43615.57071</v>
      </c>
      <c r="B205" s="60" t="s">
        <v>275</v>
      </c>
      <c r="C205" s="80">
        <v>43819.0</v>
      </c>
      <c r="D205" s="62"/>
      <c r="E205" s="62"/>
      <c r="F205" s="60" t="s">
        <v>182</v>
      </c>
      <c r="G205" s="60" t="s">
        <v>278</v>
      </c>
      <c r="H205" s="61"/>
      <c r="I205" s="63" t="s">
        <v>189</v>
      </c>
      <c r="J205" s="62"/>
      <c r="K205" s="62"/>
      <c r="L205" s="62" t="str">
        <f>IFERROR(__xludf.DUMMYFUNCTION("QUERY('Volunteer Survey'!B212)"),"Claudia Gonzaga-Jauregui")</f>
        <v>Claudia Gonzaga-Jauregui</v>
      </c>
      <c r="M205" s="62" t="str">
        <f>IFERROR(__xludf.DUMMYFUNCTION("QUERY('Volunteer Survey'!E212)"),"cgonzagaj@gmail.com")</f>
        <v>cgonzagaj@gmail.com</v>
      </c>
      <c r="N205" s="62" t="str">
        <f>IFERROR(__xludf.DUMMYFUNCTION("QUERY('Volunteer Survey'!F212)"),"Scientific Researcher")</f>
        <v>Scientific Researcher</v>
      </c>
      <c r="O205" s="60" t="str">
        <f>IFERROR(__xludf.DUMMYFUNCTION("QUERY('Volunteer Survey'!H212)"),"Comprehensive")</f>
        <v>Comprehensive</v>
      </c>
      <c r="P205" s="62" t="str">
        <f>IFERROR(__xludf.DUMMYFUNCTION("QUERY('Volunteer Survey'!I212)"),"Gene-Disease Validity")</f>
        <v>Gene-Disease Validity</v>
      </c>
      <c r="Q205" s="66" t="str">
        <f>IFERROR(__xludf.DUMMYFUNCTION("QUERY('Volunteer Survey'!J212)"),"Clinical Actionability")</f>
        <v>Clinical Actionability</v>
      </c>
      <c r="R205" s="62" t="str">
        <f>IFERROR(__xludf.DUMMYFUNCTION("QUERY('Volunteer Survey'!K212)"),"Variant Pathogenicity")</f>
        <v>Variant Pathogenicity</v>
      </c>
      <c r="S205" s="62" t="str">
        <f>IFERROR(__xludf.DUMMYFUNCTION("QUERY('Volunteer Survey'!L212)"),"")</f>
        <v/>
      </c>
      <c r="T205" s="62" t="str">
        <f>IFERROR(__xludf.DUMMYFUNCTION("QUERY('Volunteer Survey'!M212)"),"")</f>
        <v/>
      </c>
      <c r="U205" s="74" t="str">
        <f>IFERROR(__xludf.DUMMYFUNCTION("QUERY('Volunteer Survey'!N212)"),"Yes, I have analyzed more than 5,000 probands and families segregating Mendelian and yet uncharacterized rare genetic disorders and identified and published more than 20 novel disease gene associations, as well as characterized pathogenic variants in know"&amp;"n disease genes to enable diagnoses in patients with suspected genetic disorders. I have also analyzed and curated pathogenic and likely pathogenic variation in large population cohorts such as the Gesinger DiscovEHR collaboration and the UK Bionbank to a"&amp;"ssess clinical actionability of pathogenic variation and prevalence of disease in unascertained populations.")</f>
        <v>Yes, I have analyzed more than 5,000 probands and families segregating Mendelian and yet uncharacterized rare genetic disorders and identified and published more than 20 novel disease gene associations, as well as characterized pathogenic variants in known disease genes to enable diagnoses in patients with suspected genetic disorders. I have also analyzed and curated pathogenic and likely pathogenic variation in large population cohorts such as the Gesinger DiscovEHR collaboration and the UK Bionbank to assess clinical actionability of pathogenic variation and prevalence of disease in unascertained populations.</v>
      </c>
      <c r="V205" s="62" t="str">
        <f>IFERROR(__xludf.DUMMYFUNCTION("QUERY('Volunteer Survey'!O212)"),"Possibly")</f>
        <v>Possibly</v>
      </c>
      <c r="W205" s="75" t="str">
        <f>IFERROR(__xludf.DUMMYFUNCTION("QUERY('Volunteer Survey'!P212)"),"Intellectual Disability and Autism, Brain Malformations, Charcot-Marie-Tooth Disease")</f>
        <v>Intellectual Disability and Autism, Brain Malformations, Charcot-Marie-Tooth Disease</v>
      </c>
      <c r="X205" s="74" t="str">
        <f>IFERROR(__xludf.DUMMYFUNCTION("QUERY('Volunteer Survey'!R212)"),"Maybe -- please contact me with other options, and I will decide based on what is available")</f>
        <v>Maybe -- please contact me with other options, and I will decide based on what is available</v>
      </c>
      <c r="Y205" s="61"/>
      <c r="Z205" s="62"/>
      <c r="AA205" s="62"/>
      <c r="AB205" s="62"/>
      <c r="AC205" s="62"/>
      <c r="AD205" s="62"/>
      <c r="AE205" s="62"/>
      <c r="AF205" s="62"/>
      <c r="AG205" s="62"/>
      <c r="AH205" s="62"/>
      <c r="AI205" s="62"/>
      <c r="AJ205" s="62"/>
      <c r="AK205" s="62"/>
      <c r="AL205" s="62"/>
      <c r="AM205" s="62"/>
      <c r="AN205" s="62"/>
      <c r="AO205" s="62"/>
    </row>
    <row r="206">
      <c r="A206" s="59">
        <f>IFERROR(__xludf.DUMMYFUNCTION("QUERY('Volunteer Survey'!A213)"),43615.977712569445)</f>
        <v>43615.97771</v>
      </c>
      <c r="B206" s="60" t="s">
        <v>274</v>
      </c>
      <c r="C206" s="80">
        <v>43689.0</v>
      </c>
      <c r="D206" s="62"/>
      <c r="E206" s="62"/>
      <c r="F206" s="60" t="s">
        <v>182</v>
      </c>
      <c r="G206" s="60" t="s">
        <v>27</v>
      </c>
      <c r="H206" s="76"/>
      <c r="I206" s="63" t="s">
        <v>189</v>
      </c>
      <c r="J206" s="62"/>
      <c r="K206" s="62"/>
      <c r="L206" s="62" t="str">
        <f>IFERROR(__xludf.DUMMYFUNCTION("QUERY('Volunteer Survey'!B213)"),"Altovise Ewing")</f>
        <v>Altovise Ewing</v>
      </c>
      <c r="M206" s="62" t="str">
        <f>IFERROR(__xludf.DUMMYFUNCTION("QUERY('Volunteer Survey'!E213)"),"altovisee@gmail.com")</f>
        <v>altovisee@gmail.com</v>
      </c>
      <c r="N206" s="62" t="str">
        <f>IFERROR(__xludf.DUMMYFUNCTION("QUERY('Volunteer Survey'!F213)"),"Genetic counselor and health equity scientist")</f>
        <v>Genetic counselor and health equity scientist</v>
      </c>
      <c r="O206" s="60" t="str">
        <f>IFERROR(__xludf.DUMMYFUNCTION("QUERY('Volunteer Survey'!H213)"),"Comprehensive")</f>
        <v>Comprehensive</v>
      </c>
      <c r="P206" s="62" t="str">
        <f>IFERROR(__xludf.DUMMYFUNCTION("QUERY('Volunteer Survey'!I213)"),"Clinical Actionability")</f>
        <v>Clinical Actionability</v>
      </c>
      <c r="Q206" s="66" t="str">
        <f>IFERROR(__xludf.DUMMYFUNCTION("QUERY('Volunteer Survey'!J213)"),"Variant Pathogenicity")</f>
        <v>Variant Pathogenicity</v>
      </c>
      <c r="R206" s="62" t="str">
        <f>IFERROR(__xludf.DUMMYFUNCTION("QUERY('Volunteer Survey'!K213)"),"Gene-Disease Validity")</f>
        <v>Gene-Disease Validity</v>
      </c>
      <c r="S206" s="62" t="str">
        <f>IFERROR(__xludf.DUMMYFUNCTION("QUERY('Volunteer Survey'!L213)"),"Dosage Sensitivity")</f>
        <v>Dosage Sensitivity</v>
      </c>
      <c r="T206" s="62" t="str">
        <f>IFERROR(__xludf.DUMMYFUNCTION("QUERY('Volunteer Survey'!M213)"),"Somatic Cancer")</f>
        <v>Somatic Cancer</v>
      </c>
      <c r="U206" s="74" t="str">
        <f>IFERROR(__xludf.DUMMYFUNCTION("QUERY('Volunteer Survey'!N213)"),"")</f>
        <v/>
      </c>
      <c r="V206" s="62" t="str">
        <f>IFERROR(__xludf.DUMMYFUNCTION("QUERY('Volunteer Survey'!O213)"),"Yes")</f>
        <v>Yes</v>
      </c>
      <c r="W206" s="75" t="str">
        <f>IFERROR(__xludf.DUMMYFUNCTION("QUERY('Volunteer Survey'!P213)"),"Hereditary cancer")</f>
        <v>Hereditary cancer</v>
      </c>
      <c r="X206" s="74" t="str">
        <f>IFERROR(__xludf.DUMMYFUNCTION("QUERY('Volunteer Survey'!R213)"),"Yes- I am willing to volunteer with any available ClinGen group")</f>
        <v>Yes- I am willing to volunteer with any available ClinGen group</v>
      </c>
      <c r="Y206" s="61"/>
      <c r="Z206" s="62"/>
      <c r="AA206" s="62"/>
      <c r="AB206" s="62"/>
      <c r="AC206" s="62"/>
      <c r="AD206" s="62"/>
      <c r="AE206" s="62"/>
      <c r="AF206" s="62"/>
      <c r="AG206" s="62"/>
      <c r="AH206" s="62"/>
      <c r="AI206" s="62"/>
      <c r="AJ206" s="62"/>
      <c r="AK206" s="62"/>
      <c r="AL206" s="62"/>
      <c r="AM206" s="62"/>
      <c r="AN206" s="62"/>
      <c r="AO206" s="62"/>
    </row>
    <row r="207">
      <c r="A207" s="59">
        <f>IFERROR(__xludf.DUMMYFUNCTION("QUERY('Volunteer Survey'!A214)"),43619.48182516204)</f>
        <v>43619.48183</v>
      </c>
      <c r="B207" s="60" t="s">
        <v>340</v>
      </c>
      <c r="C207" s="61"/>
      <c r="D207" s="62"/>
      <c r="E207" s="62"/>
      <c r="F207" s="60" t="s">
        <v>182</v>
      </c>
      <c r="G207" s="60" t="s">
        <v>283</v>
      </c>
      <c r="H207" s="61"/>
      <c r="I207" s="63" t="s">
        <v>189</v>
      </c>
      <c r="J207" s="62"/>
      <c r="K207" s="62"/>
      <c r="L207" s="62" t="str">
        <f>IFERROR(__xludf.DUMMYFUNCTION("QUERY('Volunteer Survey'!B214)"),"Laura Sack")</f>
        <v>Laura Sack</v>
      </c>
      <c r="M207" s="62" t="str">
        <f>IFERROR(__xludf.DUMMYFUNCTION("QUERY('Volunteer Survey'!E214)"),"laura@sack.io")</f>
        <v>laura@sack.io</v>
      </c>
      <c r="N207" s="62" t="str">
        <f>IFERROR(__xludf.DUMMYFUNCTION("QUERY('Volunteer Survey'!F214)"),"Variant Analyst/Scientist - Industry")</f>
        <v>Variant Analyst/Scientist - Industry</v>
      </c>
      <c r="O207" s="60" t="str">
        <f>IFERROR(__xludf.DUMMYFUNCTION("QUERY('Volunteer Survey'!H214)"),"Comprehensive")</f>
        <v>Comprehensive</v>
      </c>
      <c r="P207" s="62" t="str">
        <f>IFERROR(__xludf.DUMMYFUNCTION("QUERY('Volunteer Survey'!I214)"),"Dosage Sensitivity")</f>
        <v>Dosage Sensitivity</v>
      </c>
      <c r="Q207" s="66" t="str">
        <f>IFERROR(__xludf.DUMMYFUNCTION("QUERY('Volunteer Survey'!J214)"),"Gene-Disease Validity")</f>
        <v>Gene-Disease Validity</v>
      </c>
      <c r="R207" s="62" t="str">
        <f>IFERROR(__xludf.DUMMYFUNCTION("QUERY('Volunteer Survey'!K214)"),"Variant Pathogenicity")</f>
        <v>Variant Pathogenicity</v>
      </c>
      <c r="S207" s="62" t="str">
        <f>IFERROR(__xludf.DUMMYFUNCTION("QUERY('Volunteer Survey'!L214)"),"")</f>
        <v/>
      </c>
      <c r="T207" s="62" t="str">
        <f>IFERROR(__xludf.DUMMYFUNCTION("QUERY('Volunteer Survey'!M214)"),"")</f>
        <v/>
      </c>
      <c r="U207" s="74" t="str">
        <f>IFERROR(__xludf.DUMMYFUNCTION("QUERY('Volunteer Survey'!N214)"),"Yes, in interpreting CNVs in clinical cases, I assess dosage sensitivity and gene-disease associations in order to determine variant pathogenicity")</f>
        <v>Yes, in interpreting CNVs in clinical cases, I assess dosage sensitivity and gene-disease associations in order to determine variant pathogenicity</v>
      </c>
      <c r="V207" s="62" t="str">
        <f>IFERROR(__xludf.DUMMYFUNCTION("QUERY('Volunteer Survey'!O214)"),"Possibly")</f>
        <v>Possibly</v>
      </c>
      <c r="W207" s="75" t="str">
        <f>IFERROR(__xludf.DUMMYFUNCTION("QUERY('Volunteer Survey'!P214)"),"Dosage-Recurrent Regions, Dosage- Neurodevelopemental, Hereditary Cancer, Intellectual Disability and Autism, Epilepsy")</f>
        <v>Dosage-Recurrent Regions, Dosage- Neurodevelopemental, Hereditary Cancer, Intellectual Disability and Autism, Epilepsy</v>
      </c>
      <c r="X207" s="74" t="str">
        <f>IFERROR(__xludf.DUMMYFUNCTION("QUERY('Volunteer Survey'!R214)"),"Yes- I am willing to volunteer with any available ClinGen group")</f>
        <v>Yes- I am willing to volunteer with any available ClinGen group</v>
      </c>
      <c r="Y207" s="61"/>
      <c r="Z207" s="62"/>
      <c r="AA207" s="62"/>
      <c r="AB207" s="62"/>
      <c r="AC207" s="62"/>
      <c r="AD207" s="62"/>
      <c r="AE207" s="62"/>
      <c r="AF207" s="62"/>
      <c r="AG207" s="62"/>
      <c r="AH207" s="62"/>
      <c r="AI207" s="62"/>
      <c r="AJ207" s="62"/>
      <c r="AK207" s="62"/>
      <c r="AL207" s="62"/>
      <c r="AM207" s="62"/>
      <c r="AN207" s="62"/>
      <c r="AO207" s="62"/>
    </row>
    <row r="208">
      <c r="A208" s="59">
        <f>IFERROR(__xludf.DUMMYFUNCTION("QUERY('Volunteer Survey'!A215)"),43620.78905363426)</f>
        <v>43620.78905</v>
      </c>
      <c r="B208" s="60" t="s">
        <v>275</v>
      </c>
      <c r="C208" s="80">
        <v>43819.0</v>
      </c>
      <c r="D208" s="117">
        <v>43859.0</v>
      </c>
      <c r="E208" s="60" t="s">
        <v>277</v>
      </c>
      <c r="F208" s="60" t="s">
        <v>277</v>
      </c>
      <c r="G208" s="60" t="s">
        <v>288</v>
      </c>
      <c r="H208" s="61"/>
      <c r="I208" s="63" t="s">
        <v>189</v>
      </c>
      <c r="J208" s="62"/>
      <c r="K208" s="62"/>
      <c r="L208" s="62" t="str">
        <f>IFERROR(__xludf.DUMMYFUNCTION("QUERY('Volunteer Survey'!B215)"),"Janel Case")</f>
        <v>Janel Case</v>
      </c>
      <c r="M208" s="62" t="str">
        <f>IFERROR(__xludf.DUMMYFUNCTION("QUERY('Volunteer Survey'!E215)"),"janelcase@live.com")</f>
        <v>janelcase@live.com</v>
      </c>
      <c r="N208" s="62" t="str">
        <f>IFERROR(__xludf.DUMMYFUNCTION("QUERY('Volunteer Survey'!F215)"),"Genetic counselor")</f>
        <v>Genetic counselor</v>
      </c>
      <c r="O208" s="60" t="str">
        <f>IFERROR(__xludf.DUMMYFUNCTION("QUERY('Volunteer Survey'!H215)"),"Comprehensive")</f>
        <v>Comprehensive</v>
      </c>
      <c r="P208" s="62" t="str">
        <f>IFERROR(__xludf.DUMMYFUNCTION("QUERY('Volunteer Survey'!I215)"),"Variant Pathogenicity")</f>
        <v>Variant Pathogenicity</v>
      </c>
      <c r="Q208" s="66" t="str">
        <f>IFERROR(__xludf.DUMMYFUNCTION("QUERY('Volunteer Survey'!J215)"),"Actionability")</f>
        <v>Actionability</v>
      </c>
      <c r="R208" s="62" t="str">
        <f>IFERROR(__xludf.DUMMYFUNCTION("QUERY('Volunteer Survey'!K215)"),"")</f>
        <v/>
      </c>
      <c r="S208" s="62" t="str">
        <f>IFERROR(__xludf.DUMMYFUNCTION("QUERY('Volunteer Survey'!L215)"),"")</f>
        <v/>
      </c>
      <c r="T208" s="62" t="str">
        <f>IFERROR(__xludf.DUMMYFUNCTION("QUERY('Volunteer Survey'!M215)"),"")</f>
        <v/>
      </c>
      <c r="U208" s="74" t="str">
        <f>IFERROR(__xludf.DUMMYFUNCTION("QUERY('Volunteer Survey'!N215)"),"Variant curation internship at Illumina ")</f>
        <v>Variant curation internship at Illumina </v>
      </c>
      <c r="V208" s="62" t="str">
        <f>IFERROR(__xludf.DUMMYFUNCTION("QUERY('Volunteer Survey'!O215)"),"Possibly")</f>
        <v>Possibly</v>
      </c>
      <c r="W208" s="75" t="str">
        <f>IFERROR(__xludf.DUMMYFUNCTION("QUERY('Volunteer Survey'!P215)"),"Any hereditary cancer related groups ")</f>
        <v>Any hereditary cancer related groups </v>
      </c>
      <c r="X208" s="74" t="str">
        <f>IFERROR(__xludf.DUMMYFUNCTION("QUERY('Volunteer Survey'!R215)"),"Maybe -- please contact me with other options, and I will decide based on what is available")</f>
        <v>Maybe -- please contact me with other options, and I will decide based on what is available</v>
      </c>
      <c r="Y208" s="61"/>
      <c r="Z208" s="62"/>
      <c r="AA208" s="62"/>
      <c r="AB208" s="62"/>
      <c r="AC208" s="62"/>
      <c r="AD208" s="62"/>
      <c r="AE208" s="62"/>
      <c r="AF208" s="62"/>
      <c r="AG208" s="62"/>
      <c r="AH208" s="62"/>
      <c r="AI208" s="62"/>
      <c r="AJ208" s="62"/>
      <c r="AK208" s="62"/>
      <c r="AL208" s="62"/>
      <c r="AM208" s="62"/>
      <c r="AN208" s="62"/>
      <c r="AO208" s="62"/>
    </row>
    <row r="209">
      <c r="A209" s="59">
        <f>IFERROR(__xludf.DUMMYFUNCTION("QUERY('Volunteer Survey'!A216)"),43621.34168687501)</f>
        <v>43621.34169</v>
      </c>
      <c r="B209" s="60" t="s">
        <v>275</v>
      </c>
      <c r="C209" s="61"/>
      <c r="D209" s="79">
        <v>43627.0</v>
      </c>
      <c r="E209" s="60" t="s">
        <v>277</v>
      </c>
      <c r="F209" s="60" t="s">
        <v>277</v>
      </c>
      <c r="G209" s="60" t="s">
        <v>288</v>
      </c>
      <c r="H209" s="61"/>
      <c r="I209" s="63" t="s">
        <v>189</v>
      </c>
      <c r="J209" s="62"/>
      <c r="K209" s="62"/>
      <c r="L209" s="62" t="str">
        <f>IFERROR(__xludf.DUMMYFUNCTION("QUERY('Volunteer Survey'!B216)"),"Carolina Bustamante")</f>
        <v>Carolina Bustamante</v>
      </c>
      <c r="M209" s="62" t="str">
        <f>IFERROR(__xludf.DUMMYFUNCTION("QUERY('Volunteer Survey'!E216)"),"carolina.bustamante@gmail.com")</f>
        <v>carolina.bustamante@gmail.com</v>
      </c>
      <c r="N209" s="62" t="str">
        <f>IFERROR(__xludf.DUMMYFUNCTION("QUERY('Volunteer Survey'!F216)"),"Variant Analyst/Scientist - Industry")</f>
        <v>Variant Analyst/Scientist - Industry</v>
      </c>
      <c r="O209" s="60" t="str">
        <f>IFERROR(__xludf.DUMMYFUNCTION("QUERY('Volunteer Survey'!H216)"),"Comprehensive")</f>
        <v>Comprehensive</v>
      </c>
      <c r="P209" s="62" t="str">
        <f>IFERROR(__xludf.DUMMYFUNCTION("QUERY('Volunteer Survey'!I216)"),"Variant Pathogenicity")</f>
        <v>Variant Pathogenicity</v>
      </c>
      <c r="Q209" s="66" t="str">
        <f>IFERROR(__xludf.DUMMYFUNCTION("QUERY('Volunteer Survey'!J216)"),"Somatic Cancer")</f>
        <v>Somatic Cancer</v>
      </c>
      <c r="R209" s="62" t="str">
        <f>IFERROR(__xludf.DUMMYFUNCTION("QUERY('Volunteer Survey'!K216)"),"Clinical Actionability")</f>
        <v>Clinical Actionability</v>
      </c>
      <c r="S209" s="62" t="str">
        <f>IFERROR(__xludf.DUMMYFUNCTION("QUERY('Volunteer Survey'!L216)"),"Gene-Disease Validity")</f>
        <v>Gene-Disease Validity</v>
      </c>
      <c r="T209" s="62" t="str">
        <f>IFERROR(__xludf.DUMMYFUNCTION("QUERY('Volunteer Survey'!M216)"),"Dosage Sensitivity")</f>
        <v>Dosage Sensitivity</v>
      </c>
      <c r="U209" s="74" t="str">
        <f>IFERROR(__xludf.DUMMYFUNCTION("QUERY('Volunteer Survey'!N216)"),"Yes, I worked as bioinformatician performing NGS analyses and variant interpretation in a genetic diagnostic lab that sequenced cerca 600 samples a month.")</f>
        <v>Yes, I worked as bioinformatician performing NGS analyses and variant interpretation in a genetic diagnostic lab that sequenced cerca 600 samples a month.</v>
      </c>
      <c r="V209" s="62" t="str">
        <f>IFERROR(__xludf.DUMMYFUNCTION("QUERY('Volunteer Survey'!O216)"),"Yes")</f>
        <v>Yes</v>
      </c>
      <c r="W209" s="75" t="str">
        <f>IFERROR(__xludf.DUMMYFUNCTION("QUERY('Volunteer Survey'!P216)"),"Cancer, Hereditary Cancer, Colorectal Cancer, Genitourinary Tract Cancers, TP53, PTEN, CDH1, FBN1. ")</f>
        <v>Cancer, Hereditary Cancer, Colorectal Cancer, Genitourinary Tract Cancers, TP53, PTEN, CDH1, FBN1. </v>
      </c>
      <c r="X209" s="74" t="str">
        <f>IFERROR(__xludf.DUMMYFUNCTION("QUERY('Volunteer Survey'!R216)"),"Yes- I am willing to volunteer with any available ClinGen group")</f>
        <v>Yes- I am willing to volunteer with any available ClinGen group</v>
      </c>
      <c r="Y209" s="61"/>
      <c r="Z209" s="62"/>
      <c r="AA209" s="62"/>
      <c r="AB209" s="62"/>
      <c r="AC209" s="62"/>
      <c r="AD209" s="62"/>
      <c r="AE209" s="62"/>
      <c r="AF209" s="62"/>
      <c r="AG209" s="62"/>
      <c r="AH209" s="62"/>
      <c r="AI209" s="62"/>
      <c r="AJ209" s="62"/>
      <c r="AK209" s="62"/>
      <c r="AL209" s="62"/>
      <c r="AM209" s="62"/>
      <c r="AN209" s="62"/>
      <c r="AO209" s="62"/>
    </row>
    <row r="210">
      <c r="A210" s="59">
        <f>IFERROR(__xludf.DUMMYFUNCTION("QUERY('Volunteer Survey'!A217)"),43621.37989456018)</f>
        <v>43621.37989</v>
      </c>
      <c r="B210" s="60" t="s">
        <v>275</v>
      </c>
      <c r="C210" s="61"/>
      <c r="D210" s="62"/>
      <c r="E210" s="62"/>
      <c r="F210" s="60" t="s">
        <v>182</v>
      </c>
      <c r="G210" s="60" t="s">
        <v>276</v>
      </c>
      <c r="H210" s="61"/>
      <c r="I210" s="63" t="s">
        <v>189</v>
      </c>
      <c r="J210" s="62"/>
      <c r="K210" s="62"/>
      <c r="L210" s="62" t="str">
        <f>IFERROR(__xludf.DUMMYFUNCTION("QUERY('Volunteer Survey'!B217)"),"Natalie Hollister")</f>
        <v>Natalie Hollister</v>
      </c>
      <c r="M210" s="62" t="str">
        <f>IFERROR(__xludf.DUMMYFUNCTION("QUERY('Volunteer Survey'!E217)"),"nsh10@alumni.duke.edu")</f>
        <v>nsh10@alumni.duke.edu</v>
      </c>
      <c r="N210" s="62" t="str">
        <f>IFERROR(__xludf.DUMMYFUNCTION("QUERY('Volunteer Survey'!F217)"),"Graduate Student")</f>
        <v>Graduate Student</v>
      </c>
      <c r="O210" s="60" t="str">
        <f>IFERROR(__xludf.DUMMYFUNCTION("QUERY('Volunteer Survey'!H217)"),"Baseline")</f>
        <v>Baseline</v>
      </c>
      <c r="P210" s="62" t="str">
        <f>IFERROR(__xludf.DUMMYFUNCTION("QUERY('Volunteer Survey'!I217)"),"")</f>
        <v/>
      </c>
      <c r="Q210" s="66" t="str">
        <f>IFERROR(__xludf.DUMMYFUNCTION("QUERY('Volunteer Survey'!J217)"),"")</f>
        <v/>
      </c>
      <c r="R210" s="62" t="str">
        <f>IFERROR(__xludf.DUMMYFUNCTION("QUERY('Volunteer Survey'!K217)"),"")</f>
        <v/>
      </c>
      <c r="S210" s="62" t="str">
        <f>IFERROR(__xludf.DUMMYFUNCTION("QUERY('Volunteer Survey'!L217)"),"")</f>
        <v/>
      </c>
      <c r="T210" s="62" t="str">
        <f>IFERROR(__xludf.DUMMYFUNCTION("QUERY('Volunteer Survey'!M217)"),"")</f>
        <v/>
      </c>
      <c r="U210" s="74" t="str">
        <f>IFERROR(__xludf.DUMMYFUNCTION("QUERY('Volunteer Survey'!N217)"),"")</f>
        <v/>
      </c>
      <c r="V210" s="62" t="str">
        <f>IFERROR(__xludf.DUMMYFUNCTION("QUERY('Volunteer Survey'!O217)"),"No")</f>
        <v>No</v>
      </c>
      <c r="W210" s="75" t="str">
        <f>IFERROR(__xludf.DUMMYFUNCTION("QUERY('Volunteer Survey'!P217)"),"")</f>
        <v/>
      </c>
      <c r="X210" s="74" t="str">
        <f>IFERROR(__xludf.DUMMYFUNCTION("QUERY('Volunteer Survey'!R217)"),"")</f>
        <v/>
      </c>
      <c r="Y210" s="61"/>
      <c r="Z210" s="62"/>
      <c r="AA210" s="62"/>
      <c r="AB210" s="62"/>
      <c r="AC210" s="62"/>
      <c r="AD210" s="62"/>
      <c r="AE210" s="62"/>
      <c r="AF210" s="62"/>
      <c r="AG210" s="62"/>
      <c r="AH210" s="62"/>
      <c r="AI210" s="62"/>
      <c r="AJ210" s="62"/>
      <c r="AK210" s="62"/>
      <c r="AL210" s="62"/>
      <c r="AM210" s="62"/>
      <c r="AN210" s="62"/>
      <c r="AO210" s="62"/>
    </row>
    <row r="211">
      <c r="A211" s="59">
        <f>IFERROR(__xludf.DUMMYFUNCTION("QUERY('Volunteer Survey'!A218)"),43622.554816875)</f>
        <v>43622.55482</v>
      </c>
      <c r="B211" s="60" t="s">
        <v>275</v>
      </c>
      <c r="C211" s="61"/>
      <c r="D211" s="82">
        <v>43692.0</v>
      </c>
      <c r="E211" s="60" t="s">
        <v>277</v>
      </c>
      <c r="F211" s="60" t="s">
        <v>277</v>
      </c>
      <c r="G211" s="60" t="s">
        <v>278</v>
      </c>
      <c r="H211" s="61"/>
      <c r="I211" s="63" t="s">
        <v>189</v>
      </c>
      <c r="J211" s="62"/>
      <c r="K211" s="62"/>
      <c r="L211" s="62" t="str">
        <f>IFERROR(__xludf.DUMMYFUNCTION("QUERY('Volunteer Survey'!B218)"),"Jean Davidson")</f>
        <v>Jean Davidson</v>
      </c>
      <c r="M211" s="62" t="str">
        <f>IFERROR(__xludf.DUMMYFUNCTION("QUERY('Volunteer Survey'!E218)"),"jdavid06@calpoly.edu")</f>
        <v>jdavid06@calpoly.edu</v>
      </c>
      <c r="N211" s="62" t="str">
        <f>IFERROR(__xludf.DUMMYFUNCTION("QUERY('Volunteer Survey'!F218)"),"Scientific Researcher")</f>
        <v>Scientific Researcher</v>
      </c>
      <c r="O211" s="60" t="str">
        <f>IFERROR(__xludf.DUMMYFUNCTION("QUERY('Volunteer Survey'!H218)"),"Comprehensive")</f>
        <v>Comprehensive</v>
      </c>
      <c r="P211" s="62" t="str">
        <f>IFERROR(__xludf.DUMMYFUNCTION("QUERY('Volunteer Survey'!I218)"),"Gene-Disease Validity")</f>
        <v>Gene-Disease Validity</v>
      </c>
      <c r="Q211" s="66" t="str">
        <f>IFERROR(__xludf.DUMMYFUNCTION("QUERY('Volunteer Survey'!J218)"),"Variant Pathogenicity")</f>
        <v>Variant Pathogenicity</v>
      </c>
      <c r="R211" s="62" t="str">
        <f>IFERROR(__xludf.DUMMYFUNCTION("QUERY('Volunteer Survey'!K218)"),"Clinical Actionability")</f>
        <v>Clinical Actionability</v>
      </c>
      <c r="S211" s="62" t="str">
        <f>IFERROR(__xludf.DUMMYFUNCTION("QUERY('Volunteer Survey'!L218)"),"Dosage Sensitivity")</f>
        <v>Dosage Sensitivity</v>
      </c>
      <c r="T211" s="62" t="str">
        <f>IFERROR(__xludf.DUMMYFUNCTION("QUERY('Volunteer Survey'!M218)"),"Somatic Cancer")</f>
        <v>Somatic Cancer</v>
      </c>
      <c r="U211" s="74" t="str">
        <f>IFERROR(__xludf.DUMMYFUNCTION("QUERY('Volunteer Survey'!N218)"),"I was a member of the Undiagnosed Disease Network at Stanford University as a genomics coordinator, as well as a member of the ENCODE coordination center at Stanford.  ")</f>
        <v>I was a member of the Undiagnosed Disease Network at Stanford University as a genomics coordinator, as well as a member of the ENCODE coordination center at Stanford.  </v>
      </c>
      <c r="V211" s="62" t="str">
        <f>IFERROR(__xludf.DUMMYFUNCTION("QUERY('Volunteer Survey'!O218)"),"No")</f>
        <v>No</v>
      </c>
      <c r="W211" s="75" t="str">
        <f>IFERROR(__xludf.DUMMYFUNCTION("QUERY('Volunteer Survey'!P218)"),"mitochondrial diseases, dilated cardiomyopathy, ")</f>
        <v>mitochondrial diseases, dilated cardiomyopathy, </v>
      </c>
      <c r="X211" s="74" t="str">
        <f>IFERROR(__xludf.DUMMYFUNCTION("QUERY('Volunteer Survey'!R218)"),"Yes- I am willing to volunteer with any available ClinGen group")</f>
        <v>Yes- I am willing to volunteer with any available ClinGen group</v>
      </c>
      <c r="Y211" s="61"/>
      <c r="Z211" s="62"/>
      <c r="AA211" s="62"/>
      <c r="AB211" s="62"/>
      <c r="AC211" s="62"/>
      <c r="AD211" s="62"/>
      <c r="AE211" s="62"/>
      <c r="AF211" s="62"/>
      <c r="AG211" s="62"/>
      <c r="AH211" s="62"/>
      <c r="AI211" s="62"/>
      <c r="AJ211" s="62"/>
      <c r="AK211" s="62"/>
      <c r="AL211" s="62"/>
      <c r="AM211" s="62"/>
      <c r="AN211" s="62"/>
      <c r="AO211" s="62"/>
    </row>
    <row r="212">
      <c r="A212" s="59">
        <f>IFERROR(__xludf.DUMMYFUNCTION("QUERY('Volunteer Survey'!A219)"),43623.2904925463)</f>
        <v>43623.29049</v>
      </c>
      <c r="B212" s="60" t="s">
        <v>274</v>
      </c>
      <c r="C212" s="61"/>
      <c r="D212" s="62"/>
      <c r="E212" s="62"/>
      <c r="F212" s="60" t="s">
        <v>182</v>
      </c>
      <c r="G212" s="60" t="s">
        <v>288</v>
      </c>
      <c r="H212" s="61"/>
      <c r="I212" s="63" t="s">
        <v>189</v>
      </c>
      <c r="J212" s="62"/>
      <c r="K212" s="62"/>
      <c r="L212" s="62" t="str">
        <f>IFERROR(__xludf.DUMMYFUNCTION("QUERY('Volunteer Survey'!B219)"),"Timo Dereani")</f>
        <v>Timo Dereani</v>
      </c>
      <c r="M212" s="62" t="str">
        <f>IFERROR(__xludf.DUMMYFUNCTION("QUERY('Volunteer Survey'!E219)"),"dereani@biologis.diagnosticum.eu")</f>
        <v>dereani@biologis.diagnosticum.eu</v>
      </c>
      <c r="N212" s="62" t="str">
        <f>IFERROR(__xludf.DUMMYFUNCTION("QUERY('Volunteer Survey'!F219)"),"Clinical laboratory geneticist")</f>
        <v>Clinical laboratory geneticist</v>
      </c>
      <c r="O212" s="60" t="str">
        <f>IFERROR(__xludf.DUMMYFUNCTION("QUERY('Volunteer Survey'!H219)"),"Comprehensive")</f>
        <v>Comprehensive</v>
      </c>
      <c r="P212" s="62" t="str">
        <f>IFERROR(__xludf.DUMMYFUNCTION("QUERY('Volunteer Survey'!I219)"),"Variant Pathogenicity")</f>
        <v>Variant Pathogenicity</v>
      </c>
      <c r="Q212" s="66" t="str">
        <f>IFERROR(__xludf.DUMMYFUNCTION("QUERY('Volunteer Survey'!J219)"),"Clinical Actionability")</f>
        <v>Clinical Actionability</v>
      </c>
      <c r="R212" s="62" t="str">
        <f>IFERROR(__xludf.DUMMYFUNCTION("QUERY('Volunteer Survey'!K219)"),"Dosage Sensitivity")</f>
        <v>Dosage Sensitivity</v>
      </c>
      <c r="S212" s="62" t="str">
        <f>IFERROR(__xludf.DUMMYFUNCTION("QUERY('Volunteer Survey'!L219)"),"Gene-Disease Validity")</f>
        <v>Gene-Disease Validity</v>
      </c>
      <c r="T212" s="62" t="str">
        <f>IFERROR(__xludf.DUMMYFUNCTION("QUERY('Volunteer Survey'!M219)"),"Somatic Cancer")</f>
        <v>Somatic Cancer</v>
      </c>
      <c r="U212" s="74" t="str">
        <f>IFERROR(__xludf.DUMMYFUNCTION("QUERY('Volunteer Survey'!N219)"),"I've already curated hundreds of variants during my work as a clinical laboratory geneticist. Additionally I've used various classification guidelines (internal, ACMG etc.) and I'm constantly trying to implement new ideas. I am currently also participatig"&amp;" in the ClinGen low penetrance working group. Additionally I've helped to create various virtual panels for the routine diagnostics at our center.")</f>
        <v>I've already curated hundreds of variants during my work as a clinical laboratory geneticist. Additionally I've used various classification guidelines (internal, ACMG etc.) and I'm constantly trying to implement new ideas. I am currently also participatig in the ClinGen low penetrance working group. Additionally I've helped to create various virtual panels for the routine diagnostics at our center.</v>
      </c>
      <c r="V212" s="62" t="str">
        <f>IFERROR(__xludf.DUMMYFUNCTION("QUERY('Volunteer Survey'!O219)"),"Yes")</f>
        <v>Yes</v>
      </c>
      <c r="W212" s="75" t="str">
        <f>IFERROR(__xludf.DUMMYFUNCTION("QUERY('Volunteer Survey'!P219)"),"Monogenic Diabetes, Hereditary Cancer")</f>
        <v>Monogenic Diabetes, Hereditary Cancer</v>
      </c>
      <c r="X212" s="74" t="str">
        <f>IFERROR(__xludf.DUMMYFUNCTION("QUERY('Volunteer Survey'!R219)"),"Maybe -- please contact me with other options, and I will decide based on what is available")</f>
        <v>Maybe -- please contact me with other options, and I will decide based on what is available</v>
      </c>
      <c r="Y212" s="61"/>
      <c r="Z212" s="62"/>
      <c r="AA212" s="62"/>
      <c r="AB212" s="62"/>
      <c r="AC212" s="62"/>
      <c r="AD212" s="62"/>
      <c r="AE212" s="62"/>
      <c r="AF212" s="62"/>
      <c r="AG212" s="62"/>
      <c r="AH212" s="62"/>
      <c r="AI212" s="62"/>
      <c r="AJ212" s="62"/>
      <c r="AK212" s="62"/>
      <c r="AL212" s="62"/>
      <c r="AM212" s="62"/>
      <c r="AN212" s="62"/>
      <c r="AO212" s="62"/>
    </row>
    <row r="213">
      <c r="A213" s="59">
        <f>IFERROR(__xludf.DUMMYFUNCTION("QUERY('Volunteer Survey'!A220)"),43625.51218064815)</f>
        <v>43625.51218</v>
      </c>
      <c r="B213" s="60" t="s">
        <v>340</v>
      </c>
      <c r="C213" s="61"/>
      <c r="D213" s="62"/>
      <c r="E213" s="62"/>
      <c r="F213" s="60" t="s">
        <v>182</v>
      </c>
      <c r="G213" s="60" t="s">
        <v>278</v>
      </c>
      <c r="H213" s="61"/>
      <c r="I213" s="63" t="s">
        <v>189</v>
      </c>
      <c r="J213" s="62"/>
      <c r="K213" s="62"/>
      <c r="L213" s="62" t="str">
        <f>IFERROR(__xludf.DUMMYFUNCTION("QUERY('Volunteer Survey'!B220)"),"Konstantinos Varvagiannis")</f>
        <v>Konstantinos Varvagiannis</v>
      </c>
      <c r="M213" s="62" t="str">
        <f>IFERROR(__xludf.DUMMYFUNCTION("QUERY('Volunteer Survey'!E220)"),"knsvarv@ath.forthnet.gr")</f>
        <v>knsvarv@ath.forthnet.gr</v>
      </c>
      <c r="N213" s="62" t="str">
        <f>IFERROR(__xludf.DUMMYFUNCTION("QUERY('Volunteer Survey'!F220)"),"Clinical Medical Geneticist")</f>
        <v>Clinical Medical Geneticist</v>
      </c>
      <c r="O213" s="60" t="str">
        <f>IFERROR(__xludf.DUMMYFUNCTION("QUERY('Volunteer Survey'!H220)"),"Baseline")</f>
        <v>Baseline</v>
      </c>
      <c r="P213" s="62" t="str">
        <f>IFERROR(__xludf.DUMMYFUNCTION("QUERY('Volunteer Survey'!I220)"),"Gene-Disease Validity")</f>
        <v>Gene-Disease Validity</v>
      </c>
      <c r="Q213" s="66" t="str">
        <f>IFERROR(__xludf.DUMMYFUNCTION("QUERY('Volunteer Survey'!J220)"),"Variant Pathogenicity")</f>
        <v>Variant Pathogenicity</v>
      </c>
      <c r="R213" s="62" t="str">
        <f>IFERROR(__xludf.DUMMYFUNCTION("QUERY('Volunteer Survey'!K220)"),"Dosage Sensitivity")</f>
        <v>Dosage Sensitivity</v>
      </c>
      <c r="S213" s="62" t="str">
        <f>IFERROR(__xludf.DUMMYFUNCTION("QUERY('Volunteer Survey'!L220)"),"Clinical Actionability")</f>
        <v>Clinical Actionability</v>
      </c>
      <c r="T213" s="62" t="str">
        <f>IFERROR(__xludf.DUMMYFUNCTION("QUERY('Volunteer Survey'!M220)"),"Somatic Cancer")</f>
        <v>Somatic Cancer</v>
      </c>
      <c r="U213" s="74" t="str">
        <f>IFERROR(__xludf.DUMMYFUNCTION("QUERY('Volunteer Survey'!N220)"),"Genomics England PanelApp - ID/epilepsy panels - (reviews available after filtering the respective panels' activity / : https://panelapp.genomicsengland.co.uk/panels/activity/?panel=285  -  https://panelapp.genomicsengland.co.uk/panels/activity/?panel=402"&amp;" )")</f>
        <v>Genomics England PanelApp - ID/epilepsy panels - (reviews available after filtering the respective panels' activity / : https://panelapp.genomicsengland.co.uk/panels/activity/?panel=285  -  https://panelapp.genomicsengland.co.uk/panels/activity/?panel=402 )</v>
      </c>
      <c r="V213" s="62" t="str">
        <f>IFERROR(__xludf.DUMMYFUNCTION("QUERY('Volunteer Survey'!O220)"),"Possibly")</f>
        <v>Possibly</v>
      </c>
      <c r="W213" s="75" t="str">
        <f>IFERROR(__xludf.DUMMYFUNCTION("QUERY('Volunteer Survey'!P220)"),"Intellectual Disability and Autism / Epilepsy")</f>
        <v>Intellectual Disability and Autism / Epilepsy</v>
      </c>
      <c r="X213" s="74" t="str">
        <f>IFERROR(__xludf.DUMMYFUNCTION("QUERY('Volunteer Survey'!R220)"),"Maybe -- please contact me with other options, and I will decide based on what is available")</f>
        <v>Maybe -- please contact me with other options, and I will decide based on what is available</v>
      </c>
      <c r="Y213" s="61"/>
      <c r="Z213" s="62"/>
      <c r="AA213" s="62"/>
      <c r="AB213" s="62"/>
      <c r="AC213" s="62"/>
      <c r="AD213" s="62"/>
      <c r="AE213" s="62"/>
      <c r="AF213" s="62"/>
      <c r="AG213" s="62"/>
      <c r="AH213" s="62"/>
      <c r="AI213" s="62"/>
      <c r="AJ213" s="62"/>
      <c r="AK213" s="62"/>
      <c r="AL213" s="62"/>
      <c r="AM213" s="62"/>
      <c r="AN213" s="62"/>
      <c r="AO213" s="62"/>
    </row>
    <row r="214">
      <c r="A214" s="59">
        <f>IFERROR(__xludf.DUMMYFUNCTION("QUERY('Volunteer Survey'!A221)"),43625.56646847222)</f>
        <v>43625.56647</v>
      </c>
      <c r="B214" s="60" t="s">
        <v>274</v>
      </c>
      <c r="C214" s="61"/>
      <c r="D214" s="62"/>
      <c r="E214" s="62"/>
      <c r="F214" s="60" t="s">
        <v>182</v>
      </c>
      <c r="G214" s="60" t="s">
        <v>288</v>
      </c>
      <c r="H214" s="61"/>
      <c r="I214" s="63" t="s">
        <v>189</v>
      </c>
      <c r="J214" s="62"/>
      <c r="K214" s="62"/>
      <c r="L214" s="62" t="str">
        <f>IFERROR(__xludf.DUMMYFUNCTION("QUERY('Volunteer Survey'!B221)"),"Jennifer Bullard")</f>
        <v>Jennifer Bullard</v>
      </c>
      <c r="M214" s="62" t="str">
        <f>IFERROR(__xludf.DUMMYFUNCTION("QUERY('Volunteer Survey'!E221)"),"jenniferluja@gmail.com")</f>
        <v>jenniferluja@gmail.com</v>
      </c>
      <c r="N214" s="62" t="str">
        <f>IFERROR(__xludf.DUMMYFUNCTION("QUERY('Volunteer Survey'!F221)"),"Clinical laboratory geneticist")</f>
        <v>Clinical laboratory geneticist</v>
      </c>
      <c r="O214" s="60" t="str">
        <f>IFERROR(__xludf.DUMMYFUNCTION("QUERY('Volunteer Survey'!H221)"),"Comprehensive")</f>
        <v>Comprehensive</v>
      </c>
      <c r="P214" s="62" t="str">
        <f>IFERROR(__xludf.DUMMYFUNCTION("QUERY('Volunteer Survey'!I221)"),"Variant Pathogenicity")</f>
        <v>Variant Pathogenicity</v>
      </c>
      <c r="Q214" s="66" t="str">
        <f>IFERROR(__xludf.DUMMYFUNCTION("QUERY('Volunteer Survey'!J221)"),"Gene-Disease Validity")</f>
        <v>Gene-Disease Validity</v>
      </c>
      <c r="R214" s="62" t="str">
        <f>IFERROR(__xludf.DUMMYFUNCTION("QUERY('Volunteer Survey'!K221)"),"Dosage Sensitivity")</f>
        <v>Dosage Sensitivity</v>
      </c>
      <c r="S214" s="62" t="str">
        <f>IFERROR(__xludf.DUMMYFUNCTION("QUERY('Volunteer Survey'!L221)"),"Clinical Actionability")</f>
        <v>Clinical Actionability</v>
      </c>
      <c r="T214" s="62" t="str">
        <f>IFERROR(__xludf.DUMMYFUNCTION("QUERY('Volunteer Survey'!M221)"),"Somatic Cancer")</f>
        <v>Somatic Cancer</v>
      </c>
      <c r="U214" s="74" t="str">
        <f>IFERROR(__xludf.DUMMYFUNCTION("QUERY('Volunteer Survey'!N221)"),"")</f>
        <v/>
      </c>
      <c r="V214" s="62" t="str">
        <f>IFERROR(__xludf.DUMMYFUNCTION("QUERY('Volunteer Survey'!O221)"),"No")</f>
        <v>No</v>
      </c>
      <c r="W214" s="75" t="str">
        <f>IFERROR(__xludf.DUMMYFUNCTION("QUERY('Volunteer Survey'!P221)"),"Monogenic Diabetes")</f>
        <v>Monogenic Diabetes</v>
      </c>
      <c r="X214" s="74" t="str">
        <f>IFERROR(__xludf.DUMMYFUNCTION("QUERY('Volunteer Survey'!R221)"),"Yes- I am willing to volunteer with any available ClinGen group")</f>
        <v>Yes- I am willing to volunteer with any available ClinGen group</v>
      </c>
      <c r="Y214" s="61"/>
      <c r="Z214" s="62"/>
      <c r="AA214" s="62"/>
      <c r="AB214" s="62"/>
      <c r="AC214" s="62"/>
      <c r="AD214" s="62"/>
      <c r="AE214" s="62"/>
      <c r="AF214" s="62"/>
      <c r="AG214" s="62"/>
      <c r="AH214" s="62"/>
      <c r="AI214" s="62"/>
      <c r="AJ214" s="62"/>
      <c r="AK214" s="62"/>
      <c r="AL214" s="62"/>
      <c r="AM214" s="62"/>
      <c r="AN214" s="62"/>
      <c r="AO214" s="62"/>
    </row>
    <row r="215">
      <c r="A215" s="59">
        <f>IFERROR(__xludf.DUMMYFUNCTION("QUERY('Volunteer Survey'!A222)"),43625.72974097222)</f>
        <v>43625.72974</v>
      </c>
      <c r="B215" s="60" t="s">
        <v>275</v>
      </c>
      <c r="C215" s="80">
        <v>43689.0</v>
      </c>
      <c r="D215" s="82">
        <v>43768.0</v>
      </c>
      <c r="E215" s="60" t="s">
        <v>277</v>
      </c>
      <c r="F215" s="60" t="s">
        <v>277</v>
      </c>
      <c r="G215" s="60" t="s">
        <v>27</v>
      </c>
      <c r="H215" s="76" t="s">
        <v>27</v>
      </c>
      <c r="I215" s="63" t="s">
        <v>189</v>
      </c>
      <c r="J215" s="62"/>
      <c r="K215" s="62"/>
      <c r="L215" s="62" t="str">
        <f>IFERROR(__xludf.DUMMYFUNCTION("QUERY('Volunteer Survey'!B222)"),"Greg Lennon")</f>
        <v>Greg Lennon</v>
      </c>
      <c r="M215" s="62" t="str">
        <f>IFERROR(__xludf.DUMMYFUNCTION("QUERY('Volunteer Survey'!E222)"),"greg.lennon@gmail.com")</f>
        <v>greg.lennon@gmail.com</v>
      </c>
      <c r="N215" s="62" t="str">
        <f>IFERROR(__xludf.DUMMYFUNCTION("QUERY('Volunteer Survey'!F222)"),"Scientific Researcher")</f>
        <v>Scientific Researcher</v>
      </c>
      <c r="O215" s="60" t="str">
        <f>IFERROR(__xludf.DUMMYFUNCTION("QUERY('Volunteer Survey'!H222)"),"Comprehensive")</f>
        <v>Comprehensive</v>
      </c>
      <c r="P215" s="62" t="str">
        <f>IFERROR(__xludf.DUMMYFUNCTION("QUERY('Volunteer Survey'!I222)"),"Clinical Actionability")</f>
        <v>Clinical Actionability</v>
      </c>
      <c r="Q215" s="66" t="str">
        <f>IFERROR(__xludf.DUMMYFUNCTION("QUERY('Volunteer Survey'!J222)"),"Variant Pathogenicity")</f>
        <v>Variant Pathogenicity</v>
      </c>
      <c r="R215" s="62" t="str">
        <f>IFERROR(__xludf.DUMMYFUNCTION("QUERY('Volunteer Survey'!K222)"),"")</f>
        <v/>
      </c>
      <c r="S215" s="62" t="str">
        <f>IFERROR(__xludf.DUMMYFUNCTION("QUERY('Volunteer Survey'!L222)"),"")</f>
        <v/>
      </c>
      <c r="T215" s="62" t="str">
        <f>IFERROR(__xludf.DUMMYFUNCTION("QUERY('Volunteer Survey'!M222)"),"")</f>
        <v/>
      </c>
      <c r="U215" s="74" t="str">
        <f>IFERROR(__xludf.DUMMYFUNCTION("QUERY('Volunteer Survey'!N222)"),"Curation of SNPedia (since 2006)")</f>
        <v>Curation of SNPedia (since 2006)</v>
      </c>
      <c r="V215" s="62" t="str">
        <f>IFERROR(__xludf.DUMMYFUNCTION("QUERY('Volunteer Survey'!O222)"),"Possibly")</f>
        <v>Possibly</v>
      </c>
      <c r="W215" s="75" t="str">
        <f>IFERROR(__xludf.DUMMYFUNCTION("QUERY('Volunteer Survey'!P222)"),"Actionability Working Group")</f>
        <v>Actionability Working Group</v>
      </c>
      <c r="X215" s="74" t="str">
        <f>IFERROR(__xludf.DUMMYFUNCTION("QUERY('Volunteer Survey'!R222)"),"Maybe -- please contact me with other options, and I will decide based on what is available")</f>
        <v>Maybe -- please contact me with other options, and I will decide based on what is available</v>
      </c>
      <c r="Y215" s="61"/>
      <c r="Z215" s="62"/>
      <c r="AA215" s="62"/>
      <c r="AB215" s="62"/>
      <c r="AC215" s="62"/>
      <c r="AD215" s="62"/>
      <c r="AE215" s="62"/>
      <c r="AF215" s="62"/>
      <c r="AG215" s="62"/>
      <c r="AH215" s="62"/>
      <c r="AI215" s="62"/>
      <c r="AJ215" s="62"/>
      <c r="AK215" s="62"/>
      <c r="AL215" s="62"/>
      <c r="AM215" s="62"/>
      <c r="AN215" s="62"/>
      <c r="AO215" s="62"/>
    </row>
    <row r="216">
      <c r="A216" s="59">
        <f>IFERROR(__xludf.DUMMYFUNCTION("QUERY('Volunteer Survey'!A223)"),43626.46727800926)</f>
        <v>43626.46728</v>
      </c>
      <c r="B216" s="60" t="s">
        <v>275</v>
      </c>
      <c r="C216" s="61"/>
      <c r="D216" s="79">
        <v>43626.0</v>
      </c>
      <c r="E216" s="60" t="s">
        <v>277</v>
      </c>
      <c r="F216" s="60" t="s">
        <v>277</v>
      </c>
      <c r="G216" s="60" t="s">
        <v>301</v>
      </c>
      <c r="H216" s="61"/>
      <c r="I216" s="63" t="s">
        <v>189</v>
      </c>
      <c r="J216" s="62"/>
      <c r="K216" s="62"/>
      <c r="L216" s="62" t="str">
        <f>IFERROR(__xludf.DUMMYFUNCTION("QUERY('Volunteer Survey'!B223)"),"Pamela")</f>
        <v>Pamela</v>
      </c>
      <c r="M216" s="62" t="str">
        <f>IFERROR(__xludf.DUMMYFUNCTION("QUERY('Volunteer Survey'!E223)"),"pchristopherson@versiti.org")</f>
        <v>pchristopherson@versiti.org</v>
      </c>
      <c r="N216" s="62" t="str">
        <f>IFERROR(__xludf.DUMMYFUNCTION("QUERY('Volunteer Survey'!F223)"),"Scientific Researcher")</f>
        <v>Scientific Researcher</v>
      </c>
      <c r="O216" s="60" t="str">
        <f>IFERROR(__xludf.DUMMYFUNCTION("QUERY('Volunteer Survey'!H223)"),"Comprehensive")</f>
        <v>Comprehensive</v>
      </c>
      <c r="P216" s="62" t="str">
        <f>IFERROR(__xludf.DUMMYFUNCTION("QUERY('Volunteer Survey'!I223)"),"Variant Pathogenicity")</f>
        <v>Variant Pathogenicity</v>
      </c>
      <c r="Q216" s="66" t="str">
        <f>IFERROR(__xludf.DUMMYFUNCTION("QUERY('Volunteer Survey'!J223)"),"")</f>
        <v/>
      </c>
      <c r="R216" s="62" t="str">
        <f>IFERROR(__xludf.DUMMYFUNCTION("QUERY('Volunteer Survey'!K223)"),"")</f>
        <v/>
      </c>
      <c r="S216" s="62" t="str">
        <f>IFERROR(__xludf.DUMMYFUNCTION("QUERY('Volunteer Survey'!L223)"),"")</f>
        <v/>
      </c>
      <c r="T216" s="62" t="str">
        <f>IFERROR(__xludf.DUMMYFUNCTION("QUERY('Volunteer Survey'!M223)"),"")</f>
        <v/>
      </c>
      <c r="U216" s="74" t="str">
        <f>IFERROR(__xludf.DUMMYFUNCTION("QUERY('Volunteer Survey'!N223)"),"Submission of variants to LOVD")</f>
        <v>Submission of variants to LOVD</v>
      </c>
      <c r="V216" s="62" t="str">
        <f>IFERROR(__xludf.DUMMYFUNCTION("QUERY('Volunteer Survey'!O223)"),"Possibly")</f>
        <v>Possibly</v>
      </c>
      <c r="W216" s="75" t="str">
        <f>IFERROR(__xludf.DUMMYFUNCTION("QUERY('Volunteer Survey'!P223)"),"Already on VWD working group")</f>
        <v>Already on VWD working group</v>
      </c>
      <c r="X216" s="74" t="str">
        <f>IFERROR(__xludf.DUMMYFUNCTION("QUERY('Volunteer Survey'!R223)"),"No - I am only interested in the group(s) I previously indicated")</f>
        <v>No - I am only interested in the group(s) I previously indicated</v>
      </c>
      <c r="Y216" s="61"/>
      <c r="Z216" s="62"/>
      <c r="AA216" s="62"/>
      <c r="AB216" s="62"/>
      <c r="AC216" s="62"/>
      <c r="AD216" s="62"/>
      <c r="AE216" s="62"/>
      <c r="AF216" s="62"/>
      <c r="AG216" s="62"/>
      <c r="AH216" s="62"/>
      <c r="AI216" s="62"/>
      <c r="AJ216" s="62"/>
      <c r="AK216" s="62"/>
      <c r="AL216" s="62"/>
      <c r="AM216" s="62"/>
      <c r="AN216" s="62"/>
      <c r="AO216" s="62"/>
    </row>
    <row r="217">
      <c r="A217" s="59">
        <f>IFERROR(__xludf.DUMMYFUNCTION("QUERY('Volunteer Survey'!A224)"),43626.62412516204)</f>
        <v>43626.62413</v>
      </c>
      <c r="B217" s="60" t="s">
        <v>282</v>
      </c>
      <c r="C217" s="61"/>
      <c r="D217" s="62"/>
      <c r="E217" s="62"/>
      <c r="F217" s="60" t="s">
        <v>182</v>
      </c>
      <c r="G217" s="60" t="s">
        <v>276</v>
      </c>
      <c r="H217" s="61"/>
      <c r="I217" s="63" t="s">
        <v>189</v>
      </c>
      <c r="J217" s="62"/>
      <c r="K217" s="62"/>
      <c r="L217" s="62" t="str">
        <f>IFERROR(__xludf.DUMMYFUNCTION("QUERY('Volunteer Survey'!B224)"),"Ernie Hobbs")</f>
        <v>Ernie Hobbs</v>
      </c>
      <c r="M217" s="62" t="str">
        <f>IFERROR(__xludf.DUMMYFUNCTION("QUERY('Volunteer Survey'!E224)"),"ernie.hobbs@congenica.com")</f>
        <v>ernie.hobbs@congenica.com</v>
      </c>
      <c r="N217" s="62" t="str">
        <f>IFERROR(__xludf.DUMMYFUNCTION("QUERY('Volunteer Survey'!F224)"),"Citizen Scientist/Patient Advocate")</f>
        <v>Citizen Scientist/Patient Advocate</v>
      </c>
      <c r="O217" s="60" t="str">
        <f>IFERROR(__xludf.DUMMYFUNCTION("QUERY('Volunteer Survey'!H224)"),"Baseline")</f>
        <v>Baseline</v>
      </c>
      <c r="P217" s="62" t="str">
        <f>IFERROR(__xludf.DUMMYFUNCTION("QUERY('Volunteer Survey'!I224)"),"Variant Pathogenicity")</f>
        <v>Variant Pathogenicity</v>
      </c>
      <c r="Q217" s="66" t="str">
        <f>IFERROR(__xludf.DUMMYFUNCTION("QUERY('Volunteer Survey'!J224)"),"Clinical Actionability")</f>
        <v>Clinical Actionability</v>
      </c>
      <c r="R217" s="62" t="str">
        <f>IFERROR(__xludf.DUMMYFUNCTION("QUERY('Volunteer Survey'!K224)"),"")</f>
        <v/>
      </c>
      <c r="S217" s="62" t="str">
        <f>IFERROR(__xludf.DUMMYFUNCTION("QUERY('Volunteer Survey'!L224)"),"")</f>
        <v/>
      </c>
      <c r="T217" s="62" t="str">
        <f>IFERROR(__xludf.DUMMYFUNCTION("QUERY('Volunteer Survey'!M224)"),"")</f>
        <v/>
      </c>
      <c r="U217" s="74" t="str">
        <f>IFERROR(__xludf.DUMMYFUNCTION("QUERY('Volunteer Survey'!N224)"),"No (but have worked for several companies that offered genomic analysis software)")</f>
        <v>No (but have worked for several companies that offered genomic analysis software)</v>
      </c>
      <c r="V217" s="62" t="str">
        <f>IFERROR(__xludf.DUMMYFUNCTION("QUERY('Volunteer Survey'!O224)"),"Possibly")</f>
        <v>Possibly</v>
      </c>
      <c r="W217" s="75" t="str">
        <f>IFERROR(__xludf.DUMMYFUNCTION("QUERY('Volunteer Survey'!P224)"),"Mitochondrial Diseases")</f>
        <v>Mitochondrial Diseases</v>
      </c>
      <c r="X217" s="74" t="str">
        <f>IFERROR(__xludf.DUMMYFUNCTION("QUERY('Volunteer Survey'!R224)"),"Maybe -- please contact me with other options, and I will decide based on what is available")</f>
        <v>Maybe -- please contact me with other options, and I will decide based on what is available</v>
      </c>
      <c r="Y217" s="61"/>
      <c r="Z217" s="62"/>
      <c r="AA217" s="62"/>
      <c r="AB217" s="62"/>
      <c r="AC217" s="62"/>
      <c r="AD217" s="62"/>
      <c r="AE217" s="62"/>
      <c r="AF217" s="62"/>
      <c r="AG217" s="62"/>
      <c r="AH217" s="62"/>
      <c r="AI217" s="62"/>
      <c r="AJ217" s="62"/>
      <c r="AK217" s="62"/>
      <c r="AL217" s="62"/>
      <c r="AM217" s="62"/>
      <c r="AN217" s="62"/>
      <c r="AO217" s="62"/>
    </row>
    <row r="218">
      <c r="A218" s="59">
        <f>IFERROR(__xludf.DUMMYFUNCTION("QUERY('Volunteer Survey'!A225)"),43626.94418322916)</f>
        <v>43626.94418</v>
      </c>
      <c r="B218" s="60" t="s">
        <v>275</v>
      </c>
      <c r="C218" s="61"/>
      <c r="D218" s="62"/>
      <c r="E218" s="62"/>
      <c r="F218" s="60" t="s">
        <v>182</v>
      </c>
      <c r="G218" s="60" t="s">
        <v>276</v>
      </c>
      <c r="H218" s="61"/>
      <c r="I218" s="63" t="s">
        <v>189</v>
      </c>
      <c r="J218" s="62"/>
      <c r="K218" s="62"/>
      <c r="L218" s="62" t="str">
        <f>IFERROR(__xludf.DUMMYFUNCTION("QUERY('Volunteer Survey'!B225)"),"Sandy Au")</f>
        <v>Sandy Au</v>
      </c>
      <c r="M218" s="62" t="str">
        <f>IFERROR(__xludf.DUMMYFUNCTION("QUERY('Volunteer Survey'!E225)"),"alkuen@hku.hk")</f>
        <v>alkuen@hku.hk</v>
      </c>
      <c r="N218" s="62" t="str">
        <f>IFERROR(__xludf.DUMMYFUNCTION("QUERY('Volunteer Survey'!F225)"),"Scientific Researcher")</f>
        <v>Scientific Researcher</v>
      </c>
      <c r="O218" s="60" t="str">
        <f>IFERROR(__xludf.DUMMYFUNCTION("QUERY('Volunteer Survey'!H225)"),"Baseline")</f>
        <v>Baseline</v>
      </c>
      <c r="P218" s="62" t="str">
        <f>IFERROR(__xludf.DUMMYFUNCTION("QUERY('Volunteer Survey'!I225)"),"Variant Pathogenicity")</f>
        <v>Variant Pathogenicity</v>
      </c>
      <c r="Q218" s="66" t="str">
        <f>IFERROR(__xludf.DUMMYFUNCTION("QUERY('Volunteer Survey'!J225)"),"Gene-Disease Validity")</f>
        <v>Gene-Disease Validity</v>
      </c>
      <c r="R218" s="62" t="str">
        <f>IFERROR(__xludf.DUMMYFUNCTION("QUERY('Volunteer Survey'!K225)"),"Dosage Sensitivity")</f>
        <v>Dosage Sensitivity</v>
      </c>
      <c r="S218" s="62" t="str">
        <f>IFERROR(__xludf.DUMMYFUNCTION("QUERY('Volunteer Survey'!L225)"),"Somatic Cancer")</f>
        <v>Somatic Cancer</v>
      </c>
      <c r="T218" s="62" t="str">
        <f>IFERROR(__xludf.DUMMYFUNCTION("QUERY('Volunteer Survey'!M225)"),"Clinical Actionability")</f>
        <v>Clinical Actionability</v>
      </c>
      <c r="U218" s="74" t="str">
        <f>IFERROR(__xludf.DUMMYFUNCTION("QUERY('Volunteer Survey'!N225)"),"I am working in a prenatal diagnostic laboratory and perform WES for prenatal cases. We have experience in variant classification and clinical reporting. ")</f>
        <v>I am working in a prenatal diagnostic laboratory and perform WES for prenatal cases. We have experience in variant classification and clinical reporting. </v>
      </c>
      <c r="V218" s="62" t="str">
        <f>IFERROR(__xludf.DUMMYFUNCTION("QUERY('Volunteer Survey'!O225)"),"Yes")</f>
        <v>Yes</v>
      </c>
      <c r="W218" s="75" t="str">
        <f>IFERROR(__xludf.DUMMYFUNCTION("QUERY('Volunteer Survey'!P225)"),"Variant Curation Expert Panels")</f>
        <v>Variant Curation Expert Panels</v>
      </c>
      <c r="X218" s="74" t="str">
        <f>IFERROR(__xludf.DUMMYFUNCTION("QUERY('Volunteer Survey'!R225)"),"Yes- I am willing to volunteer with any available ClinGen group")</f>
        <v>Yes- I am willing to volunteer with any available ClinGen group</v>
      </c>
      <c r="Y218" s="61"/>
      <c r="Z218" s="62"/>
      <c r="AA218" s="62"/>
      <c r="AB218" s="62"/>
      <c r="AC218" s="62"/>
      <c r="AD218" s="62"/>
      <c r="AE218" s="62"/>
      <c r="AF218" s="62"/>
      <c r="AG218" s="62"/>
      <c r="AH218" s="62"/>
      <c r="AI218" s="62"/>
      <c r="AJ218" s="62"/>
      <c r="AK218" s="62"/>
      <c r="AL218" s="62"/>
      <c r="AM218" s="62"/>
      <c r="AN218" s="62"/>
      <c r="AO218" s="62"/>
    </row>
    <row r="219">
      <c r="A219" s="59">
        <f>IFERROR(__xludf.DUMMYFUNCTION("QUERY('Volunteer Survey'!A226)"),43627.30079422453)</f>
        <v>43627.30079</v>
      </c>
      <c r="B219" s="60" t="s">
        <v>275</v>
      </c>
      <c r="C219" s="80">
        <v>43689.0</v>
      </c>
      <c r="D219" s="62"/>
      <c r="E219" s="60" t="s">
        <v>277</v>
      </c>
      <c r="F219" s="60" t="s">
        <v>182</v>
      </c>
      <c r="G219" s="60" t="s">
        <v>27</v>
      </c>
      <c r="H219" s="76"/>
      <c r="I219" s="63" t="s">
        <v>189</v>
      </c>
      <c r="J219" s="62"/>
      <c r="K219" s="62"/>
      <c r="L219" s="62" t="str">
        <f>IFERROR(__xludf.DUMMYFUNCTION("QUERY('Volunteer Survey'!B226)"),"Generoso")</f>
        <v>Generoso</v>
      </c>
      <c r="M219" s="62" t="str">
        <f>IFERROR(__xludf.DUMMYFUNCTION("QUERY('Volunteer Survey'!E226)"),"generoso@dantelabs.com")</f>
        <v>generoso@dantelabs.com</v>
      </c>
      <c r="N219" s="62" t="str">
        <f>IFERROR(__xludf.DUMMYFUNCTION("QUERY('Volunteer Survey'!F226)"),"Variant Analyst/Scientist - Industry")</f>
        <v>Variant Analyst/Scientist - Industry</v>
      </c>
      <c r="O219" s="60" t="str">
        <f>IFERROR(__xludf.DUMMYFUNCTION("QUERY('Volunteer Survey'!H226)"),"Comprehensive")</f>
        <v>Comprehensive</v>
      </c>
      <c r="P219" s="62" t="str">
        <f>IFERROR(__xludf.DUMMYFUNCTION("QUERY('Volunteer Survey'!I226)"),"Clinical Actionability")</f>
        <v>Clinical Actionability</v>
      </c>
      <c r="Q219" s="66" t="str">
        <f>IFERROR(__xludf.DUMMYFUNCTION("QUERY('Volunteer Survey'!J226)"),"Gene-Disease Validity")</f>
        <v>Gene-Disease Validity</v>
      </c>
      <c r="R219" s="62" t="str">
        <f>IFERROR(__xludf.DUMMYFUNCTION("QUERY('Volunteer Survey'!K226)"),"Variant Pathogenicity")</f>
        <v>Variant Pathogenicity</v>
      </c>
      <c r="S219" s="62" t="str">
        <f>IFERROR(__xludf.DUMMYFUNCTION("QUERY('Volunteer Survey'!L226)"),"Dosage Sensitivity")</f>
        <v>Dosage Sensitivity</v>
      </c>
      <c r="T219" s="62" t="str">
        <f>IFERROR(__xludf.DUMMYFUNCTION("QUERY('Volunteer Survey'!M226)"),"Somatic Cancer")</f>
        <v>Somatic Cancer</v>
      </c>
      <c r="U219" s="74" t="str">
        <f>IFERROR(__xludf.DUMMYFUNCTION("QUERY('Volunteer Survey'!N226)"),"Yes, I have curated few variants for people who receive WES data.")</f>
        <v>Yes, I have curated few variants for people who receive WES data.</v>
      </c>
      <c r="V219" s="62" t="str">
        <f>IFERROR(__xludf.DUMMYFUNCTION("QUERY('Volunteer Survey'!O226)"),"Possibly")</f>
        <v>Possibly</v>
      </c>
      <c r="W219" s="75" t="str">
        <f>IFERROR(__xludf.DUMMYFUNCTION("QUERY('Volunteer Survey'!P226)"),"")</f>
        <v/>
      </c>
      <c r="X219" s="74" t="str">
        <f>IFERROR(__xludf.DUMMYFUNCTION("QUERY('Volunteer Survey'!R226)"),"Yes- I am willing to volunteer with any available ClinGen group")</f>
        <v>Yes- I am willing to volunteer with any available ClinGen group</v>
      </c>
      <c r="Y219" s="61"/>
      <c r="Z219" s="62"/>
      <c r="AA219" s="62"/>
      <c r="AB219" s="62"/>
      <c r="AC219" s="62"/>
      <c r="AD219" s="62"/>
      <c r="AE219" s="62"/>
      <c r="AF219" s="62"/>
      <c r="AG219" s="62"/>
      <c r="AH219" s="62"/>
      <c r="AI219" s="62"/>
      <c r="AJ219" s="62"/>
      <c r="AK219" s="62"/>
      <c r="AL219" s="62"/>
      <c r="AM219" s="62"/>
      <c r="AN219" s="62"/>
      <c r="AO219" s="62"/>
    </row>
    <row r="220">
      <c r="A220" s="59">
        <f>IFERROR(__xludf.DUMMYFUNCTION("QUERY('Volunteer Survey'!A227)"),43627.80087137731)</f>
        <v>43627.80087</v>
      </c>
      <c r="B220" s="60" t="s">
        <v>275</v>
      </c>
      <c r="C220" s="61"/>
      <c r="D220" s="117">
        <v>43859.0</v>
      </c>
      <c r="E220" s="60" t="s">
        <v>277</v>
      </c>
      <c r="F220" s="60" t="s">
        <v>182</v>
      </c>
      <c r="G220" s="60" t="s">
        <v>288</v>
      </c>
      <c r="H220" s="61"/>
      <c r="I220" s="63" t="s">
        <v>189</v>
      </c>
      <c r="J220" s="62"/>
      <c r="K220" s="62"/>
      <c r="L220" s="62" t="str">
        <f>IFERROR(__xludf.DUMMYFUNCTION("QUERY('Volunteer Survey'!B227)"),"Hemantkumar Nemade ")</f>
        <v>Hemantkumar Nemade </v>
      </c>
      <c r="M220" s="62" t="str">
        <f>IFERROR(__xludf.DUMMYFUNCTION("QUERY('Volunteer Survey'!E227)"),"drhemantnemade@gmail.com")</f>
        <v>drhemantnemade@gmail.com</v>
      </c>
      <c r="N220" s="62" t="str">
        <f>IFERROR(__xludf.DUMMYFUNCTION("QUERY('Volunteer Survey'!F227)"),"Physician (Non-geneticist)")</f>
        <v>Physician (Non-geneticist)</v>
      </c>
      <c r="O220" s="60" t="str">
        <f>IFERROR(__xludf.DUMMYFUNCTION("QUERY('Volunteer Survey'!H227)"),"Comprehensive")</f>
        <v>Comprehensive</v>
      </c>
      <c r="P220" s="62" t="str">
        <f>IFERROR(__xludf.DUMMYFUNCTION("QUERY('Volunteer Survey'!I227)"),"Variant Pathogenicity")</f>
        <v>Variant Pathogenicity</v>
      </c>
      <c r="Q220" s="66" t="str">
        <f>IFERROR(__xludf.DUMMYFUNCTION("QUERY('Volunteer Survey'!J227)"),"Clinical Actionability")</f>
        <v>Clinical Actionability</v>
      </c>
      <c r="R220" s="62" t="str">
        <f>IFERROR(__xludf.DUMMYFUNCTION("QUERY('Volunteer Survey'!K227)"),"Gene-Disease Validity")</f>
        <v>Gene-Disease Validity</v>
      </c>
      <c r="S220" s="62" t="str">
        <f>IFERROR(__xludf.DUMMYFUNCTION("QUERY('Volunteer Survey'!L227)"),"Somatic Cancer")</f>
        <v>Somatic Cancer</v>
      </c>
      <c r="T220" s="62" t="str">
        <f>IFERROR(__xludf.DUMMYFUNCTION("QUERY('Volunteer Survey'!M227)"),"")</f>
        <v/>
      </c>
      <c r="U220" s="74" t="str">
        <f>IFERROR(__xludf.DUMMYFUNCTION("QUERY('Volunteer Survey'!N227)"),"Not genetic but I have collected and analyzed cancer database. Trained in statistics ")</f>
        <v>Not genetic but I have collected and analyzed cancer database. Trained in statistics </v>
      </c>
      <c r="V220" s="62" t="str">
        <f>IFERROR(__xludf.DUMMYFUNCTION("QUERY('Volunteer Survey'!O227)"),"Possibly")</f>
        <v>Possibly</v>
      </c>
      <c r="W220" s="75" t="str">
        <f>IFERROR(__xludf.DUMMYFUNCTION("QUERY('Volunteer Survey'!P227)"),"Somatic cancer")</f>
        <v>Somatic cancer</v>
      </c>
      <c r="X220" s="74" t="str">
        <f>IFERROR(__xludf.DUMMYFUNCTION("QUERY('Volunteer Survey'!R227)"),"Maybe -- please contact me with other options, and I will decide based on what is available")</f>
        <v>Maybe -- please contact me with other options, and I will decide based on what is available</v>
      </c>
      <c r="Y220" s="63" t="s">
        <v>350</v>
      </c>
      <c r="Z220" s="62"/>
      <c r="AA220" s="62"/>
      <c r="AB220" s="62"/>
      <c r="AC220" s="62"/>
      <c r="AD220" s="62"/>
      <c r="AE220" s="62"/>
      <c r="AF220" s="62"/>
      <c r="AG220" s="62"/>
      <c r="AH220" s="62"/>
      <c r="AI220" s="62"/>
      <c r="AJ220" s="62"/>
      <c r="AK220" s="62"/>
      <c r="AL220" s="62"/>
      <c r="AM220" s="62"/>
      <c r="AN220" s="62"/>
      <c r="AO220" s="62"/>
    </row>
    <row r="221">
      <c r="A221" s="59">
        <f>IFERROR(__xludf.DUMMYFUNCTION("QUERY('Volunteer Survey'!A228)"),43628.495487175926)</f>
        <v>43628.49549</v>
      </c>
      <c r="B221" s="60" t="s">
        <v>275</v>
      </c>
      <c r="C221" s="80">
        <v>43705.0</v>
      </c>
      <c r="D221" s="82">
        <v>43719.0</v>
      </c>
      <c r="E221" s="60" t="s">
        <v>182</v>
      </c>
      <c r="F221" s="60" t="s">
        <v>182</v>
      </c>
      <c r="G221" s="60" t="s">
        <v>150</v>
      </c>
      <c r="H221" s="61"/>
      <c r="I221" s="63" t="s">
        <v>189</v>
      </c>
      <c r="J221" s="62"/>
      <c r="K221" s="62"/>
      <c r="L221" s="62" t="str">
        <f>IFERROR(__xludf.DUMMYFUNCTION("QUERY('Volunteer Survey'!B228)"),"Christina Bridges")</f>
        <v>Christina Bridges</v>
      </c>
      <c r="M221" s="62" t="str">
        <f>IFERROR(__xludf.DUMMYFUNCTION("QUERY('Volunteer Survey'!E228)"),"c.bridges@med.unc.edu")</f>
        <v>c.bridges@med.unc.edu</v>
      </c>
      <c r="N221" s="62" t="str">
        <f>IFERROR(__xludf.DUMMYFUNCTION("QUERY('Volunteer Survey'!F228)"),"Variant Analyst/Scientist - Industry")</f>
        <v>Variant Analyst/Scientist - Industry</v>
      </c>
      <c r="O221" s="60" t="str">
        <f>IFERROR(__xludf.DUMMYFUNCTION("QUERY('Volunteer Survey'!H228)"),"Comprehensive")</f>
        <v>Comprehensive</v>
      </c>
      <c r="P221" s="62" t="str">
        <f>IFERROR(__xludf.DUMMYFUNCTION("QUERY('Volunteer Survey'!I228)"),"Somatic Cancer")</f>
        <v>Somatic Cancer</v>
      </c>
      <c r="Q221" s="66" t="str">
        <f>IFERROR(__xludf.DUMMYFUNCTION("QUERY('Volunteer Survey'!J228)"),"Variant Pathogenicity")</f>
        <v>Variant Pathogenicity</v>
      </c>
      <c r="R221" s="62" t="str">
        <f>IFERROR(__xludf.DUMMYFUNCTION("QUERY('Volunteer Survey'!K228)"),"Gene-Disease Validity")</f>
        <v>Gene-Disease Validity</v>
      </c>
      <c r="S221" s="62" t="str">
        <f>IFERROR(__xludf.DUMMYFUNCTION("QUERY('Volunteer Survey'!L228)"),"Dosage Sensitivity")</f>
        <v>Dosage Sensitivity</v>
      </c>
      <c r="T221" s="62" t="str">
        <f>IFERROR(__xludf.DUMMYFUNCTION("QUERY('Volunteer Survey'!M228)"),"")</f>
        <v/>
      </c>
      <c r="U221" s="74" t="str">
        <f>IFERROR(__xludf.DUMMYFUNCTION("QUERY('Volunteer Survey'!N228)"),"Some experience as part of my work in clinical genetics laboratory, as well as pursuit on my own of additional educational opportunities, such as those provided through ClinGen (thank you!) as well as other resources (professional clinical group featured "&amp;"presentations, publications from ACMG/AMP, etc.).")</f>
        <v>Some experience as part of my work in clinical genetics laboratory, as well as pursuit on my own of additional educational opportunities, such as those provided through ClinGen (thank you!) as well as other resources (professional clinical group featured presentations, publications from ACMG/AMP, etc.).</v>
      </c>
      <c r="V221" s="62" t="str">
        <f>IFERROR(__xludf.DUMMYFUNCTION("QUERY('Volunteer Survey'!O228)"),"No")</f>
        <v>No</v>
      </c>
      <c r="W221" s="75" t="str">
        <f>IFERROR(__xludf.DUMMYFUNCTION("QUERY('Volunteer Survey'!P228)"),"I do not feel that I am qualified, at this time, for any Expert Panels, but I have indicated some preferences for Working Group involvement.  However, I would be interested to learn which areas represent ClinGen's greatest needs, currently, and I would co"&amp;"nsider if it seems I could offer value in such an area. ")</f>
        <v>I do not feel that I am qualified, at this time, for any Expert Panels, but I have indicated some preferences for Working Group involvement.  However, I would be interested to learn which areas represent ClinGen's greatest needs, currently, and I would consider if it seems I could offer value in such an area. </v>
      </c>
      <c r="X221" s="74" t="str">
        <f>IFERROR(__xludf.DUMMYFUNCTION("QUERY('Volunteer Survey'!R228)"),"Maybe -- please contact me with other options, and I will decide based on what is available")</f>
        <v>Maybe -- please contact me with other options, and I will decide based on what is available</v>
      </c>
      <c r="Y221" s="61"/>
      <c r="Z221" s="62"/>
      <c r="AA221" s="62"/>
      <c r="AB221" s="62"/>
      <c r="AC221" s="62"/>
      <c r="AD221" s="62"/>
      <c r="AE221" s="62"/>
      <c r="AF221" s="62"/>
      <c r="AG221" s="62"/>
      <c r="AH221" s="62"/>
      <c r="AI221" s="62"/>
      <c r="AJ221" s="62"/>
      <c r="AK221" s="62"/>
      <c r="AL221" s="62"/>
      <c r="AM221" s="62"/>
      <c r="AN221" s="62"/>
      <c r="AO221" s="62"/>
    </row>
    <row r="222" ht="15.0" customHeight="1">
      <c r="A222" s="59">
        <f>IFERROR(__xludf.DUMMYFUNCTION("QUERY('Volunteer Survey'!A230)"),43632.88082258102)</f>
        <v>43632.88082</v>
      </c>
      <c r="B222" s="60" t="s">
        <v>275</v>
      </c>
      <c r="C222" s="80"/>
      <c r="D222" s="82"/>
      <c r="E222" s="60" t="s">
        <v>182</v>
      </c>
      <c r="F222" s="60" t="s">
        <v>182</v>
      </c>
      <c r="G222" s="60" t="s">
        <v>276</v>
      </c>
      <c r="H222" s="63"/>
      <c r="I222" s="63" t="s">
        <v>189</v>
      </c>
      <c r="J222" s="62"/>
      <c r="K222" s="62"/>
      <c r="L222" s="62" t="str">
        <f>IFERROR(__xludf.DUMMYFUNCTION("QUERY('Volunteer Survey'!B230)"),"Malak Ashraf")</f>
        <v>Malak Ashraf</v>
      </c>
      <c r="M222" s="62" t="str">
        <f>IFERROR(__xludf.DUMMYFUNCTION("QUERY('Volunteer Survey'!E230)"),"malak.2118144@stemkalubya.moe.edu.eg")</f>
        <v>malak.2118144@stemkalubya.moe.edu.eg</v>
      </c>
      <c r="N222" s="62" t="str">
        <f>IFERROR(__xludf.DUMMYFUNCTION("QUERY('Volunteer Survey'!F230)"),"High School Student")</f>
        <v>High School Student</v>
      </c>
      <c r="O222" s="60" t="str">
        <f>IFERROR(__xludf.DUMMYFUNCTION("QUERY('Volunteer Survey'!H230)"),"Baseline")</f>
        <v>Baseline</v>
      </c>
      <c r="P222" s="62" t="str">
        <f>IFERROR(__xludf.DUMMYFUNCTION("QUERY('Volunteer Survey'!I230)"),"Somatic Cancer")</f>
        <v>Somatic Cancer</v>
      </c>
      <c r="Q222" s="66" t="str">
        <f>IFERROR(__xludf.DUMMYFUNCTION("QUERY('Volunteer Survey'!J230)"),"Variant Pathogenicity")</f>
        <v>Variant Pathogenicity</v>
      </c>
      <c r="R222" s="62" t="str">
        <f>IFERROR(__xludf.DUMMYFUNCTION("QUERY('Volunteer Survey'!K230)"),"Gene-Disease Validity")</f>
        <v>Gene-Disease Validity</v>
      </c>
      <c r="S222" s="62" t="str">
        <f>IFERROR(__xludf.DUMMYFUNCTION("QUERY('Volunteer Survey'!L230)"),"")</f>
        <v/>
      </c>
      <c r="T222" s="62" t="str">
        <f>IFERROR(__xludf.DUMMYFUNCTION("QUERY('Volunteer Survey'!M230)"),"")</f>
        <v/>
      </c>
      <c r="U222" s="74" t="str">
        <f>IFERROR(__xludf.DUMMYFUNCTION("QUERY('Volunteer Survey'!N230)"),"I did not have the opportunity to have a sufficient experiences, but i think passion will make me do it. i am a reader in pathology and virology, so, i think am a good candidate to be a member in one of these great working groups.")</f>
        <v>I did not have the opportunity to have a sufficient experiences, but i think passion will make me do it. i am a reader in pathology and virology, so, i think am a good candidate to be a member in one of these great working groups.</v>
      </c>
      <c r="V222" s="62" t="str">
        <f>IFERROR(__xludf.DUMMYFUNCTION("QUERY('Volunteer Survey'!O230)"),"No")</f>
        <v>No</v>
      </c>
      <c r="W222" s="75" t="str">
        <f>IFERROR(__xludf.DUMMYFUNCTION("QUERY('Volunteer Survey'!P230)"),"yes, i am interested in joining Somatic Cancer working group!")</f>
        <v>yes, i am interested in joining Somatic Cancer working group!</v>
      </c>
      <c r="X222" s="74" t="str">
        <f>IFERROR(__xludf.DUMMYFUNCTION("QUERY('Volunteer Survey'!R230)"),"Maybe -- please contact me with other options, and I will decide based on what is available")</f>
        <v>Maybe -- please contact me with other options, and I will decide based on what is available</v>
      </c>
      <c r="Y222" s="63" t="s">
        <v>351</v>
      </c>
      <c r="Z222" s="62"/>
      <c r="AA222" s="62"/>
      <c r="AB222" s="62"/>
      <c r="AC222" s="62"/>
      <c r="AD222" s="62"/>
      <c r="AE222" s="62"/>
      <c r="AF222" s="62"/>
      <c r="AG222" s="62"/>
      <c r="AH222" s="62"/>
      <c r="AI222" s="62"/>
      <c r="AJ222" s="62"/>
      <c r="AK222" s="62"/>
      <c r="AL222" s="62"/>
      <c r="AM222" s="62"/>
      <c r="AN222" s="62"/>
      <c r="AO222" s="62"/>
    </row>
    <row r="224">
      <c r="A224" s="59">
        <f>IFERROR(__xludf.DUMMYFUNCTION("QUERY('Volunteer Survey'!A231)"),43633.67853769676)</f>
        <v>43633.67854</v>
      </c>
      <c r="B224" s="60" t="s">
        <v>275</v>
      </c>
      <c r="C224" s="80">
        <v>43689.0</v>
      </c>
      <c r="D224" s="82">
        <v>43769.0</v>
      </c>
      <c r="E224" s="60" t="s">
        <v>277</v>
      </c>
      <c r="F224" s="60" t="s">
        <v>277</v>
      </c>
      <c r="G224" s="60" t="s">
        <v>27</v>
      </c>
      <c r="H224" s="76" t="s">
        <v>27</v>
      </c>
      <c r="I224" s="63" t="s">
        <v>285</v>
      </c>
      <c r="J224" s="62"/>
      <c r="K224" s="62"/>
      <c r="L224" s="62" t="str">
        <f>IFERROR(__xludf.DUMMYFUNCTION("QUERY('Volunteer Survey'!B231)"),"Abul Kalam Azad")</f>
        <v>Abul Kalam Azad</v>
      </c>
      <c r="M224" s="62" t="str">
        <f>IFERROR(__xludf.DUMMYFUNCTION("QUERY('Volunteer Survey'!E231)"),"azadak@gmail.com")</f>
        <v>azadak@gmail.com</v>
      </c>
      <c r="N224" s="62" t="str">
        <f>IFERROR(__xludf.DUMMYFUNCTION("QUERY('Volunteer Survey'!F231)"),"Post Doc/Resident/Fellow (MD and/or PhD)")</f>
        <v>Post Doc/Resident/Fellow (MD and/or PhD)</v>
      </c>
      <c r="O224" s="60" t="str">
        <f>IFERROR(__xludf.DUMMYFUNCTION("QUERY('Volunteer Survey'!H231)"),"Comprehensive")</f>
        <v>Comprehensive</v>
      </c>
      <c r="P224" s="62" t="str">
        <f>IFERROR(__xludf.DUMMYFUNCTION("QUERY('Volunteer Survey'!I231)"),"Clinical Actionability")</f>
        <v>Clinical Actionability</v>
      </c>
      <c r="Q224" s="66" t="str">
        <f>IFERROR(__xludf.DUMMYFUNCTION("QUERY('Volunteer Survey'!J231)"),"Variant Pathogenicity")</f>
        <v>Variant Pathogenicity</v>
      </c>
      <c r="R224" s="62" t="str">
        <f>IFERROR(__xludf.DUMMYFUNCTION("QUERY('Volunteer Survey'!K231)"),"Gene-Disease Validity")</f>
        <v>Gene-Disease Validity</v>
      </c>
      <c r="S224" s="62" t="str">
        <f>IFERROR(__xludf.DUMMYFUNCTION("QUERY('Volunteer Survey'!L231)"),"Somatic Cancer")</f>
        <v>Somatic Cancer</v>
      </c>
      <c r="T224" s="62" t="str">
        <f>IFERROR(__xludf.DUMMYFUNCTION("QUERY('Volunteer Survey'!M231)"),"Dosage Sensitivity")</f>
        <v>Dosage Sensitivity</v>
      </c>
      <c r="U224" s="74" t="str">
        <f>IFERROR(__xludf.DUMMYFUNCTION("QUERY('Volunteer Survey'!N231)"),"")</f>
        <v/>
      </c>
      <c r="V224" s="62" t="str">
        <f>IFERROR(__xludf.DUMMYFUNCTION("QUERY('Volunteer Survey'!O231)"),"Yes")</f>
        <v>Yes</v>
      </c>
      <c r="W224" s="75" t="str">
        <f>IFERROR(__xludf.DUMMYFUNCTION("QUERY('Volunteer Survey'!P231)"),"")</f>
        <v/>
      </c>
      <c r="X224" s="74" t="str">
        <f>IFERROR(__xludf.DUMMYFUNCTION("QUERY('Volunteer Survey'!R231)"),"Yes- I am willing to volunteer with any available ClinGen group")</f>
        <v>Yes- I am willing to volunteer with any available ClinGen group</v>
      </c>
      <c r="Y224" s="61"/>
      <c r="Z224" s="62"/>
      <c r="AA224" s="62"/>
      <c r="AB224" s="62"/>
      <c r="AC224" s="62"/>
      <c r="AD224" s="62"/>
      <c r="AE224" s="62"/>
      <c r="AF224" s="62"/>
      <c r="AG224" s="62"/>
      <c r="AH224" s="62"/>
      <c r="AI224" s="62"/>
      <c r="AJ224" s="62"/>
      <c r="AK224" s="62"/>
      <c r="AL224" s="62"/>
      <c r="AM224" s="62"/>
      <c r="AN224" s="62"/>
      <c r="AO224" s="62"/>
    </row>
    <row r="225">
      <c r="A225" s="59">
        <f>IFERROR(__xludf.DUMMYFUNCTION("QUERY('Volunteer Survey'!A232)"),43634.57313834491)</f>
        <v>43634.57314</v>
      </c>
      <c r="B225" s="60" t="s">
        <v>340</v>
      </c>
      <c r="C225" s="61"/>
      <c r="D225" s="62"/>
      <c r="E225" s="62"/>
      <c r="F225" s="60" t="s">
        <v>182</v>
      </c>
      <c r="G225" s="60" t="s">
        <v>278</v>
      </c>
      <c r="H225" s="61"/>
      <c r="I225" s="63" t="s">
        <v>342</v>
      </c>
      <c r="J225" s="62"/>
      <c r="K225" s="62"/>
      <c r="L225" s="62" t="str">
        <f>IFERROR(__xludf.DUMMYFUNCTION("QUERY('Volunteer Survey'!B232)"),"Amruta Phatak")</f>
        <v>Amruta Phatak</v>
      </c>
      <c r="M225" s="62" t="str">
        <f>IFERROR(__xludf.DUMMYFUNCTION("QUERY('Volunteer Survey'!E232)"),"arphatak@iu.edu")</f>
        <v>arphatak@iu.edu</v>
      </c>
      <c r="N225" s="62" t="str">
        <f>IFERROR(__xludf.DUMMYFUNCTION("QUERY('Volunteer Survey'!F232)"),"Post Doc/Resident/Fellow (MD and/or PhD)")</f>
        <v>Post Doc/Resident/Fellow (MD and/or PhD)</v>
      </c>
      <c r="O225" s="60" t="str">
        <f>IFERROR(__xludf.DUMMYFUNCTION("QUERY('Volunteer Survey'!H232)"),"Comprehensive")</f>
        <v>Comprehensive</v>
      </c>
      <c r="P225" s="62" t="str">
        <f>IFERROR(__xludf.DUMMYFUNCTION("QUERY('Volunteer Survey'!I232)"),"Gene-Disease Validity")</f>
        <v>Gene-Disease Validity</v>
      </c>
      <c r="Q225" s="66" t="str">
        <f>IFERROR(__xludf.DUMMYFUNCTION("QUERY('Volunteer Survey'!J232)"),"Variant Pathogenicity")</f>
        <v>Variant Pathogenicity</v>
      </c>
      <c r="R225" s="62" t="str">
        <f>IFERROR(__xludf.DUMMYFUNCTION("QUERY('Volunteer Survey'!K232)"),"Clinical Actionability")</f>
        <v>Clinical Actionability</v>
      </c>
      <c r="S225" s="62" t="str">
        <f>IFERROR(__xludf.DUMMYFUNCTION("QUERY('Volunteer Survey'!L232)"),"Dosage Sensitivity")</f>
        <v>Dosage Sensitivity</v>
      </c>
      <c r="T225" s="62" t="str">
        <f>IFERROR(__xludf.DUMMYFUNCTION("QUERY('Volunteer Survey'!M232)"),"Somatic Cancer")</f>
        <v>Somatic Cancer</v>
      </c>
      <c r="U225" s="74" t="str">
        <f>IFERROR(__xludf.DUMMYFUNCTION("QUERY('Volunteer Survey'!N232)"),"")</f>
        <v/>
      </c>
      <c r="V225" s="62" t="str">
        <f>IFERROR(__xludf.DUMMYFUNCTION("QUERY('Volunteer Survey'!O232)"),"Yes")</f>
        <v>Yes</v>
      </c>
      <c r="W225" s="75" t="str">
        <f>IFERROR(__xludf.DUMMYFUNCTION("QUERY('Volunteer Survey'!P232)"),"")</f>
        <v/>
      </c>
      <c r="X225" s="74" t="str">
        <f>IFERROR(__xludf.DUMMYFUNCTION("QUERY('Volunteer Survey'!R232)"),"Yes- I am willing to volunteer with any available ClinGen group")</f>
        <v>Yes- I am willing to volunteer with any available ClinGen group</v>
      </c>
      <c r="Y225" s="61"/>
      <c r="Z225" s="62"/>
      <c r="AA225" s="62"/>
      <c r="AB225" s="62"/>
      <c r="AC225" s="62"/>
      <c r="AD225" s="62"/>
      <c r="AE225" s="62"/>
      <c r="AF225" s="62"/>
      <c r="AG225" s="62"/>
      <c r="AH225" s="62"/>
      <c r="AI225" s="62"/>
      <c r="AJ225" s="62"/>
      <c r="AK225" s="62"/>
      <c r="AL225" s="62"/>
      <c r="AM225" s="62"/>
      <c r="AN225" s="62"/>
      <c r="AO225" s="62"/>
    </row>
    <row r="226">
      <c r="A226" s="59">
        <f>IFERROR(__xludf.DUMMYFUNCTION("QUERY('Volunteer Survey'!A233)"),43635.01375898148)</f>
        <v>43635.01376</v>
      </c>
      <c r="B226" s="60" t="s">
        <v>275</v>
      </c>
      <c r="C226" s="80">
        <v>43705.0</v>
      </c>
      <c r="D226" s="82">
        <v>43719.0</v>
      </c>
      <c r="E226" s="60" t="s">
        <v>182</v>
      </c>
      <c r="F226" s="60" t="s">
        <v>182</v>
      </c>
      <c r="G226" s="60" t="s">
        <v>150</v>
      </c>
      <c r="H226" s="61"/>
      <c r="I226" s="63" t="s">
        <v>189</v>
      </c>
      <c r="J226" s="62"/>
      <c r="K226" s="62"/>
      <c r="L226" s="62" t="str">
        <f>IFERROR(__xludf.DUMMYFUNCTION("QUERY('Volunteer Survey'!B233)"),"Priyabrata Panigrahi")</f>
        <v>Priyabrata Panigrahi</v>
      </c>
      <c r="M226" s="62" t="str">
        <f>IFERROR(__xludf.DUMMYFUNCTION("QUERY('Volunteer Survey'!E233)"),"pb.panigrahi86@gmail.com")</f>
        <v>pb.panigrahi86@gmail.com</v>
      </c>
      <c r="N226" s="62" t="str">
        <f>IFERROR(__xludf.DUMMYFUNCTION("QUERY('Volunteer Survey'!F233)"),"Scientific Researcher")</f>
        <v>Scientific Researcher</v>
      </c>
      <c r="O226" s="60" t="str">
        <f>IFERROR(__xludf.DUMMYFUNCTION("QUERY('Volunteer Survey'!H233)"),"Comprehensive")</f>
        <v>Comprehensive</v>
      </c>
      <c r="P226" s="62" t="str">
        <f>IFERROR(__xludf.DUMMYFUNCTION("QUERY('Volunteer Survey'!I233)"),"Somatic Cancer")</f>
        <v>Somatic Cancer</v>
      </c>
      <c r="Q226" s="66" t="str">
        <f>IFERROR(__xludf.DUMMYFUNCTION("QUERY('Volunteer Survey'!J233)"),"Variant Pathogenicity")</f>
        <v>Variant Pathogenicity</v>
      </c>
      <c r="R226" s="62" t="str">
        <f>IFERROR(__xludf.DUMMYFUNCTION("QUERY('Volunteer Survey'!K233)"),"Clinical Actionability")</f>
        <v>Clinical Actionability</v>
      </c>
      <c r="S226" s="62" t="str">
        <f>IFERROR(__xludf.DUMMYFUNCTION("QUERY('Volunteer Survey'!L233)"),"Gene-Disease Validity")</f>
        <v>Gene-Disease Validity</v>
      </c>
      <c r="T226" s="62" t="str">
        <f>IFERROR(__xludf.DUMMYFUNCTION("QUERY('Volunteer Survey'!M233)"),"Dosage Sensitivity")</f>
        <v>Dosage Sensitivity</v>
      </c>
      <c r="U226" s="74" t="str">
        <f>IFERROR(__xludf.DUMMYFUNCTION("QUERY('Volunteer Survey'!N233)"),"I have experience of performing somatic cancer variant detection NGS based pipelines, downstream variant annotation methods and have good exposure to databases like dbsnp etc.")</f>
        <v>I have experience of performing somatic cancer variant detection NGS based pipelines, downstream variant annotation methods and have good exposure to databases like dbsnp etc.</v>
      </c>
      <c r="V226" s="62" t="str">
        <f>IFERROR(__xludf.DUMMYFUNCTION("QUERY('Volunteer Survey'!O233)"),"Yes")</f>
        <v>Yes</v>
      </c>
      <c r="W226" s="75" t="str">
        <f>IFERROR(__xludf.DUMMYFUNCTION("QUERY('Volunteer Survey'!P233)"),"Dont know")</f>
        <v>Dont know</v>
      </c>
      <c r="X226" s="74" t="str">
        <f>IFERROR(__xludf.DUMMYFUNCTION("QUERY('Volunteer Survey'!R233)"),"Yes- I am willing to volunteer with any available ClinGen group")</f>
        <v>Yes- I am willing to volunteer with any available ClinGen group</v>
      </c>
      <c r="Y226" s="61"/>
      <c r="Z226" s="62"/>
      <c r="AA226" s="62"/>
      <c r="AB226" s="62"/>
      <c r="AC226" s="62"/>
      <c r="AD226" s="62"/>
      <c r="AE226" s="62"/>
      <c r="AF226" s="62"/>
      <c r="AG226" s="62"/>
      <c r="AH226" s="62"/>
      <c r="AI226" s="62"/>
      <c r="AJ226" s="62"/>
      <c r="AK226" s="62"/>
      <c r="AL226" s="62"/>
      <c r="AM226" s="62"/>
      <c r="AN226" s="62"/>
      <c r="AO226" s="62"/>
    </row>
    <row r="227">
      <c r="A227" s="59">
        <f>IFERROR(__xludf.DUMMYFUNCTION("QUERY('Volunteer Survey'!A234)"),43635.56924690973)</f>
        <v>43635.56925</v>
      </c>
      <c r="B227" s="60" t="s">
        <v>275</v>
      </c>
      <c r="C227" s="80">
        <v>43819.0</v>
      </c>
      <c r="D227" s="62"/>
      <c r="E227" s="62"/>
      <c r="F227" s="60" t="s">
        <v>182</v>
      </c>
      <c r="G227" s="60" t="s">
        <v>288</v>
      </c>
      <c r="H227" s="61"/>
      <c r="I227" s="63" t="s">
        <v>189</v>
      </c>
      <c r="J227" s="62"/>
      <c r="K227" s="62"/>
      <c r="L227" s="62" t="str">
        <f>IFERROR(__xludf.DUMMYFUNCTION("QUERY('Volunteer Survey'!B234)"),"José Patricio Miranda Marín")</f>
        <v>José Patricio Miranda Marín</v>
      </c>
      <c r="M227" s="62" t="str">
        <f>IFERROR(__xludf.DUMMYFUNCTION("QUERY('Volunteer Survey'!E234)"),"jose.miranda@uc.cl")</f>
        <v>jose.miranda@uc.cl</v>
      </c>
      <c r="N227" s="62" t="str">
        <f>IFERROR(__xludf.DUMMYFUNCTION("QUERY('Volunteer Survey'!F234)"),"Post Doc/Resident/Fellow (MD and/or PhD)")</f>
        <v>Post Doc/Resident/Fellow (MD and/or PhD)</v>
      </c>
      <c r="O227" s="60" t="str">
        <f>IFERROR(__xludf.DUMMYFUNCTION("QUERY('Volunteer Survey'!H234)"),"Comprehensive")</f>
        <v>Comprehensive</v>
      </c>
      <c r="P227" s="62" t="str">
        <f>IFERROR(__xludf.DUMMYFUNCTION("QUERY('Volunteer Survey'!I234)"),"Variant Pathogenicity")</f>
        <v>Variant Pathogenicity</v>
      </c>
      <c r="Q227" s="66" t="str">
        <f>IFERROR(__xludf.DUMMYFUNCTION("QUERY('Volunteer Survey'!J234)"),"Gene-Disease Validity")</f>
        <v>Gene-Disease Validity</v>
      </c>
      <c r="R227" s="62" t="str">
        <f>IFERROR(__xludf.DUMMYFUNCTION("QUERY('Volunteer Survey'!K234)"),"")</f>
        <v/>
      </c>
      <c r="S227" s="62" t="str">
        <f>IFERROR(__xludf.DUMMYFUNCTION("QUERY('Volunteer Survey'!L234)"),"")</f>
        <v/>
      </c>
      <c r="T227" s="62" t="str">
        <f>IFERROR(__xludf.DUMMYFUNCTION("QUERY('Volunteer Survey'!M234)"),"")</f>
        <v/>
      </c>
      <c r="U227" s="74" t="str">
        <f>IFERROR(__xludf.DUMMYFUNCTION("QUERY('Volunteer Survey'!N234)"),"yes, I am the Lab Director of the Medical Genomic Unit at the Pontificia Universidad Católica de Chile, and we regularly send submissions to ClinVar (https://www.ncbi.nlm.nih.gov/clinvar/submitters/506969/)")</f>
        <v>yes, I am the Lab Director of the Medical Genomic Unit at the Pontificia Universidad Católica de Chile, and we regularly send submissions to ClinVar (https://www.ncbi.nlm.nih.gov/clinvar/submitters/506969/)</v>
      </c>
      <c r="V227" s="62" t="str">
        <f>IFERROR(__xludf.DUMMYFUNCTION("QUERY('Volunteer Survey'!O234)"),"Yes")</f>
        <v>Yes</v>
      </c>
      <c r="W227" s="75" t="str">
        <f>IFERROR(__xludf.DUMMYFUNCTION("QUERY('Volunteer Survey'!P234)"),"Monogenic Diabetes Variant Curation Expert Panel or Mitochondrial Disease Variant Curation Expert Panel")</f>
        <v>Monogenic Diabetes Variant Curation Expert Panel or Mitochondrial Disease Variant Curation Expert Panel</v>
      </c>
      <c r="X227" s="74" t="str">
        <f>IFERROR(__xludf.DUMMYFUNCTION("QUERY('Volunteer Survey'!R234)"),"Yes- I am willing to volunteer with any available ClinGen group")</f>
        <v>Yes- I am willing to volunteer with any available ClinGen group</v>
      </c>
      <c r="Y227" s="61"/>
      <c r="Z227" s="62"/>
      <c r="AA227" s="62"/>
      <c r="AB227" s="62"/>
      <c r="AC227" s="62"/>
      <c r="AD227" s="62"/>
      <c r="AE227" s="62"/>
      <c r="AF227" s="62"/>
      <c r="AG227" s="62"/>
      <c r="AH227" s="62"/>
      <c r="AI227" s="62"/>
      <c r="AJ227" s="62"/>
      <c r="AK227" s="62"/>
      <c r="AL227" s="62"/>
      <c r="AM227" s="62"/>
      <c r="AN227" s="62"/>
      <c r="AO227" s="62"/>
    </row>
    <row r="228">
      <c r="A228" s="59">
        <f>IFERROR(__xludf.DUMMYFUNCTION("QUERY('Volunteer Survey'!A235)"),43638.36269362269)</f>
        <v>43638.36269</v>
      </c>
      <c r="B228" s="60" t="s">
        <v>275</v>
      </c>
      <c r="C228" s="61"/>
      <c r="D228" s="62"/>
      <c r="E228" s="62"/>
      <c r="F228" s="60" t="s">
        <v>182</v>
      </c>
      <c r="G228" s="60" t="s">
        <v>276</v>
      </c>
      <c r="H228" s="61"/>
      <c r="I228" s="63" t="s">
        <v>189</v>
      </c>
      <c r="J228" s="62"/>
      <c r="K228" s="62"/>
      <c r="L228" s="62" t="str">
        <f>IFERROR(__xludf.DUMMYFUNCTION("QUERY('Volunteer Survey'!B235)"),"Helen O'Shea")</f>
        <v>Helen O'Shea</v>
      </c>
      <c r="M228" s="62" t="str">
        <f>IFERROR(__xludf.DUMMYFUNCTION("QUERY('Volunteer Survey'!E235)"),"helen.oshea@olchc.ie")</f>
        <v>helen.oshea@olchc.ie</v>
      </c>
      <c r="N228" s="62" t="str">
        <f>IFERROR(__xludf.DUMMYFUNCTION("QUERY('Volunteer Survey'!F235)"),"Clinical laboratory geneticist")</f>
        <v>Clinical laboratory geneticist</v>
      </c>
      <c r="O228" s="60" t="str">
        <f>IFERROR(__xludf.DUMMYFUNCTION("QUERY('Volunteer Survey'!H235)"),"Baseline")</f>
        <v>Baseline</v>
      </c>
      <c r="P228" s="62" t="str">
        <f>IFERROR(__xludf.DUMMYFUNCTION("QUERY('Volunteer Survey'!I235)"),"")</f>
        <v/>
      </c>
      <c r="Q228" s="66" t="str">
        <f>IFERROR(__xludf.DUMMYFUNCTION("QUERY('Volunteer Survey'!J235)"),"")</f>
        <v/>
      </c>
      <c r="R228" s="62" t="str">
        <f>IFERROR(__xludf.DUMMYFUNCTION("QUERY('Volunteer Survey'!K235)"),"")</f>
        <v/>
      </c>
      <c r="S228" s="62" t="str">
        <f>IFERROR(__xludf.DUMMYFUNCTION("QUERY('Volunteer Survey'!L235)"),"")</f>
        <v/>
      </c>
      <c r="T228" s="62" t="str">
        <f>IFERROR(__xludf.DUMMYFUNCTION("QUERY('Volunteer Survey'!M235)"),"")</f>
        <v/>
      </c>
      <c r="U228" s="74" t="str">
        <f>IFERROR(__xludf.DUMMYFUNCTION("QUERY('Volunteer Survey'!N235)"),"I am involved in neurodevelopmental disorders research using exome sequencing and variant assessment.")</f>
        <v>I am involved in neurodevelopmental disorders research using exome sequencing and variant assessment.</v>
      </c>
      <c r="V228" s="62" t="str">
        <f>IFERROR(__xludf.DUMMYFUNCTION("QUERY('Volunteer Survey'!O235)"),"No")</f>
        <v>No</v>
      </c>
      <c r="W228" s="75" t="str">
        <f>IFERROR(__xludf.DUMMYFUNCTION("QUERY('Volunteer Survey'!P235)"),"Neurodevelopmental disorders, cardiovascular diseases and cancer")</f>
        <v>Neurodevelopmental disorders, cardiovascular diseases and cancer</v>
      </c>
      <c r="X228" s="74" t="str">
        <f>IFERROR(__xludf.DUMMYFUNCTION("QUERY('Volunteer Survey'!R235)"),"Yes- I am willing to volunteer with any available ClinGen group")</f>
        <v>Yes- I am willing to volunteer with any available ClinGen group</v>
      </c>
      <c r="Y228" s="61"/>
      <c r="Z228" s="62"/>
      <c r="AA228" s="62"/>
      <c r="AB228" s="62"/>
      <c r="AC228" s="62"/>
      <c r="AD228" s="62"/>
      <c r="AE228" s="62"/>
      <c r="AF228" s="62"/>
      <c r="AG228" s="62"/>
      <c r="AH228" s="62"/>
      <c r="AI228" s="62"/>
      <c r="AJ228" s="62"/>
      <c r="AK228" s="62"/>
      <c r="AL228" s="62"/>
      <c r="AM228" s="62"/>
      <c r="AN228" s="62"/>
      <c r="AO228" s="62"/>
    </row>
    <row r="229">
      <c r="A229" s="59">
        <f>IFERROR(__xludf.DUMMYFUNCTION("QUERY('Volunteer Survey'!A236)"),43640.12661005787)</f>
        <v>43640.12661</v>
      </c>
      <c r="B229" s="60" t="s">
        <v>275</v>
      </c>
      <c r="C229" s="61"/>
      <c r="D229" s="62"/>
      <c r="E229" s="62"/>
      <c r="F229" s="60" t="s">
        <v>182</v>
      </c>
      <c r="G229" s="60" t="s">
        <v>276</v>
      </c>
      <c r="H229" s="61"/>
      <c r="I229" s="63" t="s">
        <v>189</v>
      </c>
      <c r="J229" s="62"/>
      <c r="K229" s="62"/>
      <c r="L229" s="62" t="str">
        <f>IFERROR(__xludf.DUMMYFUNCTION("QUERY('Volunteer Survey'!B236)"),"Panos Sergouniotis")</f>
        <v>Panos Sergouniotis</v>
      </c>
      <c r="M229" s="62" t="str">
        <f>IFERROR(__xludf.DUMMYFUNCTION("QUERY('Volunteer Survey'!E236)"),"panagiotis.sergouniotis@manchester.ac.uk")</f>
        <v>panagiotis.sergouniotis@manchester.ac.uk</v>
      </c>
      <c r="N229" s="62" t="str">
        <f>IFERROR(__xludf.DUMMYFUNCTION("QUERY('Volunteer Survey'!F236)"),"I am a qualified Ophthalmologist (FEBO, FRCOphth) with an interest in Ophtalmic Genetics")</f>
        <v>I am a qualified Ophthalmologist (FEBO, FRCOphth) with an interest in Ophtalmic Genetics</v>
      </c>
      <c r="O229" s="60" t="str">
        <f>IFERROR(__xludf.DUMMYFUNCTION("QUERY('Volunteer Survey'!H236)"),"Baseline")</f>
        <v>Baseline</v>
      </c>
      <c r="P229" s="62" t="str">
        <f>IFERROR(__xludf.DUMMYFUNCTION("QUERY('Volunteer Survey'!I236)"),"Gene-Disease Validity")</f>
        <v>Gene-Disease Validity</v>
      </c>
      <c r="Q229" s="66" t="str">
        <f>IFERROR(__xludf.DUMMYFUNCTION("QUERY('Volunteer Survey'!J236)"),"Dosage Sensitivity")</f>
        <v>Dosage Sensitivity</v>
      </c>
      <c r="R229" s="62" t="str">
        <f>IFERROR(__xludf.DUMMYFUNCTION("QUERY('Volunteer Survey'!K236)"),"Variant Pathogenicity")</f>
        <v>Variant Pathogenicity</v>
      </c>
      <c r="S229" s="62" t="str">
        <f>IFERROR(__xludf.DUMMYFUNCTION("QUERY('Volunteer Survey'!L236)"),"Clinical Actionability")</f>
        <v>Clinical Actionability</v>
      </c>
      <c r="T229" s="62" t="str">
        <f>IFERROR(__xludf.DUMMYFUNCTION("QUERY('Volunteer Survey'!M236)"),"Somatic Cancer")</f>
        <v>Somatic Cancer</v>
      </c>
      <c r="U229" s="74" t="str">
        <f>IFERROR(__xludf.DUMMYFUNCTION("QUERY('Volunteer Survey'!N236)"),"Yes. I have worked as a curator for PanelApp (https://panelapp.genomicsengland.co.uk/) and I have significantly contributed to HPO and Orphanet (e.g. https://www.ncbi.nlm.nih.gov/pubmed/30626441)")</f>
        <v>Yes. I have worked as a curator for PanelApp (https://panelapp.genomicsengland.co.uk/) and I have significantly contributed to HPO and Orphanet (e.g. https://www.ncbi.nlm.nih.gov/pubmed/30626441)</v>
      </c>
      <c r="V229" s="62" t="str">
        <f>IFERROR(__xludf.DUMMYFUNCTION("QUERY('Volunteer Survey'!O236)"),"Possibly")</f>
        <v>Possibly</v>
      </c>
      <c r="W229" s="75" t="str">
        <f>IFERROR(__xludf.DUMMYFUNCTION("QUERY('Volunteer Survey'!P236)"),"Dosage Sensitivity Curation")</f>
        <v>Dosage Sensitivity Curation</v>
      </c>
      <c r="X229" s="74" t="str">
        <f>IFERROR(__xludf.DUMMYFUNCTION("QUERY('Volunteer Survey'!R236)"),"Maybe -- please contact me with other options, and I will decide based on what is available")</f>
        <v>Maybe -- please contact me with other options, and I will decide based on what is available</v>
      </c>
      <c r="Y229" s="61"/>
      <c r="Z229" s="62"/>
      <c r="AA229" s="62"/>
      <c r="AB229" s="62"/>
      <c r="AC229" s="62"/>
      <c r="AD229" s="62"/>
      <c r="AE229" s="62"/>
      <c r="AF229" s="62"/>
      <c r="AG229" s="62"/>
      <c r="AH229" s="62"/>
      <c r="AI229" s="62"/>
      <c r="AJ229" s="62"/>
      <c r="AK229" s="62"/>
      <c r="AL229" s="62"/>
      <c r="AM229" s="62"/>
      <c r="AN229" s="62"/>
      <c r="AO229" s="62"/>
    </row>
    <row r="230">
      <c r="A230" s="59">
        <f>IFERROR(__xludf.DUMMYFUNCTION("QUERY('Volunteer Survey'!A237)"),43643.49489582176)</f>
        <v>43643.4949</v>
      </c>
      <c r="B230" s="60" t="s">
        <v>275</v>
      </c>
      <c r="C230" s="61"/>
      <c r="D230" s="82">
        <v>43692.0</v>
      </c>
      <c r="E230" s="60" t="s">
        <v>277</v>
      </c>
      <c r="F230" s="60" t="s">
        <v>277</v>
      </c>
      <c r="G230" s="60" t="s">
        <v>278</v>
      </c>
      <c r="H230" s="61"/>
      <c r="I230" s="63" t="s">
        <v>189</v>
      </c>
      <c r="J230" s="62"/>
      <c r="K230" s="62"/>
      <c r="L230" s="62" t="str">
        <f>IFERROR(__xludf.DUMMYFUNCTION("QUERY('Volunteer Survey'!B237)"),"Marc Lataillade")</f>
        <v>Marc Lataillade</v>
      </c>
      <c r="M230" s="62" t="str">
        <f>IFERROR(__xludf.DUMMYFUNCTION("QUERY('Volunteer Survey'!E237)"),"marclataillade258@gmail.com")</f>
        <v>marclataillade258@gmail.com</v>
      </c>
      <c r="N230" s="62" t="str">
        <f>IFERROR(__xludf.DUMMYFUNCTION("QUERY('Volunteer Survey'!F237)"),"Undergraduate Student")</f>
        <v>Undergraduate Student</v>
      </c>
      <c r="O230" s="60" t="str">
        <f>IFERROR(__xludf.DUMMYFUNCTION("QUERY('Volunteer Survey'!H237)"),"Comprehensive")</f>
        <v>Comprehensive</v>
      </c>
      <c r="P230" s="62" t="str">
        <f>IFERROR(__xludf.DUMMYFUNCTION("QUERY('Volunteer Survey'!I237)"),"Gene-Disease Validity")</f>
        <v>Gene-Disease Validity</v>
      </c>
      <c r="Q230" s="66" t="str">
        <f>IFERROR(__xludf.DUMMYFUNCTION("QUERY('Volunteer Survey'!J237)"),"Variant Pathogenicity")</f>
        <v>Variant Pathogenicity</v>
      </c>
      <c r="R230" s="62" t="str">
        <f>IFERROR(__xludf.DUMMYFUNCTION("QUERY('Volunteer Survey'!K237)"),"Clinical Actionability")</f>
        <v>Clinical Actionability</v>
      </c>
      <c r="S230" s="62" t="str">
        <f>IFERROR(__xludf.DUMMYFUNCTION("QUERY('Volunteer Survey'!L237)"),"Dosage Sensitivity")</f>
        <v>Dosage Sensitivity</v>
      </c>
      <c r="T230" s="62" t="str">
        <f>IFERROR(__xludf.DUMMYFUNCTION("QUERY('Volunteer Survey'!M237)"),"Somatic Cancer")</f>
        <v>Somatic Cancer</v>
      </c>
      <c r="U230" s="74" t="str">
        <f>IFERROR(__xludf.DUMMYFUNCTION("QUERY('Volunteer Survey'!N237)"),"I isolated genes with PCR and screened exons for a local variant of ebidermolysis bullosa.")</f>
        <v>I isolated genes with PCR and screened exons for a local variant of ebidermolysis bullosa.</v>
      </c>
      <c r="V230" s="62" t="str">
        <f>IFERROR(__xludf.DUMMYFUNCTION("QUERY('Volunteer Survey'!O237)"),"Possibly")</f>
        <v>Possibly</v>
      </c>
      <c r="W230" s="75" t="str">
        <f>IFERROR(__xludf.DUMMYFUNCTION("QUERY('Volunteer Survey'!P237)"),"Of the panels listed I am interested in the aminoacidopathy and VHL group.")</f>
        <v>Of the panels listed I am interested in the aminoacidopathy and VHL group.</v>
      </c>
      <c r="X230" s="74" t="str">
        <f>IFERROR(__xludf.DUMMYFUNCTION("QUERY('Volunteer Survey'!R237)"),"Maybe -- please contact me with other options, and I will decide based on what is available")</f>
        <v>Maybe -- please contact me with other options, and I will decide based on what is available</v>
      </c>
      <c r="Y230" s="61"/>
      <c r="Z230" s="62"/>
      <c r="AA230" s="62"/>
      <c r="AB230" s="62"/>
      <c r="AC230" s="62"/>
      <c r="AD230" s="62"/>
      <c r="AE230" s="62"/>
      <c r="AF230" s="62"/>
      <c r="AG230" s="62"/>
      <c r="AH230" s="62"/>
      <c r="AI230" s="62"/>
      <c r="AJ230" s="62"/>
      <c r="AK230" s="62"/>
      <c r="AL230" s="62"/>
      <c r="AM230" s="62"/>
      <c r="AN230" s="62"/>
      <c r="AO230" s="62"/>
    </row>
    <row r="231">
      <c r="A231" s="59">
        <f>IFERROR(__xludf.DUMMYFUNCTION("QUERY('Volunteer Survey'!A238)"),43648.49980006944)</f>
        <v>43648.4998</v>
      </c>
      <c r="B231" s="60" t="s">
        <v>275</v>
      </c>
      <c r="C231" s="61"/>
      <c r="D231" s="62"/>
      <c r="E231" s="62"/>
      <c r="F231" s="60" t="s">
        <v>182</v>
      </c>
      <c r="G231" s="60" t="s">
        <v>276</v>
      </c>
      <c r="H231" s="61"/>
      <c r="I231" s="63" t="s">
        <v>189</v>
      </c>
      <c r="J231" s="62"/>
      <c r="K231" s="62"/>
      <c r="L231" s="62" t="str">
        <f>IFERROR(__xludf.DUMMYFUNCTION("QUERY('Volunteer Survey'!B238)"),"Sarah Payne ")</f>
        <v>Sarah Payne </v>
      </c>
      <c r="M231" s="62" t="str">
        <f>IFERROR(__xludf.DUMMYFUNCTION("QUERY('Volunteer Survey'!E238)"),"sarahhale79@gmail.com")</f>
        <v>sarahhale79@gmail.com</v>
      </c>
      <c r="N231" s="62" t="str">
        <f>IFERROR(__xludf.DUMMYFUNCTION("QUERY('Volunteer Survey'!F238)"),"Female family with unknown genetic disorder ")</f>
        <v>Female family with unknown genetic disorder </v>
      </c>
      <c r="O231" s="60" t="str">
        <f>IFERROR(__xludf.DUMMYFUNCTION("QUERY('Volunteer Survey'!H238)"),"Baseline")</f>
        <v>Baseline</v>
      </c>
      <c r="P231" s="62" t="str">
        <f>IFERROR(__xludf.DUMMYFUNCTION("QUERY('Volunteer Survey'!I238)"),"Gene-Disease Validity")</f>
        <v>Gene-Disease Validity</v>
      </c>
      <c r="Q231" s="66" t="str">
        <f>IFERROR(__xludf.DUMMYFUNCTION("QUERY('Volunteer Survey'!J238)"),"Variant Pathogenicity")</f>
        <v>Variant Pathogenicity</v>
      </c>
      <c r="R231" s="62" t="str">
        <f>IFERROR(__xludf.DUMMYFUNCTION("QUERY('Volunteer Survey'!K238)"),"Clinical Actionability")</f>
        <v>Clinical Actionability</v>
      </c>
      <c r="S231" s="62" t="str">
        <f>IFERROR(__xludf.DUMMYFUNCTION("QUERY('Volunteer Survey'!L238)"),"Dosage Sensitivity")</f>
        <v>Dosage Sensitivity</v>
      </c>
      <c r="T231" s="62" t="str">
        <f>IFERROR(__xludf.DUMMYFUNCTION("QUERY('Volunteer Survey'!M238)"),"Somatic Cancer")</f>
        <v>Somatic Cancer</v>
      </c>
      <c r="U231" s="74" t="str">
        <f>IFERROR(__xludf.DUMMYFUNCTION("QUERY('Volunteer Survey'!N238)"),"I've been in medical trials ")</f>
        <v>I've been in medical trials </v>
      </c>
      <c r="V231" s="62" t="str">
        <f>IFERROR(__xludf.DUMMYFUNCTION("QUERY('Volunteer Survey'!O238)"),"Yes")</f>
        <v>Yes</v>
      </c>
      <c r="W231" s="75" t="str">
        <f>IFERROR(__xludf.DUMMYFUNCTION("QUERY('Volunteer Survey'!P238)"),"Yes")</f>
        <v>Yes</v>
      </c>
      <c r="X231" s="74" t="str">
        <f>IFERROR(__xludf.DUMMYFUNCTION("QUERY('Volunteer Survey'!R238)"),"Yes- I am willing to volunteer with any available ClinGen group")</f>
        <v>Yes- I am willing to volunteer with any available ClinGen group</v>
      </c>
      <c r="Y231" s="63" t="s">
        <v>352</v>
      </c>
      <c r="Z231" s="62"/>
      <c r="AA231" s="62"/>
      <c r="AB231" s="62"/>
      <c r="AC231" s="62"/>
      <c r="AD231" s="62"/>
      <c r="AE231" s="62"/>
      <c r="AF231" s="62"/>
      <c r="AG231" s="62"/>
      <c r="AH231" s="62"/>
      <c r="AI231" s="62"/>
      <c r="AJ231" s="62"/>
      <c r="AK231" s="62"/>
      <c r="AL231" s="62"/>
      <c r="AM231" s="62"/>
      <c r="AN231" s="62"/>
      <c r="AO231" s="62"/>
    </row>
    <row r="232">
      <c r="A232" s="59">
        <f>IFERROR(__xludf.DUMMYFUNCTION("QUERY('Volunteer Survey'!A239)"),43648.64460309028)</f>
        <v>43648.6446</v>
      </c>
      <c r="B232" s="60" t="s">
        <v>282</v>
      </c>
      <c r="C232" s="80">
        <v>43705.0</v>
      </c>
      <c r="D232" s="82">
        <v>43719.0</v>
      </c>
      <c r="E232" s="60" t="s">
        <v>277</v>
      </c>
      <c r="F232" s="60" t="s">
        <v>182</v>
      </c>
      <c r="G232" s="60" t="s">
        <v>150</v>
      </c>
      <c r="H232" s="63" t="s">
        <v>353</v>
      </c>
      <c r="I232" s="63" t="s">
        <v>189</v>
      </c>
      <c r="J232" s="62"/>
      <c r="K232" s="62"/>
      <c r="L232" s="62" t="str">
        <f>IFERROR(__xludf.DUMMYFUNCTION("QUERY('Volunteer Survey'!B239)"),"Lori Millner")</f>
        <v>Lori Millner</v>
      </c>
      <c r="M232" s="62" t="str">
        <f>IFERROR(__xludf.DUMMYFUNCTION("QUERY('Volunteer Survey'!E239)"),"lorimillner77@gmail.com")</f>
        <v>lorimillner77@gmail.com</v>
      </c>
      <c r="N232" s="62" t="str">
        <f>IFERROR(__xludf.DUMMYFUNCTION("QUERY('Volunteer Survey'!F239)"),"Clinical Lab Director")</f>
        <v>Clinical Lab Director</v>
      </c>
      <c r="O232" s="60" t="str">
        <f>IFERROR(__xludf.DUMMYFUNCTION("QUERY('Volunteer Survey'!H239)"),"Comprehensive")</f>
        <v>Comprehensive</v>
      </c>
      <c r="P232" s="62" t="str">
        <f>IFERROR(__xludf.DUMMYFUNCTION("QUERY('Volunteer Survey'!I239)"),"Somatic Cancer")</f>
        <v>Somatic Cancer</v>
      </c>
      <c r="Q232" s="66" t="str">
        <f>IFERROR(__xludf.DUMMYFUNCTION("QUERY('Volunteer Survey'!J239)"),"Clinical Actionability")</f>
        <v>Clinical Actionability</v>
      </c>
      <c r="R232" s="62" t="str">
        <f>IFERROR(__xludf.DUMMYFUNCTION("QUERY('Volunteer Survey'!K239)"),"")</f>
        <v/>
      </c>
      <c r="S232" s="62" t="str">
        <f>IFERROR(__xludf.DUMMYFUNCTION("QUERY('Volunteer Survey'!L239)"),"")</f>
        <v/>
      </c>
      <c r="T232" s="62" t="str">
        <f>IFERROR(__xludf.DUMMYFUNCTION("QUERY('Volunteer Survey'!M239)"),"")</f>
        <v/>
      </c>
      <c r="U232" s="74" t="str">
        <f>IFERROR(__xludf.DUMMYFUNCTION("QUERY('Volunteer Survey'!N239)"),"Yes, I performed NGS somatic mutation panels on single cells.")</f>
        <v>Yes, I performed NGS somatic mutation panels on single cells.</v>
      </c>
      <c r="V232" s="62" t="str">
        <f>IFERROR(__xludf.DUMMYFUNCTION("QUERY('Volunteer Survey'!O239)"),"Possibly")</f>
        <v>Possibly</v>
      </c>
      <c r="W232" s="75" t="str">
        <f>IFERROR(__xludf.DUMMYFUNCTION("QUERY('Volunteer Survey'!P239)"),"")</f>
        <v/>
      </c>
      <c r="X232" s="74" t="str">
        <f>IFERROR(__xludf.DUMMYFUNCTION("QUERY('Volunteer Survey'!R239)"),"Maybe -- please contact me with other options, and I will decide based on what is available")</f>
        <v>Maybe -- please contact me with other options, and I will decide based on what is available</v>
      </c>
      <c r="Y232" s="61"/>
      <c r="Z232" s="62"/>
      <c r="AA232" s="62"/>
      <c r="AB232" s="62"/>
      <c r="AC232" s="62"/>
      <c r="AD232" s="62"/>
      <c r="AE232" s="62"/>
      <c r="AF232" s="62"/>
      <c r="AG232" s="62"/>
      <c r="AH232" s="62"/>
      <c r="AI232" s="62"/>
      <c r="AJ232" s="62"/>
      <c r="AK232" s="62"/>
      <c r="AL232" s="62"/>
      <c r="AM232" s="62"/>
      <c r="AN232" s="62"/>
      <c r="AO232" s="62"/>
    </row>
    <row r="233">
      <c r="A233" s="59">
        <f>IFERROR(__xludf.DUMMYFUNCTION("QUERY('Volunteer Survey'!A240)"),43651.29248090278)</f>
        <v>43651.29248</v>
      </c>
      <c r="B233" s="60" t="s">
        <v>275</v>
      </c>
      <c r="C233" s="80">
        <v>43689.0</v>
      </c>
      <c r="D233" s="62"/>
      <c r="E233" s="62"/>
      <c r="F233" s="60" t="s">
        <v>182</v>
      </c>
      <c r="G233" s="60" t="s">
        <v>27</v>
      </c>
      <c r="H233" s="76"/>
      <c r="I233" s="63" t="s">
        <v>189</v>
      </c>
      <c r="J233" s="62"/>
      <c r="K233" s="62"/>
      <c r="L233" s="62" t="str">
        <f>IFERROR(__xludf.DUMMYFUNCTION("QUERY('Volunteer Survey'!B240)"),"Agnes Sebastian")</f>
        <v>Agnes Sebastian</v>
      </c>
      <c r="M233" s="62" t="str">
        <f>IFERROR(__xludf.DUMMYFUNCTION("QUERY('Volunteer Survey'!E240)"),"agnes.sebastian@mail.utoronto.ca")</f>
        <v>agnes.sebastian@mail.utoronto.ca</v>
      </c>
      <c r="N233" s="62" t="str">
        <f>IFERROR(__xludf.DUMMYFUNCTION("QUERY('Volunteer Survey'!F240)"),"Graduate Student")</f>
        <v>Graduate Student</v>
      </c>
      <c r="O233" s="60" t="str">
        <f>IFERROR(__xludf.DUMMYFUNCTION("QUERY('Volunteer Survey'!H240)"),"Comprehensive")</f>
        <v>Comprehensive</v>
      </c>
      <c r="P233" s="62" t="str">
        <f>IFERROR(__xludf.DUMMYFUNCTION("QUERY('Volunteer Survey'!I240)"),"Clinical Actionability")</f>
        <v>Clinical Actionability</v>
      </c>
      <c r="Q233" s="66" t="str">
        <f>IFERROR(__xludf.DUMMYFUNCTION("QUERY('Volunteer Survey'!J240)"),"Variant Pathogenicity")</f>
        <v>Variant Pathogenicity</v>
      </c>
      <c r="R233" s="62" t="str">
        <f>IFERROR(__xludf.DUMMYFUNCTION("QUERY('Volunteer Survey'!K240)"),"Gene-Disease Validity")</f>
        <v>Gene-Disease Validity</v>
      </c>
      <c r="S233" s="62" t="str">
        <f>IFERROR(__xludf.DUMMYFUNCTION("QUERY('Volunteer Survey'!L240)"),"Dosage Sensitivity")</f>
        <v>Dosage Sensitivity</v>
      </c>
      <c r="T233" s="62" t="str">
        <f>IFERROR(__xludf.DUMMYFUNCTION("QUERY('Volunteer Survey'!M240)"),"Somatic Cancer")</f>
        <v>Somatic Cancer</v>
      </c>
      <c r="U233" s="74" t="str">
        <f>IFERROR(__xludf.DUMMYFUNCTION("QUERY('Volunteer Survey'!N240)"),"")</f>
        <v/>
      </c>
      <c r="V233" s="62" t="str">
        <f>IFERROR(__xludf.DUMMYFUNCTION("QUERY('Volunteer Survey'!O240)"),"Possibly")</f>
        <v>Possibly</v>
      </c>
      <c r="W233" s="75" t="str">
        <f>IFERROR(__xludf.DUMMYFUNCTION("QUERY('Volunteer Survey'!P240)"),"No - any group related to cancer or hearing loss is preferable")</f>
        <v>No - any group related to cancer or hearing loss is preferable</v>
      </c>
      <c r="X233" s="74" t="str">
        <f>IFERROR(__xludf.DUMMYFUNCTION("QUERY('Volunteer Survey'!R240)"),"Maybe -- please contact me with other options, and I will decide based on what is available")</f>
        <v>Maybe -- please contact me with other options, and I will decide based on what is available</v>
      </c>
      <c r="Y233" s="61"/>
      <c r="Z233" s="62"/>
      <c r="AA233" s="62"/>
      <c r="AB233" s="62"/>
      <c r="AC233" s="62"/>
      <c r="AD233" s="62"/>
      <c r="AE233" s="62"/>
      <c r="AF233" s="62"/>
      <c r="AG233" s="62"/>
      <c r="AH233" s="62"/>
      <c r="AI233" s="62"/>
      <c r="AJ233" s="62"/>
      <c r="AK233" s="62"/>
      <c r="AL233" s="62"/>
      <c r="AM233" s="62"/>
      <c r="AN233" s="62"/>
      <c r="AO233" s="62"/>
    </row>
    <row r="234">
      <c r="A234" s="59">
        <f>IFERROR(__xludf.DUMMYFUNCTION("QUERY('Volunteer Survey'!A241)"),43651.61837447916)</f>
        <v>43651.61837</v>
      </c>
      <c r="B234" s="60" t="s">
        <v>274</v>
      </c>
      <c r="C234" s="61"/>
      <c r="D234" s="62"/>
      <c r="E234" s="62"/>
      <c r="F234" s="60" t="s">
        <v>182</v>
      </c>
      <c r="G234" s="60" t="s">
        <v>288</v>
      </c>
      <c r="H234" s="61"/>
      <c r="I234" s="63" t="s">
        <v>189</v>
      </c>
      <c r="J234" s="62"/>
      <c r="K234" s="62"/>
      <c r="L234" s="62" t="str">
        <f>IFERROR(__xludf.DUMMYFUNCTION("QUERY('Volunteer Survey'!B241)"),"Xiangqiang Shao")</f>
        <v>Xiangqiang Shao</v>
      </c>
      <c r="M234" s="62" t="str">
        <f>IFERROR(__xludf.DUMMYFUNCTION("QUERY('Volunteer Survey'!E241)"),"xshao5@wisc.edu")</f>
        <v>xshao5@wisc.edu</v>
      </c>
      <c r="N234" s="62" t="str">
        <f>IFERROR(__xludf.DUMMYFUNCTION("QUERY('Volunteer Survey'!F241)"),"Scientific Researcher")</f>
        <v>Scientific Researcher</v>
      </c>
      <c r="O234" s="60" t="str">
        <f>IFERROR(__xludf.DUMMYFUNCTION("QUERY('Volunteer Survey'!H241)"),"Comprehensive")</f>
        <v>Comprehensive</v>
      </c>
      <c r="P234" s="62" t="str">
        <f>IFERROR(__xludf.DUMMYFUNCTION("QUERY('Volunteer Survey'!I241)"),"Variant Pathogenicity")</f>
        <v>Variant Pathogenicity</v>
      </c>
      <c r="Q234" s="66" t="str">
        <f>IFERROR(__xludf.DUMMYFUNCTION("QUERY('Volunteer Survey'!J241)"),"Dosage Sensitivity")</f>
        <v>Dosage Sensitivity</v>
      </c>
      <c r="R234" s="62" t="str">
        <f>IFERROR(__xludf.DUMMYFUNCTION("QUERY('Volunteer Survey'!K241)"),"Clinical Actionability")</f>
        <v>Clinical Actionability</v>
      </c>
      <c r="S234" s="62" t="str">
        <f>IFERROR(__xludf.DUMMYFUNCTION("QUERY('Volunteer Survey'!L241)"),"Gene-Disease Validity")</f>
        <v>Gene-Disease Validity</v>
      </c>
      <c r="T234" s="62" t="str">
        <f>IFERROR(__xludf.DUMMYFUNCTION("QUERY('Volunteer Survey'!M241)"),"Somatic Cancer")</f>
        <v>Somatic Cancer</v>
      </c>
      <c r="U234" s="74" t="str">
        <f>IFERROR(__xludf.DUMMYFUNCTION("QUERY('Volunteer Survey'!N241)"),"I currently do microarray analysis for clinical samples at Wisconsin State Lab of Hygiene to determine the pathogenicity of the CNVs we detected, and I am working on a project to develop a NGS panel for Familial Hypercholesterolemia.")</f>
        <v>I currently do microarray analysis for clinical samples at Wisconsin State Lab of Hygiene to determine the pathogenicity of the CNVs we detected, and I am working on a project to develop a NGS panel for Familial Hypercholesterolemia.</v>
      </c>
      <c r="V234" s="62" t="str">
        <f>IFERROR(__xludf.DUMMYFUNCTION("QUERY('Volunteer Survey'!O241)"),"Possibly")</f>
        <v>Possibly</v>
      </c>
      <c r="W234" s="75" t="str">
        <f>IFERROR(__xludf.DUMMYFUNCTION("QUERY('Volunteer Survey'!P241)"),"Epilepsy, and Intellectual Disability and Autism")</f>
        <v>Epilepsy, and Intellectual Disability and Autism</v>
      </c>
      <c r="X234" s="74" t="str">
        <f>IFERROR(__xludf.DUMMYFUNCTION("QUERY('Volunteer Survey'!R241)"),"Yes- I am willing to volunteer with any available ClinGen group")</f>
        <v>Yes- I am willing to volunteer with any available ClinGen group</v>
      </c>
      <c r="Y234" s="61"/>
      <c r="Z234" s="62"/>
      <c r="AA234" s="62"/>
      <c r="AB234" s="62"/>
      <c r="AC234" s="62"/>
      <c r="AD234" s="62"/>
      <c r="AE234" s="62"/>
      <c r="AF234" s="62"/>
      <c r="AG234" s="62"/>
      <c r="AH234" s="62"/>
      <c r="AI234" s="62"/>
      <c r="AJ234" s="62"/>
      <c r="AK234" s="62"/>
      <c r="AL234" s="62"/>
      <c r="AM234" s="62"/>
      <c r="AN234" s="62"/>
      <c r="AO234" s="62"/>
    </row>
    <row r="235">
      <c r="A235" s="59">
        <f>IFERROR(__xludf.DUMMYFUNCTION("QUERY('Volunteer Survey'!A242)"),43653.19000947917)</f>
        <v>43653.19001</v>
      </c>
      <c r="B235" s="60" t="s">
        <v>275</v>
      </c>
      <c r="C235" s="61"/>
      <c r="D235" s="62"/>
      <c r="E235" s="62"/>
      <c r="F235" s="60" t="s">
        <v>182</v>
      </c>
      <c r="G235" s="60" t="s">
        <v>276</v>
      </c>
      <c r="H235" s="61"/>
      <c r="I235" s="63" t="s">
        <v>189</v>
      </c>
      <c r="J235" s="62"/>
      <c r="K235" s="62"/>
      <c r="L235" s="62" t="str">
        <f>IFERROR(__xludf.DUMMYFUNCTION("QUERY('Volunteer Survey'!B242)"),"Pradeep Varathan")</f>
        <v>Pradeep Varathan</v>
      </c>
      <c r="M235" s="62" t="str">
        <f>IFERROR(__xludf.DUMMYFUNCTION("QUERY('Volunteer Survey'!E242)"),"pradluzog@gmail.com")</f>
        <v>pradluzog@gmail.com</v>
      </c>
      <c r="N235" s="62" t="str">
        <f>IFERROR(__xludf.DUMMYFUNCTION("QUERY('Volunteer Survey'!F242)"),"Graduate Student")</f>
        <v>Graduate Student</v>
      </c>
      <c r="O235" s="60" t="str">
        <f>IFERROR(__xludf.DUMMYFUNCTION("QUERY('Volunteer Survey'!H242)"),"Baseline")</f>
        <v>Baseline</v>
      </c>
      <c r="P235" s="62" t="str">
        <f>IFERROR(__xludf.DUMMYFUNCTION("QUERY('Volunteer Survey'!I242)"),"")</f>
        <v/>
      </c>
      <c r="Q235" s="66" t="str">
        <f>IFERROR(__xludf.DUMMYFUNCTION("QUERY('Volunteer Survey'!J242)"),"")</f>
        <v/>
      </c>
      <c r="R235" s="62" t="str">
        <f>IFERROR(__xludf.DUMMYFUNCTION("QUERY('Volunteer Survey'!K242)"),"")</f>
        <v/>
      </c>
      <c r="S235" s="62" t="str">
        <f>IFERROR(__xludf.DUMMYFUNCTION("QUERY('Volunteer Survey'!L242)"),"")</f>
        <v/>
      </c>
      <c r="T235" s="62" t="str">
        <f>IFERROR(__xludf.DUMMYFUNCTION("QUERY('Volunteer Survey'!M242)"),"")</f>
        <v/>
      </c>
      <c r="U235" s="74" t="str">
        <f>IFERROR(__xludf.DUMMYFUNCTION("QUERY('Volunteer Survey'!N242)"),"")</f>
        <v/>
      </c>
      <c r="V235" s="62" t="str">
        <f>IFERROR(__xludf.DUMMYFUNCTION("QUERY('Volunteer Survey'!O242)"),"Yes")</f>
        <v>Yes</v>
      </c>
      <c r="W235" s="75" t="str">
        <f>IFERROR(__xludf.DUMMYFUNCTION("QUERY('Volunteer Survey'!P242)"),"")</f>
        <v/>
      </c>
      <c r="X235" s="74" t="str">
        <f>IFERROR(__xludf.DUMMYFUNCTION("QUERY('Volunteer Survey'!R242)"),"Yes- I am willing to volunteer with any available ClinGen group")</f>
        <v>Yes- I am willing to volunteer with any available ClinGen group</v>
      </c>
      <c r="Y235" s="61"/>
      <c r="Z235" s="62"/>
      <c r="AA235" s="62"/>
      <c r="AB235" s="62"/>
      <c r="AC235" s="62"/>
      <c r="AD235" s="62"/>
      <c r="AE235" s="62"/>
      <c r="AF235" s="62"/>
      <c r="AG235" s="62"/>
      <c r="AH235" s="62"/>
      <c r="AI235" s="62"/>
      <c r="AJ235" s="62"/>
      <c r="AK235" s="62"/>
      <c r="AL235" s="62"/>
      <c r="AM235" s="62"/>
      <c r="AN235" s="62"/>
      <c r="AO235" s="62"/>
    </row>
    <row r="236">
      <c r="A236" s="59">
        <f>IFERROR(__xludf.DUMMYFUNCTION("QUERY('Volunteer Survey'!A243)"),43654.534963287035)</f>
        <v>43654.53496</v>
      </c>
      <c r="B236" s="60" t="s">
        <v>275</v>
      </c>
      <c r="C236" s="80">
        <v>43689.0</v>
      </c>
      <c r="D236" s="62"/>
      <c r="E236" s="62"/>
      <c r="F236" s="60" t="s">
        <v>182</v>
      </c>
      <c r="G236" s="60" t="s">
        <v>27</v>
      </c>
      <c r="H236" s="76"/>
      <c r="I236" s="63" t="s">
        <v>189</v>
      </c>
      <c r="J236" s="62"/>
      <c r="K236" s="62"/>
      <c r="L236" s="62" t="str">
        <f>IFERROR(__xludf.DUMMYFUNCTION("QUERY('Volunteer Survey'!B243)"),"Terri McVeigh")</f>
        <v>Terri McVeigh</v>
      </c>
      <c r="M236" s="62" t="str">
        <f>IFERROR(__xludf.DUMMYFUNCTION("QUERY('Volunteer Survey'!E243)"),"terri.mcveigh@rmh.nhs.uk")</f>
        <v>terri.mcveigh@rmh.nhs.uk</v>
      </c>
      <c r="N236" s="62" t="str">
        <f>IFERROR(__xludf.DUMMYFUNCTION("QUERY('Volunteer Survey'!F243)"),"Clinical Medical Geneticist")</f>
        <v>Clinical Medical Geneticist</v>
      </c>
      <c r="O236" s="60" t="str">
        <f>IFERROR(__xludf.DUMMYFUNCTION("QUERY('Volunteer Survey'!H243)"),"Comprehensive")</f>
        <v>Comprehensive</v>
      </c>
      <c r="P236" s="62" t="str">
        <f>IFERROR(__xludf.DUMMYFUNCTION("QUERY('Volunteer Survey'!I243)"),"Clinical Actionability")</f>
        <v>Clinical Actionability</v>
      </c>
      <c r="Q236" s="66" t="str">
        <f>IFERROR(__xludf.DUMMYFUNCTION("QUERY('Volunteer Survey'!J243)"),"Variant Pathogenicity")</f>
        <v>Variant Pathogenicity</v>
      </c>
      <c r="R236" s="62" t="str">
        <f>IFERROR(__xludf.DUMMYFUNCTION("QUERY('Volunteer Survey'!K243)"),"Gene-Disease Validity")</f>
        <v>Gene-Disease Validity</v>
      </c>
      <c r="S236" s="62" t="str">
        <f>IFERROR(__xludf.DUMMYFUNCTION("QUERY('Volunteer Survey'!L243)"),"Somatic Cancer")</f>
        <v>Somatic Cancer</v>
      </c>
      <c r="T236" s="62" t="str">
        <f>IFERROR(__xludf.DUMMYFUNCTION("QUERY('Volunteer Survey'!M243)"),"Dosage Sensitivity")</f>
        <v>Dosage Sensitivity</v>
      </c>
      <c r="U236" s="74" t="str">
        <f>IFERROR(__xludf.DUMMYFUNCTION("QUERY('Volunteer Survey'!N243)"),"I work as a Medical Geneticist so routinely interrogate variants from the point of view of pathogenicity, actionability and relationship to the patient phenotype. Furthermore, I actively participate in the molecular tumour board,  where we interrogate sim"&amp;"ilar features of somatic variants. ")</f>
        <v>I work as a Medical Geneticist so routinely interrogate variants from the point of view of pathogenicity, actionability and relationship to the patient phenotype. Furthermore, I actively participate in the molecular tumour board,  where we interrogate similar features of somatic variants. </v>
      </c>
      <c r="V236" s="62" t="str">
        <f>IFERROR(__xludf.DUMMYFUNCTION("QUERY('Volunteer Survey'!O243)"),"Possibly")</f>
        <v>Possibly</v>
      </c>
      <c r="W236" s="75" t="str">
        <f>IFERROR(__xludf.DUMMYFUNCTION("QUERY('Volunteer Survey'!P243)"),"")</f>
        <v/>
      </c>
      <c r="X236" s="74" t="str">
        <f>IFERROR(__xludf.DUMMYFUNCTION("QUERY('Volunteer Survey'!R243)"),"Maybe -- please contact me with other options, and I will decide based on what is available")</f>
        <v>Maybe -- please contact me with other options, and I will decide based on what is available</v>
      </c>
      <c r="Y236" s="61"/>
      <c r="Z236" s="62"/>
      <c r="AA236" s="62"/>
      <c r="AB236" s="62"/>
      <c r="AC236" s="62"/>
      <c r="AD236" s="62"/>
      <c r="AE236" s="62"/>
      <c r="AF236" s="62"/>
      <c r="AG236" s="62"/>
      <c r="AH236" s="62"/>
      <c r="AI236" s="62"/>
      <c r="AJ236" s="62"/>
      <c r="AK236" s="62"/>
      <c r="AL236" s="62"/>
      <c r="AM236" s="62"/>
      <c r="AN236" s="62"/>
      <c r="AO236" s="62"/>
    </row>
    <row r="237">
      <c r="A237" s="59">
        <f>IFERROR(__xludf.DUMMYFUNCTION("QUERY('Volunteer Survey'!A244)"),43655.43017872685)</f>
        <v>43655.43018</v>
      </c>
      <c r="B237" s="60" t="s">
        <v>274</v>
      </c>
      <c r="C237" s="61"/>
      <c r="D237" s="62"/>
      <c r="E237" s="62"/>
      <c r="F237" s="60" t="s">
        <v>182</v>
      </c>
      <c r="G237" s="60" t="s">
        <v>288</v>
      </c>
      <c r="H237" s="61"/>
      <c r="I237" s="63" t="s">
        <v>189</v>
      </c>
      <c r="J237" s="62"/>
      <c r="K237" s="62"/>
      <c r="L237" s="62" t="str">
        <f>IFERROR(__xludf.DUMMYFUNCTION("QUERY('Volunteer Survey'!B244)"),"Gretchen Cote")</f>
        <v>Gretchen Cote</v>
      </c>
      <c r="M237" s="62" t="str">
        <f>IFERROR(__xludf.DUMMYFUNCTION("QUERY('Volunteer Survey'!E244)"),"gretchen.cote@dgs.virginia.gov")</f>
        <v>gretchen.cote@dgs.virginia.gov</v>
      </c>
      <c r="N237" s="62" t="str">
        <f>IFERROR(__xludf.DUMMYFUNCTION("QUERY('Volunteer Survey'!F244)"),"Bioinformatician focusing on Variant Interpretation")</f>
        <v>Bioinformatician focusing on Variant Interpretation</v>
      </c>
      <c r="O237" s="60" t="str">
        <f>IFERROR(__xludf.DUMMYFUNCTION("QUERY('Volunteer Survey'!H244)"),"Comprehensive")</f>
        <v>Comprehensive</v>
      </c>
      <c r="P237" s="62" t="str">
        <f>IFERROR(__xludf.DUMMYFUNCTION("QUERY('Volunteer Survey'!I244)"),"Variant Pathogenicity")</f>
        <v>Variant Pathogenicity</v>
      </c>
      <c r="Q237" s="66" t="str">
        <f>IFERROR(__xludf.DUMMYFUNCTION("QUERY('Volunteer Survey'!J244)"),"Clinical Actionability")</f>
        <v>Clinical Actionability</v>
      </c>
      <c r="R237" s="62" t="str">
        <f>IFERROR(__xludf.DUMMYFUNCTION("QUERY('Volunteer Survey'!K244)"),"Gene-Disease Validity")</f>
        <v>Gene-Disease Validity</v>
      </c>
      <c r="S237" s="62" t="str">
        <f>IFERROR(__xludf.DUMMYFUNCTION("QUERY('Volunteer Survey'!L244)"),"Somatic Cancer")</f>
        <v>Somatic Cancer</v>
      </c>
      <c r="T237" s="62" t="str">
        <f>IFERROR(__xludf.DUMMYFUNCTION("QUERY('Volunteer Survey'!M244)"),"Dosage Sensitivity")</f>
        <v>Dosage Sensitivity</v>
      </c>
      <c r="U237" s="74" t="str">
        <f>IFERROR(__xludf.DUMMYFUNCTION("QUERY('Volunteer Survey'!N244)"),"I participate and weekly variant interpretation meetings for variant based newborn screening for Pompe and MPS1")</f>
        <v>I participate and weekly variant interpretation meetings for variant based newborn screening for Pompe and MPS1</v>
      </c>
      <c r="V237" s="62" t="str">
        <f>IFERROR(__xludf.DUMMYFUNCTION("QUERY('Volunteer Survey'!O244)"),"Possibly")</f>
        <v>Possibly</v>
      </c>
      <c r="W237" s="75" t="str">
        <f>IFERROR(__xludf.DUMMYFUNCTION("QUERY('Volunteer Survey'!P244)"),"Lysosomal Storage Disorders")</f>
        <v>Lysosomal Storage Disorders</v>
      </c>
      <c r="X237" s="74" t="str">
        <f>IFERROR(__xludf.DUMMYFUNCTION("QUERY('Volunteer Survey'!R244)"),"Yes- I am willing to volunteer with any available ClinGen group")</f>
        <v>Yes- I am willing to volunteer with any available ClinGen group</v>
      </c>
      <c r="Y237" s="61"/>
      <c r="Z237" s="62"/>
      <c r="AA237" s="62"/>
      <c r="AB237" s="62"/>
      <c r="AC237" s="62"/>
      <c r="AD237" s="62"/>
      <c r="AE237" s="62"/>
      <c r="AF237" s="62"/>
      <c r="AG237" s="62"/>
      <c r="AH237" s="62"/>
      <c r="AI237" s="62"/>
      <c r="AJ237" s="62"/>
      <c r="AK237" s="62"/>
      <c r="AL237" s="62"/>
      <c r="AM237" s="62"/>
      <c r="AN237" s="62"/>
      <c r="AO237" s="62"/>
    </row>
    <row r="238">
      <c r="A238" s="59">
        <f>IFERROR(__xludf.DUMMYFUNCTION("QUERY('Volunteer Survey'!A245)"),43661.550887303245)</f>
        <v>43661.55089</v>
      </c>
      <c r="B238" s="60" t="s">
        <v>275</v>
      </c>
      <c r="C238" s="61"/>
      <c r="D238" s="82">
        <v>43692.0</v>
      </c>
      <c r="E238" s="60" t="s">
        <v>277</v>
      </c>
      <c r="F238" s="60" t="s">
        <v>277</v>
      </c>
      <c r="G238" s="60" t="s">
        <v>278</v>
      </c>
      <c r="H238" s="61"/>
      <c r="I238" s="63" t="s">
        <v>189</v>
      </c>
      <c r="J238" s="62"/>
      <c r="K238" s="62"/>
      <c r="L238" s="62" t="str">
        <f>IFERROR(__xludf.DUMMYFUNCTION("QUERY('Volunteer Survey'!B245)"),"Mayher Patel")</f>
        <v>Mayher Patel</v>
      </c>
      <c r="M238" s="62" t="str">
        <f>IFERROR(__xludf.DUMMYFUNCTION("QUERY('Volunteer Survey'!E245)"),"mayher@broadinstitute.org")</f>
        <v>mayher@broadinstitute.org</v>
      </c>
      <c r="N238" s="62" t="str">
        <f>IFERROR(__xludf.DUMMYFUNCTION("QUERY('Volunteer Survey'!F245)"),"Biocurator")</f>
        <v>Biocurator</v>
      </c>
      <c r="O238" s="60" t="str">
        <f>IFERROR(__xludf.DUMMYFUNCTION("QUERY('Volunteer Survey'!H245)"),"Comprehensive")</f>
        <v>Comprehensive</v>
      </c>
      <c r="P238" s="62" t="str">
        <f>IFERROR(__xludf.DUMMYFUNCTION("QUERY('Volunteer Survey'!I245)"),"Gene-Disease Validity")</f>
        <v>Gene-Disease Validity</v>
      </c>
      <c r="Q238" s="66" t="str">
        <f>IFERROR(__xludf.DUMMYFUNCTION("QUERY('Volunteer Survey'!J245)"),"")</f>
        <v/>
      </c>
      <c r="R238" s="62" t="str">
        <f>IFERROR(__xludf.DUMMYFUNCTION("QUERY('Volunteer Survey'!K245)"),"")</f>
        <v/>
      </c>
      <c r="S238" s="62" t="str">
        <f>IFERROR(__xludf.DUMMYFUNCTION("QUERY('Volunteer Survey'!L245)"),"")</f>
        <v/>
      </c>
      <c r="T238" s="62" t="str">
        <f>IFERROR(__xludf.DUMMYFUNCTION("QUERY('Volunteer Survey'!M245)"),"")</f>
        <v/>
      </c>
      <c r="U238" s="74" t="str">
        <f>IFERROR(__xludf.DUMMYFUNCTION("QUERY('Volunteer Survey'!N245)"),"")</f>
        <v/>
      </c>
      <c r="V238" s="62" t="str">
        <f>IFERROR(__xludf.DUMMYFUNCTION("QUERY('Volunteer Survey'!O245)"),"")</f>
        <v/>
      </c>
      <c r="W238" s="75" t="str">
        <f>IFERROR(__xludf.DUMMYFUNCTION("QUERY('Volunteer Survey'!P245)"),"")</f>
        <v/>
      </c>
      <c r="X238" s="74" t="str">
        <f>IFERROR(__xludf.DUMMYFUNCTION("QUERY('Volunteer Survey'!R245)"),"")</f>
        <v/>
      </c>
      <c r="Y238" s="61"/>
      <c r="Z238" s="62"/>
      <c r="AA238" s="62"/>
      <c r="AB238" s="62"/>
      <c r="AC238" s="62"/>
      <c r="AD238" s="62"/>
      <c r="AE238" s="62"/>
      <c r="AF238" s="62"/>
      <c r="AG238" s="62"/>
      <c r="AH238" s="62"/>
      <c r="AI238" s="62"/>
      <c r="AJ238" s="62"/>
      <c r="AK238" s="62"/>
      <c r="AL238" s="62"/>
      <c r="AM238" s="62"/>
      <c r="AN238" s="62"/>
      <c r="AO238" s="62"/>
    </row>
    <row r="239">
      <c r="A239" s="59">
        <f>IFERROR(__xludf.DUMMYFUNCTION("QUERY('Volunteer Survey'!A246)"),43662.48937493055)</f>
        <v>43662.48937</v>
      </c>
      <c r="B239" s="60" t="s">
        <v>274</v>
      </c>
      <c r="C239" s="61"/>
      <c r="D239" s="62"/>
      <c r="E239" s="62"/>
      <c r="F239" s="60" t="s">
        <v>182</v>
      </c>
      <c r="G239" s="60" t="s">
        <v>288</v>
      </c>
      <c r="H239" s="61"/>
      <c r="I239" s="63" t="s">
        <v>189</v>
      </c>
      <c r="J239" s="62"/>
      <c r="K239" s="62"/>
      <c r="L239" s="62" t="str">
        <f>IFERROR(__xludf.DUMMYFUNCTION("QUERY('Volunteer Survey'!B246)"),"Bryan Gall")</f>
        <v>Bryan Gall</v>
      </c>
      <c r="M239" s="62" t="str">
        <f>IFERROR(__xludf.DUMMYFUNCTION("QUERY('Volunteer Survey'!E246)"),"bgall005@gmail.com")</f>
        <v>bgall005@gmail.com</v>
      </c>
      <c r="N239" s="62" t="str">
        <f>IFERROR(__xludf.DUMMYFUNCTION("QUERY('Volunteer Survey'!F246)"),"Variant Analyst/Scientist - Industry")</f>
        <v>Variant Analyst/Scientist - Industry</v>
      </c>
      <c r="O239" s="60" t="str">
        <f>IFERROR(__xludf.DUMMYFUNCTION("QUERY('Volunteer Survey'!H246)"),"Comprehensive")</f>
        <v>Comprehensive</v>
      </c>
      <c r="P239" s="62" t="str">
        <f>IFERROR(__xludf.DUMMYFUNCTION("QUERY('Volunteer Survey'!I246)"),"Variant Pathogenicity")</f>
        <v>Variant Pathogenicity</v>
      </c>
      <c r="Q239" s="66" t="str">
        <f>IFERROR(__xludf.DUMMYFUNCTION("QUERY('Volunteer Survey'!J246)"),"Clinical Actionability")</f>
        <v>Clinical Actionability</v>
      </c>
      <c r="R239" s="62" t="str">
        <f>IFERROR(__xludf.DUMMYFUNCTION("QUERY('Volunteer Survey'!K246)"),"Gene-Disease Validity")</f>
        <v>Gene-Disease Validity</v>
      </c>
      <c r="S239" s="62" t="str">
        <f>IFERROR(__xludf.DUMMYFUNCTION("QUERY('Volunteer Survey'!L246)"),"Somatic Cancer")</f>
        <v>Somatic Cancer</v>
      </c>
      <c r="T239" s="62" t="str">
        <f>IFERROR(__xludf.DUMMYFUNCTION("QUERY('Volunteer Survey'!M246)"),"Dosage Sensitivity")</f>
        <v>Dosage Sensitivity</v>
      </c>
      <c r="U239" s="74" t="str">
        <f>IFERROR(__xludf.DUMMYFUNCTION("QUERY('Volunteer Survey'!N246)"),"Manual variant interpretation using ClinGen resources")</f>
        <v>Manual variant interpretation using ClinGen resources</v>
      </c>
      <c r="V239" s="62" t="str">
        <f>IFERROR(__xludf.DUMMYFUNCTION("QUERY('Volunteer Survey'!O246)"),"No")</f>
        <v>No</v>
      </c>
      <c r="W239" s="75" t="str">
        <f>IFERROR(__xludf.DUMMYFUNCTION("QUERY('Volunteer Survey'!P246)"),"Colorectal Cancer, Familial Hypercholesterolemia, and Myeloid Malignancy")</f>
        <v>Colorectal Cancer, Familial Hypercholesterolemia, and Myeloid Malignancy</v>
      </c>
      <c r="X239" s="74" t="str">
        <f>IFERROR(__xludf.DUMMYFUNCTION("QUERY('Volunteer Survey'!R246)"),"Yes- I am willing to volunteer with any available ClinGen group")</f>
        <v>Yes- I am willing to volunteer with any available ClinGen group</v>
      </c>
      <c r="Y239" s="61"/>
      <c r="Z239" s="62"/>
      <c r="AA239" s="62"/>
      <c r="AB239" s="62"/>
      <c r="AC239" s="62"/>
      <c r="AD239" s="62"/>
      <c r="AE239" s="62"/>
      <c r="AF239" s="62"/>
      <c r="AG239" s="62"/>
      <c r="AH239" s="62"/>
      <c r="AI239" s="62"/>
      <c r="AJ239" s="62"/>
      <c r="AK239" s="62"/>
      <c r="AL239" s="62"/>
      <c r="AM239" s="62"/>
      <c r="AN239" s="62"/>
      <c r="AO239" s="62"/>
    </row>
    <row r="240">
      <c r="A240" s="59">
        <f>IFERROR(__xludf.DUMMYFUNCTION("QUERY('Volunteer Survey'!A247)"),43663.56819197916)</f>
        <v>43663.56819</v>
      </c>
      <c r="B240" s="60" t="s">
        <v>275</v>
      </c>
      <c r="C240" s="61"/>
      <c r="D240" s="82">
        <v>43692.0</v>
      </c>
      <c r="E240" s="60" t="s">
        <v>277</v>
      </c>
      <c r="F240" s="60" t="s">
        <v>277</v>
      </c>
      <c r="G240" s="60" t="s">
        <v>278</v>
      </c>
      <c r="H240" s="61"/>
      <c r="I240" s="63" t="s">
        <v>189</v>
      </c>
      <c r="J240" s="62"/>
      <c r="K240" s="62"/>
      <c r="L240" s="62" t="str">
        <f>IFERROR(__xludf.DUMMYFUNCTION("QUERY('Volunteer Survey'!B247)"),"Hwaida Hannoush")</f>
        <v>Hwaida Hannoush</v>
      </c>
      <c r="M240" s="62" t="str">
        <f>IFERROR(__xludf.DUMMYFUNCTION("QUERY('Volunteer Survey'!E247)"),"hhannoush@acmg.net")</f>
        <v>hhannoush@acmg.net</v>
      </c>
      <c r="N240" s="62" t="str">
        <f>IFERROR(__xludf.DUMMYFUNCTION("QUERY('Volunteer Survey'!F247)"),"Post Doc/Resident/Fellow (MD and/or PhD)")</f>
        <v>Post Doc/Resident/Fellow (MD and/or PhD)</v>
      </c>
      <c r="O240" s="60" t="str">
        <f>IFERROR(__xludf.DUMMYFUNCTION("QUERY('Volunteer Survey'!H247)"),"Comprehensive")</f>
        <v>Comprehensive</v>
      </c>
      <c r="P240" s="62" t="str">
        <f>IFERROR(__xludf.DUMMYFUNCTION("QUERY('Volunteer Survey'!I247)"),"Gene-Disease Validity")</f>
        <v>Gene-Disease Validity</v>
      </c>
      <c r="Q240" s="66" t="str">
        <f>IFERROR(__xludf.DUMMYFUNCTION("QUERY('Volunteer Survey'!J247)"),"Variant Pathogenicity")</f>
        <v>Variant Pathogenicity</v>
      </c>
      <c r="R240" s="62" t="str">
        <f>IFERROR(__xludf.DUMMYFUNCTION("QUERY('Volunteer Survey'!K247)"),"")</f>
        <v/>
      </c>
      <c r="S240" s="62" t="str">
        <f>IFERROR(__xludf.DUMMYFUNCTION("QUERY('Volunteer Survey'!L247)"),"")</f>
        <v/>
      </c>
      <c r="T240" s="62" t="str">
        <f>IFERROR(__xludf.DUMMYFUNCTION("QUERY('Volunteer Survey'!M247)"),"")</f>
        <v/>
      </c>
      <c r="U240" s="74" t="str">
        <f>IFERROR(__xludf.DUMMYFUNCTION("QUERY('Volunteer Survey'!N247)"),"None")</f>
        <v>None</v>
      </c>
      <c r="V240" s="62" t="str">
        <f>IFERROR(__xludf.DUMMYFUNCTION("QUERY('Volunteer Survey'!O247)"),"No")</f>
        <v>No</v>
      </c>
      <c r="W240" s="75" t="str">
        <f>IFERROR(__xludf.DUMMYFUNCTION("QUERY('Volunteer Survey'!P247)"),"Cardiomyopathy, Familial Hypercholesterolemia")</f>
        <v>Cardiomyopathy, Familial Hypercholesterolemia</v>
      </c>
      <c r="X240" s="74" t="str">
        <f>IFERROR(__xludf.DUMMYFUNCTION("QUERY('Volunteer Survey'!R247)"),"Maybe -- please contact me with other options, and I will decide based on what is available")</f>
        <v>Maybe -- please contact me with other options, and I will decide based on what is available</v>
      </c>
      <c r="Y240" s="61"/>
      <c r="Z240" s="62"/>
      <c r="AA240" s="62"/>
      <c r="AB240" s="62"/>
      <c r="AC240" s="62"/>
      <c r="AD240" s="62"/>
      <c r="AE240" s="62"/>
      <c r="AF240" s="62"/>
      <c r="AG240" s="62"/>
      <c r="AH240" s="62"/>
      <c r="AI240" s="62"/>
      <c r="AJ240" s="62"/>
      <c r="AK240" s="62"/>
      <c r="AL240" s="62"/>
      <c r="AM240" s="62"/>
      <c r="AN240" s="62"/>
      <c r="AO240" s="62"/>
    </row>
    <row r="241">
      <c r="A241" s="59">
        <f>IFERROR(__xludf.DUMMYFUNCTION("QUERY('Volunteer Survey'!A248)"),43663.98611565972)</f>
        <v>43663.98612</v>
      </c>
      <c r="B241" s="60" t="s">
        <v>275</v>
      </c>
      <c r="C241" s="80">
        <v>43689.0</v>
      </c>
      <c r="D241" s="62"/>
      <c r="E241" s="62"/>
      <c r="F241" s="60" t="s">
        <v>182</v>
      </c>
      <c r="G241" s="60" t="s">
        <v>27</v>
      </c>
      <c r="H241" s="76"/>
      <c r="I241" s="63" t="s">
        <v>189</v>
      </c>
      <c r="J241" s="62"/>
      <c r="K241" s="62"/>
      <c r="L241" s="62" t="str">
        <f>IFERROR(__xludf.DUMMYFUNCTION("QUERY('Volunteer Survey'!B248)"),"Rawan Awwad")</f>
        <v>Rawan Awwad</v>
      </c>
      <c r="M241" s="62" t="str">
        <f>IFERROR(__xludf.DUMMYFUNCTION("QUERY('Volunteer Survey'!E248)"),"rawan.awwad@gmail.com")</f>
        <v>rawan.awwad@gmail.com</v>
      </c>
      <c r="N241" s="62" t="str">
        <f>IFERROR(__xludf.DUMMYFUNCTION("QUERY('Volunteer Survey'!F248)"),"Genetic counselor")</f>
        <v>Genetic counselor</v>
      </c>
      <c r="O241" s="60" t="str">
        <f>IFERROR(__xludf.DUMMYFUNCTION("QUERY('Volunteer Survey'!H248)"),"Comprehensive")</f>
        <v>Comprehensive</v>
      </c>
      <c r="P241" s="62" t="str">
        <f>IFERROR(__xludf.DUMMYFUNCTION("QUERY('Volunteer Survey'!I248)"),"Clinical Actionability")</f>
        <v>Clinical Actionability</v>
      </c>
      <c r="Q241" s="66" t="str">
        <f>IFERROR(__xludf.DUMMYFUNCTION("QUERY('Volunteer Survey'!J248)"),"Gene-Disease Validity")</f>
        <v>Gene-Disease Validity</v>
      </c>
      <c r="R241" s="62" t="str">
        <f>IFERROR(__xludf.DUMMYFUNCTION("QUERY('Volunteer Survey'!K248)"),"Variant Pathogenicity")</f>
        <v>Variant Pathogenicity</v>
      </c>
      <c r="S241" s="62" t="str">
        <f>IFERROR(__xludf.DUMMYFUNCTION("QUERY('Volunteer Survey'!L248)"),"")</f>
        <v/>
      </c>
      <c r="T241" s="62" t="str">
        <f>IFERROR(__xludf.DUMMYFUNCTION("QUERY('Volunteer Survey'!M248)"),"")</f>
        <v/>
      </c>
      <c r="U241" s="74" t="str">
        <f>IFERROR(__xludf.DUMMYFUNCTION("QUERY('Volunteer Survey'!N248)"),"No but I know I can pick it up ")</f>
        <v>No but I know I can pick it up </v>
      </c>
      <c r="V241" s="62" t="str">
        <f>IFERROR(__xludf.DUMMYFUNCTION("QUERY('Volunteer Survey'!O248)"),"No")</f>
        <v>No</v>
      </c>
      <c r="W241" s="75" t="str">
        <f>IFERROR(__xludf.DUMMYFUNCTION("QUERY('Volunteer Survey'!P248)"),"Clinical actionability for Peds ")</f>
        <v>Clinical actionability for Peds </v>
      </c>
      <c r="X241" s="74" t="str">
        <f>IFERROR(__xludf.DUMMYFUNCTION("QUERY('Volunteer Survey'!R248)"),"Maybe -- please contact me with other options, and I will decide based on what is available")</f>
        <v>Maybe -- please contact me with other options, and I will decide based on what is available</v>
      </c>
      <c r="Y241" s="61"/>
      <c r="Z241" s="62"/>
      <c r="AA241" s="62"/>
      <c r="AB241" s="62"/>
      <c r="AC241" s="62"/>
      <c r="AD241" s="62"/>
      <c r="AE241" s="62"/>
      <c r="AF241" s="62"/>
      <c r="AG241" s="62"/>
      <c r="AH241" s="62"/>
      <c r="AI241" s="62"/>
      <c r="AJ241" s="62"/>
      <c r="AK241" s="62"/>
      <c r="AL241" s="62"/>
      <c r="AM241" s="62"/>
      <c r="AN241" s="62"/>
      <c r="AO241" s="62"/>
    </row>
    <row r="242">
      <c r="A242" s="59">
        <f>IFERROR(__xludf.DUMMYFUNCTION("QUERY('Volunteer Survey'!A249)"),43665.50623513889)</f>
        <v>43665.50624</v>
      </c>
      <c r="B242" s="60" t="s">
        <v>274</v>
      </c>
      <c r="C242" s="80"/>
      <c r="D242" s="62"/>
      <c r="E242" s="62"/>
      <c r="F242" s="60" t="s">
        <v>182</v>
      </c>
      <c r="G242" s="60" t="s">
        <v>288</v>
      </c>
      <c r="H242" s="61"/>
      <c r="I242" s="63" t="s">
        <v>189</v>
      </c>
      <c r="J242" s="62"/>
      <c r="K242" s="62"/>
      <c r="L242" s="62" t="str">
        <f>IFERROR(__xludf.DUMMYFUNCTION("QUERY('Volunteer Survey'!B249)"),"Yanhui Li")</f>
        <v>Yanhui Li</v>
      </c>
      <c r="M242" s="62" t="str">
        <f>IFERROR(__xludf.DUMMYFUNCTION("QUERY('Volunteer Survey'!E249)"),"yxl280@gmail.com")</f>
        <v>yxl280@gmail.com</v>
      </c>
      <c r="N242" s="62" t="str">
        <f>IFERROR(__xludf.DUMMYFUNCTION("QUERY('Volunteer Survey'!F249)"),"Post Doc/Resident/Fellow (MD and/or PhD)")</f>
        <v>Post Doc/Resident/Fellow (MD and/or PhD)</v>
      </c>
      <c r="O242" s="60" t="str">
        <f>IFERROR(__xludf.DUMMYFUNCTION("QUERY('Volunteer Survey'!H249)"),"Comprehensive")</f>
        <v>Comprehensive</v>
      </c>
      <c r="P242" s="62" t="str">
        <f>IFERROR(__xludf.DUMMYFUNCTION("QUERY('Volunteer Survey'!I249)"),"Variant Pathogenicity")</f>
        <v>Variant Pathogenicity</v>
      </c>
      <c r="Q242" s="66" t="str">
        <f>IFERROR(__xludf.DUMMYFUNCTION("QUERY('Volunteer Survey'!J249)"),"Gene-Disease Validity")</f>
        <v>Gene-Disease Validity</v>
      </c>
      <c r="R242" s="62" t="str">
        <f>IFERROR(__xludf.DUMMYFUNCTION("QUERY('Volunteer Survey'!K249)"),"Somatic Cancer")</f>
        <v>Somatic Cancer</v>
      </c>
      <c r="S242" s="62" t="str">
        <f>IFERROR(__xludf.DUMMYFUNCTION("QUERY('Volunteer Survey'!L249)"),"Clinical Actionability")</f>
        <v>Clinical Actionability</v>
      </c>
      <c r="T242" s="62" t="str">
        <f>IFERROR(__xludf.DUMMYFUNCTION("QUERY('Volunteer Survey'!M249)"),"Dosage Sensitivity")</f>
        <v>Dosage Sensitivity</v>
      </c>
      <c r="U242" s="74" t="str">
        <f>IFERROR(__xludf.DUMMYFUNCTION("QUERY('Volunteer Survey'!N249)"),"")</f>
        <v/>
      </c>
      <c r="V242" s="62" t="str">
        <f>IFERROR(__xludf.DUMMYFUNCTION("QUERY('Volunteer Survey'!O249)"),"Possibly")</f>
        <v>Possibly</v>
      </c>
      <c r="W242" s="75" t="str">
        <f>IFERROR(__xludf.DUMMYFUNCTION("QUERY('Volunteer Survey'!P249)"),"Yes")</f>
        <v>Yes</v>
      </c>
      <c r="X242" s="74" t="str">
        <f>IFERROR(__xludf.DUMMYFUNCTION("QUERY('Volunteer Survey'!R249)"),"Yes- I am willing to volunteer with any available ClinGen group")</f>
        <v>Yes- I am willing to volunteer with any available ClinGen group</v>
      </c>
      <c r="Y242" s="61"/>
      <c r="Z242" s="62"/>
      <c r="AA242" s="62"/>
      <c r="AB242" s="62"/>
      <c r="AC242" s="62"/>
      <c r="AD242" s="62"/>
      <c r="AE242" s="62"/>
      <c r="AF242" s="62"/>
      <c r="AG242" s="62"/>
      <c r="AH242" s="62"/>
      <c r="AI242" s="62"/>
      <c r="AJ242" s="62"/>
      <c r="AK242" s="62"/>
      <c r="AL242" s="62"/>
      <c r="AM242" s="62"/>
      <c r="AN242" s="62"/>
      <c r="AO242" s="62"/>
    </row>
    <row r="243">
      <c r="A243" s="59">
        <f>IFERROR(__xludf.DUMMYFUNCTION("QUERY('Volunteer Survey'!A250)"),43668.94500358796)</f>
        <v>43668.945</v>
      </c>
      <c r="B243" s="60" t="s">
        <v>275</v>
      </c>
      <c r="C243" s="80">
        <v>43689.0</v>
      </c>
      <c r="D243" s="62"/>
      <c r="E243" s="62"/>
      <c r="F243" s="60" t="s">
        <v>182</v>
      </c>
      <c r="G243" s="60" t="s">
        <v>27</v>
      </c>
      <c r="H243" s="76"/>
      <c r="I243" s="63" t="s">
        <v>189</v>
      </c>
      <c r="J243" s="62"/>
      <c r="K243" s="62"/>
      <c r="L243" s="62" t="str">
        <f>IFERROR(__xludf.DUMMYFUNCTION("QUERY('Volunteer Survey'!B250)"),"Leila Jamal")</f>
        <v>Leila Jamal</v>
      </c>
      <c r="M243" s="62" t="str">
        <f>IFERROR(__xludf.DUMMYFUNCTION("QUERY('Volunteer Survey'!E250)"),"leila.jamal@nih.gov")</f>
        <v>leila.jamal@nih.gov</v>
      </c>
      <c r="N243" s="62" t="str">
        <f>IFERROR(__xludf.DUMMYFUNCTION("QUERY('Volunteer Survey'!F250)"),"Genetic counselor")</f>
        <v>Genetic counselor</v>
      </c>
      <c r="O243" s="60" t="str">
        <f>IFERROR(__xludf.DUMMYFUNCTION("QUERY('Volunteer Survey'!H250)"),"Comprehensive")</f>
        <v>Comprehensive</v>
      </c>
      <c r="P243" s="62" t="str">
        <f>IFERROR(__xludf.DUMMYFUNCTION("QUERY('Volunteer Survey'!I250)"),"Clinical Actionability")</f>
        <v>Clinical Actionability</v>
      </c>
      <c r="Q243" s="66" t="str">
        <f>IFERROR(__xludf.DUMMYFUNCTION("QUERY('Volunteer Survey'!J250)"),"Gene-Disease Validity")</f>
        <v>Gene-Disease Validity</v>
      </c>
      <c r="R243" s="62" t="str">
        <f>IFERROR(__xludf.DUMMYFUNCTION("QUERY('Volunteer Survey'!K250)"),"Variant Pathogenicity")</f>
        <v>Variant Pathogenicity</v>
      </c>
      <c r="S243" s="62" t="str">
        <f>IFERROR(__xludf.DUMMYFUNCTION("QUERY('Volunteer Survey'!L250)"),"")</f>
        <v/>
      </c>
      <c r="T243" s="62" t="str">
        <f>IFERROR(__xludf.DUMMYFUNCTION("QUERY('Volunteer Survey'!M250)"),"")</f>
        <v/>
      </c>
      <c r="U243" s="74" t="str">
        <f>IFERROR(__xludf.DUMMYFUNCTION("QUERY('Volunteer Survey'!N250)"),"I have PhD training in public health and have also written clinical test reports for study participants enrolled in a large sequencing research protocol at NIAID (on which I am a co-investigator).   ")</f>
        <v>I have PhD training in public health and have also written clinical test reports for study participants enrolled in a large sequencing research protocol at NIAID (on which I am a co-investigator).   </v>
      </c>
      <c r="V243" s="62" t="str">
        <f>IFERROR(__xludf.DUMMYFUNCTION("QUERY('Volunteer Survey'!O250)"),"No")</f>
        <v>No</v>
      </c>
      <c r="W243" s="75" t="str">
        <f>IFERROR(__xludf.DUMMYFUNCTION("QUERY('Volunteer Survey'!P250)"),"I am most interested in the Pediatric Actionability Working Group and/or the Charcot-Marie-Tooth Gene Curation Group.  I would consider joining other gene or variant curation working groups as well.   ")</f>
        <v>I am most interested in the Pediatric Actionability Working Group and/or the Charcot-Marie-Tooth Gene Curation Group.  I would consider joining other gene or variant curation working groups as well.   </v>
      </c>
      <c r="X243" s="74" t="str">
        <f>IFERROR(__xludf.DUMMYFUNCTION("QUERY('Volunteer Survey'!R250)"),"Maybe -- please contact me with other options, and I will decide based on what is available")</f>
        <v>Maybe -- please contact me with other options, and I will decide based on what is available</v>
      </c>
      <c r="Y243" s="61"/>
      <c r="Z243" s="62"/>
      <c r="AA243" s="62"/>
      <c r="AB243" s="62"/>
      <c r="AC243" s="62"/>
      <c r="AD243" s="62"/>
      <c r="AE243" s="62"/>
      <c r="AF243" s="62"/>
      <c r="AG243" s="62"/>
      <c r="AH243" s="62"/>
      <c r="AI243" s="62"/>
      <c r="AJ243" s="62"/>
      <c r="AK243" s="62"/>
      <c r="AL243" s="62"/>
      <c r="AM243" s="62"/>
      <c r="AN243" s="62"/>
      <c r="AO243" s="62"/>
    </row>
    <row r="244">
      <c r="A244" s="59">
        <f>IFERROR(__xludf.DUMMYFUNCTION("QUERY('Volunteer Survey'!A251)"),43671.887762453705)</f>
        <v>43671.88776</v>
      </c>
      <c r="B244" s="60" t="s">
        <v>275</v>
      </c>
      <c r="C244" s="80">
        <v>43819.0</v>
      </c>
      <c r="D244" s="62"/>
      <c r="E244" s="62"/>
      <c r="F244" s="60" t="s">
        <v>182</v>
      </c>
      <c r="G244" s="60" t="s">
        <v>288</v>
      </c>
      <c r="H244" s="61"/>
      <c r="I244" s="63" t="s">
        <v>189</v>
      </c>
      <c r="J244" s="62"/>
      <c r="K244" s="62"/>
      <c r="L244" s="62" t="str">
        <f>IFERROR(__xludf.DUMMYFUNCTION("QUERY('Volunteer Survey'!B251)"),"Shahad Rahawi")</f>
        <v>Shahad Rahawi</v>
      </c>
      <c r="M244" s="62" t="str">
        <f>IFERROR(__xludf.DUMMYFUNCTION("QUERY('Volunteer Survey'!E251)"),"shahadrahawi@gmail.com")</f>
        <v>shahadrahawi@gmail.com</v>
      </c>
      <c r="N244" s="62" t="str">
        <f>IFERROR(__xludf.DUMMYFUNCTION("QUERY('Volunteer Survey'!F251)"),"Genetic counselor")</f>
        <v>Genetic counselor</v>
      </c>
      <c r="O244" s="60" t="str">
        <f>IFERROR(__xludf.DUMMYFUNCTION("QUERY('Volunteer Survey'!H251)"),"Comprehensive")</f>
        <v>Comprehensive</v>
      </c>
      <c r="P244" s="62" t="str">
        <f>IFERROR(__xludf.DUMMYFUNCTION("QUERY('Volunteer Survey'!I251)"),"Variant Pathogenicity")</f>
        <v>Variant Pathogenicity</v>
      </c>
      <c r="Q244" s="66" t="str">
        <f>IFERROR(__xludf.DUMMYFUNCTION("QUERY('Volunteer Survey'!J251)"),"Gene-Disease Validity")</f>
        <v>Gene-Disease Validity</v>
      </c>
      <c r="R244" s="62" t="str">
        <f>IFERROR(__xludf.DUMMYFUNCTION("QUERY('Volunteer Survey'!K251)"),"Clinical Actionability")</f>
        <v>Clinical Actionability</v>
      </c>
      <c r="S244" s="62" t="str">
        <f>IFERROR(__xludf.DUMMYFUNCTION("QUERY('Volunteer Survey'!L251)"),"Dosage Sensitivity")</f>
        <v>Dosage Sensitivity</v>
      </c>
      <c r="T244" s="62" t="str">
        <f>IFERROR(__xludf.DUMMYFUNCTION("QUERY('Volunteer Survey'!M251)"),"Somatic Cancer")</f>
        <v>Somatic Cancer</v>
      </c>
      <c r="U244" s="74" t="str">
        <f>IFERROR(__xludf.DUMMYFUNCTION("QUERY('Volunteer Survey'!N251)"),"brief variant interpretation activities in ""analyze your genome"" class in grad school")</f>
        <v>brief variant interpretation activities in "analyze your genome" class in grad school</v>
      </c>
      <c r="V244" s="62" t="str">
        <f>IFERROR(__xludf.DUMMYFUNCTION("QUERY('Volunteer Survey'!O251)"),"Possibly")</f>
        <v>Possibly</v>
      </c>
      <c r="W244" s="75" t="str">
        <f>IFERROR(__xludf.DUMMYFUNCTION("QUERY('Volunteer Survey'!P251)"),"")</f>
        <v/>
      </c>
      <c r="X244" s="74" t="str">
        <f>IFERROR(__xludf.DUMMYFUNCTION("QUERY('Volunteer Survey'!R251)"),"Yes- I am willing to volunteer with any available ClinGen group")</f>
        <v>Yes- I am willing to volunteer with any available ClinGen group</v>
      </c>
      <c r="Y244" s="61"/>
      <c r="Z244" s="62"/>
      <c r="AA244" s="62"/>
      <c r="AB244" s="62"/>
      <c r="AC244" s="62"/>
      <c r="AD244" s="62"/>
      <c r="AE244" s="62"/>
      <c r="AF244" s="62"/>
      <c r="AG244" s="62"/>
      <c r="AH244" s="62"/>
      <c r="AI244" s="62"/>
      <c r="AJ244" s="62"/>
      <c r="AK244" s="62"/>
      <c r="AL244" s="62"/>
      <c r="AM244" s="62"/>
      <c r="AN244" s="62"/>
      <c r="AO244" s="62"/>
    </row>
    <row r="245">
      <c r="A245" s="59">
        <f>IFERROR(__xludf.DUMMYFUNCTION("QUERY('Volunteer Survey'!A252)"),43672.24757622685)</f>
        <v>43672.24758</v>
      </c>
      <c r="B245" s="60" t="s">
        <v>275</v>
      </c>
      <c r="C245" s="61"/>
      <c r="D245" s="62"/>
      <c r="E245" s="62"/>
      <c r="F245" s="60" t="s">
        <v>182</v>
      </c>
      <c r="G245" s="60" t="s">
        <v>276</v>
      </c>
      <c r="H245" s="61"/>
      <c r="I245" s="63" t="s">
        <v>189</v>
      </c>
      <c r="J245" s="62"/>
      <c r="K245" s="62"/>
      <c r="L245" s="62" t="str">
        <f>IFERROR(__xludf.DUMMYFUNCTION("QUERY('Volunteer Survey'!B252)"),"John Beilby")</f>
        <v>John Beilby</v>
      </c>
      <c r="M245" s="62" t="str">
        <f>IFERROR(__xludf.DUMMYFUNCTION("QUERY('Volunteer Survey'!E252)"),"John.Beilby@health.wa.gov.au")</f>
        <v>John.Beilby@health.wa.gov.au</v>
      </c>
      <c r="N245" s="62" t="str">
        <f>IFERROR(__xludf.DUMMYFUNCTION("QUERY('Volunteer Survey'!F252)"),"Clinical laboratory geneticist")</f>
        <v>Clinical laboratory geneticist</v>
      </c>
      <c r="O245" s="60" t="str">
        <f>IFERROR(__xludf.DUMMYFUNCTION("QUERY('Volunteer Survey'!H252)"),"Baseline")</f>
        <v>Baseline</v>
      </c>
      <c r="P245" s="62" t="str">
        <f>IFERROR(__xludf.DUMMYFUNCTION("QUERY('Volunteer Survey'!I252)"),"Variant Pathogenicity")</f>
        <v>Variant Pathogenicity</v>
      </c>
      <c r="Q245" s="66" t="str">
        <f>IFERROR(__xludf.DUMMYFUNCTION("QUERY('Volunteer Survey'!J252)"),"Clinical Actionability")</f>
        <v>Clinical Actionability</v>
      </c>
      <c r="R245" s="62" t="str">
        <f>IFERROR(__xludf.DUMMYFUNCTION("QUERY('Volunteer Survey'!K252)"),"Dosage Sensitivity")</f>
        <v>Dosage Sensitivity</v>
      </c>
      <c r="S245" s="62" t="str">
        <f>IFERROR(__xludf.DUMMYFUNCTION("QUERY('Volunteer Survey'!L252)"),"")</f>
        <v/>
      </c>
      <c r="T245" s="62" t="str">
        <f>IFERROR(__xludf.DUMMYFUNCTION("QUERY('Volunteer Survey'!M252)"),"")</f>
        <v/>
      </c>
      <c r="U245" s="74" t="str">
        <f>IFERROR(__xludf.DUMMYFUNCTION("QUERY('Volunteer Survey'!N252)"),"Regular classification of variants to incorporate into patient reports.")</f>
        <v>Regular classification of variants to incorporate into patient reports.</v>
      </c>
      <c r="V245" s="62" t="str">
        <f>IFERROR(__xludf.DUMMYFUNCTION("QUERY('Volunteer Survey'!O252)"),"Possibly")</f>
        <v>Possibly</v>
      </c>
      <c r="W245" s="75" t="str">
        <f>IFERROR(__xludf.DUMMYFUNCTION("QUERY('Volunteer Survey'!P252)"),"Cancer and cardiovascular diseases.")</f>
        <v>Cancer and cardiovascular diseases.</v>
      </c>
      <c r="X245" s="74" t="str">
        <f>IFERROR(__xludf.DUMMYFUNCTION("QUERY('Volunteer Survey'!R252)"),"Yes- I am willing to volunteer with any available ClinGen group")</f>
        <v>Yes- I am willing to volunteer with any available ClinGen group</v>
      </c>
      <c r="Y245" s="61"/>
      <c r="Z245" s="62"/>
      <c r="AA245" s="62"/>
      <c r="AB245" s="62"/>
      <c r="AC245" s="62"/>
      <c r="AD245" s="62"/>
      <c r="AE245" s="62"/>
      <c r="AF245" s="62"/>
      <c r="AG245" s="62"/>
      <c r="AH245" s="62"/>
      <c r="AI245" s="62"/>
      <c r="AJ245" s="62"/>
      <c r="AK245" s="62"/>
      <c r="AL245" s="62"/>
      <c r="AM245" s="62"/>
      <c r="AN245" s="62"/>
      <c r="AO245" s="62"/>
    </row>
    <row r="246">
      <c r="A246" s="59">
        <f>IFERROR(__xludf.DUMMYFUNCTION("QUERY('Volunteer Survey'!A253)"),43673.078783564815)</f>
        <v>43673.07878</v>
      </c>
      <c r="B246" s="60" t="s">
        <v>178</v>
      </c>
      <c r="C246" s="80">
        <v>43689.0</v>
      </c>
      <c r="D246" s="62"/>
      <c r="E246" s="62"/>
      <c r="F246" s="60" t="s">
        <v>182</v>
      </c>
      <c r="G246" s="60" t="s">
        <v>27</v>
      </c>
      <c r="H246" s="63"/>
      <c r="I246" s="63" t="s">
        <v>189</v>
      </c>
      <c r="J246" s="62"/>
      <c r="K246" s="62"/>
      <c r="L246" s="62" t="str">
        <f>IFERROR(__xludf.DUMMYFUNCTION("QUERY('Volunteer Survey'!B253)"),"Parham Habibzadeh")</f>
        <v>Parham Habibzadeh</v>
      </c>
      <c r="M246" s="62" t="str">
        <f>IFERROR(__xludf.DUMMYFUNCTION("QUERY('Volunteer Survey'!E253)"),"parham.habibzadeh@yahoo.com")</f>
        <v>parham.habibzadeh@yahoo.com</v>
      </c>
      <c r="N246" s="62" t="str">
        <f>IFERROR(__xludf.DUMMYFUNCTION("QUERY('Volunteer Survey'!F253)"),"Scientific Researcher")</f>
        <v>Scientific Researcher</v>
      </c>
      <c r="O246" s="60" t="str">
        <f>IFERROR(__xludf.DUMMYFUNCTION("QUERY('Volunteer Survey'!H253)"),"Comprehensive")</f>
        <v>Comprehensive</v>
      </c>
      <c r="P246" s="62" t="str">
        <f>IFERROR(__xludf.DUMMYFUNCTION("QUERY('Volunteer Survey'!I253)"),"Clinical Actionability")</f>
        <v>Clinical Actionability</v>
      </c>
      <c r="Q246" s="66" t="str">
        <f>IFERROR(__xludf.DUMMYFUNCTION("QUERY('Volunteer Survey'!J253)"),"Variant Pathogenicity")</f>
        <v>Variant Pathogenicity</v>
      </c>
      <c r="R246" s="62" t="str">
        <f>IFERROR(__xludf.DUMMYFUNCTION("QUERY('Volunteer Survey'!K253)"),"Gene-Disease Validity")</f>
        <v>Gene-Disease Validity</v>
      </c>
      <c r="S246" s="62" t="str">
        <f>IFERROR(__xludf.DUMMYFUNCTION("QUERY('Volunteer Survey'!L253)"),"")</f>
        <v/>
      </c>
      <c r="T246" s="62" t="str">
        <f>IFERROR(__xludf.DUMMYFUNCTION("QUERY('Volunteer Survey'!M253)"),"")</f>
        <v/>
      </c>
      <c r="U246" s="74" t="str">
        <f>IFERROR(__xludf.DUMMYFUNCTION("QUERY('Volunteer Survey'!N253)"),"")</f>
        <v/>
      </c>
      <c r="V246" s="62" t="str">
        <f>IFERROR(__xludf.DUMMYFUNCTION("QUERY('Volunteer Survey'!O253)"),"Possibly")</f>
        <v>Possibly</v>
      </c>
      <c r="W246" s="75" t="str">
        <f>IFERROR(__xludf.DUMMYFUNCTION("QUERY('Volunteer Survey'!P253)"),"Cardiomyopathy, Brain Malformations")</f>
        <v>Cardiomyopathy, Brain Malformations</v>
      </c>
      <c r="X246" s="74" t="str">
        <f>IFERROR(__xludf.DUMMYFUNCTION("QUERY('Volunteer Survey'!R253)"),"Maybe -- please contact me with other options, and I will decide based on what is available")</f>
        <v>Maybe -- please contact me with other options, and I will decide based on what is available</v>
      </c>
      <c r="Y246" s="61"/>
      <c r="Z246" s="62"/>
      <c r="AA246" s="62"/>
      <c r="AB246" s="62"/>
      <c r="AC246" s="62"/>
      <c r="AD246" s="62"/>
      <c r="AE246" s="62"/>
      <c r="AF246" s="62"/>
      <c r="AG246" s="62"/>
      <c r="AH246" s="62"/>
      <c r="AI246" s="62"/>
      <c r="AJ246" s="62"/>
      <c r="AK246" s="62"/>
      <c r="AL246" s="62"/>
      <c r="AM246" s="62"/>
      <c r="AN246" s="62"/>
      <c r="AO246" s="62"/>
    </row>
    <row r="247">
      <c r="A247" s="59">
        <f>IFERROR(__xludf.DUMMYFUNCTION("QUERY('Volunteer Survey'!A254)"),43674.42165924769)</f>
        <v>43674.42166</v>
      </c>
      <c r="B247" s="60" t="s">
        <v>275</v>
      </c>
      <c r="C247" s="80">
        <v>43717.0</v>
      </c>
      <c r="D247" s="82">
        <v>43769.0</v>
      </c>
      <c r="E247" s="60" t="s">
        <v>277</v>
      </c>
      <c r="F247" s="60" t="s">
        <v>277</v>
      </c>
      <c r="G247" s="60" t="s">
        <v>27</v>
      </c>
      <c r="H247" s="63" t="s">
        <v>27</v>
      </c>
      <c r="I247" s="63" t="s">
        <v>189</v>
      </c>
      <c r="J247" s="62"/>
      <c r="K247" s="62"/>
      <c r="L247" s="62" t="str">
        <f>IFERROR(__xludf.DUMMYFUNCTION("QUERY('Volunteer Survey'!B254)"),"Xiaolin Hu")</f>
        <v>Xiaolin Hu</v>
      </c>
      <c r="M247" s="62" t="str">
        <f>IFERROR(__xludf.DUMMYFUNCTION("QUERY('Volunteer Survey'!E254)"),"xiaolin.hu@cchmc.org")</f>
        <v>xiaolin.hu@cchmc.org</v>
      </c>
      <c r="N247" s="62" t="str">
        <f>IFERROR(__xludf.DUMMYFUNCTION("QUERY('Volunteer Survey'!F254)"),"Post Doc/Resident/Fellow (MD and/or PhD)")</f>
        <v>Post Doc/Resident/Fellow (MD and/or PhD)</v>
      </c>
      <c r="O247" s="60" t="str">
        <f>IFERROR(__xludf.DUMMYFUNCTION("QUERY('Volunteer Survey'!H254)"),"Comprehensive")</f>
        <v>Comprehensive</v>
      </c>
      <c r="P247" s="62" t="str">
        <f>IFERROR(__xludf.DUMMYFUNCTION("QUERY('Volunteer Survey'!I254)"),"Clinical Actionability")</f>
        <v>Clinical Actionability</v>
      </c>
      <c r="Q247" s="66" t="str">
        <f>IFERROR(__xludf.DUMMYFUNCTION("QUERY('Volunteer Survey'!J254)"),"Somatic Cancer")</f>
        <v>Somatic Cancer</v>
      </c>
      <c r="R247" s="62" t="str">
        <f>IFERROR(__xludf.DUMMYFUNCTION("QUERY('Volunteer Survey'!K254)"),"Gene-Disease Validity")</f>
        <v>Gene-Disease Validity</v>
      </c>
      <c r="S247" s="62" t="str">
        <f>IFERROR(__xludf.DUMMYFUNCTION("QUERY('Volunteer Survey'!L254)"),"Variant Pathogenicity")</f>
        <v>Variant Pathogenicity</v>
      </c>
      <c r="T247" s="62" t="str">
        <f>IFERROR(__xludf.DUMMYFUNCTION("QUERY('Volunteer Survey'!M254)"),"Dosage Sensitivity")</f>
        <v>Dosage Sensitivity</v>
      </c>
      <c r="U247" s="74" t="str">
        <f>IFERROR(__xludf.DUMMYFUNCTION("QUERY('Volunteer Survey'!N254)"),"Yes, as part of our fellow's training")</f>
        <v>Yes, as part of our fellow's training</v>
      </c>
      <c r="V247" s="62" t="str">
        <f>IFERROR(__xludf.DUMMYFUNCTION("QUERY('Volunteer Survey'!O254)"),"Yes")</f>
        <v>Yes</v>
      </c>
      <c r="W247" s="75" t="str">
        <f>IFERROR(__xludf.DUMMYFUNCTION("QUERY('Volunteer Survey'!P254)"),"hereditary cancer, somatic cancer, Mitochondrial Diseases")</f>
        <v>hereditary cancer, somatic cancer, Mitochondrial Diseases</v>
      </c>
      <c r="X247" s="74" t="str">
        <f>IFERROR(__xludf.DUMMYFUNCTION("QUERY('Volunteer Survey'!R254)"),"Maybe -- please contact me with other options, and I will decide based on what is available")</f>
        <v>Maybe -- please contact me with other options, and I will decide based on what is available</v>
      </c>
      <c r="Y247" s="61"/>
      <c r="Z247" s="62"/>
      <c r="AA247" s="62"/>
      <c r="AB247" s="62"/>
      <c r="AC247" s="62"/>
      <c r="AD247" s="62"/>
      <c r="AE247" s="62"/>
      <c r="AF247" s="62"/>
      <c r="AG247" s="62"/>
      <c r="AH247" s="62"/>
      <c r="AI247" s="62"/>
      <c r="AJ247" s="62"/>
      <c r="AK247" s="62"/>
      <c r="AL247" s="62"/>
      <c r="AM247" s="62"/>
      <c r="AN247" s="62"/>
      <c r="AO247" s="62"/>
    </row>
    <row r="248">
      <c r="A248" s="59">
        <f>IFERROR(__xludf.DUMMYFUNCTION("QUERY('Volunteer Survey'!A255)"),43674.68125140046)</f>
        <v>43674.68125</v>
      </c>
      <c r="B248" s="60" t="s">
        <v>275</v>
      </c>
      <c r="C248" s="80">
        <v>43819.0</v>
      </c>
      <c r="D248" s="117">
        <v>43859.0</v>
      </c>
      <c r="E248" s="60" t="s">
        <v>277</v>
      </c>
      <c r="F248" s="60" t="s">
        <v>277</v>
      </c>
      <c r="G248" s="60" t="s">
        <v>288</v>
      </c>
      <c r="H248" s="61"/>
      <c r="I248" s="63" t="s">
        <v>189</v>
      </c>
      <c r="J248" s="62"/>
      <c r="K248" s="62"/>
      <c r="L248" s="62" t="str">
        <f>IFERROR(__xludf.DUMMYFUNCTION("QUERY('Volunteer Survey'!B255)"),"Leighton Telling")</f>
        <v>Leighton Telling</v>
      </c>
      <c r="M248" s="62" t="str">
        <f>IFERROR(__xludf.DUMMYFUNCTION("QUERY('Volunteer Survey'!E255)"),"lptellin@ncsu.edu")</f>
        <v>lptellin@ncsu.edu</v>
      </c>
      <c r="N248" s="62" t="str">
        <f>IFERROR(__xludf.DUMMYFUNCTION("QUERY('Volunteer Survey'!F255)"),"Former UNC ClinGen Research Assistant")</f>
        <v>Former UNC ClinGen Research Assistant</v>
      </c>
      <c r="O248" s="60" t="str">
        <f>IFERROR(__xludf.DUMMYFUNCTION("QUERY('Volunteer Survey'!H255)"),"Comprehensive")</f>
        <v>Comprehensive</v>
      </c>
      <c r="P248" s="62" t="str">
        <f>IFERROR(__xludf.DUMMYFUNCTION("QUERY('Volunteer Survey'!I255)"),"Variant Pathogenicity")</f>
        <v>Variant Pathogenicity</v>
      </c>
      <c r="Q248" s="66" t="str">
        <f>IFERROR(__xludf.DUMMYFUNCTION("QUERY('Volunteer Survey'!J255)"),"")</f>
        <v/>
      </c>
      <c r="R248" s="62" t="str">
        <f>IFERROR(__xludf.DUMMYFUNCTION("QUERY('Volunteer Survey'!K255)"),"")</f>
        <v/>
      </c>
      <c r="S248" s="62" t="str">
        <f>IFERROR(__xludf.DUMMYFUNCTION("QUERY('Volunteer Survey'!L255)"),"")</f>
        <v/>
      </c>
      <c r="T248" s="62" t="str">
        <f>IFERROR(__xludf.DUMMYFUNCTION("QUERY('Volunteer Survey'!M255)"),"")</f>
        <v/>
      </c>
      <c r="U248" s="74" t="str">
        <f>IFERROR(__xludf.DUMMYFUNCTION("QUERY('Volunteer Survey'!N255)"),"")</f>
        <v/>
      </c>
      <c r="V248" s="62" t="str">
        <f>IFERROR(__xludf.DUMMYFUNCTION("QUERY('Volunteer Survey'!O255)"),"Yes")</f>
        <v>Yes</v>
      </c>
      <c r="W248" s="75" t="str">
        <f>IFERROR(__xludf.DUMMYFUNCTION("QUERY('Volunteer Survey'!P255)"),"N/A")</f>
        <v>N/A</v>
      </c>
      <c r="X248" s="74" t="str">
        <f>IFERROR(__xludf.DUMMYFUNCTION("QUERY('Volunteer Survey'!R255)"),"Yes- I am willing to volunteer with any available ClinGen group")</f>
        <v>Yes- I am willing to volunteer with any available ClinGen group</v>
      </c>
      <c r="Y248" s="61"/>
      <c r="Z248" s="62"/>
      <c r="AA248" s="62"/>
      <c r="AB248" s="62"/>
      <c r="AC248" s="62"/>
      <c r="AD248" s="62"/>
      <c r="AE248" s="62"/>
      <c r="AF248" s="62"/>
      <c r="AG248" s="62"/>
      <c r="AH248" s="62"/>
      <c r="AI248" s="62"/>
      <c r="AJ248" s="62"/>
      <c r="AK248" s="62"/>
      <c r="AL248" s="62"/>
      <c r="AM248" s="62"/>
      <c r="AN248" s="62"/>
      <c r="AO248" s="62"/>
    </row>
    <row r="249">
      <c r="A249" s="59">
        <f>IFERROR(__xludf.DUMMYFUNCTION("QUERY('Volunteer Survey'!A256)"),43675.64387090278)</f>
        <v>43675.64387</v>
      </c>
      <c r="B249" s="60" t="s">
        <v>282</v>
      </c>
      <c r="C249" s="80">
        <v>43705.0</v>
      </c>
      <c r="D249" s="82">
        <v>43719.0</v>
      </c>
      <c r="E249" s="60" t="s">
        <v>277</v>
      </c>
      <c r="F249" s="60" t="s">
        <v>182</v>
      </c>
      <c r="G249" s="60" t="s">
        <v>150</v>
      </c>
      <c r="H249" s="63" t="s">
        <v>354</v>
      </c>
      <c r="I249" s="63" t="s">
        <v>189</v>
      </c>
      <c r="J249" s="62"/>
      <c r="K249" s="62"/>
      <c r="L249" s="62" t="str">
        <f>IFERROR(__xludf.DUMMYFUNCTION("QUERY('Volunteer Survey'!B256)"),"Panieh Terraf")</f>
        <v>Panieh Terraf</v>
      </c>
      <c r="M249" s="62" t="str">
        <f>IFERROR(__xludf.DUMMYFUNCTION("QUERY('Volunteer Survey'!E256)"),"pterraf@bwh.harvard.edu")</f>
        <v>pterraf@bwh.harvard.edu</v>
      </c>
      <c r="N249" s="62" t="str">
        <f>IFERROR(__xludf.DUMMYFUNCTION("QUERY('Volunteer Survey'!F256)"),"Clinical laboratory geneticist")</f>
        <v>Clinical laboratory geneticist</v>
      </c>
      <c r="O249" s="60" t="str">
        <f>IFERROR(__xludf.DUMMYFUNCTION("QUERY('Volunteer Survey'!H256)"),"Comprehensive")</f>
        <v>Comprehensive</v>
      </c>
      <c r="P249" s="62" t="str">
        <f>IFERROR(__xludf.DUMMYFUNCTION("QUERY('Volunteer Survey'!I256)"),"Somatic Cancer")</f>
        <v>Somatic Cancer</v>
      </c>
      <c r="Q249" s="66" t="str">
        <f>IFERROR(__xludf.DUMMYFUNCTION("QUERY('Volunteer Survey'!J256)"),"Variant Pathogenicity, Dosage Sensitivity")</f>
        <v>Variant Pathogenicity, Dosage Sensitivity</v>
      </c>
      <c r="R249" s="62" t="str">
        <f>IFERROR(__xludf.DUMMYFUNCTION("QUERY('Volunteer Survey'!K256)"),"Gene-Disease Validity")</f>
        <v>Gene-Disease Validity</v>
      </c>
      <c r="S249" s="62" t="str">
        <f>IFERROR(__xludf.DUMMYFUNCTION("QUERY('Volunteer Survey'!L256)"),"Clinical Actionability")</f>
        <v>Clinical Actionability</v>
      </c>
      <c r="T249" s="62" t="str">
        <f>IFERROR(__xludf.DUMMYFUNCTION("QUERY('Volunteer Survey'!M256)"),"")</f>
        <v/>
      </c>
      <c r="U249" s="74" t="str">
        <f>IFERROR(__xludf.DUMMYFUNCTION("QUERY('Volunteer Survey'!N256)"),"Yes, in somatic cancer variant curation through my clinical training at the Brigham and Women's Hospital. ")</f>
        <v>Yes, in somatic cancer variant curation through my clinical training at the Brigham and Women's Hospital. </v>
      </c>
      <c r="V249" s="62" t="str">
        <f>IFERROR(__xludf.DUMMYFUNCTION("QUERY('Volunteer Survey'!O256)"),"No")</f>
        <v>No</v>
      </c>
      <c r="W249" s="75" t="str">
        <f>IFERROR(__xludf.DUMMYFUNCTION("QUERY('Volunteer Survey'!P256)"),"Variant curation: myeloid malignancy, colorectal cancer, cardiomyopathy 
Somatic cancer working group: All, particularly pediatrics.
Dosage sensitivity: hereditary cancers, neurodevelopmental ")</f>
        <v>Variant curation: myeloid malignancy, colorectal cancer, cardiomyopathy 
Somatic cancer working group: All, particularly pediatrics.
Dosage sensitivity: hereditary cancers, neurodevelopmental </v>
      </c>
      <c r="X249" s="74" t="str">
        <f>IFERROR(__xludf.DUMMYFUNCTION("QUERY('Volunteer Survey'!R256)"),"Maybe -- please contact me with other options, and I will decide based on what is available")</f>
        <v>Maybe -- please contact me with other options, and I will decide based on what is available</v>
      </c>
      <c r="Y249" s="61"/>
      <c r="Z249" s="62"/>
      <c r="AA249" s="62"/>
      <c r="AB249" s="62"/>
      <c r="AC249" s="62"/>
      <c r="AD249" s="62"/>
      <c r="AE249" s="62"/>
      <c r="AF249" s="62"/>
      <c r="AG249" s="62"/>
      <c r="AH249" s="62"/>
      <c r="AI249" s="62"/>
      <c r="AJ249" s="62"/>
      <c r="AK249" s="62"/>
      <c r="AL249" s="62"/>
      <c r="AM249" s="62"/>
      <c r="AN249" s="62"/>
      <c r="AO249" s="62"/>
    </row>
    <row r="250">
      <c r="A250" s="59">
        <f>IFERROR(__xludf.DUMMYFUNCTION("QUERY('Volunteer Survey'!A257)"),43677.461992488425)</f>
        <v>43677.46199</v>
      </c>
      <c r="B250" s="60" t="s">
        <v>275</v>
      </c>
      <c r="C250" s="80">
        <v>43819.0</v>
      </c>
      <c r="D250" s="62"/>
      <c r="E250" s="62"/>
      <c r="F250" s="60" t="s">
        <v>182</v>
      </c>
      <c r="G250" s="60" t="s">
        <v>278</v>
      </c>
      <c r="H250" s="61"/>
      <c r="I250" s="63" t="s">
        <v>189</v>
      </c>
      <c r="J250" s="62"/>
      <c r="K250" s="62"/>
      <c r="L250" s="62" t="str">
        <f>IFERROR(__xludf.DUMMYFUNCTION("QUERY('Volunteer Survey'!B257)"),"Jennifer Hull")</f>
        <v>Jennifer Hull</v>
      </c>
      <c r="M250" s="62" t="str">
        <f>IFERROR(__xludf.DUMMYFUNCTION("QUERY('Volunteer Survey'!E257)"),"jhull86@gmail.com")</f>
        <v>jhull86@gmail.com</v>
      </c>
      <c r="N250" s="62" t="str">
        <f>IFERROR(__xludf.DUMMYFUNCTION("QUERY('Volunteer Survey'!F257)"),"Graduate Student")</f>
        <v>Graduate Student</v>
      </c>
      <c r="O250" s="60" t="str">
        <f>IFERROR(__xludf.DUMMYFUNCTION("QUERY('Volunteer Survey'!H257)"),"comprehensive")</f>
        <v>comprehensive</v>
      </c>
      <c r="P250" s="62" t="str">
        <f>IFERROR(__xludf.DUMMYFUNCTION("QUERY('Volunteer Survey'!I257)"),"Gene-Disease Validity")</f>
        <v>Gene-Disease Validity</v>
      </c>
      <c r="Q250" s="66" t="str">
        <f>IFERROR(__xludf.DUMMYFUNCTION("QUERY('Volunteer Survey'!J257)"),"Variant Pathogenicity")</f>
        <v>Variant Pathogenicity</v>
      </c>
      <c r="R250" s="62" t="str">
        <f>IFERROR(__xludf.DUMMYFUNCTION("QUERY('Volunteer Survey'!K257)"),"Clinical Actionability")</f>
        <v>Clinical Actionability</v>
      </c>
      <c r="S250" s="62" t="str">
        <f>IFERROR(__xludf.DUMMYFUNCTION("QUERY('Volunteer Survey'!L257)"),"Dosage Sensitivity")</f>
        <v>Dosage Sensitivity</v>
      </c>
      <c r="T250" s="62" t="str">
        <f>IFERROR(__xludf.DUMMYFUNCTION("QUERY('Volunteer Survey'!M257)"),"Somatic Cancer")</f>
        <v>Somatic Cancer</v>
      </c>
      <c r="U250" s="74" t="str">
        <f>IFERROR(__xludf.DUMMYFUNCTION("QUERY('Volunteer Survey'!N257)"),"N/A")</f>
        <v>N/A</v>
      </c>
      <c r="V250" s="62" t="str">
        <f>IFERROR(__xludf.DUMMYFUNCTION("QUERY('Volunteer Survey'!O257)"),"Yes")</f>
        <v>Yes</v>
      </c>
      <c r="W250" s="75" t="str">
        <f>IFERROR(__xludf.DUMMYFUNCTION("QUERY('Volunteer Survey'!P257)"),"Phenylketonuria Variant Curation Expert Panel, epilepsy, CMT, hypercholesterolemia, colorectal cancer")</f>
        <v>Phenylketonuria Variant Curation Expert Panel, epilepsy, CMT, hypercholesterolemia, colorectal cancer</v>
      </c>
      <c r="X250" s="74" t="str">
        <f>IFERROR(__xludf.DUMMYFUNCTION("QUERY('Volunteer Survey'!R257)"),"Yes- I am willing to volunteer with any available ClinGen group")</f>
        <v>Yes- I am willing to volunteer with any available ClinGen group</v>
      </c>
      <c r="Y250" s="61"/>
      <c r="Z250" s="62"/>
      <c r="AA250" s="62"/>
      <c r="AB250" s="62"/>
      <c r="AC250" s="62"/>
      <c r="AD250" s="62"/>
      <c r="AE250" s="62"/>
      <c r="AF250" s="62"/>
      <c r="AG250" s="62"/>
      <c r="AH250" s="62"/>
      <c r="AI250" s="62"/>
      <c r="AJ250" s="62"/>
      <c r="AK250" s="62"/>
      <c r="AL250" s="62"/>
      <c r="AM250" s="62"/>
      <c r="AN250" s="62"/>
      <c r="AO250" s="62"/>
    </row>
    <row r="251">
      <c r="A251" s="59">
        <f>IFERROR(__xludf.DUMMYFUNCTION("QUERY('Volunteer Survey'!A258)"),43678.412040613424)</f>
        <v>43678.41204</v>
      </c>
      <c r="B251" s="60" t="s">
        <v>275</v>
      </c>
      <c r="C251" s="80">
        <v>43705.0</v>
      </c>
      <c r="D251" s="82">
        <v>43719.0</v>
      </c>
      <c r="E251" s="60" t="s">
        <v>277</v>
      </c>
      <c r="F251" s="60" t="s">
        <v>182</v>
      </c>
      <c r="G251" s="60" t="s">
        <v>150</v>
      </c>
      <c r="H251" s="63"/>
      <c r="I251" s="63" t="s">
        <v>189</v>
      </c>
      <c r="J251" s="62"/>
      <c r="K251" s="62"/>
      <c r="L251" s="62" t="str">
        <f>IFERROR(__xludf.DUMMYFUNCTION("QUERY('Volunteer Survey'!B258)"),"Eric Kil")</f>
        <v>Eric Kil</v>
      </c>
      <c r="M251" s="62" t="str">
        <f>IFERROR(__xludf.DUMMYFUNCTION("QUERY('Volunteer Survey'!E258)"),"ekil18@students.kgi.edu")</f>
        <v>ekil18@students.kgi.edu</v>
      </c>
      <c r="N251" s="62" t="str">
        <f>IFERROR(__xludf.DUMMYFUNCTION("QUERY('Volunteer Survey'!F258)"),"Graduate Student")</f>
        <v>Graduate Student</v>
      </c>
      <c r="O251" s="60" t="str">
        <f>IFERROR(__xludf.DUMMYFUNCTION("QUERY('Volunteer Survey'!H258)"),"comprehensive")</f>
        <v>comprehensive</v>
      </c>
      <c r="P251" s="62" t="str">
        <f>IFERROR(__xludf.DUMMYFUNCTION("QUERY('Volunteer Survey'!I258)"),"Somatic Cancer")</f>
        <v>Somatic Cancer</v>
      </c>
      <c r="Q251" s="66" t="str">
        <f>IFERROR(__xludf.DUMMYFUNCTION("QUERY('Volunteer Survey'!J258)"),"Dosage Sensitivity")</f>
        <v>Dosage Sensitivity</v>
      </c>
      <c r="R251" s="62" t="str">
        <f>IFERROR(__xludf.DUMMYFUNCTION("QUERY('Volunteer Survey'!K258)"),"Variant Pathogenicity")</f>
        <v>Variant Pathogenicity</v>
      </c>
      <c r="S251" s="62" t="str">
        <f>IFERROR(__xludf.DUMMYFUNCTION("QUERY('Volunteer Survey'!L258)"),"Gene-Disease Validity")</f>
        <v>Gene-Disease Validity</v>
      </c>
      <c r="T251" s="62" t="str">
        <f>IFERROR(__xludf.DUMMYFUNCTION("QUERY('Volunteer Survey'!M258)"),"Clinical Actionability")</f>
        <v>Clinical Actionability</v>
      </c>
      <c r="U251" s="74" t="str">
        <f>IFERROR(__xludf.DUMMYFUNCTION("QUERY('Volunteer Survey'!N258)"),"No")</f>
        <v>No</v>
      </c>
      <c r="V251" s="62" t="str">
        <f>IFERROR(__xludf.DUMMYFUNCTION("QUERY('Volunteer Survey'!O258)"),"Possibly")</f>
        <v>Possibly</v>
      </c>
      <c r="W251" s="75" t="str">
        <f>IFERROR(__xludf.DUMMYFUNCTION("QUERY('Volunteer Survey'!P258)"),"I am interested in neuro-related conditions and cancer.")</f>
        <v>I am interested in neuro-related conditions and cancer.</v>
      </c>
      <c r="X251" s="74" t="str">
        <f>IFERROR(__xludf.DUMMYFUNCTION("QUERY('Volunteer Survey'!R258)"),"Yes- I am willing to volunteer with any available ClinGen group")</f>
        <v>Yes- I am willing to volunteer with any available ClinGen group</v>
      </c>
      <c r="Y251" s="61"/>
      <c r="Z251" s="62"/>
      <c r="AA251" s="62"/>
      <c r="AB251" s="62"/>
      <c r="AC251" s="62"/>
      <c r="AD251" s="62"/>
      <c r="AE251" s="62"/>
      <c r="AF251" s="62"/>
      <c r="AG251" s="62"/>
      <c r="AH251" s="62"/>
      <c r="AI251" s="62"/>
      <c r="AJ251" s="62"/>
      <c r="AK251" s="62"/>
      <c r="AL251" s="62"/>
      <c r="AM251" s="62"/>
      <c r="AN251" s="62"/>
      <c r="AO251" s="62"/>
    </row>
    <row r="252">
      <c r="A252" s="59">
        <f>IFERROR(__xludf.DUMMYFUNCTION("QUERY('Volunteer Survey'!A259)"),43679.08931378472)</f>
        <v>43679.08931</v>
      </c>
      <c r="B252" s="60" t="s">
        <v>282</v>
      </c>
      <c r="C252" s="80">
        <v>43705.0</v>
      </c>
      <c r="D252" s="82">
        <v>43719.0</v>
      </c>
      <c r="E252" s="60" t="s">
        <v>277</v>
      </c>
      <c r="F252" s="60" t="s">
        <v>182</v>
      </c>
      <c r="G252" s="60" t="s">
        <v>150</v>
      </c>
      <c r="H252" s="63" t="s">
        <v>355</v>
      </c>
      <c r="I252" s="63" t="s">
        <v>189</v>
      </c>
      <c r="J252" s="62"/>
      <c r="K252" s="62"/>
      <c r="L252" s="62" t="str">
        <f>IFERROR(__xludf.DUMMYFUNCTION("QUERY('Volunteer Survey'!B259)"),"Joseph Steward")</f>
        <v>Joseph Steward</v>
      </c>
      <c r="M252" s="62" t="str">
        <f>IFERROR(__xludf.DUMMYFUNCTION("QUERY('Volunteer Survey'!E259)"),"jsteward2930@gmail.com")</f>
        <v>jsteward2930@gmail.com</v>
      </c>
      <c r="N252" s="62" t="str">
        <f>IFERROR(__xludf.DUMMYFUNCTION("QUERY('Volunteer Survey'!F259)"),"Scientific Researcher")</f>
        <v>Scientific Researcher</v>
      </c>
      <c r="O252" s="60" t="str">
        <f>IFERROR(__xludf.DUMMYFUNCTION("QUERY('Volunteer Survey'!H259)"),"comprehensive")</f>
        <v>comprehensive</v>
      </c>
      <c r="P252" s="62" t="str">
        <f>IFERROR(__xludf.DUMMYFUNCTION("QUERY('Volunteer Survey'!I259)"),"Somatic Cancer")</f>
        <v>Somatic Cancer</v>
      </c>
      <c r="Q252" s="66" t="str">
        <f>IFERROR(__xludf.DUMMYFUNCTION("QUERY('Volunteer Survey'!J259)"),"Variant Pathogenicity")</f>
        <v>Variant Pathogenicity</v>
      </c>
      <c r="R252" s="62" t="str">
        <f>IFERROR(__xludf.DUMMYFUNCTION("QUERY('Volunteer Survey'!K259)"),"Gene-Disease Validity")</f>
        <v>Gene-Disease Validity</v>
      </c>
      <c r="S252" s="62" t="str">
        <f>IFERROR(__xludf.DUMMYFUNCTION("QUERY('Volunteer Survey'!L259)"),"Clinical Actionability")</f>
        <v>Clinical Actionability</v>
      </c>
      <c r="T252" s="62" t="str">
        <f>IFERROR(__xludf.DUMMYFUNCTION("QUERY('Volunteer Survey'!M259)"),"Dosage Sensitivity")</f>
        <v>Dosage Sensitivity</v>
      </c>
      <c r="U252" s="74" t="str">
        <f>IFERROR(__xludf.DUMMYFUNCTION("QUERY('Volunteer Survey'!N259)"),"")</f>
        <v/>
      </c>
      <c r="V252" s="62" t="str">
        <f>IFERROR(__xludf.DUMMYFUNCTION("QUERY('Volunteer Survey'!O259)"),"Possibly")</f>
        <v>Possibly</v>
      </c>
      <c r="W252" s="75" t="str">
        <f>IFERROR(__xludf.DUMMYFUNCTION("QUERY('Volunteer Survey'!P259)"),"Pancreatic ")</f>
        <v>Pancreatic </v>
      </c>
      <c r="X252" s="74" t="str">
        <f>IFERROR(__xludf.DUMMYFUNCTION("QUERY('Volunteer Survey'!R259)"),"Yes- I am willing to volunteer with any available ClinGen group")</f>
        <v>Yes- I am willing to volunteer with any available ClinGen group</v>
      </c>
      <c r="Y252" s="61"/>
      <c r="Z252" s="62"/>
      <c r="AA252" s="62"/>
      <c r="AB252" s="62"/>
      <c r="AC252" s="62"/>
      <c r="AD252" s="62"/>
      <c r="AE252" s="62"/>
      <c r="AF252" s="62"/>
      <c r="AG252" s="62"/>
      <c r="AH252" s="62"/>
      <c r="AI252" s="62"/>
      <c r="AJ252" s="62"/>
      <c r="AK252" s="62"/>
      <c r="AL252" s="62"/>
      <c r="AM252" s="62"/>
      <c r="AN252" s="62"/>
      <c r="AO252" s="62"/>
    </row>
    <row r="253">
      <c r="A253" s="59">
        <f>IFERROR(__xludf.DUMMYFUNCTION("QUERY('Volunteer Survey'!A260)"),43679.89744516204)</f>
        <v>43679.89745</v>
      </c>
      <c r="B253" s="60" t="s">
        <v>340</v>
      </c>
      <c r="C253" s="61"/>
      <c r="D253" s="62"/>
      <c r="E253" s="62"/>
      <c r="F253" s="60" t="s">
        <v>182</v>
      </c>
      <c r="G253" s="60" t="s">
        <v>276</v>
      </c>
      <c r="H253" s="61"/>
      <c r="I253" s="63" t="s">
        <v>189</v>
      </c>
      <c r="J253" s="62"/>
      <c r="K253" s="62"/>
      <c r="L253" s="62" t="str">
        <f>IFERROR(__xludf.DUMMYFUNCTION("QUERY('Volunteer Survey'!B260)"),"NANDITA MULLAPUDI")</f>
        <v>NANDITA MULLAPUDI</v>
      </c>
      <c r="M253" s="62" t="str">
        <f>IFERROR(__xludf.DUMMYFUNCTION("QUERY('Volunteer Survey'!E260)"),"mnandita@gmail.com")</f>
        <v>mnandita@gmail.com</v>
      </c>
      <c r="N253" s="62" t="str">
        <f>IFERROR(__xludf.DUMMYFUNCTION("QUERY('Volunteer Survey'!F260)"),"Scientific Researcher")</f>
        <v>Scientific Researcher</v>
      </c>
      <c r="O253" s="60" t="str">
        <f>IFERROR(__xludf.DUMMYFUNCTION("QUERY('Volunteer Survey'!H260)"),"comprehensive")</f>
        <v>comprehensive</v>
      </c>
      <c r="P253" s="62" t="str">
        <f>IFERROR(__xludf.DUMMYFUNCTION("QUERY('Volunteer Survey'!I260)"),"")</f>
        <v/>
      </c>
      <c r="Q253" s="66" t="str">
        <f>IFERROR(__xludf.DUMMYFUNCTION("QUERY('Volunteer Survey'!J260)"),"")</f>
        <v/>
      </c>
      <c r="R253" s="62" t="str">
        <f>IFERROR(__xludf.DUMMYFUNCTION("QUERY('Volunteer Survey'!K260)"),"")</f>
        <v/>
      </c>
      <c r="S253" s="62" t="str">
        <f>IFERROR(__xludf.DUMMYFUNCTION("QUERY('Volunteer Survey'!L260)"),"")</f>
        <v/>
      </c>
      <c r="T253" s="62" t="str">
        <f>IFERROR(__xludf.DUMMYFUNCTION("QUERY('Volunteer Survey'!M260)"),"")</f>
        <v/>
      </c>
      <c r="U253" s="74" t="str">
        <f>IFERROR(__xludf.DUMMYFUNCTION("QUERY('Volunteer Survey'!N260)"),"I am not currently signing up for being an active member, but I would like to eventually. I would like to state that I have almost two years of experience working with a molecular diagnostics company, wherein I was responsible for setting up the variant a"&amp;"nalyses and interpretation processes for a variety of inherited disorders.")</f>
        <v>I am not currently signing up for being an active member, but I would like to eventually. I would like to state that I have almost two years of experience working with a molecular diagnostics company, wherein I was responsible for setting up the variant analyses and interpretation processes for a variety of inherited disorders.</v>
      </c>
      <c r="V253" s="62" t="str">
        <f>IFERROR(__xludf.DUMMYFUNCTION("QUERY('Volunteer Survey'!O260)"),"")</f>
        <v/>
      </c>
      <c r="W253" s="75" t="str">
        <f>IFERROR(__xludf.DUMMYFUNCTION("QUERY('Volunteer Survey'!P260)"),"Intellectual disability and autism, Mitochondrial diseases, Hearing loss, Familial hypercholesterolemia")</f>
        <v>Intellectual disability and autism, Mitochondrial diseases, Hearing loss, Familial hypercholesterolemia</v>
      </c>
      <c r="X253" s="74" t="str">
        <f>IFERROR(__xludf.DUMMYFUNCTION("QUERY('Volunteer Survey'!R260)"),"Yes- I am willing to volunteer with any available ClinGen group")</f>
        <v>Yes- I am willing to volunteer with any available ClinGen group</v>
      </c>
      <c r="Y253" s="63" t="s">
        <v>356</v>
      </c>
      <c r="Z253" s="62"/>
      <c r="AA253" s="62"/>
      <c r="AB253" s="62"/>
      <c r="AC253" s="62"/>
      <c r="AD253" s="62"/>
      <c r="AE253" s="62"/>
      <c r="AF253" s="62"/>
      <c r="AG253" s="62"/>
      <c r="AH253" s="62"/>
      <c r="AI253" s="62"/>
      <c r="AJ253" s="62"/>
      <c r="AK253" s="62"/>
      <c r="AL253" s="62"/>
      <c r="AM253" s="62"/>
      <c r="AN253" s="62"/>
      <c r="AO253" s="62"/>
    </row>
    <row r="254">
      <c r="A254" s="59">
        <f>IFERROR(__xludf.DUMMYFUNCTION("QUERY('Volunteer Survey'!A261)"),43680.050454421296)</f>
        <v>43680.05045</v>
      </c>
      <c r="B254" s="60" t="s">
        <v>275</v>
      </c>
      <c r="C254" s="61"/>
      <c r="D254" s="62"/>
      <c r="E254" s="62"/>
      <c r="F254" s="60" t="s">
        <v>182</v>
      </c>
      <c r="G254" s="60" t="s">
        <v>276</v>
      </c>
      <c r="H254" s="61"/>
      <c r="I254" s="63" t="s">
        <v>189</v>
      </c>
      <c r="J254" s="62"/>
      <c r="K254" s="62"/>
      <c r="L254" s="62" t="str">
        <f>IFERROR(__xludf.DUMMYFUNCTION("QUERY('Volunteer Survey'!B261)"),"Hari Subramanian")</f>
        <v>Hari Subramanian</v>
      </c>
      <c r="M254" s="62" t="str">
        <f>IFERROR(__xludf.DUMMYFUNCTION("QUERY('Volunteer Survey'!E261)"),"hsubramanian@bsd.uchicago.edu")</f>
        <v>hsubramanian@bsd.uchicago.edu</v>
      </c>
      <c r="N254" s="62" t="str">
        <f>IFERROR(__xludf.DUMMYFUNCTION("QUERY('Volunteer Survey'!F261)"),"Bioinformatician, Clinical Diagnostics Lab")</f>
        <v>Bioinformatician, Clinical Diagnostics Lab</v>
      </c>
      <c r="O254" s="60" t="str">
        <f>IFERROR(__xludf.DUMMYFUNCTION("QUERY('Volunteer Survey'!H261)"),"Baseline")</f>
        <v>Baseline</v>
      </c>
      <c r="P254" s="62" t="str">
        <f>IFERROR(__xludf.DUMMYFUNCTION("QUERY('Volunteer Survey'!I261)"),"Dosage Sensitivity")</f>
        <v>Dosage Sensitivity</v>
      </c>
      <c r="Q254" s="66" t="str">
        <f>IFERROR(__xludf.DUMMYFUNCTION("QUERY('Volunteer Survey'!J261)"),"Variant Pathogenicity")</f>
        <v>Variant Pathogenicity</v>
      </c>
      <c r="R254" s="62" t="str">
        <f>IFERROR(__xludf.DUMMYFUNCTION("QUERY('Volunteer Survey'!K261)"),"Gene-Disease Validity")</f>
        <v>Gene-Disease Validity</v>
      </c>
      <c r="S254" s="62" t="str">
        <f>IFERROR(__xludf.DUMMYFUNCTION("QUERY('Volunteer Survey'!L261)"),"Somatic Cancer")</f>
        <v>Somatic Cancer</v>
      </c>
      <c r="T254" s="62" t="str">
        <f>IFERROR(__xludf.DUMMYFUNCTION("QUERY('Volunteer Survey'!M261)"),"")</f>
        <v/>
      </c>
      <c r="U254" s="74" t="str">
        <f>IFERROR(__xludf.DUMMYFUNCTION("QUERY('Volunteer Survey'!N261)"),"")</f>
        <v/>
      </c>
      <c r="V254" s="62" t="str">
        <f>IFERROR(__xludf.DUMMYFUNCTION("QUERY('Volunteer Survey'!O261)"),"Possibly")</f>
        <v>Possibly</v>
      </c>
      <c r="W254" s="75" t="str">
        <f>IFERROR(__xludf.DUMMYFUNCTION("QUERY('Volunteer Survey'!P261)"),"")</f>
        <v/>
      </c>
      <c r="X254" s="74" t="str">
        <f>IFERROR(__xludf.DUMMYFUNCTION("QUERY('Volunteer Survey'!R261)"),"Maybe -- please contact me with other options, and I will decide based on what is available")</f>
        <v>Maybe -- please contact me with other options, and I will decide based on what is available</v>
      </c>
      <c r="Y254" s="61"/>
      <c r="Z254" s="62"/>
      <c r="AA254" s="62"/>
      <c r="AB254" s="62"/>
      <c r="AC254" s="62"/>
      <c r="AD254" s="62"/>
      <c r="AE254" s="62"/>
      <c r="AF254" s="62"/>
      <c r="AG254" s="62"/>
      <c r="AH254" s="62"/>
      <c r="AI254" s="62"/>
      <c r="AJ254" s="62"/>
      <c r="AK254" s="62"/>
      <c r="AL254" s="62"/>
      <c r="AM254" s="62"/>
      <c r="AN254" s="62"/>
      <c r="AO254" s="62"/>
    </row>
    <row r="255">
      <c r="A255" s="59">
        <f>IFERROR(__xludf.DUMMYFUNCTION("QUERY('Volunteer Survey'!A262)"),43684.398782951386)</f>
        <v>43684.39878</v>
      </c>
      <c r="B255" s="60" t="s">
        <v>275</v>
      </c>
      <c r="C255" s="80">
        <v>43819.0</v>
      </c>
      <c r="D255" s="85">
        <v>43859.0</v>
      </c>
      <c r="E255" s="60" t="s">
        <v>277</v>
      </c>
      <c r="F255" s="60" t="s">
        <v>182</v>
      </c>
      <c r="G255" s="60" t="s">
        <v>288</v>
      </c>
      <c r="H255" s="61"/>
      <c r="I255" s="63" t="s">
        <v>189</v>
      </c>
      <c r="J255" s="62"/>
      <c r="K255" s="62"/>
      <c r="L255" s="62" t="str">
        <f>IFERROR(__xludf.DUMMYFUNCTION("QUERY('Volunteer Survey'!B262)"),"Georgios Tsaousis")</f>
        <v>Georgios Tsaousis</v>
      </c>
      <c r="M255" s="62" t="str">
        <f>IFERROR(__xludf.DUMMYFUNCTION("QUERY('Volunteer Survey'!E262)"),"gtsaousis@genekor.com")</f>
        <v>gtsaousis@genekor.com</v>
      </c>
      <c r="N255" s="62" t="str">
        <f>IFERROR(__xludf.DUMMYFUNCTION("QUERY('Volunteer Survey'!F262)"),"Variant Analyst/Scientist - Industry")</f>
        <v>Variant Analyst/Scientist - Industry</v>
      </c>
      <c r="O255" s="60" t="str">
        <f>IFERROR(__xludf.DUMMYFUNCTION("QUERY('Volunteer Survey'!H262)"),"Comprehensive")</f>
        <v>Comprehensive</v>
      </c>
      <c r="P255" s="62" t="str">
        <f>IFERROR(__xludf.DUMMYFUNCTION("QUERY('Volunteer Survey'!I262)"),"Variant Pathogenicity")</f>
        <v>Variant Pathogenicity</v>
      </c>
      <c r="Q255" s="66" t="str">
        <f>IFERROR(__xludf.DUMMYFUNCTION("QUERY('Volunteer Survey'!J262)"),"Gene-Disease Validity")</f>
        <v>Gene-Disease Validity</v>
      </c>
      <c r="R255" s="62" t="str">
        <f>IFERROR(__xludf.DUMMYFUNCTION("QUERY('Volunteer Survey'!K262)"),"Clinical Actionability")</f>
        <v>Clinical Actionability</v>
      </c>
      <c r="S255" s="62" t="str">
        <f>IFERROR(__xludf.DUMMYFUNCTION("QUERY('Volunteer Survey'!L262)"),"Somatic Cancer")</f>
        <v>Somatic Cancer</v>
      </c>
      <c r="T255" s="62" t="str">
        <f>IFERROR(__xludf.DUMMYFUNCTION("QUERY('Volunteer Survey'!M262)"),"Dosage Sensitivity")</f>
        <v>Dosage Sensitivity</v>
      </c>
      <c r="U255" s="74" t="str">
        <f>IFERROR(__xludf.DUMMYFUNCTION("QUERY('Volunteer Survey'!N262)"),"I am the Group Leader of the Bioinformatics department in Genekor Medical SA involved in data collection and curation activities for the determination of variant pathogenicity for all variants identified in our laboratory for Hereditary cancer genes. I am"&amp;" also a Post-doc Research Associate at the Biophysics and Bioinformatics Laboratory at the Department of Biology, School of Sciences, National and Kapodistrian University of Athens, where i am involved with sequence and structure analysis of biological se"&amp;"quences through the development of computational algorithms and biological databases.")</f>
        <v>I am the Group Leader of the Bioinformatics department in Genekor Medical SA involved in data collection and curation activities for the determination of variant pathogenicity for all variants identified in our laboratory for Hereditary cancer genes. I am also a Post-doc Research Associate at the Biophysics and Bioinformatics Laboratory at the Department of Biology, School of Sciences, National and Kapodistrian University of Athens, where i am involved with sequence and structure analysis of biological sequences through the development of computational algorithms and biological databases.</v>
      </c>
      <c r="V255" s="62" t="str">
        <f>IFERROR(__xludf.DUMMYFUNCTION("QUERY('Volunteer Survey'!O262)"),"Possibly")</f>
        <v>Possibly</v>
      </c>
      <c r="W255" s="75" t="str">
        <f>IFERROR(__xludf.DUMMYFUNCTION("QUERY('Volunteer Survey'!P262)"),"Hereditary Cancer, Somatic/Germline Variant Curation, Colorectal Cancer, PTEN, TP53, CDH1")</f>
        <v>Hereditary Cancer, Somatic/Germline Variant Curation, Colorectal Cancer, PTEN, TP53, CDH1</v>
      </c>
      <c r="X255" s="74" t="str">
        <f>IFERROR(__xludf.DUMMYFUNCTION("QUERY('Volunteer Survey'!R262)"),"Maybe -- please contact me with other options, and I will decide based on what is available")</f>
        <v>Maybe -- please contact me with other options, and I will decide based on what is available</v>
      </c>
      <c r="Y255" s="61"/>
      <c r="Z255" s="62"/>
      <c r="AA255" s="62"/>
      <c r="AB255" s="62"/>
      <c r="AC255" s="62"/>
      <c r="AD255" s="62"/>
      <c r="AE255" s="62"/>
      <c r="AF255" s="62"/>
      <c r="AG255" s="62"/>
      <c r="AH255" s="62"/>
      <c r="AI255" s="62"/>
      <c r="AJ255" s="62"/>
      <c r="AK255" s="62"/>
      <c r="AL255" s="62"/>
      <c r="AM255" s="62"/>
      <c r="AN255" s="62"/>
      <c r="AO255" s="62"/>
    </row>
    <row r="256">
      <c r="A256" s="59">
        <f>IFERROR(__xludf.DUMMYFUNCTION("QUERY('Volunteer Survey'!A263)"),43684.40288785879)</f>
        <v>43684.40289</v>
      </c>
      <c r="B256" s="60" t="s">
        <v>275</v>
      </c>
      <c r="C256" s="80">
        <v>43819.0</v>
      </c>
      <c r="D256" s="62"/>
      <c r="E256" s="62"/>
      <c r="F256" s="60" t="s">
        <v>182</v>
      </c>
      <c r="G256" s="60" t="s">
        <v>288</v>
      </c>
      <c r="H256" s="61"/>
      <c r="I256" s="63" t="s">
        <v>189</v>
      </c>
      <c r="J256" s="62"/>
      <c r="K256" s="62"/>
      <c r="L256" s="62" t="str">
        <f>IFERROR(__xludf.DUMMYFUNCTION("QUERY('Volunteer Survey'!B263)"),"Jessica Hatton")</f>
        <v>Jessica Hatton</v>
      </c>
      <c r="M256" s="62" t="str">
        <f>IFERROR(__xludf.DUMMYFUNCTION("QUERY('Volunteer Survey'!E263)"),"jessica.hatton@nih.gov")</f>
        <v>jessica.hatton@nih.gov</v>
      </c>
      <c r="N256" s="62" t="str">
        <f>IFERROR(__xludf.DUMMYFUNCTION("QUERY('Volunteer Survey'!F263)"),"Genetic counselor")</f>
        <v>Genetic counselor</v>
      </c>
      <c r="O256" s="60" t="str">
        <f>IFERROR(__xludf.DUMMYFUNCTION("QUERY('Volunteer Survey'!H263)"),"Comprehensive")</f>
        <v>Comprehensive</v>
      </c>
      <c r="P256" s="62" t="str">
        <f>IFERROR(__xludf.DUMMYFUNCTION("QUERY('Volunteer Survey'!I263)"),"Variant Pathogenicity")</f>
        <v>Variant Pathogenicity</v>
      </c>
      <c r="Q256" s="66" t="str">
        <f>IFERROR(__xludf.DUMMYFUNCTION("QUERY('Volunteer Survey'!J263)"),"")</f>
        <v/>
      </c>
      <c r="R256" s="62" t="str">
        <f>IFERROR(__xludf.DUMMYFUNCTION("QUERY('Volunteer Survey'!K263)"),"")</f>
        <v/>
      </c>
      <c r="S256" s="62" t="str">
        <f>IFERROR(__xludf.DUMMYFUNCTION("QUERY('Volunteer Survey'!L263)"),"")</f>
        <v/>
      </c>
      <c r="T256" s="62" t="str">
        <f>IFERROR(__xludf.DUMMYFUNCTION("QUERY('Volunteer Survey'!M263)"),"")</f>
        <v/>
      </c>
      <c r="U256" s="74" t="str">
        <f>IFERROR(__xludf.DUMMYFUNCTION("QUERY('Volunteer Survey'!N263)"),"No")</f>
        <v>No</v>
      </c>
      <c r="V256" s="62" t="str">
        <f>IFERROR(__xludf.DUMMYFUNCTION("QUERY('Volunteer Survey'!O263)"),"Possibly")</f>
        <v>Possibly</v>
      </c>
      <c r="W256" s="75" t="str">
        <f>IFERROR(__xludf.DUMMYFUNCTION("QUERY('Volunteer Survey'!P263)"),"TP53")</f>
        <v>TP53</v>
      </c>
      <c r="X256" s="74" t="str">
        <f>IFERROR(__xludf.DUMMYFUNCTION("QUERY('Volunteer Survey'!R263)"),"No - I am only interested in the group(s) I previously indicated")</f>
        <v>No - I am only interested in the group(s) I previously indicated</v>
      </c>
      <c r="Y256" s="61"/>
      <c r="Z256" s="62"/>
      <c r="AA256" s="62"/>
      <c r="AB256" s="62"/>
      <c r="AC256" s="62"/>
      <c r="AD256" s="62"/>
      <c r="AE256" s="62"/>
      <c r="AF256" s="62"/>
      <c r="AG256" s="62"/>
      <c r="AH256" s="62"/>
      <c r="AI256" s="62"/>
      <c r="AJ256" s="62"/>
      <c r="AK256" s="62"/>
      <c r="AL256" s="62"/>
      <c r="AM256" s="62"/>
      <c r="AN256" s="62"/>
      <c r="AO256" s="62"/>
    </row>
    <row r="257">
      <c r="A257" s="59">
        <f>IFERROR(__xludf.DUMMYFUNCTION("QUERY('Volunteer Survey'!A264)"),43684.68687708333)</f>
        <v>43684.68688</v>
      </c>
      <c r="B257" s="60" t="s">
        <v>275</v>
      </c>
      <c r="C257" s="80">
        <v>43819.0</v>
      </c>
      <c r="D257" s="117">
        <v>43859.0</v>
      </c>
      <c r="E257" s="60" t="s">
        <v>277</v>
      </c>
      <c r="F257" s="60" t="s">
        <v>182</v>
      </c>
      <c r="G257" s="60" t="s">
        <v>288</v>
      </c>
      <c r="H257" s="61"/>
      <c r="I257" s="63" t="s">
        <v>189</v>
      </c>
      <c r="J257" s="62"/>
      <c r="K257" s="62"/>
      <c r="L257" s="62" t="str">
        <f>IFERROR(__xludf.DUMMYFUNCTION("QUERY('Volunteer Survey'!B264)"),"Xia Tian")</f>
        <v>Xia Tian</v>
      </c>
      <c r="M257" s="62" t="str">
        <f>IFERROR(__xludf.DUMMYFUNCTION("QUERY('Volunteer Survey'!E264)"),"xtian@wuxinextcode.com")</f>
        <v>xtian@wuxinextcode.com</v>
      </c>
      <c r="N257" s="62" t="str">
        <f>IFERROR(__xludf.DUMMYFUNCTION("QUERY('Volunteer Survey'!F264)"),"Variant Analyst/Scientist - Industry")</f>
        <v>Variant Analyst/Scientist - Industry</v>
      </c>
      <c r="O257" s="60" t="str">
        <f>IFERROR(__xludf.DUMMYFUNCTION("QUERY('Volunteer Survey'!H264)"),"Comprehensive")</f>
        <v>Comprehensive</v>
      </c>
      <c r="P257" s="62" t="str">
        <f>IFERROR(__xludf.DUMMYFUNCTION("QUERY('Volunteer Survey'!I264)"),"Variant Pathogenicity")</f>
        <v>Variant Pathogenicity</v>
      </c>
      <c r="Q257" s="66" t="str">
        <f>IFERROR(__xludf.DUMMYFUNCTION("QUERY('Volunteer Survey'!J264)"),"Somatic Cancer")</f>
        <v>Somatic Cancer</v>
      </c>
      <c r="R257" s="62" t="str">
        <f>IFERROR(__xludf.DUMMYFUNCTION("QUERY('Volunteer Survey'!K264)"),"Gene-Disease Validity")</f>
        <v>Gene-Disease Validity</v>
      </c>
      <c r="S257" s="62" t="str">
        <f>IFERROR(__xludf.DUMMYFUNCTION("QUERY('Volunteer Survey'!L264)"),"Dosage Sensitivity")</f>
        <v>Dosage Sensitivity</v>
      </c>
      <c r="T257" s="62" t="str">
        <f>IFERROR(__xludf.DUMMYFUNCTION("QUERY('Volunteer Survey'!M264)"),"Clinical Actionability")</f>
        <v>Clinical Actionability</v>
      </c>
      <c r="U257" s="74" t="str">
        <f>IFERROR(__xludf.DUMMYFUNCTION("QUERY('Volunteer Survey'!N264)"),"eight years' experience of gene/variant curation and clinical case review")</f>
        <v>eight years' experience of gene/variant curation and clinical case review</v>
      </c>
      <c r="V257" s="62" t="str">
        <f>IFERROR(__xludf.DUMMYFUNCTION("QUERY('Volunteer Survey'!O264)"),"Yes")</f>
        <v>Yes</v>
      </c>
      <c r="W257" s="75" t="str">
        <f>IFERROR(__xludf.DUMMYFUNCTION("QUERY('Volunteer Survey'!P264)"),"Mitochondrial Diseases(gene/variant) and Somatic Cancer")</f>
        <v>Mitochondrial Diseases(gene/variant) and Somatic Cancer</v>
      </c>
      <c r="X257" s="74" t="str">
        <f>IFERROR(__xludf.DUMMYFUNCTION("QUERY('Volunteer Survey'!R264)"),"Yes- I am willing to volunteer with any available ClinGen group")</f>
        <v>Yes- I am willing to volunteer with any available ClinGen group</v>
      </c>
      <c r="Y257" s="61"/>
      <c r="Z257" s="62"/>
      <c r="AA257" s="62"/>
      <c r="AB257" s="62"/>
      <c r="AC257" s="62"/>
      <c r="AD257" s="62"/>
      <c r="AE257" s="62"/>
      <c r="AF257" s="62"/>
      <c r="AG257" s="62"/>
      <c r="AH257" s="62"/>
      <c r="AI257" s="62"/>
      <c r="AJ257" s="62"/>
      <c r="AK257" s="62"/>
      <c r="AL257" s="62"/>
      <c r="AM257" s="62"/>
      <c r="AN257" s="62"/>
      <c r="AO257" s="62"/>
    </row>
    <row r="258">
      <c r="A258" s="59">
        <f>IFERROR(__xludf.DUMMYFUNCTION("QUERY('Volunteer Survey'!A265)"),43685.46748900463)</f>
        <v>43685.46749</v>
      </c>
      <c r="B258" s="60" t="s">
        <v>275</v>
      </c>
      <c r="C258" s="80">
        <v>43819.0</v>
      </c>
      <c r="D258" s="62"/>
      <c r="E258" s="62"/>
      <c r="F258" s="60" t="s">
        <v>182</v>
      </c>
      <c r="G258" s="60" t="s">
        <v>278</v>
      </c>
      <c r="H258" s="61"/>
      <c r="I258" s="63" t="s">
        <v>189</v>
      </c>
      <c r="J258" s="62"/>
      <c r="K258" s="62"/>
      <c r="L258" s="62" t="str">
        <f>IFERROR(__xludf.DUMMYFUNCTION("QUERY('Volunteer Survey'!B265)"),"MEGHA DANI")</f>
        <v>MEGHA DANI</v>
      </c>
      <c r="M258" s="62" t="str">
        <f>IFERROR(__xludf.DUMMYFUNCTION("QUERY('Volunteer Survey'!E265)"),"meghamdani@gmail.com")</f>
        <v>meghamdani@gmail.com</v>
      </c>
      <c r="N258" s="62" t="str">
        <f>IFERROR(__xludf.DUMMYFUNCTION("QUERY('Volunteer Survey'!F265)"),"I owned and worked for my clinical biochemistry/diagnostics laboratory but I have not done Genetics for lack for facilities.  I want to learn Genetics, its use in identification of various genetic disorders, learning new genetic techniques")</f>
        <v>I owned and worked for my clinical biochemistry/diagnostics laboratory but I have not done Genetics for lack for facilities.  I want to learn Genetics, its use in identification of various genetic disorders, learning new genetic techniques</v>
      </c>
      <c r="O258" s="60" t="str">
        <f>IFERROR(__xludf.DUMMYFUNCTION("QUERY('Volunteer Survey'!H265)"),"Comprehensive")</f>
        <v>Comprehensive</v>
      </c>
      <c r="P258" s="62" t="str">
        <f>IFERROR(__xludf.DUMMYFUNCTION("QUERY('Volunteer Survey'!I265)"),"Gene-Disease Validity")</f>
        <v>Gene-Disease Validity</v>
      </c>
      <c r="Q258" s="66" t="str">
        <f>IFERROR(__xludf.DUMMYFUNCTION("QUERY('Volunteer Survey'!J265)"),"Clinical Actionability")</f>
        <v>Clinical Actionability</v>
      </c>
      <c r="R258" s="62" t="str">
        <f>IFERROR(__xludf.DUMMYFUNCTION("QUERY('Volunteer Survey'!K265)"),"Variant Pathogenicity")</f>
        <v>Variant Pathogenicity</v>
      </c>
      <c r="S258" s="62" t="str">
        <f>IFERROR(__xludf.DUMMYFUNCTION("QUERY('Volunteer Survey'!L265)"),"Dosage Sensitivity")</f>
        <v>Dosage Sensitivity</v>
      </c>
      <c r="T258" s="62" t="str">
        <f>IFERROR(__xludf.DUMMYFUNCTION("QUERY('Volunteer Survey'!M265)"),"Somatic Cancer")</f>
        <v>Somatic Cancer</v>
      </c>
      <c r="U258" s="74" t="str">
        <f>IFERROR(__xludf.DUMMYFUNCTION("QUERY('Volunteer Survey'!N265)"),"No")</f>
        <v>No</v>
      </c>
      <c r="V258" s="62" t="str">
        <f>IFERROR(__xludf.DUMMYFUNCTION("QUERY('Volunteer Survey'!O265)"),"Yes")</f>
        <v>Yes</v>
      </c>
      <c r="W258" s="75" t="str">
        <f>IFERROR(__xludf.DUMMYFUNCTION("QUERY('Volunteer Survey'!P265)"),"Yes")</f>
        <v>Yes</v>
      </c>
      <c r="X258" s="74" t="str">
        <f>IFERROR(__xludf.DUMMYFUNCTION("QUERY('Volunteer Survey'!R265)"),"Yes- I am willing to volunteer with any available ClinGen group")</f>
        <v>Yes- I am willing to volunteer with any available ClinGen group</v>
      </c>
      <c r="Y258" s="61"/>
      <c r="Z258" s="62"/>
      <c r="AA258" s="62"/>
      <c r="AB258" s="62"/>
      <c r="AC258" s="62"/>
      <c r="AD258" s="62"/>
      <c r="AE258" s="62"/>
      <c r="AF258" s="62"/>
      <c r="AG258" s="62"/>
      <c r="AH258" s="62"/>
      <c r="AI258" s="62"/>
      <c r="AJ258" s="62"/>
      <c r="AK258" s="62"/>
      <c r="AL258" s="62"/>
      <c r="AM258" s="62"/>
      <c r="AN258" s="62"/>
      <c r="AO258" s="62"/>
    </row>
    <row r="259">
      <c r="A259" s="59">
        <f>IFERROR(__xludf.DUMMYFUNCTION("QUERY('Volunteer Survey'!A266)"),43689.40685208333)</f>
        <v>43689.40685</v>
      </c>
      <c r="B259" s="60" t="s">
        <v>275</v>
      </c>
      <c r="C259" s="61"/>
      <c r="D259" s="82">
        <v>43692.0</v>
      </c>
      <c r="E259" s="60" t="s">
        <v>277</v>
      </c>
      <c r="F259" s="60" t="s">
        <v>182</v>
      </c>
      <c r="G259" s="60" t="s">
        <v>278</v>
      </c>
      <c r="H259" s="61"/>
      <c r="I259" s="63" t="s">
        <v>189</v>
      </c>
      <c r="J259" s="62"/>
      <c r="K259" s="62"/>
      <c r="L259" s="62" t="str">
        <f>IFERROR(__xludf.DUMMYFUNCTION("QUERY('Volunteer Survey'!B266)"),"SAILATHA RAVI")</f>
        <v>SAILATHA RAVI</v>
      </c>
      <c r="M259" s="62" t="str">
        <f>IFERROR(__xludf.DUMMYFUNCTION("QUERY('Volunteer Survey'!E266)"),"sailatha.ravi@gmail.com")</f>
        <v>sailatha.ravi@gmail.com</v>
      </c>
      <c r="N259" s="62" t="str">
        <f>IFERROR(__xludf.DUMMYFUNCTION("QUERY('Volunteer Survey'!F266)"),"Post Doc/Resident/Fellow (MD and/or PhD)")</f>
        <v>Post Doc/Resident/Fellow (MD and/or PhD)</v>
      </c>
      <c r="O259" s="60" t="str">
        <f>IFERROR(__xludf.DUMMYFUNCTION("QUERY('Volunteer Survey'!H266)"),"Comprehensive")</f>
        <v>Comprehensive</v>
      </c>
      <c r="P259" s="62" t="str">
        <f>IFERROR(__xludf.DUMMYFUNCTION("QUERY('Volunteer Survey'!I266)"),"Gene-Disease Validity")</f>
        <v>Gene-Disease Validity</v>
      </c>
      <c r="Q259" s="66" t="str">
        <f>IFERROR(__xludf.DUMMYFUNCTION("QUERY('Volunteer Survey'!J266)"),"Dosage Sensitivity")</f>
        <v>Dosage Sensitivity</v>
      </c>
      <c r="R259" s="62" t="str">
        <f>IFERROR(__xludf.DUMMYFUNCTION("QUERY('Volunteer Survey'!K266)"),"Clinical Actionability")</f>
        <v>Clinical Actionability</v>
      </c>
      <c r="S259" s="62" t="str">
        <f>IFERROR(__xludf.DUMMYFUNCTION("QUERY('Volunteer Survey'!L266)"),"Somatic Cancer")</f>
        <v>Somatic Cancer</v>
      </c>
      <c r="T259" s="62" t="str">
        <f>IFERROR(__xludf.DUMMYFUNCTION("QUERY('Volunteer Survey'!M266)"),"Variant Pathogenicity")</f>
        <v>Variant Pathogenicity</v>
      </c>
      <c r="U259" s="74" t="str">
        <f>IFERROR(__xludf.DUMMYFUNCTION("QUERY('Volunteer Survey'!N266)"),"")</f>
        <v/>
      </c>
      <c r="V259" s="62" t="str">
        <f>IFERROR(__xludf.DUMMYFUNCTION("QUERY('Volunteer Survey'!O266)"),"Yes")</f>
        <v>Yes</v>
      </c>
      <c r="W259" s="75" t="str">
        <f>IFERROR(__xludf.DUMMYFUNCTION("QUERY('Volunteer Survey'!P266)"),"")</f>
        <v/>
      </c>
      <c r="X259" s="74" t="str">
        <f>IFERROR(__xludf.DUMMYFUNCTION("QUERY('Volunteer Survey'!R266)"),"Yes- I am willing to volunteer with any available ClinGen group")</f>
        <v>Yes- I am willing to volunteer with any available ClinGen group</v>
      </c>
      <c r="Y259" s="61"/>
      <c r="Z259" s="62"/>
      <c r="AA259" s="62"/>
      <c r="AB259" s="62"/>
      <c r="AC259" s="62"/>
      <c r="AD259" s="62"/>
      <c r="AE259" s="62"/>
      <c r="AF259" s="62"/>
      <c r="AG259" s="62"/>
      <c r="AH259" s="62"/>
      <c r="AI259" s="62"/>
      <c r="AJ259" s="62"/>
      <c r="AK259" s="62"/>
      <c r="AL259" s="62"/>
      <c r="AM259" s="62"/>
      <c r="AN259" s="62"/>
      <c r="AO259" s="62"/>
    </row>
    <row r="260">
      <c r="A260" s="59">
        <f>IFERROR(__xludf.DUMMYFUNCTION("QUERY('Volunteer Survey'!A267)"),43690.258437881945)</f>
        <v>43690.25844</v>
      </c>
      <c r="B260" s="60" t="s">
        <v>275</v>
      </c>
      <c r="C260" s="80">
        <v>43819.0</v>
      </c>
      <c r="D260" s="62"/>
      <c r="E260" s="62"/>
      <c r="F260" s="60" t="s">
        <v>182</v>
      </c>
      <c r="G260" s="60" t="s">
        <v>288</v>
      </c>
      <c r="H260" s="61"/>
      <c r="I260" s="63" t="s">
        <v>189</v>
      </c>
      <c r="J260" s="62"/>
      <c r="K260" s="62"/>
      <c r="L260" s="62" t="str">
        <f>IFERROR(__xludf.DUMMYFUNCTION("QUERY('Volunteer Survey'!B267)"),"Pamela Ajuyah")</f>
        <v>Pamela Ajuyah</v>
      </c>
      <c r="M260" s="62" t="str">
        <f>IFERROR(__xludf.DUMMYFUNCTION("QUERY('Volunteer Survey'!E267)"),"pamela.a.ajuyah@gmail.com")</f>
        <v>pamela.a.ajuyah@gmail.com</v>
      </c>
      <c r="N260" s="62" t="str">
        <f>IFERROR(__xludf.DUMMYFUNCTION("QUERY('Volunteer Survey'!F267)"),"Variant Analyst/Scientist - Industry")</f>
        <v>Variant Analyst/Scientist - Industry</v>
      </c>
      <c r="O260" s="60" t="str">
        <f>IFERROR(__xludf.DUMMYFUNCTION("QUERY('Volunteer Survey'!H267)"),"Comprehensive")</f>
        <v>Comprehensive</v>
      </c>
      <c r="P260" s="62" t="str">
        <f>IFERROR(__xludf.DUMMYFUNCTION("QUERY('Volunteer Survey'!I267)"),"Variant Pathogenicity")</f>
        <v>Variant Pathogenicity</v>
      </c>
      <c r="Q260" s="66" t="str">
        <f>IFERROR(__xludf.DUMMYFUNCTION("QUERY('Volunteer Survey'!J267)"),"Gene-Disease Validity")</f>
        <v>Gene-Disease Validity</v>
      </c>
      <c r="R260" s="62" t="str">
        <f>IFERROR(__xludf.DUMMYFUNCTION("QUERY('Volunteer Survey'!K267)"),"Clinical Actionability")</f>
        <v>Clinical Actionability</v>
      </c>
      <c r="S260" s="62" t="str">
        <f>IFERROR(__xludf.DUMMYFUNCTION("QUERY('Volunteer Survey'!L267)"),"Somatic Cancer")</f>
        <v>Somatic Cancer</v>
      </c>
      <c r="T260" s="62" t="str">
        <f>IFERROR(__xludf.DUMMYFUNCTION("QUERY('Volunteer Survey'!M267)"),"Dosage Sensitivity")</f>
        <v>Dosage Sensitivity</v>
      </c>
      <c r="U260" s="74" t="str">
        <f>IFERROR(__xludf.DUMMYFUNCTION("QUERY('Volunteer Survey'!N267)"),"")</f>
        <v/>
      </c>
      <c r="V260" s="62" t="str">
        <f>IFERROR(__xludf.DUMMYFUNCTION("QUERY('Volunteer Survey'!O267)"),"No")</f>
        <v>No</v>
      </c>
      <c r="W260" s="75" t="str">
        <f>IFERROR(__xludf.DUMMYFUNCTION("QUERY('Volunteer Survey'!P267)"),"")</f>
        <v/>
      </c>
      <c r="X260" s="74" t="str">
        <f>IFERROR(__xludf.DUMMYFUNCTION("QUERY('Volunteer Survey'!R267)"),"Yes- I am willing to volunteer with any available ClinGen group")</f>
        <v>Yes- I am willing to volunteer with any available ClinGen group</v>
      </c>
      <c r="Y260" s="61"/>
      <c r="Z260" s="62"/>
      <c r="AA260" s="62"/>
      <c r="AB260" s="62"/>
      <c r="AC260" s="62"/>
      <c r="AD260" s="62"/>
      <c r="AE260" s="62"/>
      <c r="AF260" s="62"/>
      <c r="AG260" s="62"/>
      <c r="AH260" s="62"/>
      <c r="AI260" s="62"/>
      <c r="AJ260" s="62"/>
      <c r="AK260" s="62"/>
      <c r="AL260" s="62"/>
      <c r="AM260" s="62"/>
      <c r="AN260" s="62"/>
      <c r="AO260" s="62"/>
    </row>
    <row r="261">
      <c r="A261" s="59">
        <f>IFERROR(__xludf.DUMMYFUNCTION("QUERY('Volunteer Survey'!A268)"),43691.59204373843)</f>
        <v>43691.59204</v>
      </c>
      <c r="B261" s="60" t="s">
        <v>275</v>
      </c>
      <c r="C261" s="80">
        <v>43819.0</v>
      </c>
      <c r="D261" s="62"/>
      <c r="E261" s="62"/>
      <c r="F261" s="60" t="s">
        <v>182</v>
      </c>
      <c r="G261" s="60" t="s">
        <v>278</v>
      </c>
      <c r="H261" s="61"/>
      <c r="I261" s="61"/>
      <c r="J261" s="62"/>
      <c r="K261" s="62"/>
      <c r="L261" s="62" t="str">
        <f>IFERROR(__xludf.DUMMYFUNCTION("QUERY('Volunteer Survey'!B268)"),"Yasser Sullcahuaman Allende")</f>
        <v>Yasser Sullcahuaman Allende</v>
      </c>
      <c r="M261" s="62" t="str">
        <f>IFERROR(__xludf.DUMMYFUNCTION("QUERY('Volunteer Survey'!E268)"),"ysullcahuaman@hotmail.com")</f>
        <v>ysullcahuaman@hotmail.com</v>
      </c>
      <c r="N261" s="62" t="str">
        <f>IFERROR(__xludf.DUMMYFUNCTION("QUERY('Volunteer Survey'!F268)"),"Clinical Medical Geneticist")</f>
        <v>Clinical Medical Geneticist</v>
      </c>
      <c r="O261" s="60" t="str">
        <f>IFERROR(__xludf.DUMMYFUNCTION("QUERY('Volunteer Survey'!H268)"),"Comprehensive")</f>
        <v>Comprehensive</v>
      </c>
      <c r="P261" s="62" t="str">
        <f>IFERROR(__xludf.DUMMYFUNCTION("QUERY('Volunteer Survey'!I268)"),"Gene-Disease Validity")</f>
        <v>Gene-Disease Validity</v>
      </c>
      <c r="Q261" s="66" t="str">
        <f>IFERROR(__xludf.DUMMYFUNCTION("QUERY('Volunteer Survey'!J268)"),"Variant Pathogenicity")</f>
        <v>Variant Pathogenicity</v>
      </c>
      <c r="R261" s="62" t="str">
        <f>IFERROR(__xludf.DUMMYFUNCTION("QUERY('Volunteer Survey'!K268)"),"Clinical Actionability")</f>
        <v>Clinical Actionability</v>
      </c>
      <c r="S261" s="62" t="str">
        <f>IFERROR(__xludf.DUMMYFUNCTION("QUERY('Volunteer Survey'!L268)"),"Somatic Cancer")</f>
        <v>Somatic Cancer</v>
      </c>
      <c r="T261" s="62" t="str">
        <f>IFERROR(__xludf.DUMMYFUNCTION("QUERY('Volunteer Survey'!M268)"),"Dosage Sensitivity")</f>
        <v>Dosage Sensitivity</v>
      </c>
      <c r="U261" s="74" t="str">
        <f>IFERROR(__xludf.DUMMYFUNCTION("QUERY('Volunteer Survey'!N268)"),"Yasser")</f>
        <v>Yasser</v>
      </c>
      <c r="V261" s="62" t="str">
        <f>IFERROR(__xludf.DUMMYFUNCTION("QUERY('Volunteer Survey'!O268)"),"Yes")</f>
        <v>Yes</v>
      </c>
      <c r="W261" s="75" t="str">
        <f>IFERROR(__xludf.DUMMYFUNCTION("QUERY('Volunteer Survey'!P268)"),"Hereditary cancer")</f>
        <v>Hereditary cancer</v>
      </c>
      <c r="X261" s="74" t="str">
        <f>IFERROR(__xludf.DUMMYFUNCTION("QUERY('Volunteer Survey'!R268)"),"Yes- I am willing to volunteer with any available ClinGen group")</f>
        <v>Yes- I am willing to volunteer with any available ClinGen group</v>
      </c>
      <c r="Y261" s="61"/>
      <c r="Z261" s="62"/>
      <c r="AA261" s="62"/>
      <c r="AB261" s="62"/>
      <c r="AC261" s="62"/>
      <c r="AD261" s="62"/>
      <c r="AE261" s="62"/>
      <c r="AF261" s="62"/>
      <c r="AG261" s="62"/>
      <c r="AH261" s="62"/>
      <c r="AI261" s="62"/>
      <c r="AJ261" s="62"/>
      <c r="AK261" s="62"/>
      <c r="AL261" s="62"/>
      <c r="AM261" s="62"/>
      <c r="AN261" s="62"/>
      <c r="AO261" s="62"/>
    </row>
    <row r="262">
      <c r="A262" s="59">
        <f>IFERROR(__xludf.DUMMYFUNCTION("QUERY('Volunteer Survey'!A269)"),43691.699543414354)</f>
        <v>43691.69954</v>
      </c>
      <c r="B262" s="60" t="s">
        <v>178</v>
      </c>
      <c r="C262" s="80">
        <v>43717.0</v>
      </c>
      <c r="D262" s="62"/>
      <c r="E262" s="62"/>
      <c r="F262" s="60" t="s">
        <v>182</v>
      </c>
      <c r="G262" s="60" t="s">
        <v>27</v>
      </c>
      <c r="H262" s="61"/>
      <c r="I262" s="63" t="s">
        <v>189</v>
      </c>
      <c r="J262" s="62"/>
      <c r="K262" s="62"/>
      <c r="L262" s="62" t="str">
        <f>IFERROR(__xludf.DUMMYFUNCTION("QUERY('Volunteer Survey'!B269)"),"Ellie Jhun")</f>
        <v>Ellie Jhun</v>
      </c>
      <c r="M262" s="62" t="str">
        <f>IFERROR(__xludf.DUMMYFUNCTION("QUERY('Volunteer Survey'!E269)"),"ejhun@base10genetics.com")</f>
        <v>ejhun@base10genetics.com</v>
      </c>
      <c r="N262" s="62" t="str">
        <f>IFERROR(__xludf.DUMMYFUNCTION("QUERY('Volunteer Survey'!F269)"),"Variant Analyst/Scientist - Industry")</f>
        <v>Variant Analyst/Scientist - Industry</v>
      </c>
      <c r="O262" s="60" t="str">
        <f>IFERROR(__xludf.DUMMYFUNCTION("QUERY('Volunteer Survey'!H269)"),"Comprehensive")</f>
        <v>Comprehensive</v>
      </c>
      <c r="P262" s="62" t="str">
        <f>IFERROR(__xludf.DUMMYFUNCTION("QUERY('Volunteer Survey'!I269)"),"Clinical Actionability")</f>
        <v>Clinical Actionability</v>
      </c>
      <c r="Q262" s="66" t="str">
        <f>IFERROR(__xludf.DUMMYFUNCTION("QUERY('Volunteer Survey'!J269)"),"")</f>
        <v/>
      </c>
      <c r="R262" s="62" t="str">
        <f>IFERROR(__xludf.DUMMYFUNCTION("QUERY('Volunteer Survey'!K269)"),"")</f>
        <v/>
      </c>
      <c r="S262" s="62" t="str">
        <f>IFERROR(__xludf.DUMMYFUNCTION("QUERY('Volunteer Survey'!L269)"),"")</f>
        <v/>
      </c>
      <c r="T262" s="62" t="str">
        <f>IFERROR(__xludf.DUMMYFUNCTION("QUERY('Volunteer Survey'!M269)"),"")</f>
        <v/>
      </c>
      <c r="U262" s="74" t="str">
        <f>IFERROR(__xludf.DUMMYFUNCTION("QUERY('Volunteer Survey'!N269)"),"Pharmacogenomics fellowship program at the University of Chicago")</f>
        <v>Pharmacogenomics fellowship program at the University of Chicago</v>
      </c>
      <c r="V262" s="62" t="str">
        <f>IFERROR(__xludf.DUMMYFUNCTION("QUERY('Volunteer Survey'!O269)"),"No")</f>
        <v>No</v>
      </c>
      <c r="W262" s="75" t="str">
        <f>IFERROR(__xludf.DUMMYFUNCTION("QUERY('Volunteer Survey'!P269)"),"")</f>
        <v/>
      </c>
      <c r="X262" s="74" t="str">
        <f>IFERROR(__xludf.DUMMYFUNCTION("QUERY('Volunteer Survey'!R269)"),"No - I am only interested in the group(s) I previously indicated")</f>
        <v>No - I am only interested in the group(s) I previously indicated</v>
      </c>
      <c r="Y262" s="61"/>
      <c r="Z262" s="62"/>
      <c r="AA262" s="62"/>
      <c r="AB262" s="62"/>
      <c r="AC262" s="62"/>
      <c r="AD262" s="62"/>
      <c r="AE262" s="62"/>
      <c r="AF262" s="62"/>
      <c r="AG262" s="62"/>
      <c r="AH262" s="62"/>
      <c r="AI262" s="62"/>
      <c r="AJ262" s="62"/>
      <c r="AK262" s="62"/>
      <c r="AL262" s="62"/>
      <c r="AM262" s="62"/>
      <c r="AN262" s="62"/>
      <c r="AO262" s="62"/>
    </row>
    <row r="263">
      <c r="A263" s="59">
        <f>IFERROR(__xludf.DUMMYFUNCTION("QUERY('Volunteer Survey'!A270)"),43691.85581674768)</f>
        <v>43691.85582</v>
      </c>
      <c r="B263" s="60" t="s">
        <v>275</v>
      </c>
      <c r="C263" s="80">
        <v>43819.0</v>
      </c>
      <c r="D263" s="62"/>
      <c r="E263" s="62"/>
      <c r="F263" s="60" t="s">
        <v>182</v>
      </c>
      <c r="G263" s="60" t="s">
        <v>288</v>
      </c>
      <c r="H263" s="61"/>
      <c r="I263" s="63" t="s">
        <v>189</v>
      </c>
      <c r="J263" s="62"/>
      <c r="K263" s="62"/>
      <c r="L263" s="62" t="str">
        <f>IFERROR(__xludf.DUMMYFUNCTION("QUERY('Volunteer Survey'!B270)"),"Venkatesan Sengoda Gounder")</f>
        <v>Venkatesan Sengoda Gounder</v>
      </c>
      <c r="M263" s="62" t="str">
        <f>IFERROR(__xludf.DUMMYFUNCTION("QUERY('Volunteer Survey'!E270)"),"agrivenkat@gmail.com")</f>
        <v>agrivenkat@gmail.com</v>
      </c>
      <c r="N263" s="62" t="str">
        <f>IFERROR(__xludf.DUMMYFUNCTION("QUERY('Volunteer Survey'!F270)"),"Scientific Researcher")</f>
        <v>Scientific Researcher</v>
      </c>
      <c r="O263" s="60" t="str">
        <f>IFERROR(__xludf.DUMMYFUNCTION("QUERY('Volunteer Survey'!H270)"),"Comprehensive")</f>
        <v>Comprehensive</v>
      </c>
      <c r="P263" s="62" t="str">
        <f>IFERROR(__xludf.DUMMYFUNCTION("QUERY('Volunteer Survey'!I270)"),"Variant Pathogenicity")</f>
        <v>Variant Pathogenicity</v>
      </c>
      <c r="Q263" s="66" t="str">
        <f>IFERROR(__xludf.DUMMYFUNCTION("QUERY('Volunteer Survey'!J270)"),"Dosage Sensitivity")</f>
        <v>Dosage Sensitivity</v>
      </c>
      <c r="R263" s="62" t="str">
        <f>IFERROR(__xludf.DUMMYFUNCTION("QUERY('Volunteer Survey'!K270)"),"Gene-Disease Validity")</f>
        <v>Gene-Disease Validity</v>
      </c>
      <c r="S263" s="62" t="str">
        <f>IFERROR(__xludf.DUMMYFUNCTION("QUERY('Volunteer Survey'!L270)"),"Clinical Actionability")</f>
        <v>Clinical Actionability</v>
      </c>
      <c r="T263" s="62" t="str">
        <f>IFERROR(__xludf.DUMMYFUNCTION("QUERY('Volunteer Survey'!M270)"),"Somatic Cancer")</f>
        <v>Somatic Cancer</v>
      </c>
      <c r="U263" s="74" t="str">
        <f>IFERROR(__xludf.DUMMYFUNCTION("QUERY('Volunteer Survey'!N270)"),"No")</f>
        <v>No</v>
      </c>
      <c r="V263" s="62" t="str">
        <f>IFERROR(__xludf.DUMMYFUNCTION("QUERY('Volunteer Survey'!O270)"),"Yes")</f>
        <v>Yes</v>
      </c>
      <c r="W263" s="75" t="str">
        <f>IFERROR(__xludf.DUMMYFUNCTION("QUERY('Volunteer Survey'!P270)"),"Yes")</f>
        <v>Yes</v>
      </c>
      <c r="X263" s="74" t="str">
        <f>IFERROR(__xludf.DUMMYFUNCTION("QUERY('Volunteer Survey'!R270)"),"Yes- I am willing to volunteer with any available ClinGen group")</f>
        <v>Yes- I am willing to volunteer with any available ClinGen group</v>
      </c>
      <c r="Y263" s="61"/>
      <c r="Z263" s="62"/>
      <c r="AA263" s="62"/>
      <c r="AB263" s="62"/>
      <c r="AC263" s="62"/>
      <c r="AD263" s="62"/>
      <c r="AE263" s="62"/>
      <c r="AF263" s="62"/>
      <c r="AG263" s="62"/>
      <c r="AH263" s="62"/>
      <c r="AI263" s="62"/>
      <c r="AJ263" s="62"/>
      <c r="AK263" s="62"/>
      <c r="AL263" s="62"/>
      <c r="AM263" s="62"/>
      <c r="AN263" s="62"/>
      <c r="AO263" s="62"/>
    </row>
    <row r="264">
      <c r="A264" s="59">
        <f>IFERROR(__xludf.DUMMYFUNCTION("QUERY('Volunteer Survey'!A271)"),43692.43983260416)</f>
        <v>43692.43983</v>
      </c>
      <c r="B264" s="60" t="s">
        <v>275</v>
      </c>
      <c r="C264" s="80">
        <v>43819.0</v>
      </c>
      <c r="D264" s="117">
        <v>43859.0</v>
      </c>
      <c r="E264" s="60" t="s">
        <v>277</v>
      </c>
      <c r="F264" s="60" t="s">
        <v>182</v>
      </c>
      <c r="G264" s="60" t="s">
        <v>288</v>
      </c>
      <c r="H264" s="61"/>
      <c r="I264" s="63" t="s">
        <v>189</v>
      </c>
      <c r="J264" s="62"/>
      <c r="K264" s="62"/>
      <c r="L264" s="62" t="str">
        <f>IFERROR(__xludf.DUMMYFUNCTION("QUERY('Volunteer Survey'!B271)"),"Ronaldo da Silva Francisco Junior")</f>
        <v>Ronaldo da Silva Francisco Junior</v>
      </c>
      <c r="M264" s="62" t="str">
        <f>IFERROR(__xludf.DUMMYFUNCTION("QUERY('Volunteer Survey'!E271)"),"ronaldoj@lncc.br")</f>
        <v>ronaldoj@lncc.br</v>
      </c>
      <c r="N264" s="62" t="str">
        <f>IFERROR(__xludf.DUMMYFUNCTION("QUERY('Volunteer Survey'!F271)"),"Variant Analyst/Scientist - Academic")</f>
        <v>Variant Analyst/Scientist - Academic</v>
      </c>
      <c r="O264" s="60" t="str">
        <f>IFERROR(__xludf.DUMMYFUNCTION("QUERY('Volunteer Survey'!H271)"),"Comprehensive")</f>
        <v>Comprehensive</v>
      </c>
      <c r="P264" s="62" t="str">
        <f>IFERROR(__xludf.DUMMYFUNCTION("QUERY('Volunteer Survey'!I271)"),"Variant Pathogenicity")</f>
        <v>Variant Pathogenicity</v>
      </c>
      <c r="Q264" s="66" t="str">
        <f>IFERROR(__xludf.DUMMYFUNCTION("QUERY('Volunteer Survey'!J271)"),"Dosage Sensitivity")</f>
        <v>Dosage Sensitivity</v>
      </c>
      <c r="R264" s="62" t="str">
        <f>IFERROR(__xludf.DUMMYFUNCTION("QUERY('Volunteer Survey'!K271)"),"Clinical Actionability")</f>
        <v>Clinical Actionability</v>
      </c>
      <c r="S264" s="62" t="str">
        <f>IFERROR(__xludf.DUMMYFUNCTION("QUERY('Volunteer Survey'!L271)"),"Gene-Disease Validity")</f>
        <v>Gene-Disease Validity</v>
      </c>
      <c r="T264" s="62" t="str">
        <f>IFERROR(__xludf.DUMMYFUNCTION("QUERY('Volunteer Survey'!M271)"),"Somatic Cancer")</f>
        <v>Somatic Cancer</v>
      </c>
      <c r="U264" s="74" t="str">
        <f>IFERROR(__xludf.DUMMYFUNCTION("QUERY('Volunteer Survey'!N271)"),"Yes. I am currently working as a bioinformatician using WES data to perform the diagnosis and filtering of genetic variants in patients with Primary Immudeficiency Disorders")</f>
        <v>Yes. I am currently working as a bioinformatician using WES data to perform the diagnosis and filtering of genetic variants in patients with Primary Immudeficiency Disorders</v>
      </c>
      <c r="V264" s="62" t="str">
        <f>IFERROR(__xludf.DUMMYFUNCTION("QUERY('Volunteer Survey'!O271)"),"Yes")</f>
        <v>Yes</v>
      </c>
      <c r="W264" s="75" t="str">
        <f>IFERROR(__xludf.DUMMYFUNCTION("QUERY('Volunteer Survey'!P271)"),"Yes. RASopathy, Cardiomyopathy, Congenital Myopathies (newly forming), Mitochondrial diseases, Dosage-Recurrent Regions")</f>
        <v>Yes. RASopathy, Cardiomyopathy, Congenital Myopathies (newly forming), Mitochondrial diseases, Dosage-Recurrent Regions</v>
      </c>
      <c r="X264" s="74" t="str">
        <f>IFERROR(__xludf.DUMMYFUNCTION("QUERY('Volunteer Survey'!R271)"),"Yes- I am willing to volunteer with any available ClinGen group")</f>
        <v>Yes- I am willing to volunteer with any available ClinGen group</v>
      </c>
      <c r="Y264" s="61"/>
      <c r="Z264" s="62"/>
      <c r="AA264" s="62"/>
      <c r="AB264" s="62"/>
      <c r="AC264" s="62"/>
      <c r="AD264" s="62"/>
      <c r="AE264" s="62"/>
      <c r="AF264" s="62"/>
      <c r="AG264" s="62"/>
      <c r="AH264" s="62"/>
      <c r="AI264" s="62"/>
      <c r="AJ264" s="62"/>
      <c r="AK264" s="62"/>
      <c r="AL264" s="62"/>
      <c r="AM264" s="62"/>
      <c r="AN264" s="62"/>
      <c r="AO264" s="62"/>
    </row>
    <row r="265">
      <c r="A265" s="59">
        <f>IFERROR(__xludf.DUMMYFUNCTION("QUERY('Volunteer Survey'!A272)"),43692.75764353009)</f>
        <v>43692.75764</v>
      </c>
      <c r="B265" s="60" t="s">
        <v>275</v>
      </c>
      <c r="C265" s="80">
        <v>43819.0</v>
      </c>
      <c r="D265" s="62"/>
      <c r="E265" s="62"/>
      <c r="F265" s="60" t="s">
        <v>182</v>
      </c>
      <c r="G265" s="60" t="s">
        <v>278</v>
      </c>
      <c r="H265" s="61"/>
      <c r="I265" s="63" t="s">
        <v>189</v>
      </c>
      <c r="J265" s="62"/>
      <c r="K265" s="62"/>
      <c r="L265" s="62" t="str">
        <f>IFERROR(__xludf.DUMMYFUNCTION("QUERY('Volunteer Survey'!B272)"),"Krista Bluske")</f>
        <v>Krista Bluske</v>
      </c>
      <c r="M265" s="62" t="str">
        <f>IFERROR(__xludf.DUMMYFUNCTION("QUERY('Volunteer Survey'!E272)"),"kbluske@illumina.com")</f>
        <v>kbluske@illumina.com</v>
      </c>
      <c r="N265" s="62" t="str">
        <f>IFERROR(__xludf.DUMMYFUNCTION("QUERY('Volunteer Survey'!F272)"),"Variant Analyst/Scientist - Industry")</f>
        <v>Variant Analyst/Scientist - Industry</v>
      </c>
      <c r="O265" s="60" t="str">
        <f>IFERROR(__xludf.DUMMYFUNCTION("QUERY('Volunteer Survey'!H272)"),"Comprehensive")</f>
        <v>Comprehensive</v>
      </c>
      <c r="P265" s="62" t="str">
        <f>IFERROR(__xludf.DUMMYFUNCTION("QUERY('Volunteer Survey'!I272)"),"Gene-Disease Validity")</f>
        <v>Gene-Disease Validity</v>
      </c>
      <c r="Q265" s="66" t="str">
        <f>IFERROR(__xludf.DUMMYFUNCTION("QUERY('Volunteer Survey'!J272)"),"")</f>
        <v/>
      </c>
      <c r="R265" s="62" t="str">
        <f>IFERROR(__xludf.DUMMYFUNCTION("QUERY('Volunteer Survey'!K272)"),"")</f>
        <v/>
      </c>
      <c r="S265" s="62" t="str">
        <f>IFERROR(__xludf.DUMMYFUNCTION("QUERY('Volunteer Survey'!L272)"),"")</f>
        <v/>
      </c>
      <c r="T265" s="62" t="str">
        <f>IFERROR(__xludf.DUMMYFUNCTION("QUERY('Volunteer Survey'!M272)"),"")</f>
        <v/>
      </c>
      <c r="U265" s="74" t="str">
        <f>IFERROR(__xludf.DUMMYFUNCTION("QUERY('Volunteer Survey'!N272)"),"Yes, our group at Illumina is already contributing RUGD gene curations to ClinGen and we are active collaborators. I am trained in the ClinGen gene curation protocol. ")</f>
        <v>Yes, our group at Illumina is already contributing RUGD gene curations to ClinGen and we are active collaborators. I am trained in the ClinGen gene curation protocol. </v>
      </c>
      <c r="V265" s="62" t="str">
        <f>IFERROR(__xludf.DUMMYFUNCTION("QUERY('Volunteer Survey'!O272)"),"Possibly")</f>
        <v>Possibly</v>
      </c>
      <c r="W265" s="75" t="str">
        <f>IFERROR(__xludf.DUMMYFUNCTION("QUERY('Volunteer Survey'!P272)"),"Mitochondrial Diseases expert panel (already participating), the soon-to-be-formed RUGD expert panel")</f>
        <v>Mitochondrial Diseases expert panel (already participating), the soon-to-be-formed RUGD expert panel</v>
      </c>
      <c r="X265" s="74" t="str">
        <f>IFERROR(__xludf.DUMMYFUNCTION("QUERY('Volunteer Survey'!R272)"),"No - I am only interested in the group(s) I previously indicated")</f>
        <v>No - I am only interested in the group(s) I previously indicated</v>
      </c>
      <c r="Y265" s="61"/>
      <c r="Z265" s="62"/>
      <c r="AA265" s="62"/>
      <c r="AB265" s="62"/>
      <c r="AC265" s="62"/>
      <c r="AD265" s="62"/>
      <c r="AE265" s="62"/>
      <c r="AF265" s="62"/>
      <c r="AG265" s="62"/>
      <c r="AH265" s="62"/>
      <c r="AI265" s="62"/>
      <c r="AJ265" s="62"/>
      <c r="AK265" s="62"/>
      <c r="AL265" s="62"/>
      <c r="AM265" s="62"/>
      <c r="AN265" s="62"/>
      <c r="AO265" s="62"/>
    </row>
    <row r="266">
      <c r="A266" s="59">
        <f>IFERROR(__xludf.DUMMYFUNCTION("QUERY('Volunteer Survey'!A273)"),43692.80813991898)</f>
        <v>43692.80814</v>
      </c>
      <c r="B266" s="60" t="s">
        <v>275</v>
      </c>
      <c r="C266" s="80">
        <v>43819.0</v>
      </c>
      <c r="D266" s="62"/>
      <c r="E266" s="62"/>
      <c r="F266" s="60" t="s">
        <v>182</v>
      </c>
      <c r="G266" s="60" t="s">
        <v>288</v>
      </c>
      <c r="H266" s="61"/>
      <c r="I266" s="63" t="s">
        <v>189</v>
      </c>
      <c r="J266" s="62"/>
      <c r="K266" s="62"/>
      <c r="L266" s="62" t="str">
        <f>IFERROR(__xludf.DUMMYFUNCTION("QUERY('Volunteer Survey'!B273)"),"Raman Bansal")</f>
        <v>Raman Bansal</v>
      </c>
      <c r="M266" s="62" t="str">
        <f>IFERROR(__xludf.DUMMYFUNCTION("QUERY('Volunteer Survey'!E273)"),"rbansal.osu@gmail.com")</f>
        <v>rbansal.osu@gmail.com</v>
      </c>
      <c r="N266" s="62" t="str">
        <f>IFERROR(__xludf.DUMMYFUNCTION("QUERY('Volunteer Survey'!F273)"),"Scientific Researcher")</f>
        <v>Scientific Researcher</v>
      </c>
      <c r="O266" s="60" t="str">
        <f>IFERROR(__xludf.DUMMYFUNCTION("QUERY('Volunteer Survey'!H273)"),"Comprehensive")</f>
        <v>Comprehensive</v>
      </c>
      <c r="P266" s="62" t="str">
        <f>IFERROR(__xludf.DUMMYFUNCTION("QUERY('Volunteer Survey'!I273)"),"Variant Pathogenicity")</f>
        <v>Variant Pathogenicity</v>
      </c>
      <c r="Q266" s="66" t="str">
        <f>IFERROR(__xludf.DUMMYFUNCTION("QUERY('Volunteer Survey'!J273)"),"Dosage Sensitivity")</f>
        <v>Dosage Sensitivity</v>
      </c>
      <c r="R266" s="62" t="str">
        <f>IFERROR(__xludf.DUMMYFUNCTION("QUERY('Volunteer Survey'!K273)"),"Gene-Disease Validity")</f>
        <v>Gene-Disease Validity</v>
      </c>
      <c r="S266" s="62" t="str">
        <f>IFERROR(__xludf.DUMMYFUNCTION("QUERY('Volunteer Survey'!L273)"),"Clinical Actionability")</f>
        <v>Clinical Actionability</v>
      </c>
      <c r="T266" s="62" t="str">
        <f>IFERROR(__xludf.DUMMYFUNCTION("QUERY('Volunteer Survey'!M273)"),"Somatic Cancer")</f>
        <v>Somatic Cancer</v>
      </c>
      <c r="U266" s="74" t="str">
        <f>IFERROR(__xludf.DUMMYFUNCTION("QUERY('Volunteer Survey'!N273)"),"")</f>
        <v/>
      </c>
      <c r="V266" s="62" t="str">
        <f>IFERROR(__xludf.DUMMYFUNCTION("QUERY('Volunteer Survey'!O273)"),"Yes")</f>
        <v>Yes</v>
      </c>
      <c r="W266" s="75" t="str">
        <f>IFERROR(__xludf.DUMMYFUNCTION("QUERY('Volunteer Survey'!P273)"),"")</f>
        <v/>
      </c>
      <c r="X266" s="74" t="str">
        <f>IFERROR(__xludf.DUMMYFUNCTION("QUERY('Volunteer Survey'!R273)"),"Yes- I am willing to volunteer with any available ClinGen group")</f>
        <v>Yes- I am willing to volunteer with any available ClinGen group</v>
      </c>
      <c r="Y266" s="61"/>
      <c r="Z266" s="62"/>
      <c r="AA266" s="62"/>
      <c r="AB266" s="62"/>
      <c r="AC266" s="62"/>
      <c r="AD266" s="62"/>
      <c r="AE266" s="62"/>
      <c r="AF266" s="62"/>
      <c r="AG266" s="62"/>
      <c r="AH266" s="62"/>
      <c r="AI266" s="62"/>
      <c r="AJ266" s="62"/>
      <c r="AK266" s="62"/>
      <c r="AL266" s="62"/>
      <c r="AM266" s="62"/>
      <c r="AN266" s="62"/>
      <c r="AO266" s="62"/>
    </row>
    <row r="267">
      <c r="A267" s="59">
        <f>IFERROR(__xludf.DUMMYFUNCTION("QUERY('Volunteer Survey'!A275)"),43693.34301476852)</f>
        <v>43693.34301</v>
      </c>
      <c r="B267" s="60" t="s">
        <v>282</v>
      </c>
      <c r="C267" s="80">
        <v>43705.0</v>
      </c>
      <c r="D267" s="79">
        <v>43719.0</v>
      </c>
      <c r="E267" s="60" t="s">
        <v>277</v>
      </c>
      <c r="F267" s="60" t="s">
        <v>182</v>
      </c>
      <c r="G267" s="60" t="s">
        <v>150</v>
      </c>
      <c r="H267" s="63" t="s">
        <v>357</v>
      </c>
      <c r="I267" s="63" t="s">
        <v>189</v>
      </c>
      <c r="J267" s="62"/>
      <c r="K267" s="62"/>
      <c r="L267" s="62" t="str">
        <f>IFERROR(__xludf.DUMMYFUNCTION("QUERY('Volunteer Survey'!B275)"),"FENGLI ZHANG")</f>
        <v>FENGLI ZHANG</v>
      </c>
      <c r="M267" s="62" t="str">
        <f>IFERROR(__xludf.DUMMYFUNCTION("QUERY('Volunteer Survey'!E275)"),"fengli.zhang@slh.wisc.edu")</f>
        <v>fengli.zhang@slh.wisc.edu</v>
      </c>
      <c r="N267" s="62" t="str">
        <f>IFERROR(__xludf.DUMMYFUNCTION("QUERY('Volunteer Survey'!F275)"),"Clinical laboratory geneticist")</f>
        <v>Clinical laboratory geneticist</v>
      </c>
      <c r="O267" s="60" t="str">
        <f>IFERROR(__xludf.DUMMYFUNCTION("QUERY('Volunteer Survey'!H275)"),"Comprehensive")</f>
        <v>Comprehensive</v>
      </c>
      <c r="P267" s="62" t="str">
        <f>IFERROR(__xludf.DUMMYFUNCTION("QUERY('Volunteer Survey'!I275)"),"Somatic Cancer")</f>
        <v>Somatic Cancer</v>
      </c>
      <c r="Q267" s="66" t="str">
        <f>IFERROR(__xludf.DUMMYFUNCTION("QUERY('Volunteer Survey'!J275)"),"Variant Pathogenicity")</f>
        <v>Variant Pathogenicity</v>
      </c>
      <c r="R267" s="62" t="str">
        <f>IFERROR(__xludf.DUMMYFUNCTION("QUERY('Volunteer Survey'!K275)"),"Gene-Disease Validity")</f>
        <v>Gene-Disease Validity</v>
      </c>
      <c r="S267" s="62" t="str">
        <f>IFERROR(__xludf.DUMMYFUNCTION("QUERY('Volunteer Survey'!L275)"),"Dosage Sensitivity")</f>
        <v>Dosage Sensitivity</v>
      </c>
      <c r="T267" s="62" t="str">
        <f>IFERROR(__xludf.DUMMYFUNCTION("QUERY('Volunteer Survey'!M275)"),"Clinical Actionability")</f>
        <v>Clinical Actionability</v>
      </c>
      <c r="U267" s="74" t="str">
        <f>IFERROR(__xludf.DUMMYFUNCTION("QUERY('Volunteer Survey'!N275)"),"No")</f>
        <v>No</v>
      </c>
      <c r="V267" s="62" t="str">
        <f>IFERROR(__xludf.DUMMYFUNCTION("QUERY('Volunteer Survey'!O275)"),"Possibly")</f>
        <v>Possibly</v>
      </c>
      <c r="W267" s="75" t="str">
        <f>IFERROR(__xludf.DUMMYFUNCTION("QUERY('Volunteer Survey'!P275)"),"Cancer")</f>
        <v>Cancer</v>
      </c>
      <c r="X267" s="74" t="str">
        <f>IFERROR(__xludf.DUMMYFUNCTION("QUERY('Volunteer Survey'!R275)"),"Yes- I am willing to volunteer with any available ClinGen group")</f>
        <v>Yes- I am willing to volunteer with any available ClinGen group</v>
      </c>
      <c r="Y267" s="61"/>
      <c r="Z267" s="62"/>
      <c r="AA267" s="62"/>
      <c r="AB267" s="62"/>
      <c r="AC267" s="62"/>
      <c r="AD267" s="62"/>
      <c r="AE267" s="62"/>
      <c r="AF267" s="62"/>
      <c r="AG267" s="62"/>
      <c r="AH267" s="62"/>
      <c r="AI267" s="62"/>
      <c r="AJ267" s="62"/>
      <c r="AK267" s="62"/>
      <c r="AL267" s="62"/>
      <c r="AM267" s="62"/>
      <c r="AN267" s="62"/>
      <c r="AO267" s="62"/>
    </row>
    <row r="268">
      <c r="A268" s="59">
        <f>IFERROR(__xludf.DUMMYFUNCTION("QUERY('Volunteer Survey'!A276)"),43693.391088738426)</f>
        <v>43693.39109</v>
      </c>
      <c r="B268" s="60" t="s">
        <v>275</v>
      </c>
      <c r="C268" s="80">
        <v>43819.0</v>
      </c>
      <c r="D268" s="62"/>
      <c r="E268" s="62"/>
      <c r="F268" s="60" t="s">
        <v>182</v>
      </c>
      <c r="G268" s="60" t="s">
        <v>278</v>
      </c>
      <c r="H268" s="61"/>
      <c r="I268" s="63" t="s">
        <v>189</v>
      </c>
      <c r="J268" s="62"/>
      <c r="K268" s="62"/>
      <c r="L268" s="62" t="str">
        <f>IFERROR(__xludf.DUMMYFUNCTION("QUERY('Volunteer Survey'!B276)"),"Amanda Clause")</f>
        <v>Amanda Clause</v>
      </c>
      <c r="M268" s="62" t="str">
        <f>IFERROR(__xludf.DUMMYFUNCTION("QUERY('Volunteer Survey'!E276)"),"aclause@illumina.com")</f>
        <v>aclause@illumina.com</v>
      </c>
      <c r="N268" s="62" t="str">
        <f>IFERROR(__xludf.DUMMYFUNCTION("QUERY('Volunteer Survey'!F276)"),"Variant Analyst/Scientist - Industry")</f>
        <v>Variant Analyst/Scientist - Industry</v>
      </c>
      <c r="O268" s="60" t="str">
        <f>IFERROR(__xludf.DUMMYFUNCTION("QUERY('Volunteer Survey'!H276)"),"Comprehensive")</f>
        <v>Comprehensive</v>
      </c>
      <c r="P268" s="62" t="str">
        <f>IFERROR(__xludf.DUMMYFUNCTION("QUERY('Volunteer Survey'!I276)"),"Gene-Disease Validity")</f>
        <v>Gene-Disease Validity</v>
      </c>
      <c r="Q268" s="66" t="str">
        <f>IFERROR(__xludf.DUMMYFUNCTION("QUERY('Volunteer Survey'!J276)"),"")</f>
        <v/>
      </c>
      <c r="R268" s="62" t="str">
        <f>IFERROR(__xludf.DUMMYFUNCTION("QUERY('Volunteer Survey'!K276)"),"")</f>
        <v/>
      </c>
      <c r="S268" s="62" t="str">
        <f>IFERROR(__xludf.DUMMYFUNCTION("QUERY('Volunteer Survey'!L276)"),"")</f>
        <v/>
      </c>
      <c r="T268" s="62" t="str">
        <f>IFERROR(__xludf.DUMMYFUNCTION("QUERY('Volunteer Survey'!M276)"),"")</f>
        <v/>
      </c>
      <c r="U268" s="74" t="str">
        <f>IFERROR(__xludf.DUMMYFUNCTION("QUERY('Volunteer Survey'!N276)"),"Yes; currently curate variants and GDAs for a clinical whole genome sequencing test")</f>
        <v>Yes; currently curate variants and GDAs for a clinical whole genome sequencing test</v>
      </c>
      <c r="V268" s="62" t="str">
        <f>IFERROR(__xludf.DUMMYFUNCTION("QUERY('Volunteer Survey'!O276)"),"No")</f>
        <v>No</v>
      </c>
      <c r="W268" s="75" t="str">
        <f>IFERROR(__xludf.DUMMYFUNCTION("QUERY('Volunteer Survey'!P276)"),"mitochondrial diseases, rare disease")</f>
        <v>mitochondrial diseases, rare disease</v>
      </c>
      <c r="X268" s="74" t="str">
        <f>IFERROR(__xludf.DUMMYFUNCTION("QUERY('Volunteer Survey'!R276)"),"Maybe -- please contact me with other options, and I will decide based on what is available")</f>
        <v>Maybe -- please contact me with other options, and I will decide based on what is available</v>
      </c>
      <c r="Y268" s="61"/>
      <c r="Z268" s="62"/>
      <c r="AA268" s="62"/>
      <c r="AB268" s="62"/>
      <c r="AC268" s="62"/>
      <c r="AD268" s="62"/>
      <c r="AE268" s="62"/>
      <c r="AF268" s="62"/>
      <c r="AG268" s="62"/>
      <c r="AH268" s="62"/>
      <c r="AI268" s="62"/>
      <c r="AJ268" s="62"/>
      <c r="AK268" s="62"/>
      <c r="AL268" s="62"/>
      <c r="AM268" s="62"/>
      <c r="AN268" s="62"/>
      <c r="AO268" s="62"/>
    </row>
    <row r="269" ht="18.0" customHeight="1">
      <c r="A269" s="59">
        <f>IFERROR(__xludf.DUMMYFUNCTION("QUERY('Volunteer Survey'!A277)"),43693.457710972216)</f>
        <v>43693.45771</v>
      </c>
      <c r="B269" s="60" t="s">
        <v>275</v>
      </c>
      <c r="C269" s="80">
        <v>43819.0</v>
      </c>
      <c r="D269" s="62"/>
      <c r="E269" s="62"/>
      <c r="F269" s="60" t="s">
        <v>182</v>
      </c>
      <c r="G269" s="60" t="s">
        <v>288</v>
      </c>
      <c r="H269" s="61"/>
      <c r="I269" s="63" t="s">
        <v>189</v>
      </c>
      <c r="J269" s="62"/>
      <c r="K269" s="62"/>
      <c r="L269" s="62" t="str">
        <f>IFERROR(__xludf.DUMMYFUNCTION("QUERY('Volunteer Survey'!B277)"),"Sara Spencer")</f>
        <v>Sara Spencer</v>
      </c>
      <c r="M269" s="62" t="str">
        <f>IFERROR(__xludf.DUMMYFUNCTION("QUERY('Volunteer Survey'!E277)"),"saspence@nm.org")</f>
        <v>saspence@nm.org</v>
      </c>
      <c r="N269" s="62" t="str">
        <f>IFERROR(__xludf.DUMMYFUNCTION("QUERY('Volunteer Survey'!F277)"),"Genetic counselor")</f>
        <v>Genetic counselor</v>
      </c>
      <c r="O269" s="60" t="str">
        <f>IFERROR(__xludf.DUMMYFUNCTION("QUERY('Volunteer Survey'!H277)"),"Comprehensive")</f>
        <v>Comprehensive</v>
      </c>
      <c r="P269" s="62" t="str">
        <f>IFERROR(__xludf.DUMMYFUNCTION("QUERY('Volunteer Survey'!I277)"),"Variant Pathogenicity")</f>
        <v>Variant Pathogenicity</v>
      </c>
      <c r="Q269" s="66" t="str">
        <f>IFERROR(__xludf.DUMMYFUNCTION("QUERY('Volunteer Survey'!J277)"),"Gene-Disease Validity")</f>
        <v>Gene-Disease Validity</v>
      </c>
      <c r="R269" s="62" t="str">
        <f>IFERROR(__xludf.DUMMYFUNCTION("QUERY('Volunteer Survey'!K277)"),"Dosage Sensitivity")</f>
        <v>Dosage Sensitivity</v>
      </c>
      <c r="S269" s="62" t="str">
        <f>IFERROR(__xludf.DUMMYFUNCTION("QUERY('Volunteer Survey'!L277)"),"")</f>
        <v/>
      </c>
      <c r="T269" s="62" t="str">
        <f>IFERROR(__xludf.DUMMYFUNCTION("QUERY('Volunteer Survey'!M277)"),"")</f>
        <v/>
      </c>
      <c r="U269" s="122" t="str">
        <f>IFERROR(__xludf.DUMMYFUNCTION("QUERY('Volunteer Survey'!N277)"),"As a clinician, I have been reviewing variant classifications provided by labs for 13 years. In addition, I have personal experience receiving a VOUS. This result motivated me to learn more about the variant classification process through shadowing my col"&amp;"leagues in the lab as well as taking the NSGC Variant Interpretation in the Era of WES/WGS Online Course. I am also currently watching the 2019 BROAD Institute - Interpreting Genomes for Rare Disease: Variant and Gene Interpretation lectures.
")</f>
        <v>As a clinician, I have been reviewing variant classifications provided by labs for 13 years. In addition, I have personal experience receiving a VOUS. This result motivated me to learn more about the variant classification process through shadowing my colleagues in the lab as well as taking the NSGC Variant Interpretation in the Era of WES/WGS Online Course. I am also currently watching the 2019 BROAD Institute - Interpreting Genomes for Rare Disease: Variant and Gene Interpretation lectures.
</v>
      </c>
      <c r="V269" s="62" t="str">
        <f>IFERROR(__xludf.DUMMYFUNCTION("QUERY('Volunteer Survey'!O277)"),"Possibly")</f>
        <v>Possibly</v>
      </c>
      <c r="W269" s="75" t="str">
        <f>IFERROR(__xludf.DUMMYFUNCTION("QUERY('Volunteer Survey'!P277)"),"Gene Curation Expert Panels - Epilepsy 
Variant Curation Expert Panels - Brain Malformations")</f>
        <v>Gene Curation Expert Panels - Epilepsy 
Variant Curation Expert Panels - Brain Malformations</v>
      </c>
      <c r="X269" s="74" t="str">
        <f>IFERROR(__xludf.DUMMYFUNCTION("QUERY('Volunteer Survey'!R277)"),"Yes- I am willing to volunteer with any available ClinGen group")</f>
        <v>Yes- I am willing to volunteer with any available ClinGen group</v>
      </c>
      <c r="Y269" s="61"/>
      <c r="Z269" s="62"/>
      <c r="AA269" s="62"/>
      <c r="AB269" s="62"/>
      <c r="AC269" s="62"/>
      <c r="AD269" s="62"/>
      <c r="AE269" s="62"/>
      <c r="AF269" s="62"/>
      <c r="AG269" s="62"/>
      <c r="AH269" s="62"/>
      <c r="AI269" s="62"/>
      <c r="AJ269" s="62"/>
      <c r="AK269" s="62"/>
      <c r="AL269" s="62"/>
      <c r="AM269" s="62"/>
      <c r="AN269" s="62"/>
      <c r="AO269" s="62"/>
    </row>
    <row r="270">
      <c r="A270" s="59">
        <f>IFERROR(__xludf.DUMMYFUNCTION("QUERY('Volunteer Survey'!A278)"),43693.47499200231)</f>
        <v>43693.47499</v>
      </c>
      <c r="B270" s="60" t="s">
        <v>340</v>
      </c>
      <c r="C270" s="61"/>
      <c r="D270" s="62"/>
      <c r="E270" s="62"/>
      <c r="F270" s="60" t="s">
        <v>182</v>
      </c>
      <c r="G270" s="60" t="s">
        <v>283</v>
      </c>
      <c r="H270" s="61"/>
      <c r="I270" s="63" t="s">
        <v>189</v>
      </c>
      <c r="J270" s="62"/>
      <c r="K270" s="62"/>
      <c r="L270" s="62" t="str">
        <f>IFERROR(__xludf.DUMMYFUNCTION("QUERY('Volunteer Survey'!B278)"),"Niroshi Senaratne")</f>
        <v>Niroshi Senaratne</v>
      </c>
      <c r="M270" s="62" t="str">
        <f>IFERROR(__xludf.DUMMYFUNCTION("QUERY('Volunteer Survey'!E278)"),"niroshi.senaratne@gmail.com")</f>
        <v>niroshi.senaratne@gmail.com</v>
      </c>
      <c r="N270" s="62" t="str">
        <f>IFERROR(__xludf.DUMMYFUNCTION("QUERY('Volunteer Survey'!F278)"),"Clinical laboratory geneticist")</f>
        <v>Clinical laboratory geneticist</v>
      </c>
      <c r="O270" s="60" t="str">
        <f>IFERROR(__xludf.DUMMYFUNCTION("QUERY('Volunteer Survey'!H278)"),"Comprehensive")</f>
        <v>Comprehensive</v>
      </c>
      <c r="P270" s="62" t="str">
        <f>IFERROR(__xludf.DUMMYFUNCTION("QUERY('Volunteer Survey'!I278)"),"Dosage Sensitivity")</f>
        <v>Dosage Sensitivity</v>
      </c>
      <c r="Q270" s="66" t="str">
        <f>IFERROR(__xludf.DUMMYFUNCTION("QUERY('Volunteer Survey'!J278)"),"")</f>
        <v/>
      </c>
      <c r="R270" s="62" t="str">
        <f>IFERROR(__xludf.DUMMYFUNCTION("QUERY('Volunteer Survey'!K278)"),"")</f>
        <v/>
      </c>
      <c r="S270" s="62" t="str">
        <f>IFERROR(__xludf.DUMMYFUNCTION("QUERY('Volunteer Survey'!L278)"),"")</f>
        <v/>
      </c>
      <c r="T270" s="62" t="str">
        <f>IFERROR(__xludf.DUMMYFUNCTION("QUERY('Volunteer Survey'!M278)"),"")</f>
        <v/>
      </c>
      <c r="U270" s="74" t="str">
        <f>IFERROR(__xludf.DUMMYFUNCTION("QUERY('Volunteer Survey'!N278)"),"Yes, having worked on constitutional chromosomal microarrays during my fellowship (referred for a variety of indications including autism and other neurodevelopmental disorders) I have often had to research novel CNVs for evidence of dosage pathogenicity.")</f>
        <v>Yes, having worked on constitutional chromosomal microarrays during my fellowship (referred for a variety of indications including autism and other neurodevelopmental disorders) I have often had to research novel CNVs for evidence of dosage pathogenicity.</v>
      </c>
      <c r="V270" s="62" t="str">
        <f>IFERROR(__xludf.DUMMYFUNCTION("QUERY('Volunteer Survey'!O278)"),"Possibly")</f>
        <v>Possibly</v>
      </c>
      <c r="W270" s="75" t="str">
        <f>IFERROR(__xludf.DUMMYFUNCTION("QUERY('Volunteer Survey'!P278)"),"Dosage sensitivity (neurodevelopmental genes subgroup)")</f>
        <v>Dosage sensitivity (neurodevelopmental genes subgroup)</v>
      </c>
      <c r="X270" s="74" t="str">
        <f>IFERROR(__xludf.DUMMYFUNCTION("QUERY('Volunteer Survey'!R278)"),"Yes- I am willing to volunteer with any available ClinGen group")</f>
        <v>Yes- I am willing to volunteer with any available ClinGen group</v>
      </c>
      <c r="Y270" s="61"/>
      <c r="Z270" s="62"/>
      <c r="AA270" s="62"/>
      <c r="AB270" s="62"/>
      <c r="AC270" s="62"/>
      <c r="AD270" s="62"/>
      <c r="AE270" s="62"/>
      <c r="AF270" s="62"/>
      <c r="AG270" s="62"/>
      <c r="AH270" s="62"/>
      <c r="AI270" s="62"/>
      <c r="AJ270" s="62"/>
      <c r="AK270" s="62"/>
      <c r="AL270" s="62"/>
      <c r="AM270" s="62"/>
      <c r="AN270" s="62"/>
      <c r="AO270" s="62"/>
    </row>
    <row r="271">
      <c r="A271" s="59">
        <f>IFERROR(__xludf.DUMMYFUNCTION("QUERY('Volunteer Survey'!A280)"),43693.871890752314)</f>
        <v>43693.87189</v>
      </c>
      <c r="B271" s="60" t="s">
        <v>275</v>
      </c>
      <c r="C271" s="80">
        <v>43819.0</v>
      </c>
      <c r="D271" s="62"/>
      <c r="E271" s="62"/>
      <c r="F271" s="60" t="s">
        <v>182</v>
      </c>
      <c r="G271" s="60" t="s">
        <v>288</v>
      </c>
      <c r="H271" s="61"/>
      <c r="I271" s="63" t="s">
        <v>189</v>
      </c>
      <c r="J271" s="62"/>
      <c r="K271" s="62"/>
      <c r="L271" s="62" t="str">
        <f>IFERROR(__xludf.DUMMYFUNCTION("QUERY('Volunteer Survey'!B280)"),"Madhu Ouseph")</f>
        <v>Madhu Ouseph</v>
      </c>
      <c r="M271" s="62" t="str">
        <f>IFERROR(__xludf.DUMMYFUNCTION("QUERY('Volunteer Survey'!E280)"),"mouseph@stanford.edu")</f>
        <v>mouseph@stanford.edu</v>
      </c>
      <c r="N271" s="62" t="str">
        <f>IFERROR(__xludf.DUMMYFUNCTION("QUERY('Volunteer Survey'!F280)"),"Post Doc/Resident/Fellow (MD and/or PhD)")</f>
        <v>Post Doc/Resident/Fellow (MD and/or PhD)</v>
      </c>
      <c r="O271" s="60" t="str">
        <f>IFERROR(__xludf.DUMMYFUNCTION("QUERY('Volunteer Survey'!H280)"),"Comprehensive")</f>
        <v>Comprehensive</v>
      </c>
      <c r="P271" s="62" t="str">
        <f>IFERROR(__xludf.DUMMYFUNCTION("QUERY('Volunteer Survey'!I280)"),"Variant Pathogenicity")</f>
        <v>Variant Pathogenicity</v>
      </c>
      <c r="Q271" s="66" t="str">
        <f>IFERROR(__xludf.DUMMYFUNCTION("QUERY('Volunteer Survey'!J280)"),"Somatic Cancer")</f>
        <v>Somatic Cancer</v>
      </c>
      <c r="R271" s="62" t="str">
        <f>IFERROR(__xludf.DUMMYFUNCTION("QUERY('Volunteer Survey'!K280)"),"Clinical Actionability")</f>
        <v>Clinical Actionability</v>
      </c>
      <c r="S271" s="62" t="str">
        <f>IFERROR(__xludf.DUMMYFUNCTION("QUERY('Volunteer Survey'!L280)"),"Dosage Sensitivity")</f>
        <v>Dosage Sensitivity</v>
      </c>
      <c r="T271" s="62" t="str">
        <f>IFERROR(__xludf.DUMMYFUNCTION("QUERY('Volunteer Survey'!M280)"),"Gene-Disease Validity")</f>
        <v>Gene-Disease Validity</v>
      </c>
      <c r="U271" s="74" t="str">
        <f>IFERROR(__xludf.DUMMYFUNCTION("QUERY('Volunteer Survey'!N280)"),"Currently involved in annotation of variants identified in NGS assays")</f>
        <v>Currently involved in annotation of variants identified in NGS assays</v>
      </c>
      <c r="V271" s="62" t="str">
        <f>IFERROR(__xludf.DUMMYFUNCTION("QUERY('Volunteer Survey'!O280)"),"Possibly")</f>
        <v>Possibly</v>
      </c>
      <c r="W271" s="75" t="str">
        <f>IFERROR(__xludf.DUMMYFUNCTION("QUERY('Volunteer Survey'!P280)"),"Myeloid Malignancy")</f>
        <v>Myeloid Malignancy</v>
      </c>
      <c r="X271" s="74" t="str">
        <f>IFERROR(__xludf.DUMMYFUNCTION("QUERY('Volunteer Survey'!R280)"),"Maybe -- please contact me with other options, and I will decide based on what is available")</f>
        <v>Maybe -- please contact me with other options, and I will decide based on what is available</v>
      </c>
      <c r="Y271" s="61"/>
      <c r="Z271" s="62"/>
      <c r="AA271" s="62"/>
      <c r="AB271" s="62"/>
      <c r="AC271" s="62"/>
      <c r="AD271" s="62"/>
      <c r="AE271" s="62"/>
      <c r="AF271" s="62"/>
      <c r="AG271" s="62"/>
      <c r="AH271" s="62"/>
      <c r="AI271" s="62"/>
      <c r="AJ271" s="62"/>
      <c r="AK271" s="62"/>
      <c r="AL271" s="62"/>
      <c r="AM271" s="62"/>
      <c r="AN271" s="62"/>
      <c r="AO271" s="62"/>
    </row>
    <row r="272">
      <c r="A272" s="59">
        <f>IFERROR(__xludf.DUMMYFUNCTION("QUERY('Volunteer Survey'!A281)"),43695.721074687506)</f>
        <v>43695.72107</v>
      </c>
      <c r="B272" s="60" t="s">
        <v>275</v>
      </c>
      <c r="C272" s="80">
        <v>43819.0</v>
      </c>
      <c r="D272" s="62"/>
      <c r="E272" s="62"/>
      <c r="F272" s="60" t="s">
        <v>182</v>
      </c>
      <c r="G272" s="60" t="s">
        <v>288</v>
      </c>
      <c r="H272" s="61"/>
      <c r="I272" s="63" t="s">
        <v>189</v>
      </c>
      <c r="J272" s="62"/>
      <c r="K272" s="62"/>
      <c r="L272" s="62" t="str">
        <f>IFERROR(__xludf.DUMMYFUNCTION("QUERY('Volunteer Survey'!B281)"),"Janey Youngblom")</f>
        <v>Janey Youngblom</v>
      </c>
      <c r="M272" s="62" t="str">
        <f>IFERROR(__xludf.DUMMYFUNCTION("QUERY('Volunteer Survey'!E281)"),"jyoungblom1@csustan.edu")</f>
        <v>jyoungblom1@csustan.edu</v>
      </c>
      <c r="N272" s="62" t="str">
        <f>IFERROR(__xludf.DUMMYFUNCTION("QUERY('Volunteer Survey'!F281)"),"Scientific Researcher")</f>
        <v>Scientific Researcher</v>
      </c>
      <c r="O272" s="60" t="str">
        <f>IFERROR(__xludf.DUMMYFUNCTION("QUERY('Volunteer Survey'!H281)"),"Comprehensive")</f>
        <v>Comprehensive</v>
      </c>
      <c r="P272" s="62" t="str">
        <f>IFERROR(__xludf.DUMMYFUNCTION("QUERY('Volunteer Survey'!I281)"),"Variant Pathogenicity")</f>
        <v>Variant Pathogenicity</v>
      </c>
      <c r="Q272" s="66" t="str">
        <f>IFERROR(__xludf.DUMMYFUNCTION("QUERY('Volunteer Survey'!J281)"),"Gene-Disease Validity")</f>
        <v>Gene-Disease Validity</v>
      </c>
      <c r="R272" s="62" t="str">
        <f>IFERROR(__xludf.DUMMYFUNCTION("QUERY('Volunteer Survey'!K281)"),"Clinical Actionability")</f>
        <v>Clinical Actionability</v>
      </c>
      <c r="S272" s="62" t="str">
        <f>IFERROR(__xludf.DUMMYFUNCTION("QUERY('Volunteer Survey'!L281)"),"Dosage Sensitivity")</f>
        <v>Dosage Sensitivity</v>
      </c>
      <c r="T272" s="62" t="str">
        <f>IFERROR(__xludf.DUMMYFUNCTION("QUERY('Volunteer Survey'!M281)"),"Somatic Cancer")</f>
        <v>Somatic Cancer</v>
      </c>
      <c r="U272" s="74" t="str">
        <f>IFERROR(__xludf.DUMMYFUNCTION("QUERY('Volunteer Survey'!N281)"),"As the Associate Director of a Genetic Counseling Program, I have helped organize and participate in Variant Curation Workshops for training genetic counselors in the variant curation process.  I have also organized a workshop for training university scie"&amp;"nce faculty in the variant curation process so they can start integrating this training module into their undergraduate coursework as a CURES (course-based undergraduate research experience) component. ")</f>
        <v>As the Associate Director of a Genetic Counseling Program, I have helped organize and participate in Variant Curation Workshops for training genetic counselors in the variant curation process.  I have also organized a workshop for training university science faculty in the variant curation process so they can start integrating this training module into their undergraduate coursework as a CURES (course-based undergraduate research experience) component. </v>
      </c>
      <c r="V272" s="62" t="str">
        <f>IFERROR(__xludf.DUMMYFUNCTION("QUERY('Volunteer Survey'!O281)"),"Possibly")</f>
        <v>Possibly</v>
      </c>
      <c r="W272" s="75" t="str">
        <f>IFERROR(__xludf.DUMMYFUNCTION("QUERY('Volunteer Survey'!P281)"),"Familial Hypercholesterolemia")</f>
        <v>Familial Hypercholesterolemia</v>
      </c>
      <c r="X272" s="74" t="str">
        <f>IFERROR(__xludf.DUMMYFUNCTION("QUERY('Volunteer Survey'!R281)"),"Yes- I am willing to volunteer with any available ClinGen group")</f>
        <v>Yes- I am willing to volunteer with any available ClinGen group</v>
      </c>
      <c r="Y272" s="61"/>
      <c r="Z272" s="62"/>
      <c r="AA272" s="62"/>
      <c r="AB272" s="62"/>
      <c r="AC272" s="62"/>
      <c r="AD272" s="62"/>
      <c r="AE272" s="62"/>
      <c r="AF272" s="62"/>
      <c r="AG272" s="62"/>
      <c r="AH272" s="62"/>
      <c r="AI272" s="62"/>
      <c r="AJ272" s="62"/>
      <c r="AK272" s="62"/>
      <c r="AL272" s="62"/>
      <c r="AM272" s="62"/>
      <c r="AN272" s="62"/>
      <c r="AO272" s="62"/>
    </row>
    <row r="273">
      <c r="A273" s="59">
        <f>IFERROR(__xludf.DUMMYFUNCTION("QUERY('Volunteer Survey'!A282)"),43696.33861744213)</f>
        <v>43696.33862</v>
      </c>
      <c r="B273" s="60" t="s">
        <v>282</v>
      </c>
      <c r="C273" s="80">
        <v>43717.0</v>
      </c>
      <c r="D273" s="82">
        <v>43678.0</v>
      </c>
      <c r="E273" s="60" t="s">
        <v>277</v>
      </c>
      <c r="F273" s="60" t="s">
        <v>277</v>
      </c>
      <c r="G273" s="60" t="s">
        <v>27</v>
      </c>
      <c r="H273" s="61"/>
      <c r="I273" s="63" t="s">
        <v>189</v>
      </c>
      <c r="J273" s="62"/>
      <c r="K273" s="62"/>
      <c r="L273" s="62" t="str">
        <f>IFERROR(__xludf.DUMMYFUNCTION("QUERY('Volunteer Survey'!B282)"),"Andrew Stergachis")</f>
        <v>Andrew Stergachis</v>
      </c>
      <c r="M273" s="62" t="str">
        <f>IFERROR(__xludf.DUMMYFUNCTION("QUERY('Volunteer Survey'!E282)"),"astergachis@bwh.harvard.edu")</f>
        <v>astergachis@bwh.harvard.edu</v>
      </c>
      <c r="N273" s="62" t="str">
        <f>IFERROR(__xludf.DUMMYFUNCTION("QUERY('Volunteer Survey'!F282)"),"Post Doc/Resident/Fellow (MD and/or PhD)")</f>
        <v>Post Doc/Resident/Fellow (MD and/or PhD)</v>
      </c>
      <c r="O273" s="60" t="str">
        <f>IFERROR(__xludf.DUMMYFUNCTION("QUERY('Volunteer Survey'!H282)"),"Comprehensive")</f>
        <v>Comprehensive</v>
      </c>
      <c r="P273" s="62" t="str">
        <f>IFERROR(__xludf.DUMMYFUNCTION("QUERY('Volunteer Survey'!I282)"),"Clinical Actionability")</f>
        <v>Clinical Actionability</v>
      </c>
      <c r="Q273" s="66" t="str">
        <f>IFERROR(__xludf.DUMMYFUNCTION("QUERY('Volunteer Survey'!J282)"),"")</f>
        <v/>
      </c>
      <c r="R273" s="62" t="str">
        <f>IFERROR(__xludf.DUMMYFUNCTION("QUERY('Volunteer Survey'!K282)"),"")</f>
        <v/>
      </c>
      <c r="S273" s="62" t="str">
        <f>IFERROR(__xludf.DUMMYFUNCTION("QUERY('Volunteer Survey'!L282)"),"")</f>
        <v/>
      </c>
      <c r="T273" s="62" t="str">
        <f>IFERROR(__xludf.DUMMYFUNCTION("QUERY('Volunteer Survey'!M282)"),"")</f>
        <v/>
      </c>
      <c r="U273" s="74" t="str">
        <f>IFERROR(__xludf.DUMMYFUNCTION("QUERY('Volunteer Survey'!N282)"),"Involved in the Partners BioBank return of results committee where we discuss the actionability of different genes.")</f>
        <v>Involved in the Partners BioBank return of results committee where we discuss the actionability of different genes.</v>
      </c>
      <c r="V273" s="62" t="str">
        <f>IFERROR(__xludf.DUMMYFUNCTION("QUERY('Volunteer Survey'!O282)"),"Possibly")</f>
        <v>Possibly</v>
      </c>
      <c r="W273" s="75" t="str">
        <f>IFERROR(__xludf.DUMMYFUNCTION("QUERY('Volunteer Survey'!P282)"),"Possibly ")</f>
        <v>Possibly </v>
      </c>
      <c r="X273" s="74" t="str">
        <f>IFERROR(__xludf.DUMMYFUNCTION("QUERY('Volunteer Survey'!R282)"),"Maybe -- please contact me with other options, and I will decide based on what is available")</f>
        <v>Maybe -- please contact me with other options, and I will decide based on what is available</v>
      </c>
      <c r="Y273" s="61"/>
      <c r="Z273" s="62"/>
      <c r="AA273" s="62"/>
      <c r="AB273" s="62"/>
      <c r="AC273" s="62"/>
      <c r="AD273" s="62"/>
      <c r="AE273" s="62"/>
      <c r="AF273" s="62"/>
      <c r="AG273" s="62"/>
      <c r="AH273" s="62"/>
      <c r="AI273" s="62"/>
      <c r="AJ273" s="62"/>
      <c r="AK273" s="62"/>
      <c r="AL273" s="62"/>
      <c r="AM273" s="62"/>
      <c r="AN273" s="62"/>
      <c r="AO273" s="62"/>
    </row>
    <row r="274">
      <c r="A274" s="59">
        <f>IFERROR(__xludf.DUMMYFUNCTION("QUERY('Volunteer Survey'!A283)"),43699.15815502315)</f>
        <v>43699.15816</v>
      </c>
      <c r="B274" s="60" t="s">
        <v>275</v>
      </c>
      <c r="C274" s="80">
        <v>43717.0</v>
      </c>
      <c r="D274" s="62"/>
      <c r="E274" s="62"/>
      <c r="F274" s="60" t="s">
        <v>182</v>
      </c>
      <c r="G274" s="60" t="s">
        <v>27</v>
      </c>
      <c r="H274" s="61"/>
      <c r="I274" s="63" t="s">
        <v>189</v>
      </c>
      <c r="J274" s="62"/>
      <c r="K274" s="62"/>
      <c r="L274" s="62" t="str">
        <f>IFERROR(__xludf.DUMMYFUNCTION("QUERY('Volunteer Survey'!B283)"),"Lalitha Venkateswaran")</f>
        <v>Lalitha Venkateswaran</v>
      </c>
      <c r="M274" s="62" t="str">
        <f>IFERROR(__xludf.DUMMYFUNCTION("QUERY('Volunteer Survey'!E283)"),"lalithapv19@gmail.com")</f>
        <v>lalithapv19@gmail.com</v>
      </c>
      <c r="N274" s="62" t="str">
        <f>IFERROR(__xludf.DUMMYFUNCTION("QUERY('Volunteer Survey'!F283)"),"Variant Analyst/Scientist - Industry")</f>
        <v>Variant Analyst/Scientist - Industry</v>
      </c>
      <c r="O274" s="60" t="str">
        <f>IFERROR(__xludf.DUMMYFUNCTION("QUERY('Volunteer Survey'!H283)"),"Comprehensive")</f>
        <v>Comprehensive</v>
      </c>
      <c r="P274" s="62" t="str">
        <f>IFERROR(__xludf.DUMMYFUNCTION("QUERY('Volunteer Survey'!I283)"),"Clinical Actionability")</f>
        <v>Clinical Actionability</v>
      </c>
      <c r="Q274" s="66" t="str">
        <f>IFERROR(__xludf.DUMMYFUNCTION("QUERY('Volunteer Survey'!J283)"),"Variant Pathogenicity")</f>
        <v>Variant Pathogenicity</v>
      </c>
      <c r="R274" s="62" t="str">
        <f>IFERROR(__xludf.DUMMYFUNCTION("QUERY('Volunteer Survey'!K283)"),"Gene-Disease Validity")</f>
        <v>Gene-Disease Validity</v>
      </c>
      <c r="S274" s="62" t="str">
        <f>IFERROR(__xludf.DUMMYFUNCTION("QUERY('Volunteer Survey'!L283)"),"Dosage Sensitivity")</f>
        <v>Dosage Sensitivity</v>
      </c>
      <c r="T274" s="62" t="str">
        <f>IFERROR(__xludf.DUMMYFUNCTION("QUERY('Volunteer Survey'!M283)"),"Somatic Cancer")</f>
        <v>Somatic Cancer</v>
      </c>
      <c r="U274" s="74" t="str">
        <f>IFERROR(__xludf.DUMMYFUNCTION("QUERY('Volunteer Survey'!N283)"),"Yes! I have led a team of curators in several Genomic projects. I have worked with Blueprint Genetics and Sema4. I have conducted training and workshops on the basics of curation and scientific writing.")</f>
        <v>Yes! I have led a team of curators in several Genomic projects. I have worked with Blueprint Genetics and Sema4. I have conducted training and workshops on the basics of curation and scientific writing.</v>
      </c>
      <c r="V274" s="62" t="str">
        <f>IFERROR(__xludf.DUMMYFUNCTION("QUERY('Volunteer Survey'!O283)"),"Yes")</f>
        <v>Yes</v>
      </c>
      <c r="W274" s="75" t="str">
        <f>IFERROR(__xludf.DUMMYFUNCTION("QUERY('Volunteer Survey'!P283)"),"")</f>
        <v/>
      </c>
      <c r="X274" s="74" t="str">
        <f>IFERROR(__xludf.DUMMYFUNCTION("QUERY('Volunteer Survey'!R283)"),"Yes- I am willing to volunteer with any available ClinGen group")</f>
        <v>Yes- I am willing to volunteer with any available ClinGen group</v>
      </c>
      <c r="Y274" s="61"/>
      <c r="Z274" s="62"/>
      <c r="AA274" s="62"/>
      <c r="AB274" s="62"/>
      <c r="AC274" s="62"/>
      <c r="AD274" s="62"/>
      <c r="AE274" s="62"/>
      <c r="AF274" s="62"/>
      <c r="AG274" s="62"/>
      <c r="AH274" s="62"/>
      <c r="AI274" s="62"/>
      <c r="AJ274" s="62"/>
      <c r="AK274" s="62"/>
      <c r="AL274" s="62"/>
      <c r="AM274" s="62"/>
      <c r="AN274" s="62"/>
      <c r="AO274" s="62"/>
    </row>
    <row r="275">
      <c r="A275" s="59">
        <f>IFERROR(__xludf.DUMMYFUNCTION("QUERY('Volunteer Survey'!A284)"),43699.4692784838)</f>
        <v>43699.46928</v>
      </c>
      <c r="B275" s="60" t="s">
        <v>275</v>
      </c>
      <c r="C275" s="80">
        <v>43819.0</v>
      </c>
      <c r="D275" s="62"/>
      <c r="E275" s="62"/>
      <c r="F275" s="60" t="s">
        <v>182</v>
      </c>
      <c r="G275" s="60" t="s">
        <v>288</v>
      </c>
      <c r="H275" s="61"/>
      <c r="I275" s="63" t="s">
        <v>189</v>
      </c>
      <c r="J275" s="62"/>
      <c r="K275" s="62"/>
      <c r="L275" s="62" t="str">
        <f>IFERROR(__xludf.DUMMYFUNCTION("QUERY('Volunteer Survey'!B284)"),"Caterina Clementi")</f>
        <v>Caterina Clementi</v>
      </c>
      <c r="M275" s="62" t="str">
        <f>IFERROR(__xludf.DUMMYFUNCTION("QUERY('Volunteer Survey'!E284)"),"caterina.clementi@gmail.com")</f>
        <v>caterina.clementi@gmail.com</v>
      </c>
      <c r="N275" s="62" t="str">
        <f>IFERROR(__xludf.DUMMYFUNCTION("QUERY('Volunteer Survey'!F284)"),"Variant Analyst/Scientist - Industry")</f>
        <v>Variant Analyst/Scientist - Industry</v>
      </c>
      <c r="O275" s="60" t="str">
        <f>IFERROR(__xludf.DUMMYFUNCTION("QUERY('Volunteer Survey'!H284)"),"Comprehensive")</f>
        <v>Comprehensive</v>
      </c>
      <c r="P275" s="62" t="str">
        <f>IFERROR(__xludf.DUMMYFUNCTION("QUERY('Volunteer Survey'!I284)"),"Variant Pathogenicity")</f>
        <v>Variant Pathogenicity</v>
      </c>
      <c r="Q275" s="66" t="str">
        <f>IFERROR(__xludf.DUMMYFUNCTION("QUERY('Volunteer Survey'!J284)"),"Gene-Disease Validity")</f>
        <v>Gene-Disease Validity</v>
      </c>
      <c r="R275" s="62" t="str">
        <f>IFERROR(__xludf.DUMMYFUNCTION("QUERY('Volunteer Survey'!K284)"),"Clinical Actionability")</f>
        <v>Clinical Actionability</v>
      </c>
      <c r="S275" s="62" t="str">
        <f>IFERROR(__xludf.DUMMYFUNCTION("QUERY('Volunteer Survey'!L284)"),"")</f>
        <v/>
      </c>
      <c r="T275" s="62" t="str">
        <f>IFERROR(__xludf.DUMMYFUNCTION("QUERY('Volunteer Survey'!M284)"),"")</f>
        <v/>
      </c>
      <c r="U275" s="74" t="str">
        <f>IFERROR(__xludf.DUMMYFUNCTION("QUERY('Volunteer Survey'!N284)"),"Yes, I applied the ClinGen framework to score the clinical validity of gene-condition associations in the context of reproductive conditions")</f>
        <v>Yes, I applied the ClinGen framework to score the clinical validity of gene-condition associations in the context of reproductive conditions</v>
      </c>
      <c r="V275" s="62" t="str">
        <f>IFERROR(__xludf.DUMMYFUNCTION("QUERY('Volunteer Survey'!O284)"),"Possibly")</f>
        <v>Possibly</v>
      </c>
      <c r="W275" s="75" t="str">
        <f>IFERROR(__xludf.DUMMYFUNCTION("QUERY('Volunteer Survey'!P284)"),"Metabolic conditions")</f>
        <v>Metabolic conditions</v>
      </c>
      <c r="X275" s="74" t="str">
        <f>IFERROR(__xludf.DUMMYFUNCTION("QUERY('Volunteer Survey'!R284)"),"Yes- I am willing to volunteer with any available ClinGen group")</f>
        <v>Yes- I am willing to volunteer with any available ClinGen group</v>
      </c>
      <c r="Y275" s="61"/>
      <c r="Z275" s="62"/>
      <c r="AA275" s="62"/>
      <c r="AB275" s="62"/>
      <c r="AC275" s="62"/>
      <c r="AD275" s="62"/>
      <c r="AE275" s="62"/>
      <c r="AF275" s="62"/>
      <c r="AG275" s="62"/>
      <c r="AH275" s="62"/>
      <c r="AI275" s="62"/>
      <c r="AJ275" s="62"/>
      <c r="AK275" s="62"/>
      <c r="AL275" s="62"/>
      <c r="AM275" s="62"/>
      <c r="AN275" s="62"/>
      <c r="AO275" s="62"/>
    </row>
    <row r="276">
      <c r="A276" s="59">
        <f>IFERROR(__xludf.DUMMYFUNCTION("QUERY('Volunteer Survey'!A285)"),43701.87979853009)</f>
        <v>43701.8798</v>
      </c>
      <c r="B276" s="60" t="s">
        <v>275</v>
      </c>
      <c r="C276" s="80">
        <v>43819.0</v>
      </c>
      <c r="D276" s="62"/>
      <c r="E276" s="62"/>
      <c r="F276" s="60" t="s">
        <v>182</v>
      </c>
      <c r="G276" s="60" t="s">
        <v>288</v>
      </c>
      <c r="H276" s="61"/>
      <c r="I276" s="63" t="s">
        <v>189</v>
      </c>
      <c r="J276" s="62"/>
      <c r="K276" s="62"/>
      <c r="L276" s="62" t="str">
        <f>IFERROR(__xludf.DUMMYFUNCTION("QUERY('Volunteer Survey'!B285)"),"Catherine Spellicy")</f>
        <v>Catherine Spellicy</v>
      </c>
      <c r="M276" s="62" t="str">
        <f>IFERROR(__xludf.DUMMYFUNCTION("QUERY('Volunteer Survey'!E285)"),"cspellic@counsyl.com")</f>
        <v>cspellic@counsyl.com</v>
      </c>
      <c r="N276" s="62" t="str">
        <f>IFERROR(__xludf.DUMMYFUNCTION("QUERY('Volunteer Survey'!F285)"),"Clinical laboratory geneticist")</f>
        <v>Clinical laboratory geneticist</v>
      </c>
      <c r="O276" s="60" t="str">
        <f>IFERROR(__xludf.DUMMYFUNCTION("QUERY('Volunteer Survey'!H285)"),"Comprehensive")</f>
        <v>Comprehensive</v>
      </c>
      <c r="P276" s="62" t="str">
        <f>IFERROR(__xludf.DUMMYFUNCTION("QUERY('Volunteer Survey'!I285)"),"Variant Pathogenicity")</f>
        <v>Variant Pathogenicity</v>
      </c>
      <c r="Q276" s="66" t="str">
        <f>IFERROR(__xludf.DUMMYFUNCTION("QUERY('Volunteer Survey'!J285)"),"Gene-Disease Validity")</f>
        <v>Gene-Disease Validity</v>
      </c>
      <c r="R276" s="62" t="str">
        <f>IFERROR(__xludf.DUMMYFUNCTION("QUERY('Volunteer Survey'!K285)"),"")</f>
        <v/>
      </c>
      <c r="S276" s="62" t="str">
        <f>IFERROR(__xludf.DUMMYFUNCTION("QUERY('Volunteer Survey'!L285)"),"")</f>
        <v/>
      </c>
      <c r="T276" s="62" t="str">
        <f>IFERROR(__xludf.DUMMYFUNCTION("QUERY('Volunteer Survey'!M285)"),"")</f>
        <v/>
      </c>
      <c r="U276" s="74" t="str">
        <f>IFERROR(__xludf.DUMMYFUNCTION("QUERY('Volunteer Survey'!N285)"),"Many hours experience with variant analysis and classification.")</f>
        <v>Many hours experience with variant analysis and classification.</v>
      </c>
      <c r="V276" s="62" t="str">
        <f>IFERROR(__xludf.DUMMYFUNCTION("QUERY('Volunteer Survey'!O285)"),"Possibly")</f>
        <v>Possibly</v>
      </c>
      <c r="W276" s="75" t="str">
        <f>IFERROR(__xludf.DUMMYFUNCTION("QUERY('Volunteer Survey'!P285)"),"Sequence Variant Interpretation")</f>
        <v>Sequence Variant Interpretation</v>
      </c>
      <c r="X276" s="74" t="str">
        <f>IFERROR(__xludf.DUMMYFUNCTION("QUERY('Volunteer Survey'!R285)"),"Maybe -- please contact me with other options, and I will decide based on what is available")</f>
        <v>Maybe -- please contact me with other options, and I will decide based on what is available</v>
      </c>
      <c r="Y276" s="61"/>
      <c r="Z276" s="62"/>
      <c r="AA276" s="62"/>
      <c r="AB276" s="62"/>
      <c r="AC276" s="62"/>
      <c r="AD276" s="62"/>
      <c r="AE276" s="62"/>
      <c r="AF276" s="62"/>
      <c r="AG276" s="62"/>
      <c r="AH276" s="62"/>
      <c r="AI276" s="62"/>
      <c r="AJ276" s="62"/>
      <c r="AK276" s="62"/>
      <c r="AL276" s="62"/>
      <c r="AM276" s="62"/>
      <c r="AN276" s="62"/>
      <c r="AO276" s="62"/>
    </row>
    <row r="277">
      <c r="A277" s="59">
        <f>IFERROR(__xludf.DUMMYFUNCTION("QUERY('Volunteer Survey'!A286)"),43703.24914248843)</f>
        <v>43703.24914</v>
      </c>
      <c r="B277" s="60" t="s">
        <v>275</v>
      </c>
      <c r="C277" s="80">
        <v>43819.0</v>
      </c>
      <c r="D277" s="62"/>
      <c r="E277" s="62"/>
      <c r="F277" s="60" t="s">
        <v>182</v>
      </c>
      <c r="G277" s="60" t="s">
        <v>278</v>
      </c>
      <c r="H277" s="61"/>
      <c r="I277" s="63" t="s">
        <v>189</v>
      </c>
      <c r="J277" s="62"/>
      <c r="K277" s="62"/>
      <c r="L277" s="62" t="str">
        <f>IFERROR(__xludf.DUMMYFUNCTION("QUERY('Volunteer Survey'!B286)"),"Julie P Taylor")</f>
        <v>Julie P Taylor</v>
      </c>
      <c r="M277" s="62" t="str">
        <f>IFERROR(__xludf.DUMMYFUNCTION("QUERY('Volunteer Survey'!E286)"),"jtaylor1@illumina.com")</f>
        <v>jtaylor1@illumina.com</v>
      </c>
      <c r="N277" s="62" t="str">
        <f>IFERROR(__xludf.DUMMYFUNCTION("QUERY('Volunteer Survey'!F286)"),"Biocurator")</f>
        <v>Biocurator</v>
      </c>
      <c r="O277" s="60" t="str">
        <f>IFERROR(__xludf.DUMMYFUNCTION("QUERY('Volunteer Survey'!H286)"),"Comprehensive")</f>
        <v>Comprehensive</v>
      </c>
      <c r="P277" s="62" t="str">
        <f>IFERROR(__xludf.DUMMYFUNCTION("QUERY('Volunteer Survey'!I286)"),"Gene-Disease Validity")</f>
        <v>Gene-Disease Validity</v>
      </c>
      <c r="Q277" s="66" t="str">
        <f>IFERROR(__xludf.DUMMYFUNCTION("QUERY('Volunteer Survey'!J286)"),"")</f>
        <v/>
      </c>
      <c r="R277" s="62" t="str">
        <f>IFERROR(__xludf.DUMMYFUNCTION("QUERY('Volunteer Survey'!K286)"),"")</f>
        <v/>
      </c>
      <c r="S277" s="62" t="str">
        <f>IFERROR(__xludf.DUMMYFUNCTION("QUERY('Volunteer Survey'!L286)"),"")</f>
        <v/>
      </c>
      <c r="T277" s="62" t="str">
        <f>IFERROR(__xludf.DUMMYFUNCTION("QUERY('Volunteer Survey'!M286)"),"")</f>
        <v/>
      </c>
      <c r="U277" s="74" t="str">
        <f>IFERROR(__xludf.DUMMYFUNCTION("QUERY('Volunteer Survey'!N286)"),"ClinGen Gene Curation is part of my role as a curation scientist at Illumina.")</f>
        <v>ClinGen Gene Curation is part of my role as a curation scientist at Illumina.</v>
      </c>
      <c r="V277" s="62" t="str">
        <f>IFERROR(__xludf.DUMMYFUNCTION("QUERY('Volunteer Survey'!O286)"),"Yes")</f>
        <v>Yes</v>
      </c>
      <c r="W277" s="75" t="str">
        <f>IFERROR(__xludf.DUMMYFUNCTION("QUERY('Volunteer Survey'!P286)"),"")</f>
        <v/>
      </c>
      <c r="X277" s="74" t="str">
        <f>IFERROR(__xludf.DUMMYFUNCTION("QUERY('Volunteer Survey'!R286)"),"Maybe -- please contact me with other options, and I will decide based on what is available")</f>
        <v>Maybe -- please contact me with other options, and I will decide based on what is available</v>
      </c>
      <c r="Y277" s="61"/>
      <c r="Z277" s="62"/>
      <c r="AA277" s="62"/>
      <c r="AB277" s="62"/>
      <c r="AC277" s="62"/>
      <c r="AD277" s="62"/>
      <c r="AE277" s="62"/>
      <c r="AF277" s="62"/>
      <c r="AG277" s="62"/>
      <c r="AH277" s="62"/>
      <c r="AI277" s="62"/>
      <c r="AJ277" s="62"/>
      <c r="AK277" s="62"/>
      <c r="AL277" s="62"/>
      <c r="AM277" s="62"/>
      <c r="AN277" s="62"/>
      <c r="AO277" s="62"/>
    </row>
    <row r="278">
      <c r="A278" s="59">
        <f>IFERROR(__xludf.DUMMYFUNCTION("QUERY('Volunteer Survey'!A287)"),43703.62807980324)</f>
        <v>43703.62808</v>
      </c>
      <c r="B278" s="60" t="s">
        <v>275</v>
      </c>
      <c r="C278" s="80">
        <v>43840.0</v>
      </c>
      <c r="D278" s="62"/>
      <c r="E278" s="62"/>
      <c r="F278" s="60" t="s">
        <v>182</v>
      </c>
      <c r="G278" s="60" t="s">
        <v>278</v>
      </c>
      <c r="H278" s="61"/>
      <c r="I278" s="63" t="s">
        <v>189</v>
      </c>
      <c r="J278" s="62"/>
      <c r="K278" s="62"/>
      <c r="L278" s="62" t="str">
        <f>IFERROR(__xludf.DUMMYFUNCTION("QUERY('Volunteer Survey'!B287)"),"Charlene Preys")</f>
        <v>Charlene Preys</v>
      </c>
      <c r="M278" s="62" t="str">
        <f>IFERROR(__xludf.DUMMYFUNCTION("QUERY('Volunteer Survey'!E287)"),"clpreys@bwh.harvard.edu")</f>
        <v>clpreys@bwh.harvard.edu</v>
      </c>
      <c r="N278" s="62" t="str">
        <f>IFERROR(__xludf.DUMMYFUNCTION("QUERY('Volunteer Survey'!F287)"),"Undergraduate Student")</f>
        <v>Undergraduate Student</v>
      </c>
      <c r="O278" s="60" t="str">
        <f>IFERROR(__xludf.DUMMYFUNCTION("QUERY('Volunteer Survey'!H287)"),"Comprehensive")</f>
        <v>Comprehensive</v>
      </c>
      <c r="P278" s="62" t="str">
        <f>IFERROR(__xludf.DUMMYFUNCTION("QUERY('Volunteer Survey'!I287)"),"Gene-Disease Validity")</f>
        <v>Gene-Disease Validity</v>
      </c>
      <c r="Q278" s="66" t="str">
        <f>IFERROR(__xludf.DUMMYFUNCTION("QUERY('Volunteer Survey'!J287)"),"")</f>
        <v/>
      </c>
      <c r="R278" s="62" t="str">
        <f>IFERROR(__xludf.DUMMYFUNCTION("QUERY('Volunteer Survey'!K287)"),"")</f>
        <v/>
      </c>
      <c r="S278" s="62" t="str">
        <f>IFERROR(__xludf.DUMMYFUNCTION("QUERY('Volunteer Survey'!L287)"),"")</f>
        <v/>
      </c>
      <c r="T278" s="62" t="str">
        <f>IFERROR(__xludf.DUMMYFUNCTION("QUERY('Volunteer Survey'!M287)"),"")</f>
        <v/>
      </c>
      <c r="U278" s="74" t="str">
        <f>IFERROR(__xludf.DUMMYFUNCTION("QUERY('Volunteer Survey'!N287)"),"")</f>
        <v/>
      </c>
      <c r="V278" s="62" t="str">
        <f>IFERROR(__xludf.DUMMYFUNCTION("QUERY('Volunteer Survey'!O287)"),"")</f>
        <v/>
      </c>
      <c r="W278" s="75" t="str">
        <f>IFERROR(__xludf.DUMMYFUNCTION("QUERY('Volunteer Survey'!P287)"),"TP53 or Mitochondrial (will gladly help any panel/working group) - Hereditary cancer, Hemostasis or Congenital Myopathy")</f>
        <v>TP53 or Mitochondrial (will gladly help any panel/working group) - Hereditary cancer, Hemostasis or Congenital Myopathy</v>
      </c>
      <c r="X278" s="74" t="str">
        <f>IFERROR(__xludf.DUMMYFUNCTION("QUERY('Volunteer Survey'!R287)"),"Yes- I am willing to volunteer with any available ClinGen group")</f>
        <v>Yes- I am willing to volunteer with any available ClinGen group</v>
      </c>
      <c r="Y278" s="63" t="s">
        <v>358</v>
      </c>
      <c r="Z278" s="62"/>
      <c r="AA278" s="62"/>
      <c r="AB278" s="62"/>
      <c r="AC278" s="62"/>
      <c r="AD278" s="62"/>
      <c r="AE278" s="62"/>
      <c r="AF278" s="62"/>
      <c r="AG278" s="62"/>
      <c r="AH278" s="62"/>
      <c r="AI278" s="62"/>
      <c r="AJ278" s="62"/>
      <c r="AK278" s="62"/>
      <c r="AL278" s="62"/>
      <c r="AM278" s="62"/>
      <c r="AN278" s="62"/>
      <c r="AO278" s="62"/>
    </row>
    <row r="279">
      <c r="A279" s="59">
        <f>IFERROR(__xludf.DUMMYFUNCTION("QUERY('Volunteer Survey'!A288)"),43705.80924916667)</f>
        <v>43705.80925</v>
      </c>
      <c r="B279" s="60" t="s">
        <v>275</v>
      </c>
      <c r="C279" s="80">
        <v>43819.0</v>
      </c>
      <c r="D279" s="62"/>
      <c r="E279" s="62"/>
      <c r="F279" s="60" t="s">
        <v>182</v>
      </c>
      <c r="G279" s="60" t="s">
        <v>288</v>
      </c>
      <c r="H279" s="61"/>
      <c r="I279" s="63" t="s">
        <v>189</v>
      </c>
      <c r="J279" s="62"/>
      <c r="K279" s="62"/>
      <c r="L279" s="62" t="str">
        <f>IFERROR(__xludf.DUMMYFUNCTION("QUERY('Volunteer Survey'!B288)"),"Edgar Ramirez")</f>
        <v>Edgar Ramirez</v>
      </c>
      <c r="M279" s="62" t="str">
        <f>IFERROR(__xludf.DUMMYFUNCTION("QUERY('Volunteer Survey'!E288)"),"e.ramirezr@hotmail.com")</f>
        <v>e.ramirezr@hotmail.com</v>
      </c>
      <c r="N279" s="62" t="str">
        <f>IFERROR(__xludf.DUMMYFUNCTION("QUERY('Volunteer Survey'!F288)"),"Scientific Researcher")</f>
        <v>Scientific Researcher</v>
      </c>
      <c r="O279" s="60" t="str">
        <f>IFERROR(__xludf.DUMMYFUNCTION("QUERY('Volunteer Survey'!H288)"),"Comprehensive")</f>
        <v>Comprehensive</v>
      </c>
      <c r="P279" s="62" t="str">
        <f>IFERROR(__xludf.DUMMYFUNCTION("QUERY('Volunteer Survey'!I288)"),"Variant Pathogenicity")</f>
        <v>Variant Pathogenicity</v>
      </c>
      <c r="Q279" s="66" t="str">
        <f>IFERROR(__xludf.DUMMYFUNCTION("QUERY('Volunteer Survey'!J288)"),"Clinical Actionability")</f>
        <v>Clinical Actionability</v>
      </c>
      <c r="R279" s="62" t="str">
        <f>IFERROR(__xludf.DUMMYFUNCTION("QUERY('Volunteer Survey'!K288)"),"Gene-Disease Validity")</f>
        <v>Gene-Disease Validity</v>
      </c>
      <c r="S279" s="62" t="str">
        <f>IFERROR(__xludf.DUMMYFUNCTION("QUERY('Volunteer Survey'!L288)"),"Dosage Sensitivity")</f>
        <v>Dosage Sensitivity</v>
      </c>
      <c r="T279" s="62" t="str">
        <f>IFERROR(__xludf.DUMMYFUNCTION("QUERY('Volunteer Survey'!M288)"),"Somatic Cancer")</f>
        <v>Somatic Cancer</v>
      </c>
      <c r="U279" s="74" t="str">
        <f>IFERROR(__xludf.DUMMYFUNCTION("QUERY('Volunteer Survey'!N288)"),"I was lead scientist for variant interpretation at a clinical laboratory")</f>
        <v>I was lead scientist for variant interpretation at a clinical laboratory</v>
      </c>
      <c r="V279" s="62" t="str">
        <f>IFERROR(__xludf.DUMMYFUNCTION("QUERY('Volunteer Survey'!O288)"),"Possibly")</f>
        <v>Possibly</v>
      </c>
      <c r="W279" s="75" t="str">
        <f>IFERROR(__xludf.DUMMYFUNCTION("QUERY('Volunteer Survey'!P288)"),"")</f>
        <v/>
      </c>
      <c r="X279" s="74" t="str">
        <f>IFERROR(__xludf.DUMMYFUNCTION("QUERY('Volunteer Survey'!R288)"),"Maybe -- please contact me with other options, and I will decide based on what is available")</f>
        <v>Maybe -- please contact me with other options, and I will decide based on what is available</v>
      </c>
      <c r="Y279" s="61"/>
      <c r="Z279" s="62"/>
      <c r="AA279" s="62"/>
      <c r="AB279" s="62"/>
      <c r="AC279" s="62"/>
      <c r="AD279" s="62"/>
      <c r="AE279" s="62"/>
      <c r="AF279" s="62"/>
      <c r="AG279" s="62"/>
      <c r="AH279" s="62"/>
      <c r="AI279" s="62"/>
      <c r="AJ279" s="62"/>
      <c r="AK279" s="62"/>
      <c r="AL279" s="62"/>
      <c r="AM279" s="62"/>
      <c r="AN279" s="62"/>
      <c r="AO279" s="62"/>
    </row>
    <row r="280">
      <c r="A280" s="59">
        <f>IFERROR(__xludf.DUMMYFUNCTION("QUERY('Volunteer Survey'!A289)"),43707.296979108796)</f>
        <v>43707.29698</v>
      </c>
      <c r="B280" s="60" t="s">
        <v>275</v>
      </c>
      <c r="C280" s="80">
        <v>43819.0</v>
      </c>
      <c r="D280" s="62"/>
      <c r="E280" s="62"/>
      <c r="F280" s="60" t="s">
        <v>182</v>
      </c>
      <c r="G280" s="60" t="s">
        <v>278</v>
      </c>
      <c r="H280" s="61"/>
      <c r="I280" s="63" t="s">
        <v>189</v>
      </c>
      <c r="J280" s="62"/>
      <c r="K280" s="62"/>
      <c r="L280" s="62" t="str">
        <f>IFERROR(__xludf.DUMMYFUNCTION("QUERY('Volunteer Survey'!B289)"),"Laura Roht")</f>
        <v>Laura Roht</v>
      </c>
      <c r="M280" s="62" t="str">
        <f>IFERROR(__xludf.DUMMYFUNCTION("QUERY('Volunteer Survey'!E289)"),"laura.roht@kliinikum.ee")</f>
        <v>laura.roht@kliinikum.ee</v>
      </c>
      <c r="N280" s="62" t="str">
        <f>IFERROR(__xludf.DUMMYFUNCTION("QUERY('Volunteer Survey'!F289)"),"Clinical Medical Geneticist")</f>
        <v>Clinical Medical Geneticist</v>
      </c>
      <c r="O280" s="60" t="str">
        <f>IFERROR(__xludf.DUMMYFUNCTION("QUERY('Volunteer Survey'!H289)"),"Comprehensive")</f>
        <v>Comprehensive</v>
      </c>
      <c r="P280" s="62" t="str">
        <f>IFERROR(__xludf.DUMMYFUNCTION("QUERY('Volunteer Survey'!I289)"),"Gene-Disease Validity")</f>
        <v>Gene-Disease Validity</v>
      </c>
      <c r="Q280" s="66" t="str">
        <f>IFERROR(__xludf.DUMMYFUNCTION("QUERY('Volunteer Survey'!J289)"),"Variant Pathogenicity")</f>
        <v>Variant Pathogenicity</v>
      </c>
      <c r="R280" s="62" t="str">
        <f>IFERROR(__xludf.DUMMYFUNCTION("QUERY('Volunteer Survey'!K289)"),"")</f>
        <v/>
      </c>
      <c r="S280" s="62" t="str">
        <f>IFERROR(__xludf.DUMMYFUNCTION("QUERY('Volunteer Survey'!L289)"),"")</f>
        <v/>
      </c>
      <c r="T280" s="62" t="str">
        <f>IFERROR(__xludf.DUMMYFUNCTION("QUERY('Volunteer Survey'!M289)"),"")</f>
        <v/>
      </c>
      <c r="U280" s="74" t="str">
        <f>IFERROR(__xludf.DUMMYFUNCTION("QUERY('Volunteer Survey'!N289)"),"")</f>
        <v/>
      </c>
      <c r="V280" s="62" t="str">
        <f>IFERROR(__xludf.DUMMYFUNCTION("QUERY('Volunteer Survey'!O289)"),"Possibly")</f>
        <v>Possibly</v>
      </c>
      <c r="W280" s="75" t="str">
        <f>IFERROR(__xludf.DUMMYFUNCTION("QUERY('Volunteer Survey'!P289)"),"Hereditary Cancer")</f>
        <v>Hereditary Cancer</v>
      </c>
      <c r="X280" s="74" t="str">
        <f>IFERROR(__xludf.DUMMYFUNCTION("QUERY('Volunteer Survey'!R289)"),"Maybe -- please contact me with other options, and I will decide based on what is available")</f>
        <v>Maybe -- please contact me with other options, and I will decide based on what is available</v>
      </c>
      <c r="Y280" s="61"/>
      <c r="Z280" s="62"/>
      <c r="AA280" s="62"/>
      <c r="AB280" s="62"/>
      <c r="AC280" s="62"/>
      <c r="AD280" s="62"/>
      <c r="AE280" s="62"/>
      <c r="AF280" s="62"/>
      <c r="AG280" s="62"/>
      <c r="AH280" s="62"/>
      <c r="AI280" s="62"/>
      <c r="AJ280" s="62"/>
      <c r="AK280" s="62"/>
      <c r="AL280" s="62"/>
      <c r="AM280" s="62"/>
      <c r="AN280" s="62"/>
      <c r="AO280" s="62"/>
    </row>
    <row r="281">
      <c r="A281" s="59">
        <f>IFERROR(__xludf.DUMMYFUNCTION("QUERY('Volunteer Survey'!A290)"),43707.80857268518)</f>
        <v>43707.80857</v>
      </c>
      <c r="B281" s="60" t="s">
        <v>275</v>
      </c>
      <c r="C281" s="61"/>
      <c r="D281" s="62"/>
      <c r="E281" s="62"/>
      <c r="F281" s="60" t="s">
        <v>182</v>
      </c>
      <c r="G281" s="60" t="s">
        <v>301</v>
      </c>
      <c r="H281" s="61"/>
      <c r="I281" s="63" t="s">
        <v>189</v>
      </c>
      <c r="J281" s="62"/>
      <c r="K281" s="62"/>
      <c r="L281" s="62" t="str">
        <f>IFERROR(__xludf.DUMMYFUNCTION("QUERY('Volunteer Survey'!B290)"),"Donia Hany Mostafa ")</f>
        <v>Donia Hany Mostafa </v>
      </c>
      <c r="M281" s="62" t="str">
        <f>IFERROR(__xludf.DUMMYFUNCTION("QUERY('Volunteer Survey'!E290)"),"donia.1518105@stemkalubya.moe.edu.eg")</f>
        <v>donia.1518105@stemkalubya.moe.edu.eg</v>
      </c>
      <c r="N281" s="62" t="str">
        <f>IFERROR(__xludf.DUMMYFUNCTION("QUERY('Volunteer Survey'!F290)"),"Undergraduate Student")</f>
        <v>Undergraduate Student</v>
      </c>
      <c r="O281" s="60" t="str">
        <f>IFERROR(__xludf.DUMMYFUNCTION("QUERY('Volunteer Survey'!H290)"),"Comprehensive")</f>
        <v>Comprehensive</v>
      </c>
      <c r="P281" s="62" t="str">
        <f>IFERROR(__xludf.DUMMYFUNCTION("QUERY('Volunteer Survey'!I290)"),"Somatic Cancer")</f>
        <v>Somatic Cancer</v>
      </c>
      <c r="Q281" s="66" t="str">
        <f>IFERROR(__xludf.DUMMYFUNCTION("QUERY('Volunteer Survey'!J290)"),"Dosage Sensitivity")</f>
        <v>Dosage Sensitivity</v>
      </c>
      <c r="R281" s="62" t="str">
        <f>IFERROR(__xludf.DUMMYFUNCTION("QUERY('Volunteer Survey'!K290)"),"Gene-Disease Validity")</f>
        <v>Gene-Disease Validity</v>
      </c>
      <c r="S281" s="62" t="str">
        <f>IFERROR(__xludf.DUMMYFUNCTION("QUERY('Volunteer Survey'!L290)"),"Clinical Actionability")</f>
        <v>Clinical Actionability</v>
      </c>
      <c r="T281" s="62" t="str">
        <f>IFERROR(__xludf.DUMMYFUNCTION("QUERY('Volunteer Survey'!M290)"),"Variant Pathogenicity")</f>
        <v>Variant Pathogenicity</v>
      </c>
      <c r="U281" s="74" t="str">
        <f>IFERROR(__xludf.DUMMYFUNCTION("QUERY('Volunteer Survey'!N290)"),"")</f>
        <v/>
      </c>
      <c r="V281" s="62" t="str">
        <f>IFERROR(__xludf.DUMMYFUNCTION("QUERY('Volunteer Survey'!O290)"),"No")</f>
        <v>No</v>
      </c>
      <c r="W281" s="75" t="str">
        <f>IFERROR(__xludf.DUMMYFUNCTION("QUERY('Volunteer Survey'!P290)"),"Yes, I am very interested about being in group that will help me to do many researches and will help me to be through a new experience. ")</f>
        <v>Yes, I am very interested about being in group that will help me to do many researches and will help me to be through a new experience. </v>
      </c>
      <c r="X281" s="74" t="str">
        <f>IFERROR(__xludf.DUMMYFUNCTION("QUERY('Volunteer Survey'!R290)"),"Maybe -- please contact me with other options, and I will decide based on what is available")</f>
        <v>Maybe -- please contact me with other options, and I will decide based on what is available</v>
      </c>
      <c r="Y281" s="61"/>
      <c r="Z281" s="62"/>
      <c r="AA281" s="62"/>
      <c r="AB281" s="62"/>
      <c r="AC281" s="62"/>
      <c r="AD281" s="62"/>
      <c r="AE281" s="62"/>
      <c r="AF281" s="62"/>
      <c r="AG281" s="62"/>
      <c r="AH281" s="62"/>
      <c r="AI281" s="62"/>
      <c r="AJ281" s="62"/>
      <c r="AK281" s="62"/>
      <c r="AL281" s="62"/>
      <c r="AM281" s="62"/>
      <c r="AN281" s="62"/>
      <c r="AO281" s="62"/>
    </row>
    <row r="282">
      <c r="A282" s="59">
        <f>IFERROR(__xludf.DUMMYFUNCTION("QUERY('Volunteer Survey'!A291)"),43711.08206508102)</f>
        <v>43711.08207</v>
      </c>
      <c r="B282" s="60" t="s">
        <v>275</v>
      </c>
      <c r="C282" s="80">
        <v>43819.0</v>
      </c>
      <c r="D282" s="117">
        <v>43859.0</v>
      </c>
      <c r="E282" s="60" t="s">
        <v>277</v>
      </c>
      <c r="F282" s="60" t="s">
        <v>277</v>
      </c>
      <c r="G282" s="60" t="s">
        <v>288</v>
      </c>
      <c r="H282" s="61"/>
      <c r="I282" s="63" t="s">
        <v>189</v>
      </c>
      <c r="J282" s="62"/>
      <c r="K282" s="62"/>
      <c r="L282" s="62" t="str">
        <f>IFERROR(__xludf.DUMMYFUNCTION("QUERY('Volunteer Survey'!B291)"),"Xin Chen")</f>
        <v>Xin Chen</v>
      </c>
      <c r="M282" s="62" t="str">
        <f>IFERROR(__xludf.DUMMYFUNCTION("QUERY('Volunteer Survey'!E291)"),"chenx30nju@gmail.com")</f>
        <v>chenx30nju@gmail.com</v>
      </c>
      <c r="N282" s="62" t="str">
        <f>IFERROR(__xludf.DUMMYFUNCTION("QUERY('Volunteer Survey'!F291)"),"Post Doc/Resident/Fellow (MD and/or PhD)")</f>
        <v>Post Doc/Resident/Fellow (MD and/or PhD)</v>
      </c>
      <c r="O282" s="60" t="str">
        <f>IFERROR(__xludf.DUMMYFUNCTION("QUERY('Volunteer Survey'!H291)"),"Comprehensive")</f>
        <v>Comprehensive</v>
      </c>
      <c r="P282" s="62" t="str">
        <f>IFERROR(__xludf.DUMMYFUNCTION("QUERY('Volunteer Survey'!I291)"),"Variant Pathogenicity")</f>
        <v>Variant Pathogenicity</v>
      </c>
      <c r="Q282" s="66" t="str">
        <f>IFERROR(__xludf.DUMMYFUNCTION("QUERY('Volunteer Survey'!J291)"),"Somatic Cancer")</f>
        <v>Somatic Cancer</v>
      </c>
      <c r="R282" s="62" t="str">
        <f>IFERROR(__xludf.DUMMYFUNCTION("QUERY('Volunteer Survey'!K291)"),"Gene-Disease Validity")</f>
        <v>Gene-Disease Validity</v>
      </c>
      <c r="S282" s="62" t="str">
        <f>IFERROR(__xludf.DUMMYFUNCTION("QUERY('Volunteer Survey'!L291)"),"Dosage Sensitivity")</f>
        <v>Dosage Sensitivity</v>
      </c>
      <c r="T282" s="62" t="str">
        <f>IFERROR(__xludf.DUMMYFUNCTION("QUERY('Volunteer Survey'!M291)"),"Clinical Actionability")</f>
        <v>Clinical Actionability</v>
      </c>
      <c r="U282" s="74" t="str">
        <f>IFERROR(__xludf.DUMMYFUNCTION("QUERY('Volunteer Survey'!N291)"),"During my PhD study, I summarized all the reported mutations of the gene SETX that were reported to cause neurodegenerative disease AOA2, generated the mutations in the budding yeast model, and experimentally verified the defects caused by the mutations. ")</f>
        <v>During my PhD study, I summarized all the reported mutations of the gene SETX that were reported to cause neurodegenerative disease AOA2, generated the mutations in the budding yeast model, and experimentally verified the defects caused by the mutations. </v>
      </c>
      <c r="V282" s="62" t="str">
        <f>IFERROR(__xludf.DUMMYFUNCTION("QUERY('Volunteer Survey'!O291)"),"Possibly")</f>
        <v>Possibly</v>
      </c>
      <c r="W282" s="75" t="str">
        <f>IFERROR(__xludf.DUMMYFUNCTION("QUERY('Volunteer Survey'!P291)"),"I am open to any opportunity.")</f>
        <v>I am open to any opportunity.</v>
      </c>
      <c r="X282" s="74" t="str">
        <f>IFERROR(__xludf.DUMMYFUNCTION("QUERY('Volunteer Survey'!R291)"),"Yes- I am willing to volunteer with any available ClinGen group")</f>
        <v>Yes- I am willing to volunteer with any available ClinGen group</v>
      </c>
      <c r="Y282" s="61"/>
      <c r="Z282" s="62"/>
      <c r="AA282" s="62"/>
      <c r="AB282" s="62"/>
      <c r="AC282" s="62"/>
      <c r="AD282" s="62"/>
      <c r="AE282" s="62"/>
      <c r="AF282" s="62"/>
      <c r="AG282" s="62"/>
      <c r="AH282" s="62"/>
      <c r="AI282" s="62"/>
      <c r="AJ282" s="62"/>
      <c r="AK282" s="62"/>
      <c r="AL282" s="62"/>
      <c r="AM282" s="62"/>
      <c r="AN282" s="62"/>
      <c r="AO282" s="62"/>
    </row>
    <row r="283">
      <c r="A283" s="59">
        <f>IFERROR(__xludf.DUMMYFUNCTION("QUERY('Volunteer Survey'!A292)"),43711.38992238426)</f>
        <v>43711.38992</v>
      </c>
      <c r="B283" s="60" t="s">
        <v>275</v>
      </c>
      <c r="C283" s="61"/>
      <c r="D283" s="79">
        <v>43626.0</v>
      </c>
      <c r="E283" s="60" t="s">
        <v>277</v>
      </c>
      <c r="F283" s="60" t="s">
        <v>277</v>
      </c>
      <c r="G283" s="60" t="s">
        <v>288</v>
      </c>
      <c r="H283" s="61"/>
      <c r="I283" s="63" t="s">
        <v>342</v>
      </c>
      <c r="J283" s="62"/>
      <c r="K283" s="62"/>
      <c r="L283" s="62" t="str">
        <f>IFERROR(__xludf.DUMMYFUNCTION("QUERY('Volunteer Survey'!B292)"),"Tomohiko Ai")</f>
        <v>Tomohiko Ai</v>
      </c>
      <c r="M283" s="62" t="str">
        <f>IFERROR(__xludf.DUMMYFUNCTION("QUERY('Volunteer Survey'!E292)"),"Tomohiko.Ai@osumc.edu")</f>
        <v>Tomohiko.Ai@osumc.edu</v>
      </c>
      <c r="N283" s="62" t="str">
        <f>IFERROR(__xludf.DUMMYFUNCTION("QUERY('Volunteer Survey'!F292)"),"Scientific Researcher")</f>
        <v>Scientific Researcher</v>
      </c>
      <c r="O283" s="60" t="str">
        <f>IFERROR(__xludf.DUMMYFUNCTION("QUERY('Volunteer Survey'!H292)"),"Comprehensive")</f>
        <v>Comprehensive</v>
      </c>
      <c r="P283" s="62" t="str">
        <f>IFERROR(__xludf.DUMMYFUNCTION("QUERY('Volunteer Survey'!I292)"),"Variant Pathogenicity")</f>
        <v>Variant Pathogenicity</v>
      </c>
      <c r="Q283" s="66" t="str">
        <f>IFERROR(__xludf.DUMMYFUNCTION("QUERY('Volunteer Survey'!J292)"),"")</f>
        <v/>
      </c>
      <c r="R283" s="62" t="str">
        <f>IFERROR(__xludf.DUMMYFUNCTION("QUERY('Volunteer Survey'!K292)"),"")</f>
        <v/>
      </c>
      <c r="S283" s="62" t="str">
        <f>IFERROR(__xludf.DUMMYFUNCTION("QUERY('Volunteer Survey'!L292)"),"")</f>
        <v/>
      </c>
      <c r="T283" s="62" t="str">
        <f>IFERROR(__xludf.DUMMYFUNCTION("QUERY('Volunteer Survey'!M292)"),"")</f>
        <v/>
      </c>
      <c r="U283" s="74" t="str">
        <f>IFERROR(__xludf.DUMMYFUNCTION("QUERY('Volunteer Survey'!N292)"),"")</f>
        <v/>
      </c>
      <c r="V283" s="62" t="str">
        <f>IFERROR(__xludf.DUMMYFUNCTION("QUERY('Volunteer Survey'!O292)"),"")</f>
        <v/>
      </c>
      <c r="W283" s="75" t="str">
        <f>IFERROR(__xludf.DUMMYFUNCTION("QUERY('Volunteer Survey'!P292)"),"")</f>
        <v/>
      </c>
      <c r="X283" s="74" t="str">
        <f>IFERROR(__xludf.DUMMYFUNCTION("QUERY('Volunteer Survey'!R292)"),"")</f>
        <v/>
      </c>
      <c r="Y283" s="61"/>
      <c r="Z283" s="62"/>
      <c r="AA283" s="62"/>
      <c r="AB283" s="62"/>
      <c r="AC283" s="62"/>
      <c r="AD283" s="62"/>
      <c r="AE283" s="62"/>
      <c r="AF283" s="62"/>
      <c r="AG283" s="62"/>
      <c r="AH283" s="62"/>
      <c r="AI283" s="62"/>
      <c r="AJ283" s="62"/>
      <c r="AK283" s="62"/>
      <c r="AL283" s="62"/>
      <c r="AM283" s="62"/>
      <c r="AN283" s="62"/>
      <c r="AO283" s="62"/>
    </row>
    <row r="284">
      <c r="A284" s="59">
        <f>IFERROR(__xludf.DUMMYFUNCTION("QUERY('Volunteer Survey'!A293)"),43711.408003530094)</f>
        <v>43711.408</v>
      </c>
      <c r="B284" s="60" t="s">
        <v>275</v>
      </c>
      <c r="C284" s="61"/>
      <c r="D284" s="79">
        <v>43585.0</v>
      </c>
      <c r="E284" s="60" t="s">
        <v>277</v>
      </c>
      <c r="F284" s="60" t="s">
        <v>182</v>
      </c>
      <c r="G284" s="60" t="s">
        <v>278</v>
      </c>
      <c r="H284" s="61"/>
      <c r="I284" s="63" t="s">
        <v>342</v>
      </c>
      <c r="J284" s="79">
        <v>43712.0</v>
      </c>
      <c r="K284" s="79"/>
      <c r="L284" s="62" t="str">
        <f>IFERROR(__xludf.DUMMYFUNCTION("QUERY('Volunteer Survey'!B293)"),"Coumarane Mani")</f>
        <v>Coumarane Mani</v>
      </c>
      <c r="M284" s="62" t="str">
        <f>IFERROR(__xludf.DUMMYFUNCTION("QUERY('Volunteer Survey'!E293)"),"coumarane.mani@aruplab.com")</f>
        <v>coumarane.mani@aruplab.com</v>
      </c>
      <c r="N284" s="62" t="str">
        <f>IFERROR(__xludf.DUMMYFUNCTION("QUERY('Volunteer Survey'!F293)"),"Variant Analyst/Scientist - Industry")</f>
        <v>Variant Analyst/Scientist - Industry</v>
      </c>
      <c r="O284" s="60" t="str">
        <f>IFERROR(__xludf.DUMMYFUNCTION("QUERY('Volunteer Survey'!H293)"),"Comprehensive")</f>
        <v>Comprehensive</v>
      </c>
      <c r="P284" s="62" t="str">
        <f>IFERROR(__xludf.DUMMYFUNCTION("QUERY('Volunteer Survey'!I293)"),"Gene-Disease Validity")</f>
        <v>Gene-Disease Validity</v>
      </c>
      <c r="Q284" s="66" t="str">
        <f>IFERROR(__xludf.DUMMYFUNCTION("QUERY('Volunteer Survey'!J293)"),"")</f>
        <v/>
      </c>
      <c r="R284" s="62" t="str">
        <f>IFERROR(__xludf.DUMMYFUNCTION("QUERY('Volunteer Survey'!K293)"),"")</f>
        <v/>
      </c>
      <c r="S284" s="62" t="str">
        <f>IFERROR(__xludf.DUMMYFUNCTION("QUERY('Volunteer Survey'!L293)"),"")</f>
        <v/>
      </c>
      <c r="T284" s="62" t="str">
        <f>IFERROR(__xludf.DUMMYFUNCTION("QUERY('Volunteer Survey'!M293)"),"")</f>
        <v/>
      </c>
      <c r="U284" s="74" t="str">
        <f>IFERROR(__xludf.DUMMYFUNCTION("QUERY('Volunteer Survey'!N293)"),"")</f>
        <v/>
      </c>
      <c r="V284" s="62" t="str">
        <f>IFERROR(__xludf.DUMMYFUNCTION("QUERY('Volunteer Survey'!O293)"),"")</f>
        <v/>
      </c>
      <c r="W284" s="75" t="str">
        <f>IFERROR(__xludf.DUMMYFUNCTION("QUERY('Volunteer Survey'!P293)"),"")</f>
        <v/>
      </c>
      <c r="X284" s="74" t="str">
        <f>IFERROR(__xludf.DUMMYFUNCTION("QUERY('Volunteer Survey'!R293)"),"")</f>
        <v/>
      </c>
      <c r="Y284" s="61"/>
      <c r="Z284" s="62"/>
      <c r="AA284" s="62"/>
      <c r="AB284" s="62"/>
      <c r="AC284" s="62"/>
      <c r="AD284" s="62"/>
      <c r="AE284" s="62"/>
      <c r="AF284" s="62"/>
      <c r="AG284" s="62"/>
      <c r="AH284" s="62"/>
      <c r="AI284" s="62"/>
      <c r="AJ284" s="62"/>
      <c r="AK284" s="62"/>
      <c r="AL284" s="62"/>
      <c r="AM284" s="62"/>
      <c r="AN284" s="62"/>
      <c r="AO284" s="62"/>
    </row>
    <row r="285">
      <c r="A285" s="59">
        <f>IFERROR(__xludf.DUMMYFUNCTION("QUERY('Volunteer Survey'!A294)"),43711.40908538195)</f>
        <v>43711.40909</v>
      </c>
      <c r="B285" s="60" t="s">
        <v>275</v>
      </c>
      <c r="C285" s="61"/>
      <c r="D285" s="79">
        <v>43605.0</v>
      </c>
      <c r="E285" s="60" t="s">
        <v>277</v>
      </c>
      <c r="F285" s="60" t="s">
        <v>277</v>
      </c>
      <c r="G285" s="60" t="s">
        <v>288</v>
      </c>
      <c r="H285" s="61"/>
      <c r="I285" s="63" t="s">
        <v>359</v>
      </c>
      <c r="J285" s="62"/>
      <c r="K285" s="62"/>
      <c r="L285" s="62" t="str">
        <f>IFERROR(__xludf.DUMMYFUNCTION("QUERY('Volunteer Survey'!B294)"),"Coumarane Mani")</f>
        <v>Coumarane Mani</v>
      </c>
      <c r="M285" s="62" t="str">
        <f>IFERROR(__xludf.DUMMYFUNCTION("QUERY('Volunteer Survey'!E294)"),"coumarane.mani@aruplab.com")</f>
        <v>coumarane.mani@aruplab.com</v>
      </c>
      <c r="N285" s="62" t="str">
        <f>IFERROR(__xludf.DUMMYFUNCTION("QUERY('Volunteer Survey'!F294)"),"Variant Analyst/Scientist - Industry")</f>
        <v>Variant Analyst/Scientist - Industry</v>
      </c>
      <c r="O285" s="60" t="str">
        <f>IFERROR(__xludf.DUMMYFUNCTION("QUERY('Volunteer Survey'!H294)"),"Comprehensive")</f>
        <v>Comprehensive</v>
      </c>
      <c r="P285" s="62" t="str">
        <f>IFERROR(__xludf.DUMMYFUNCTION("QUERY('Volunteer Survey'!I294)"),"Variant Pathogenicity")</f>
        <v>Variant Pathogenicity</v>
      </c>
      <c r="Q285" s="66" t="str">
        <f>IFERROR(__xludf.DUMMYFUNCTION("QUERY('Volunteer Survey'!J294)"),"")</f>
        <v/>
      </c>
      <c r="R285" s="62" t="str">
        <f>IFERROR(__xludf.DUMMYFUNCTION("QUERY('Volunteer Survey'!K294)"),"")</f>
        <v/>
      </c>
      <c r="S285" s="62" t="str">
        <f>IFERROR(__xludf.DUMMYFUNCTION("QUERY('Volunteer Survey'!L294)"),"")</f>
        <v/>
      </c>
      <c r="T285" s="62" t="str">
        <f>IFERROR(__xludf.DUMMYFUNCTION("QUERY('Volunteer Survey'!M294)"),"")</f>
        <v/>
      </c>
      <c r="U285" s="74" t="str">
        <f>IFERROR(__xludf.DUMMYFUNCTION("QUERY('Volunteer Survey'!N294)"),"")</f>
        <v/>
      </c>
      <c r="V285" s="62" t="str">
        <f>IFERROR(__xludf.DUMMYFUNCTION("QUERY('Volunteer Survey'!O294)"),"")</f>
        <v/>
      </c>
      <c r="W285" s="75" t="str">
        <f>IFERROR(__xludf.DUMMYFUNCTION("QUERY('Volunteer Survey'!P294)"),"")</f>
        <v/>
      </c>
      <c r="X285" s="74" t="str">
        <f>IFERROR(__xludf.DUMMYFUNCTION("QUERY('Volunteer Survey'!R294)"),"")</f>
        <v/>
      </c>
      <c r="Y285" s="61"/>
      <c r="Z285" s="62"/>
      <c r="AA285" s="62"/>
      <c r="AB285" s="62"/>
      <c r="AC285" s="62"/>
      <c r="AD285" s="62"/>
      <c r="AE285" s="62"/>
      <c r="AF285" s="62"/>
      <c r="AG285" s="62"/>
      <c r="AH285" s="62"/>
      <c r="AI285" s="62"/>
      <c r="AJ285" s="62"/>
      <c r="AK285" s="62"/>
      <c r="AL285" s="62"/>
      <c r="AM285" s="62"/>
      <c r="AN285" s="62"/>
      <c r="AO285" s="62"/>
    </row>
    <row r="286">
      <c r="A286" s="59">
        <f>IFERROR(__xludf.DUMMYFUNCTION("QUERY('Volunteer Survey'!A295)"),43711.41408498842)</f>
        <v>43711.41408</v>
      </c>
      <c r="B286" s="60" t="s">
        <v>275</v>
      </c>
      <c r="C286" s="61"/>
      <c r="D286" s="79">
        <v>47258.0</v>
      </c>
      <c r="E286" s="60" t="s">
        <v>277</v>
      </c>
      <c r="F286" s="60" t="s">
        <v>277</v>
      </c>
      <c r="G286" s="60" t="s">
        <v>288</v>
      </c>
      <c r="H286" s="61"/>
      <c r="I286" s="63" t="s">
        <v>342</v>
      </c>
      <c r="J286" s="62"/>
      <c r="K286" s="62"/>
      <c r="L286" s="62" t="str">
        <f>IFERROR(__xludf.DUMMYFUNCTION("QUERY('Volunteer Survey'!B295)"),"Diogo Ventura Lovato")</f>
        <v>Diogo Ventura Lovato</v>
      </c>
      <c r="M286" s="62" t="str">
        <f>IFERROR(__xludf.DUMMYFUNCTION("QUERY('Volunteer Survey'!E295)"),"diogo.v.lovato@gmail.com")</f>
        <v>diogo.v.lovato@gmail.com</v>
      </c>
      <c r="N286" s="62" t="str">
        <f>IFERROR(__xludf.DUMMYFUNCTION("QUERY('Volunteer Survey'!F295)"),"Clinical laboratory geneticist")</f>
        <v>Clinical laboratory geneticist</v>
      </c>
      <c r="O286" s="60" t="str">
        <f>IFERROR(__xludf.DUMMYFUNCTION("QUERY('Volunteer Survey'!H295)"),"Comprehensive")</f>
        <v>Comprehensive</v>
      </c>
      <c r="P286" s="62" t="str">
        <f>IFERROR(__xludf.DUMMYFUNCTION("QUERY('Volunteer Survey'!I295)"),"Variant Pathogenicity")</f>
        <v>Variant Pathogenicity</v>
      </c>
      <c r="Q286" s="66" t="str">
        <f>IFERROR(__xludf.DUMMYFUNCTION("QUERY('Volunteer Survey'!J295)"),"")</f>
        <v/>
      </c>
      <c r="R286" s="62" t="str">
        <f>IFERROR(__xludf.DUMMYFUNCTION("QUERY('Volunteer Survey'!K295)"),"")</f>
        <v/>
      </c>
      <c r="S286" s="62" t="str">
        <f>IFERROR(__xludf.DUMMYFUNCTION("QUERY('Volunteer Survey'!L295)"),"")</f>
        <v/>
      </c>
      <c r="T286" s="62" t="str">
        <f>IFERROR(__xludf.DUMMYFUNCTION("QUERY('Volunteer Survey'!M295)"),"")</f>
        <v/>
      </c>
      <c r="U286" s="74" t="str">
        <f>IFERROR(__xludf.DUMMYFUNCTION("QUERY('Volunteer Survey'!N295)"),"")</f>
        <v/>
      </c>
      <c r="V286" s="62" t="str">
        <f>IFERROR(__xludf.DUMMYFUNCTION("QUERY('Volunteer Survey'!O295)"),"")</f>
        <v/>
      </c>
      <c r="W286" s="75" t="str">
        <f>IFERROR(__xludf.DUMMYFUNCTION("QUERY('Volunteer Survey'!P295)"),"")</f>
        <v/>
      </c>
      <c r="X286" s="74" t="str">
        <f>IFERROR(__xludf.DUMMYFUNCTION("QUERY('Volunteer Survey'!R295)"),"")</f>
        <v/>
      </c>
      <c r="Y286" s="61"/>
      <c r="Z286" s="62"/>
      <c r="AA286" s="62"/>
      <c r="AB286" s="62"/>
      <c r="AC286" s="62"/>
      <c r="AD286" s="62"/>
      <c r="AE286" s="62"/>
      <c r="AF286" s="62"/>
      <c r="AG286" s="62"/>
      <c r="AH286" s="62"/>
      <c r="AI286" s="62"/>
      <c r="AJ286" s="62"/>
      <c r="AK286" s="62"/>
      <c r="AL286" s="62"/>
      <c r="AM286" s="62"/>
      <c r="AN286" s="62"/>
      <c r="AO286" s="62"/>
    </row>
    <row r="287">
      <c r="A287" s="59">
        <f>IFERROR(__xludf.DUMMYFUNCTION("QUERY('Volunteer Survey'!A296)"),43711.41696469907)</f>
        <v>43711.41696</v>
      </c>
      <c r="B287" s="60" t="s">
        <v>275</v>
      </c>
      <c r="C287" s="61"/>
      <c r="D287" s="79">
        <v>43626.0</v>
      </c>
      <c r="E287" s="60" t="s">
        <v>277</v>
      </c>
      <c r="F287" s="60" t="s">
        <v>182</v>
      </c>
      <c r="G287" s="60" t="s">
        <v>288</v>
      </c>
      <c r="H287" s="61"/>
      <c r="I287" s="63" t="s">
        <v>342</v>
      </c>
      <c r="J287" s="62"/>
      <c r="K287" s="62"/>
      <c r="L287" s="62" t="str">
        <f>IFERROR(__xludf.DUMMYFUNCTION("QUERY('Volunteer Survey'!B296)"),"Elaine Spector")</f>
        <v>Elaine Spector</v>
      </c>
      <c r="M287" s="62" t="str">
        <f>IFERROR(__xludf.DUMMYFUNCTION("QUERY('Volunteer Survey'!E296)"),"elaine.spector@childrenscolorado.org")</f>
        <v>elaine.spector@childrenscolorado.org</v>
      </c>
      <c r="N287" s="62" t="str">
        <f>IFERROR(__xludf.DUMMYFUNCTION("QUERY('Volunteer Survey'!F296)"),"Clinical laboratory geneticist")</f>
        <v>Clinical laboratory geneticist</v>
      </c>
      <c r="O287" s="60" t="str">
        <f>IFERROR(__xludf.DUMMYFUNCTION("QUERY('Volunteer Survey'!H296)"),"Comprehensive")</f>
        <v>Comprehensive</v>
      </c>
      <c r="P287" s="62" t="str">
        <f>IFERROR(__xludf.DUMMYFUNCTION("QUERY('Volunteer Survey'!I296)"),"Variant Pathogenicity")</f>
        <v>Variant Pathogenicity</v>
      </c>
      <c r="Q287" s="66" t="str">
        <f>IFERROR(__xludf.DUMMYFUNCTION("QUERY('Volunteer Survey'!J296)"),"")</f>
        <v/>
      </c>
      <c r="R287" s="62" t="str">
        <f>IFERROR(__xludf.DUMMYFUNCTION("QUERY('Volunteer Survey'!K296)"),"")</f>
        <v/>
      </c>
      <c r="S287" s="62" t="str">
        <f>IFERROR(__xludf.DUMMYFUNCTION("QUERY('Volunteer Survey'!L296)"),"")</f>
        <v/>
      </c>
      <c r="T287" s="62" t="str">
        <f>IFERROR(__xludf.DUMMYFUNCTION("QUERY('Volunteer Survey'!M296)"),"")</f>
        <v/>
      </c>
      <c r="U287" s="74" t="str">
        <f>IFERROR(__xludf.DUMMYFUNCTION("QUERY('Volunteer Survey'!N296)"),"")</f>
        <v/>
      </c>
      <c r="V287" s="62" t="str">
        <f>IFERROR(__xludf.DUMMYFUNCTION("QUERY('Volunteer Survey'!O296)"),"")</f>
        <v/>
      </c>
      <c r="W287" s="75" t="str">
        <f>IFERROR(__xludf.DUMMYFUNCTION("QUERY('Volunteer Survey'!P296)"),"")</f>
        <v/>
      </c>
      <c r="X287" s="74" t="str">
        <f>IFERROR(__xludf.DUMMYFUNCTION("QUERY('Volunteer Survey'!R296)"),"")</f>
        <v/>
      </c>
      <c r="Y287" s="61"/>
      <c r="Z287" s="62"/>
      <c r="AA287" s="62"/>
      <c r="AB287" s="62"/>
      <c r="AC287" s="62"/>
      <c r="AD287" s="62"/>
      <c r="AE287" s="62"/>
      <c r="AF287" s="62"/>
      <c r="AG287" s="62"/>
      <c r="AH287" s="62"/>
      <c r="AI287" s="62"/>
      <c r="AJ287" s="62"/>
      <c r="AK287" s="62"/>
      <c r="AL287" s="62"/>
      <c r="AM287" s="62"/>
      <c r="AN287" s="62"/>
      <c r="AO287" s="62"/>
    </row>
    <row r="288">
      <c r="A288" s="59">
        <f>IFERROR(__xludf.DUMMYFUNCTION("QUERY('Volunteer Survey'!A297)"),43711.422284594904)</f>
        <v>43711.42228</v>
      </c>
      <c r="B288" s="60" t="s">
        <v>275</v>
      </c>
      <c r="C288" s="61"/>
      <c r="D288" s="79">
        <v>43608.0</v>
      </c>
      <c r="E288" s="60" t="s">
        <v>277</v>
      </c>
      <c r="F288" s="60" t="s">
        <v>277</v>
      </c>
      <c r="G288" s="60" t="s">
        <v>288</v>
      </c>
      <c r="H288" s="63" t="s">
        <v>264</v>
      </c>
      <c r="I288" s="63" t="s">
        <v>342</v>
      </c>
      <c r="J288" s="79">
        <v>43712.0</v>
      </c>
      <c r="K288" s="79"/>
      <c r="L288" s="62" t="str">
        <f>IFERROR(__xludf.DUMMYFUNCTION("QUERY('Volunteer Survey'!B297)"),"Laura Fuqua")</f>
        <v>Laura Fuqua</v>
      </c>
      <c r="M288" s="62" t="str">
        <f>IFERROR(__xludf.DUMMYFUNCTION("QUERY('Volunteer Survey'!E297)"),"laura.fuqua@gmail.com")</f>
        <v>laura.fuqua@gmail.com</v>
      </c>
      <c r="N288" s="62" t="str">
        <f>IFERROR(__xludf.DUMMYFUNCTION("QUERY('Volunteer Survey'!F297)"),"Genetic counselor")</f>
        <v>Genetic counselor</v>
      </c>
      <c r="O288" s="60" t="str">
        <f>IFERROR(__xludf.DUMMYFUNCTION("QUERY('Volunteer Survey'!H297)"),"Comprehensive")</f>
        <v>Comprehensive</v>
      </c>
      <c r="P288" s="62" t="str">
        <f>IFERROR(__xludf.DUMMYFUNCTION("QUERY('Volunteer Survey'!I297)"),"Variant Pathogenicity")</f>
        <v>Variant Pathogenicity</v>
      </c>
      <c r="Q288" s="66" t="str">
        <f>IFERROR(__xludf.DUMMYFUNCTION("QUERY('Volunteer Survey'!J297)"),"")</f>
        <v/>
      </c>
      <c r="R288" s="62" t="str">
        <f>IFERROR(__xludf.DUMMYFUNCTION("QUERY('Volunteer Survey'!K297)"),"")</f>
        <v/>
      </c>
      <c r="S288" s="62" t="str">
        <f>IFERROR(__xludf.DUMMYFUNCTION("QUERY('Volunteer Survey'!L297)"),"")</f>
        <v/>
      </c>
      <c r="T288" s="62" t="str">
        <f>IFERROR(__xludf.DUMMYFUNCTION("QUERY('Volunteer Survey'!M297)"),"")</f>
        <v/>
      </c>
      <c r="U288" s="74" t="str">
        <f>IFERROR(__xludf.DUMMYFUNCTION("QUERY('Volunteer Survey'!N297)"),"")</f>
        <v/>
      </c>
      <c r="V288" s="62" t="str">
        <f>IFERROR(__xludf.DUMMYFUNCTION("QUERY('Volunteer Survey'!O297)"),"")</f>
        <v/>
      </c>
      <c r="W288" s="75" t="str">
        <f>IFERROR(__xludf.DUMMYFUNCTION("QUERY('Volunteer Survey'!P297)"),"")</f>
        <v/>
      </c>
      <c r="X288" s="74" t="str">
        <f>IFERROR(__xludf.DUMMYFUNCTION("QUERY('Volunteer Survey'!R297)"),"")</f>
        <v/>
      </c>
      <c r="Y288" s="61"/>
      <c r="Z288" s="62"/>
      <c r="AA288" s="62"/>
      <c r="AB288" s="62"/>
      <c r="AC288" s="62"/>
      <c r="AD288" s="62"/>
      <c r="AE288" s="62"/>
      <c r="AF288" s="62"/>
      <c r="AG288" s="62"/>
      <c r="AH288" s="62"/>
      <c r="AI288" s="62"/>
      <c r="AJ288" s="62"/>
      <c r="AK288" s="62"/>
      <c r="AL288" s="62"/>
      <c r="AM288" s="62"/>
      <c r="AN288" s="62"/>
      <c r="AO288" s="62"/>
    </row>
    <row r="289">
      <c r="A289" s="59">
        <f>IFERROR(__xludf.DUMMYFUNCTION("QUERY('Volunteer Survey'!A298)"),43712.77477491898)</f>
        <v>43712.77477</v>
      </c>
      <c r="B289" s="60" t="s">
        <v>340</v>
      </c>
      <c r="C289" s="61"/>
      <c r="D289" s="62"/>
      <c r="E289" s="62"/>
      <c r="F289" s="60" t="s">
        <v>182</v>
      </c>
      <c r="G289" s="60" t="s">
        <v>301</v>
      </c>
      <c r="H289" s="61"/>
      <c r="I289" s="61"/>
      <c r="J289" s="62"/>
      <c r="K289" s="62"/>
      <c r="L289" s="62" t="str">
        <f>IFERROR(__xludf.DUMMYFUNCTION("QUERY('Volunteer Survey'!B298)"),"Kelly McGoldrick")</f>
        <v>Kelly McGoldrick</v>
      </c>
      <c r="M289" s="62" t="str">
        <f>IFERROR(__xludf.DUMMYFUNCTION("QUERY('Volunteer Survey'!E298)"),"kmcgoldrick@ambrygenetics.com")</f>
        <v>kmcgoldrick@ambrygenetics.com</v>
      </c>
      <c r="N289" s="62" t="str">
        <f>IFERROR(__xludf.DUMMYFUNCTION("QUERY('Volunteer Survey'!F298)"),"Variant Analyst/Scientist - Industry")</f>
        <v>Variant Analyst/Scientist - Industry</v>
      </c>
      <c r="O289" s="60" t="str">
        <f>IFERROR(__xludf.DUMMYFUNCTION("QUERY('Volunteer Survey'!H298)"),"Comprehensive")</f>
        <v>Comprehensive</v>
      </c>
      <c r="P289" s="62" t="str">
        <f>IFERROR(__xludf.DUMMYFUNCTION("QUERY('Volunteer Survey'!I298)"),"")</f>
        <v/>
      </c>
      <c r="Q289" s="66" t="str">
        <f>IFERROR(__xludf.DUMMYFUNCTION("QUERY('Volunteer Survey'!J298)"),"")</f>
        <v/>
      </c>
      <c r="R289" s="62" t="str">
        <f>IFERROR(__xludf.DUMMYFUNCTION("QUERY('Volunteer Survey'!K298)"),"")</f>
        <v/>
      </c>
      <c r="S289" s="62" t="str">
        <f>IFERROR(__xludf.DUMMYFUNCTION("QUERY('Volunteer Survey'!L298)"),"")</f>
        <v/>
      </c>
      <c r="T289" s="62" t="str">
        <f>IFERROR(__xludf.DUMMYFUNCTION("QUERY('Volunteer Survey'!M298)"),"")</f>
        <v/>
      </c>
      <c r="U289" s="74" t="str">
        <f>IFERROR(__xludf.DUMMYFUNCTION("QUERY('Volunteer Survey'!N298)"),"I am a variant curation scientist at Ambry Genetics")</f>
        <v>I am a variant curation scientist at Ambry Genetics</v>
      </c>
      <c r="V289" s="62" t="str">
        <f>IFERROR(__xludf.DUMMYFUNCTION("QUERY('Volunteer Survey'!O298)"),"Possibly")</f>
        <v>Possibly</v>
      </c>
      <c r="W289" s="75" t="str">
        <f>IFERROR(__xludf.DUMMYFUNCTION("QUERY('Volunteer Survey'!P298)"),"Already a member of TP53 and VHL groups")</f>
        <v>Already a member of TP53 and VHL groups</v>
      </c>
      <c r="X289" s="74" t="str">
        <f>IFERROR(__xludf.DUMMYFUNCTION("QUERY('Volunteer Survey'!R298)"),"No - I am only interested in the group(s) I previously indicated")</f>
        <v>No - I am only interested in the group(s) I previously indicated</v>
      </c>
      <c r="Y289" s="61"/>
      <c r="Z289" s="62"/>
      <c r="AA289" s="62"/>
      <c r="AB289" s="62"/>
      <c r="AC289" s="62"/>
      <c r="AD289" s="62"/>
      <c r="AE289" s="62"/>
      <c r="AF289" s="62"/>
      <c r="AG289" s="62"/>
      <c r="AH289" s="62"/>
      <c r="AI289" s="62"/>
      <c r="AJ289" s="62"/>
      <c r="AK289" s="62"/>
      <c r="AL289" s="62"/>
      <c r="AM289" s="62"/>
      <c r="AN289" s="62"/>
      <c r="AO289" s="62"/>
    </row>
    <row r="290">
      <c r="A290" s="59">
        <f>IFERROR(__xludf.DUMMYFUNCTION("QUERY('Volunteer Survey'!A299)"),43713.48872883102)</f>
        <v>43713.48873</v>
      </c>
      <c r="B290" s="60" t="s">
        <v>275</v>
      </c>
      <c r="C290" s="80">
        <v>43819.0</v>
      </c>
      <c r="D290" s="62"/>
      <c r="E290" s="62"/>
      <c r="F290" s="60" t="s">
        <v>182</v>
      </c>
      <c r="G290" s="60" t="s">
        <v>288</v>
      </c>
      <c r="H290" s="61"/>
      <c r="I290" s="61"/>
      <c r="J290" s="62"/>
      <c r="K290" s="62"/>
      <c r="L290" s="62" t="str">
        <f>IFERROR(__xludf.DUMMYFUNCTION("QUERY('Volunteer Survey'!B299)"),"Patricia Harper")</f>
        <v>Patricia Harper</v>
      </c>
      <c r="M290" s="62" t="str">
        <f>IFERROR(__xludf.DUMMYFUNCTION("QUERY('Volunteer Survey'!E299)"),"pharper@cheo.on.ca")</f>
        <v>pharper@cheo.on.ca</v>
      </c>
      <c r="N290" s="62" t="str">
        <f>IFERROR(__xludf.DUMMYFUNCTION("QUERY('Volunteer Survey'!F299)"),"Genetic counselor")</f>
        <v>Genetic counselor</v>
      </c>
      <c r="O290" s="60" t="str">
        <f>IFERROR(__xludf.DUMMYFUNCTION("QUERY('Volunteer Survey'!H299)"),"Comprehensive")</f>
        <v>Comprehensive</v>
      </c>
      <c r="P290" s="62" t="str">
        <f>IFERROR(__xludf.DUMMYFUNCTION("QUERY('Volunteer Survey'!I299)"),"Variant Pathogenicity")</f>
        <v>Variant Pathogenicity</v>
      </c>
      <c r="Q290" s="66" t="str">
        <f>IFERROR(__xludf.DUMMYFUNCTION("QUERY('Volunteer Survey'!J299)"),"Clinical Actionability")</f>
        <v>Clinical Actionability</v>
      </c>
      <c r="R290" s="62" t="str">
        <f>IFERROR(__xludf.DUMMYFUNCTION("QUERY('Volunteer Survey'!K299)"),"Gene-Disease Validity")</f>
        <v>Gene-Disease Validity</v>
      </c>
      <c r="S290" s="62" t="str">
        <f>IFERROR(__xludf.DUMMYFUNCTION("QUERY('Volunteer Survey'!L299)"),"")</f>
        <v/>
      </c>
      <c r="T290" s="62" t="str">
        <f>IFERROR(__xludf.DUMMYFUNCTION("QUERY('Volunteer Survey'!M299)"),"")</f>
        <v/>
      </c>
      <c r="U290" s="74" t="str">
        <f>IFERROR(__xludf.DUMMYFUNCTION("QUERY('Volunteer Survey'!N299)"),"Yes, currently a member of the ClinGen Cardiomyopathy VCC")</f>
        <v>Yes, currently a member of the ClinGen Cardiomyopathy VCC</v>
      </c>
      <c r="V290" s="62" t="str">
        <f>IFERROR(__xludf.DUMMYFUNCTION("QUERY('Volunteer Survey'!O299)"),"Possibly")</f>
        <v>Possibly</v>
      </c>
      <c r="W290" s="75" t="str">
        <f>IFERROR(__xludf.DUMMYFUNCTION("QUERY('Volunteer Survey'!P299)"),"Hereditary cancer (and/or associated genes such as TP53)")</f>
        <v>Hereditary cancer (and/or associated genes such as TP53)</v>
      </c>
      <c r="X290" s="74" t="str">
        <f>IFERROR(__xludf.DUMMYFUNCTION("QUERY('Volunteer Survey'!R299)"),"Maybe -- please contact me with other options, and I will decide based on what is available")</f>
        <v>Maybe -- please contact me with other options, and I will decide based on what is available</v>
      </c>
      <c r="Y290" s="61"/>
      <c r="Z290" s="62"/>
      <c r="AA290" s="62"/>
      <c r="AB290" s="62"/>
      <c r="AC290" s="62"/>
      <c r="AD290" s="62"/>
      <c r="AE290" s="62"/>
      <c r="AF290" s="62"/>
      <c r="AG290" s="62"/>
      <c r="AH290" s="62"/>
      <c r="AI290" s="62"/>
      <c r="AJ290" s="62"/>
      <c r="AK290" s="62"/>
      <c r="AL290" s="62"/>
      <c r="AM290" s="62"/>
      <c r="AN290" s="62"/>
      <c r="AO290" s="62"/>
    </row>
    <row r="291">
      <c r="A291" s="59">
        <f>IFERROR(__xludf.DUMMYFUNCTION("QUERY('Volunteer Survey'!A300)"),43714.55424548611)</f>
        <v>43714.55425</v>
      </c>
      <c r="B291" s="60" t="s">
        <v>340</v>
      </c>
      <c r="C291" s="61"/>
      <c r="D291" s="62"/>
      <c r="E291" s="62"/>
      <c r="F291" s="60" t="s">
        <v>182</v>
      </c>
      <c r="G291" s="60" t="s">
        <v>150</v>
      </c>
      <c r="H291" s="61"/>
      <c r="I291" s="61"/>
      <c r="J291" s="62"/>
      <c r="K291" s="62"/>
      <c r="L291" s="62" t="str">
        <f>IFERROR(__xludf.DUMMYFUNCTION("QUERY('Volunteer Survey'!B300)"),"Rasha hekal ")</f>
        <v>Rasha hekal </v>
      </c>
      <c r="M291" s="62" t="str">
        <f>IFERROR(__xludf.DUMMYFUNCTION("QUERY('Volunteer Survey'!E300)"),"rasha.hekal.152003@gmail.com")</f>
        <v>rasha.hekal.152003@gmail.com</v>
      </c>
      <c r="N291" s="62" t="str">
        <f>IFERROR(__xludf.DUMMYFUNCTION("QUERY('Volunteer Survey'!F300)"),"Undergraduate Student")</f>
        <v>Undergraduate Student</v>
      </c>
      <c r="O291" s="60" t="str">
        <f>IFERROR(__xludf.DUMMYFUNCTION("QUERY('Volunteer Survey'!H300)"),"Comprehensive")</f>
        <v>Comprehensive</v>
      </c>
      <c r="P291" s="62" t="str">
        <f>IFERROR(__xludf.DUMMYFUNCTION("QUERY('Volunteer Survey'!I300)"),"Somatic Cancer")</f>
        <v>Somatic Cancer</v>
      </c>
      <c r="Q291" s="66" t="str">
        <f>IFERROR(__xludf.DUMMYFUNCTION("QUERY('Volunteer Survey'!J300)"),"Gene-Disease Validity")</f>
        <v>Gene-Disease Validity</v>
      </c>
      <c r="R291" s="62" t="str">
        <f>IFERROR(__xludf.DUMMYFUNCTION("QUERY('Volunteer Survey'!K300)"),"Clinical Actionability")</f>
        <v>Clinical Actionability</v>
      </c>
      <c r="S291" s="62" t="str">
        <f>IFERROR(__xludf.DUMMYFUNCTION("QUERY('Volunteer Survey'!L300)"),"Dosage Sensitivity")</f>
        <v>Dosage Sensitivity</v>
      </c>
      <c r="T291" s="62" t="str">
        <f>IFERROR(__xludf.DUMMYFUNCTION("QUERY('Volunteer Survey'!M300)"),"Variant Pathogenicity")</f>
        <v>Variant Pathogenicity</v>
      </c>
      <c r="U291" s="74" t="str">
        <f>IFERROR(__xludf.DUMMYFUNCTION("QUERY('Volunteer Survey'!N300)"),"No I didn't have but I have a lot of information.")</f>
        <v>No I didn't have but I have a lot of information.</v>
      </c>
      <c r="V291" s="62" t="str">
        <f>IFERROR(__xludf.DUMMYFUNCTION("QUERY('Volunteer Survey'!O300)"),"Yes")</f>
        <v>Yes</v>
      </c>
      <c r="W291" s="75" t="str">
        <f>IFERROR(__xludf.DUMMYFUNCTION("QUERY('Volunteer Survey'!P300)"),"Yes I am very interested to join this group. ")</f>
        <v>Yes I am very interested to join this group. </v>
      </c>
      <c r="X291" s="74" t="str">
        <f>IFERROR(__xludf.DUMMYFUNCTION("QUERY('Volunteer Survey'!R300)"),"Yes- I am willing to volunteer with any available ClinGen group")</f>
        <v>Yes- I am willing to volunteer with any available ClinGen group</v>
      </c>
      <c r="Y291" s="61"/>
      <c r="Z291" s="62"/>
      <c r="AA291" s="62"/>
      <c r="AB291" s="62"/>
      <c r="AC291" s="62"/>
      <c r="AD291" s="62"/>
      <c r="AE291" s="62"/>
      <c r="AF291" s="62"/>
      <c r="AG291" s="62"/>
      <c r="AH291" s="62"/>
      <c r="AI291" s="62"/>
      <c r="AJ291" s="62"/>
      <c r="AK291" s="62"/>
      <c r="AL291" s="62"/>
      <c r="AM291" s="62"/>
      <c r="AN291" s="62"/>
      <c r="AO291" s="62"/>
    </row>
    <row r="292">
      <c r="A292" s="59">
        <f>IFERROR(__xludf.DUMMYFUNCTION("QUERY('Volunteer Survey'!A301)"),43714.70152723379)</f>
        <v>43714.70153</v>
      </c>
      <c r="B292" s="60" t="s">
        <v>275</v>
      </c>
      <c r="C292" s="61"/>
      <c r="D292" s="62"/>
      <c r="E292" s="62"/>
      <c r="F292" s="60" t="s">
        <v>182</v>
      </c>
      <c r="G292" s="60" t="s">
        <v>276</v>
      </c>
      <c r="H292" s="61"/>
      <c r="I292" s="63" t="s">
        <v>189</v>
      </c>
      <c r="J292" s="62"/>
      <c r="K292" s="62"/>
      <c r="L292" s="62" t="str">
        <f>IFERROR(__xludf.DUMMYFUNCTION("QUERY('Volunteer Survey'!B301)"),"Nathaniel Jue")</f>
        <v>Nathaniel Jue</v>
      </c>
      <c r="M292" s="62" t="str">
        <f>IFERROR(__xludf.DUMMYFUNCTION("QUERY('Volunteer Survey'!E301)"),"njue@csumb.edu")</f>
        <v>njue@csumb.edu</v>
      </c>
      <c r="N292" s="62" t="str">
        <f>IFERROR(__xludf.DUMMYFUNCTION("QUERY('Volunteer Survey'!F301)"),"Scientific Researcher")</f>
        <v>Scientific Researcher</v>
      </c>
      <c r="O292" s="60" t="str">
        <f>IFERROR(__xludf.DUMMYFUNCTION("QUERY('Volunteer Survey'!H301)"),"Baseline")</f>
        <v>Baseline</v>
      </c>
      <c r="P292" s="62" t="str">
        <f>IFERROR(__xludf.DUMMYFUNCTION("QUERY('Volunteer Survey'!I301)"),"")</f>
        <v/>
      </c>
      <c r="Q292" s="66" t="str">
        <f>IFERROR(__xludf.DUMMYFUNCTION("QUERY('Volunteer Survey'!J301)"),"")</f>
        <v/>
      </c>
      <c r="R292" s="62" t="str">
        <f>IFERROR(__xludf.DUMMYFUNCTION("QUERY('Volunteer Survey'!K301)"),"")</f>
        <v/>
      </c>
      <c r="S292" s="62" t="str">
        <f>IFERROR(__xludf.DUMMYFUNCTION("QUERY('Volunteer Survey'!L301)"),"")</f>
        <v/>
      </c>
      <c r="T292" s="62" t="str">
        <f>IFERROR(__xludf.DUMMYFUNCTION("QUERY('Volunteer Survey'!M301)"),"")</f>
        <v/>
      </c>
      <c r="U292" s="74" t="str">
        <f>IFERROR(__xludf.DUMMYFUNCTION("QUERY('Volunteer Survey'!N301)"),"De novo genome annotation")</f>
        <v>De novo genome annotation</v>
      </c>
      <c r="V292" s="62" t="str">
        <f>IFERROR(__xludf.DUMMYFUNCTION("QUERY('Volunteer Survey'!O301)"),"Possibly")</f>
        <v>Possibly</v>
      </c>
      <c r="W292" s="75" t="str">
        <f>IFERROR(__xludf.DUMMYFUNCTION("QUERY('Volunteer Survey'!P301)"),"No")</f>
        <v>No</v>
      </c>
      <c r="X292" s="74" t="str">
        <f>IFERROR(__xludf.DUMMYFUNCTION("QUERY('Volunteer Survey'!R301)"),"Maybe -- please contact me with other options, and I will decide based on what is available")</f>
        <v>Maybe -- please contact me with other options, and I will decide based on what is available</v>
      </c>
      <c r="Y292" s="61"/>
      <c r="Z292" s="62"/>
      <c r="AA292" s="62"/>
      <c r="AB292" s="62"/>
      <c r="AC292" s="62"/>
      <c r="AD292" s="62"/>
      <c r="AE292" s="62"/>
      <c r="AF292" s="62"/>
      <c r="AG292" s="62"/>
      <c r="AH292" s="62"/>
      <c r="AI292" s="62"/>
      <c r="AJ292" s="62"/>
      <c r="AK292" s="62"/>
      <c r="AL292" s="62"/>
      <c r="AM292" s="62"/>
      <c r="AN292" s="62"/>
      <c r="AO292" s="62"/>
    </row>
    <row r="293">
      <c r="A293" s="59">
        <f>IFERROR(__xludf.DUMMYFUNCTION("QUERY('Volunteer Survey'!A302)"),43716.695717106486)</f>
        <v>43716.69572</v>
      </c>
      <c r="B293" s="60" t="s">
        <v>340</v>
      </c>
      <c r="C293" s="61"/>
      <c r="D293" s="62"/>
      <c r="E293" s="62"/>
      <c r="F293" s="60" t="s">
        <v>182</v>
      </c>
      <c r="G293" s="60" t="s">
        <v>150</v>
      </c>
      <c r="H293" s="61"/>
      <c r="I293" s="61"/>
      <c r="J293" s="62"/>
      <c r="K293" s="62"/>
      <c r="L293" s="62" t="str">
        <f>IFERROR(__xludf.DUMMYFUNCTION("QUERY('Volunteer Survey'!B302)"),"Nihal Ahmed ")</f>
        <v>Nihal Ahmed </v>
      </c>
      <c r="M293" s="62" t="str">
        <f>IFERROR(__xludf.DUMMYFUNCTION("QUERY('Volunteer Survey'!E302)"),"nihalahmed087@gmail.com")</f>
        <v>nihalahmed087@gmail.com</v>
      </c>
      <c r="N293" s="62" t="str">
        <f>IFERROR(__xludf.DUMMYFUNCTION("QUERY('Volunteer Survey'!F302)"),"Undergraduate Student")</f>
        <v>Undergraduate Student</v>
      </c>
      <c r="O293" s="60" t="str">
        <f>IFERROR(__xludf.DUMMYFUNCTION("QUERY('Volunteer Survey'!H302)"),"Comprehensive")</f>
        <v>Comprehensive</v>
      </c>
      <c r="P293" s="62" t="str">
        <f>IFERROR(__xludf.DUMMYFUNCTION("QUERY('Volunteer Survey'!I302)"),"Somatic Cancer")</f>
        <v>Somatic Cancer</v>
      </c>
      <c r="Q293" s="66" t="str">
        <f>IFERROR(__xludf.DUMMYFUNCTION("QUERY('Volunteer Survey'!J302)"),"Gene-Disease Validity")</f>
        <v>Gene-Disease Validity</v>
      </c>
      <c r="R293" s="62" t="str">
        <f>IFERROR(__xludf.DUMMYFUNCTION("QUERY('Volunteer Survey'!K302)"),"Variant Pathogenicity")</f>
        <v>Variant Pathogenicity</v>
      </c>
      <c r="S293" s="62" t="str">
        <f>IFERROR(__xludf.DUMMYFUNCTION("QUERY('Volunteer Survey'!L302)"),"Clinical Actionability")</f>
        <v>Clinical Actionability</v>
      </c>
      <c r="T293" s="62" t="str">
        <f>IFERROR(__xludf.DUMMYFUNCTION("QUERY('Volunteer Survey'!M302)"),"Dosage Sensitivity")</f>
        <v>Dosage Sensitivity</v>
      </c>
      <c r="U293" s="74" t="str">
        <f>IFERROR(__xludf.DUMMYFUNCTION("QUERY('Volunteer Survey'!N302)"),"No, this is the first time for me to join something like this")</f>
        <v>No, this is the first time for me to join something like this</v>
      </c>
      <c r="V293" s="62" t="str">
        <f>IFERROR(__xludf.DUMMYFUNCTION("QUERY('Volunteer Survey'!O302)"),"Possibly")</f>
        <v>Possibly</v>
      </c>
      <c r="W293" s="75" t="str">
        <f>IFERROR(__xludf.DUMMYFUNCTION("QUERY('Volunteer Survey'!P302)"),"Not so interested ")</f>
        <v>Not so interested </v>
      </c>
      <c r="X293" s="74" t="str">
        <f>IFERROR(__xludf.DUMMYFUNCTION("QUERY('Volunteer Survey'!R302)"),"Maybe -- please contact me with other options, and I will decide based on what is available")</f>
        <v>Maybe -- please contact me with other options, and I will decide based on what is available</v>
      </c>
      <c r="Y293" s="61"/>
      <c r="Z293" s="62"/>
      <c r="AA293" s="62"/>
      <c r="AB293" s="62"/>
      <c r="AC293" s="62"/>
      <c r="AD293" s="62"/>
      <c r="AE293" s="62"/>
      <c r="AF293" s="62"/>
      <c r="AG293" s="62"/>
      <c r="AH293" s="62"/>
      <c r="AI293" s="62"/>
      <c r="AJ293" s="62"/>
      <c r="AK293" s="62"/>
      <c r="AL293" s="62"/>
      <c r="AM293" s="62"/>
      <c r="AN293" s="62"/>
      <c r="AO293" s="62"/>
    </row>
    <row r="294">
      <c r="A294" s="59">
        <f>IFERROR(__xludf.DUMMYFUNCTION("QUERY('Volunteer Survey'!A303)"),43717.72172622685)</f>
        <v>43717.72173</v>
      </c>
      <c r="B294" s="60" t="s">
        <v>275</v>
      </c>
      <c r="C294" s="80">
        <v>43819.0</v>
      </c>
      <c r="D294" s="85">
        <v>43846.0</v>
      </c>
      <c r="E294" s="60" t="s">
        <v>277</v>
      </c>
      <c r="F294" s="60" t="s">
        <v>182</v>
      </c>
      <c r="G294" s="60" t="s">
        <v>278</v>
      </c>
      <c r="H294" s="61"/>
      <c r="I294" s="61"/>
      <c r="J294" s="62"/>
      <c r="K294" s="62"/>
      <c r="L294" s="62" t="str">
        <f>IFERROR(__xludf.DUMMYFUNCTION("QUERY('Volunteer Survey'!B303)"),"Xiaoting Ma")</f>
        <v>Xiaoting Ma</v>
      </c>
      <c r="M294" s="62" t="str">
        <f>IFERROR(__xludf.DUMMYFUNCTION("QUERY('Volunteer Survey'!E303)"),"Xiaoting.Ma@childrens.harvard.edu")</f>
        <v>Xiaoting.Ma@childrens.harvard.edu</v>
      </c>
      <c r="N294" s="62" t="str">
        <f>IFERROR(__xludf.DUMMYFUNCTION("QUERY('Volunteer Survey'!F303)"),"Post Doc/Resident/Fellow (MD and/or PhD)")</f>
        <v>Post Doc/Resident/Fellow (MD and/or PhD)</v>
      </c>
      <c r="O294" s="60" t="str">
        <f>IFERROR(__xludf.DUMMYFUNCTION("QUERY('Volunteer Survey'!H303)"),"Comprehensive")</f>
        <v>Comprehensive</v>
      </c>
      <c r="P294" s="62" t="str">
        <f>IFERROR(__xludf.DUMMYFUNCTION("QUERY('Volunteer Survey'!I303)"),"Gene-Disease Validity")</f>
        <v>Gene-Disease Validity</v>
      </c>
      <c r="Q294" s="66" t="str">
        <f>IFERROR(__xludf.DUMMYFUNCTION("QUERY('Volunteer Survey'!J303)"),"Variant Pathogenicity")</f>
        <v>Variant Pathogenicity</v>
      </c>
      <c r="R294" s="62" t="str">
        <f>IFERROR(__xludf.DUMMYFUNCTION("QUERY('Volunteer Survey'!K303)"),"Somatic Cancer")</f>
        <v>Somatic Cancer</v>
      </c>
      <c r="S294" s="62" t="str">
        <f>IFERROR(__xludf.DUMMYFUNCTION("QUERY('Volunteer Survey'!L303)"),"Dosage Sensitivity")</f>
        <v>Dosage Sensitivity</v>
      </c>
      <c r="T294" s="62" t="str">
        <f>IFERROR(__xludf.DUMMYFUNCTION("QUERY('Volunteer Survey'!M303)"),"Clinical Actionability")</f>
        <v>Clinical Actionability</v>
      </c>
      <c r="U294" s="74" t="str">
        <f>IFERROR(__xludf.DUMMYFUNCTION("QUERY('Volunteer Survey'!N303)"),"")</f>
        <v/>
      </c>
      <c r="V294" s="62" t="str">
        <f>IFERROR(__xludf.DUMMYFUNCTION("QUERY('Volunteer Survey'!O303)"),"Yes")</f>
        <v>Yes</v>
      </c>
      <c r="W294" s="75" t="str">
        <f>IFERROR(__xludf.DUMMYFUNCTION("QUERY('Volunteer Survey'!P303)"),"I am open to any opportunities")</f>
        <v>I am open to any opportunities</v>
      </c>
      <c r="X294" s="74" t="str">
        <f>IFERROR(__xludf.DUMMYFUNCTION("QUERY('Volunteer Survey'!R303)"),"Yes- I am willing to volunteer with any available ClinGen group")</f>
        <v>Yes- I am willing to volunteer with any available ClinGen group</v>
      </c>
      <c r="Y294" s="61"/>
      <c r="Z294" s="62"/>
      <c r="AA294" s="62"/>
      <c r="AB294" s="62"/>
      <c r="AC294" s="62"/>
      <c r="AD294" s="62"/>
      <c r="AE294" s="62"/>
      <c r="AF294" s="62"/>
      <c r="AG294" s="62"/>
      <c r="AH294" s="62"/>
      <c r="AI294" s="62"/>
      <c r="AJ294" s="62"/>
      <c r="AK294" s="62"/>
      <c r="AL294" s="62"/>
      <c r="AM294" s="62"/>
      <c r="AN294" s="62"/>
      <c r="AO294" s="62"/>
    </row>
    <row r="295">
      <c r="A295" s="59">
        <f>IFERROR(__xludf.DUMMYFUNCTION("QUERY('Volunteer Survey'!A304)"),43717.77896462963)</f>
        <v>43717.77896</v>
      </c>
      <c r="B295" s="60" t="s">
        <v>275</v>
      </c>
      <c r="C295" s="80">
        <v>43819.0</v>
      </c>
      <c r="D295" s="62"/>
      <c r="E295" s="62"/>
      <c r="F295" s="60" t="s">
        <v>182</v>
      </c>
      <c r="G295" s="60" t="s">
        <v>288</v>
      </c>
      <c r="H295" s="61"/>
      <c r="I295" s="61"/>
      <c r="J295" s="62"/>
      <c r="K295" s="62"/>
      <c r="L295" s="62" t="str">
        <f>IFERROR(__xludf.DUMMYFUNCTION("QUERY('Volunteer Survey'!B304)"),"Saja El Yaacoub")</f>
        <v>Saja El Yaacoub</v>
      </c>
      <c r="M295" s="62" t="str">
        <f>IFERROR(__xludf.DUMMYFUNCTION("QUERY('Volunteer Survey'!E304)"),"saja.alyaacoub@live.com")</f>
        <v>saja.alyaacoub@live.com</v>
      </c>
      <c r="N295" s="62" t="str">
        <f>IFERROR(__xludf.DUMMYFUNCTION("QUERY('Volunteer Survey'!F304)"),"Graduate Student")</f>
        <v>Graduate Student</v>
      </c>
      <c r="O295" s="60" t="str">
        <f>IFERROR(__xludf.DUMMYFUNCTION("QUERY('Volunteer Survey'!H304)"),"Comprehensive")</f>
        <v>Comprehensive</v>
      </c>
      <c r="P295" s="62" t="str">
        <f>IFERROR(__xludf.DUMMYFUNCTION("QUERY('Volunteer Survey'!I304)"),"Variant Pathogenicity")</f>
        <v>Variant Pathogenicity</v>
      </c>
      <c r="Q295" s="66" t="str">
        <f>IFERROR(__xludf.DUMMYFUNCTION("QUERY('Volunteer Survey'!J304)"),"Gene-Disease Validity")</f>
        <v>Gene-Disease Validity</v>
      </c>
      <c r="R295" s="62" t="str">
        <f>IFERROR(__xludf.DUMMYFUNCTION("QUERY('Volunteer Survey'!K304)"),"Somatic Cancer")</f>
        <v>Somatic Cancer</v>
      </c>
      <c r="S295" s="62" t="str">
        <f>IFERROR(__xludf.DUMMYFUNCTION("QUERY('Volunteer Survey'!L304)"),"Dosage Sensitivity")</f>
        <v>Dosage Sensitivity</v>
      </c>
      <c r="T295" s="62" t="str">
        <f>IFERROR(__xludf.DUMMYFUNCTION("QUERY('Volunteer Survey'!M304)"),"Clinical Actionability")</f>
        <v>Clinical Actionability</v>
      </c>
      <c r="U295" s="74" t="str">
        <f>IFERROR(__xludf.DUMMYFUNCTION("QUERY('Volunteer Survey'!N304)"),"")</f>
        <v/>
      </c>
      <c r="V295" s="62" t="str">
        <f>IFERROR(__xludf.DUMMYFUNCTION("QUERY('Volunteer Survey'!O304)"),"No")</f>
        <v>No</v>
      </c>
      <c r="W295" s="75" t="str">
        <f>IFERROR(__xludf.DUMMYFUNCTION("QUERY('Volunteer Survey'!P304)"),"Mitochondrial Diseases")</f>
        <v>Mitochondrial Diseases</v>
      </c>
      <c r="X295" s="74" t="str">
        <f>IFERROR(__xludf.DUMMYFUNCTION("QUERY('Volunteer Survey'!R304)"),"Yes- I am willing to volunteer with any available ClinGen group")</f>
        <v>Yes- I am willing to volunteer with any available ClinGen group</v>
      </c>
      <c r="Y295" s="61"/>
      <c r="Z295" s="62"/>
      <c r="AA295" s="62"/>
      <c r="AB295" s="62"/>
      <c r="AC295" s="62"/>
      <c r="AD295" s="62"/>
      <c r="AE295" s="62"/>
      <c r="AF295" s="62"/>
      <c r="AG295" s="62"/>
      <c r="AH295" s="62"/>
      <c r="AI295" s="62"/>
      <c r="AJ295" s="62"/>
      <c r="AK295" s="62"/>
      <c r="AL295" s="62"/>
      <c r="AM295" s="62"/>
      <c r="AN295" s="62"/>
      <c r="AO295" s="62"/>
    </row>
    <row r="296">
      <c r="A296" s="59">
        <f>IFERROR(__xludf.DUMMYFUNCTION("QUERY('Volunteer Survey'!A305)"),43718.61678217593)</f>
        <v>43718.61678</v>
      </c>
      <c r="B296" s="60" t="s">
        <v>274</v>
      </c>
      <c r="C296" s="61"/>
      <c r="D296" s="62"/>
      <c r="E296" s="62"/>
      <c r="F296" s="60" t="s">
        <v>182</v>
      </c>
      <c r="G296" s="60" t="s">
        <v>27</v>
      </c>
      <c r="H296" s="61"/>
      <c r="I296" s="61"/>
      <c r="J296" s="62"/>
      <c r="K296" s="62"/>
      <c r="L296" s="62" t="str">
        <f>IFERROR(__xludf.DUMMYFUNCTION("QUERY('Volunteer Survey'!B305)"),"Andrew Langlois")</f>
        <v>Andrew Langlois</v>
      </c>
      <c r="M296" s="62" t="str">
        <f>IFERROR(__xludf.DUMMYFUNCTION("QUERY('Volunteer Survey'!E305)"),"andrewlanglois001@gmail.com")</f>
        <v>andrewlanglois001@gmail.com</v>
      </c>
      <c r="N296" s="62" t="str">
        <f>IFERROR(__xludf.DUMMYFUNCTION("QUERY('Volunteer Survey'!F305)"),"Graduate Student")</f>
        <v>Graduate Student</v>
      </c>
      <c r="O296" s="60" t="str">
        <f>IFERROR(__xludf.DUMMYFUNCTION("QUERY('Volunteer Survey'!H305)"),"Comprehensive")</f>
        <v>Comprehensive</v>
      </c>
      <c r="P296" s="62" t="str">
        <f>IFERROR(__xludf.DUMMYFUNCTION("QUERY('Volunteer Survey'!I305)"),"Clinical Actionability")</f>
        <v>Clinical Actionability</v>
      </c>
      <c r="Q296" s="66" t="str">
        <f>IFERROR(__xludf.DUMMYFUNCTION("QUERY('Volunteer Survey'!J305)"),"Dosage Sensitivity")</f>
        <v>Dosage Sensitivity</v>
      </c>
      <c r="R296" s="62" t="str">
        <f>IFERROR(__xludf.DUMMYFUNCTION("QUERY('Volunteer Survey'!K305)"),"Somatic Cancer")</f>
        <v>Somatic Cancer</v>
      </c>
      <c r="S296" s="62" t="str">
        <f>IFERROR(__xludf.DUMMYFUNCTION("QUERY('Volunteer Survey'!L305)"),"Variant Pathogenicity")</f>
        <v>Variant Pathogenicity</v>
      </c>
      <c r="T296" s="62" t="str">
        <f>IFERROR(__xludf.DUMMYFUNCTION("QUERY('Volunteer Survey'!M305)"),"Gene-Disease Validity")</f>
        <v>Gene-Disease Validity</v>
      </c>
      <c r="U296" s="74" t="str">
        <f>IFERROR(__xludf.DUMMYFUNCTION("QUERY('Volunteer Survey'!N305)"),"No")</f>
        <v>No</v>
      </c>
      <c r="V296" s="62" t="str">
        <f>IFERROR(__xludf.DUMMYFUNCTION("QUERY('Volunteer Survey'!O305)"),"Yes")</f>
        <v>Yes</v>
      </c>
      <c r="W296" s="75" t="str">
        <f>IFERROR(__xludf.DUMMYFUNCTION("QUERY('Volunteer Survey'!P305)"),"")</f>
        <v/>
      </c>
      <c r="X296" s="74" t="str">
        <f>IFERROR(__xludf.DUMMYFUNCTION("QUERY('Volunteer Survey'!R305)"),"Yes- I am willing to volunteer with any available ClinGen group")</f>
        <v>Yes- I am willing to volunteer with any available ClinGen group</v>
      </c>
      <c r="Y296" s="61"/>
      <c r="Z296" s="62"/>
      <c r="AA296" s="62"/>
      <c r="AB296" s="62"/>
      <c r="AC296" s="62"/>
      <c r="AD296" s="62"/>
      <c r="AE296" s="62"/>
      <c r="AF296" s="62"/>
      <c r="AG296" s="62"/>
      <c r="AH296" s="62"/>
      <c r="AI296" s="62"/>
      <c r="AJ296" s="62"/>
      <c r="AK296" s="62"/>
      <c r="AL296" s="62"/>
      <c r="AM296" s="62"/>
      <c r="AN296" s="62"/>
      <c r="AO296" s="62"/>
    </row>
    <row r="297">
      <c r="A297" s="59">
        <f>IFERROR(__xludf.DUMMYFUNCTION("QUERY('Volunteer Survey'!A306)"),43720.90226984954)</f>
        <v>43720.90227</v>
      </c>
      <c r="B297" s="60" t="s">
        <v>275</v>
      </c>
      <c r="C297" s="80">
        <v>43819.0</v>
      </c>
      <c r="D297" s="117">
        <v>43859.0</v>
      </c>
      <c r="E297" s="60" t="s">
        <v>277</v>
      </c>
      <c r="F297" s="60" t="s">
        <v>277</v>
      </c>
      <c r="G297" s="60" t="s">
        <v>288</v>
      </c>
      <c r="H297" s="61"/>
      <c r="I297" s="61"/>
      <c r="J297" s="62"/>
      <c r="K297" s="62"/>
      <c r="L297" s="62" t="str">
        <f>IFERROR(__xludf.DUMMYFUNCTION("QUERY('Volunteer Survey'!B306)"),"Brandon Chalazan")</f>
        <v>Brandon Chalazan</v>
      </c>
      <c r="M297" s="62" t="str">
        <f>IFERROR(__xludf.DUMMYFUNCTION("QUERY('Volunteer Survey'!E306)"),"brandon.chalazan@cw.bc.ca")</f>
        <v>brandon.chalazan@cw.bc.ca</v>
      </c>
      <c r="N297" s="62" t="str">
        <f>IFERROR(__xludf.DUMMYFUNCTION("QUERY('Volunteer Survey'!F306)"),"Post Doc/Resident/Fellow (MD and/or PhD)")</f>
        <v>Post Doc/Resident/Fellow (MD and/or PhD)</v>
      </c>
      <c r="O297" s="60" t="str">
        <f>IFERROR(__xludf.DUMMYFUNCTION("QUERY('Volunteer Survey'!H306)"),"Comprehensive")</f>
        <v>Comprehensive</v>
      </c>
      <c r="P297" s="62" t="str">
        <f>IFERROR(__xludf.DUMMYFUNCTION("QUERY('Volunteer Survey'!I306)"),"Variant Pathogenicity")</f>
        <v>Variant Pathogenicity</v>
      </c>
      <c r="Q297" s="66" t="str">
        <f>IFERROR(__xludf.DUMMYFUNCTION("QUERY('Volunteer Survey'!J306)"),"Dosage Sensitivity")</f>
        <v>Dosage Sensitivity</v>
      </c>
      <c r="R297" s="62" t="str">
        <f>IFERROR(__xludf.DUMMYFUNCTION("QUERY('Volunteer Survey'!K306)"),"Gene-Disease Validity")</f>
        <v>Gene-Disease Validity</v>
      </c>
      <c r="S297" s="62" t="str">
        <f>IFERROR(__xludf.DUMMYFUNCTION("QUERY('Volunteer Survey'!L306)"),"Clinical Actionability")</f>
        <v>Clinical Actionability</v>
      </c>
      <c r="T297" s="62" t="str">
        <f>IFERROR(__xludf.DUMMYFUNCTION("QUERY('Volunteer Survey'!M306)"),"")</f>
        <v/>
      </c>
      <c r="U297" s="74" t="str">
        <f>IFERROR(__xludf.DUMMYFUNCTION("QUERY('Volunteer Survey'!N306)"),"Yes - I have designed candidate SNP and gene panels, designed specific variant filtering criteria and commonly use ACMG / AMP / ACGS criteria.")</f>
        <v>Yes - I have designed candidate SNP and gene panels, designed specific variant filtering criteria and commonly use ACMG / AMP / ACGS criteria.</v>
      </c>
      <c r="V297" s="62" t="str">
        <f>IFERROR(__xludf.DUMMYFUNCTION("QUERY('Volunteer Survey'!O306)"),"Possibly")</f>
        <v>Possibly</v>
      </c>
      <c r="W297" s="75" t="str">
        <f>IFERROR(__xludf.DUMMYFUNCTION("QUERY('Volunteer Survey'!P306)"),"All inherited cardiovascular genetic conditions.  However, I want to form a Atrial Fibrillation working expert panel.")</f>
        <v>All inherited cardiovascular genetic conditions.  However, I want to form a Atrial Fibrillation working expert panel.</v>
      </c>
      <c r="X297" s="74" t="str">
        <f>IFERROR(__xludf.DUMMYFUNCTION("QUERY('Volunteer Survey'!R306)"),"Maybe -- please contact me with other options, and I will decide based on what is available")</f>
        <v>Maybe -- please contact me with other options, and I will decide based on what is available</v>
      </c>
      <c r="Y297" s="61"/>
      <c r="Z297" s="62"/>
      <c r="AA297" s="62"/>
      <c r="AB297" s="62"/>
      <c r="AC297" s="62"/>
      <c r="AD297" s="62"/>
      <c r="AE297" s="62"/>
      <c r="AF297" s="62"/>
      <c r="AG297" s="62"/>
      <c r="AH297" s="62"/>
      <c r="AI297" s="62"/>
      <c r="AJ297" s="62"/>
      <c r="AK297" s="62"/>
      <c r="AL297" s="62"/>
      <c r="AM297" s="62"/>
      <c r="AN297" s="62"/>
      <c r="AO297" s="62"/>
    </row>
    <row r="298">
      <c r="A298" s="59">
        <f>IFERROR(__xludf.DUMMYFUNCTION("QUERY('Volunteer Survey'!A307)"),43721.408467650464)</f>
        <v>43721.40847</v>
      </c>
      <c r="B298" s="60" t="s">
        <v>275</v>
      </c>
      <c r="C298" s="80">
        <v>43819.0</v>
      </c>
      <c r="D298" s="85">
        <v>43859.0</v>
      </c>
      <c r="E298" s="60" t="s">
        <v>277</v>
      </c>
      <c r="F298" s="60" t="s">
        <v>277</v>
      </c>
      <c r="G298" s="60" t="s">
        <v>288</v>
      </c>
      <c r="H298" s="61"/>
      <c r="I298" s="61"/>
      <c r="J298" s="62"/>
      <c r="K298" s="62"/>
      <c r="L298" s="62" t="str">
        <f>IFERROR(__xludf.DUMMYFUNCTION("QUERY('Volunteer Survey'!B307)"),"jean-leon chong")</f>
        <v>jean-leon chong</v>
      </c>
      <c r="M298" s="62" t="str">
        <f>IFERROR(__xludf.DUMMYFUNCTION("QUERY('Volunteer Survey'!E307)"),"leon0044@gmail.com")</f>
        <v>leon0044@gmail.com</v>
      </c>
      <c r="N298" s="62" t="str">
        <f>IFERROR(__xludf.DUMMYFUNCTION("QUERY('Volunteer Survey'!F307)"),"biochemical genetics lab director")</f>
        <v>biochemical genetics lab director</v>
      </c>
      <c r="O298" s="60" t="str">
        <f>IFERROR(__xludf.DUMMYFUNCTION("QUERY('Volunteer Survey'!H307)"),"Comprehensive")</f>
        <v>Comprehensive</v>
      </c>
      <c r="P298" s="62" t="str">
        <f>IFERROR(__xludf.DUMMYFUNCTION("QUERY('Volunteer Survey'!I307)"),"Variant Pathogenicity")</f>
        <v>Variant Pathogenicity</v>
      </c>
      <c r="Q298" s="66" t="str">
        <f>IFERROR(__xludf.DUMMYFUNCTION("QUERY('Volunteer Survey'!J307)"),"Gene-Disease Validity")</f>
        <v>Gene-Disease Validity</v>
      </c>
      <c r="R298" s="62" t="str">
        <f>IFERROR(__xludf.DUMMYFUNCTION("QUERY('Volunteer Survey'!K307)"),"")</f>
        <v/>
      </c>
      <c r="S298" s="62" t="str">
        <f>IFERROR(__xludf.DUMMYFUNCTION("QUERY('Volunteer Survey'!L307)"),"")</f>
        <v/>
      </c>
      <c r="T298" s="62" t="str">
        <f>IFERROR(__xludf.DUMMYFUNCTION("QUERY('Volunteer Survey'!M307)"),"")</f>
        <v/>
      </c>
      <c r="U298" s="74" t="str">
        <f>IFERROR(__xludf.DUMMYFUNCTION("QUERY('Volunteer Survey'!N307)"),"some experience during fellowship training ")</f>
        <v>some experience during fellowship training </v>
      </c>
      <c r="V298" s="62" t="str">
        <f>IFERROR(__xludf.DUMMYFUNCTION("QUERY('Volunteer Survey'!O307)"),"Possibly")</f>
        <v>Possibly</v>
      </c>
      <c r="W298" s="75" t="str">
        <f>IFERROR(__xludf.DUMMYFUNCTION("QUERY('Volunteer Survey'!P307)"),"")</f>
        <v/>
      </c>
      <c r="X298" s="74" t="str">
        <f>IFERROR(__xludf.DUMMYFUNCTION("QUERY('Volunteer Survey'!R307)"),"Maybe -- please contact me with other options, and I will decide based on what is available")</f>
        <v>Maybe -- please contact me with other options, and I will decide based on what is available</v>
      </c>
      <c r="Y298" s="61"/>
      <c r="Z298" s="62"/>
      <c r="AA298" s="62"/>
      <c r="AB298" s="62"/>
      <c r="AC298" s="62"/>
      <c r="AD298" s="62"/>
      <c r="AE298" s="62"/>
      <c r="AF298" s="62"/>
      <c r="AG298" s="62"/>
      <c r="AH298" s="62"/>
      <c r="AI298" s="62"/>
      <c r="AJ298" s="62"/>
      <c r="AK298" s="62"/>
      <c r="AL298" s="62"/>
      <c r="AM298" s="62"/>
      <c r="AN298" s="62"/>
      <c r="AO298" s="62"/>
    </row>
    <row r="299">
      <c r="A299" s="59">
        <f>IFERROR(__xludf.DUMMYFUNCTION("QUERY('Volunteer Survey'!A308)"),43721.66220423611)</f>
        <v>43721.6622</v>
      </c>
      <c r="B299" s="60" t="s">
        <v>275</v>
      </c>
      <c r="C299" s="80">
        <v>43819.0</v>
      </c>
      <c r="D299" s="62"/>
      <c r="E299" s="62"/>
      <c r="F299" s="60" t="s">
        <v>182</v>
      </c>
      <c r="G299" s="60" t="s">
        <v>288</v>
      </c>
      <c r="H299" s="61"/>
      <c r="I299" s="61"/>
      <c r="J299" s="62"/>
      <c r="K299" s="62"/>
      <c r="L299" s="62" t="str">
        <f>IFERROR(__xludf.DUMMYFUNCTION("QUERY('Volunteer Survey'!B308)"),"Terra Brannan")</f>
        <v>Terra Brannan</v>
      </c>
      <c r="M299" s="62" t="str">
        <f>IFERROR(__xludf.DUMMYFUNCTION("QUERY('Volunteer Survey'!E308)"),"tbrannan@ambrygen.com")</f>
        <v>tbrannan@ambrygen.com</v>
      </c>
      <c r="N299" s="62" t="str">
        <f>IFERROR(__xludf.DUMMYFUNCTION("QUERY('Volunteer Survey'!F308)"),"Variant Analyst/Scientist - Industry")</f>
        <v>Variant Analyst/Scientist - Industry</v>
      </c>
      <c r="O299" s="60" t="str">
        <f>IFERROR(__xludf.DUMMYFUNCTION("QUERY('Volunteer Survey'!H308)"),"Comprehensive")</f>
        <v>Comprehensive</v>
      </c>
      <c r="P299" s="62" t="str">
        <f>IFERROR(__xludf.DUMMYFUNCTION("QUERY('Volunteer Survey'!I308)"),"Variant Pathogenicity")</f>
        <v>Variant Pathogenicity</v>
      </c>
      <c r="Q299" s="66" t="str">
        <f>IFERROR(__xludf.DUMMYFUNCTION("QUERY('Volunteer Survey'!J308)"),"")</f>
        <v/>
      </c>
      <c r="R299" s="62" t="str">
        <f>IFERROR(__xludf.DUMMYFUNCTION("QUERY('Volunteer Survey'!K308)"),"")</f>
        <v/>
      </c>
      <c r="S299" s="62" t="str">
        <f>IFERROR(__xludf.DUMMYFUNCTION("QUERY('Volunteer Survey'!L308)"),"")</f>
        <v/>
      </c>
      <c r="T299" s="62" t="str">
        <f>IFERROR(__xludf.DUMMYFUNCTION("QUERY('Volunteer Survey'!M308)"),"")</f>
        <v/>
      </c>
      <c r="U299" s="74" t="str">
        <f>IFERROR(__xludf.DUMMYFUNCTION("QUERY('Volunteer Survey'!N308)"),"Yes, I have been performing variant assessment since December 2018")</f>
        <v>Yes, I have been performing variant assessment since December 2018</v>
      </c>
      <c r="V299" s="62" t="str">
        <f>IFERROR(__xludf.DUMMYFUNCTION("QUERY('Volunteer Survey'!O308)"),"No")</f>
        <v>No</v>
      </c>
      <c r="W299" s="75" t="str">
        <f>IFERROR(__xludf.DUMMYFUNCTION("QUERY('Volunteer Survey'!P308)"),"CDH1")</f>
        <v>CDH1</v>
      </c>
      <c r="X299" s="74" t="str">
        <f>IFERROR(__xludf.DUMMYFUNCTION("QUERY('Volunteer Survey'!R308)"),"No - I am only interested in the group(s) I previously indicated")</f>
        <v>No - I am only interested in the group(s) I previously indicated</v>
      </c>
      <c r="Y299" s="61"/>
      <c r="Z299" s="62"/>
      <c r="AA299" s="62"/>
      <c r="AB299" s="62"/>
      <c r="AC299" s="62"/>
      <c r="AD299" s="62"/>
      <c r="AE299" s="62"/>
      <c r="AF299" s="62"/>
      <c r="AG299" s="62"/>
      <c r="AH299" s="62"/>
      <c r="AI299" s="62"/>
      <c r="AJ299" s="62"/>
      <c r="AK299" s="62"/>
      <c r="AL299" s="62"/>
      <c r="AM299" s="62"/>
      <c r="AN299" s="62"/>
      <c r="AO299" s="62"/>
    </row>
    <row r="300">
      <c r="A300" s="59">
        <f>IFERROR(__xludf.DUMMYFUNCTION("QUERY('Volunteer Survey'!A309)"),43724.55539652777)</f>
        <v>43724.5554</v>
      </c>
      <c r="B300" s="60" t="s">
        <v>340</v>
      </c>
      <c r="C300" s="61"/>
      <c r="D300" s="62"/>
      <c r="E300" s="62"/>
      <c r="F300" s="60" t="s">
        <v>182</v>
      </c>
      <c r="G300" s="60" t="s">
        <v>283</v>
      </c>
      <c r="H300" s="61"/>
      <c r="I300" s="61"/>
      <c r="J300" s="62"/>
      <c r="K300" s="62"/>
      <c r="L300" s="62" t="str">
        <f>IFERROR(__xludf.DUMMYFUNCTION("QUERY('Volunteer Survey'!B309)"),"Ankita Patel")</f>
        <v>Ankita Patel</v>
      </c>
      <c r="M300" s="62" t="str">
        <f>IFERROR(__xludf.DUMMYFUNCTION("QUERY('Volunteer Survey'!E309)"),"aspatel1@yahoo.com")</f>
        <v>aspatel1@yahoo.com</v>
      </c>
      <c r="N300" s="62" t="str">
        <f>IFERROR(__xludf.DUMMYFUNCTION("QUERY('Volunteer Survey'!F309)"),"Independent cytogenetic consultant")</f>
        <v>Independent cytogenetic consultant</v>
      </c>
      <c r="O300" s="60" t="str">
        <f>IFERROR(__xludf.DUMMYFUNCTION("QUERY('Volunteer Survey'!H309)"),"Comprehensive")</f>
        <v>Comprehensive</v>
      </c>
      <c r="P300" s="62" t="str">
        <f>IFERROR(__xludf.DUMMYFUNCTION("QUERY('Volunteer Survey'!I309)"),"Dosage Sensitivity")</f>
        <v>Dosage Sensitivity</v>
      </c>
      <c r="Q300" s="66" t="str">
        <f>IFERROR(__xludf.DUMMYFUNCTION("QUERY('Volunteer Survey'!J309)"),"Variant Pathogenicity")</f>
        <v>Variant Pathogenicity</v>
      </c>
      <c r="R300" s="62" t="str">
        <f>IFERROR(__xludf.DUMMYFUNCTION("QUERY('Volunteer Survey'!K309)"),"Gene-Disease Validity")</f>
        <v>Gene-Disease Validity</v>
      </c>
      <c r="S300" s="62" t="str">
        <f>IFERROR(__xludf.DUMMYFUNCTION("QUERY('Volunteer Survey'!L309)"),"Clinical Actionability")</f>
        <v>Clinical Actionability</v>
      </c>
      <c r="T300" s="62" t="str">
        <f>IFERROR(__xludf.DUMMYFUNCTION("QUERY('Volunteer Survey'!M309)"),"Somatic Cancer")</f>
        <v>Somatic Cancer</v>
      </c>
      <c r="U300" s="74" t="str">
        <f>IFERROR(__xludf.DUMMYFUNCTION("QUERY('Volunteer Survey'!N309)"),"Part of the CLinGen CNV ")</f>
        <v>Part of the CLinGen CNV </v>
      </c>
      <c r="V300" s="62" t="str">
        <f>IFERROR(__xludf.DUMMYFUNCTION("QUERY('Volunteer Survey'!O309)"),"Yes")</f>
        <v>Yes</v>
      </c>
      <c r="W300" s="75" t="str">
        <f>IFERROR(__xludf.DUMMYFUNCTION("QUERY('Volunteer Survey'!P309)"),"no- can owrk on where there is need")</f>
        <v>no- can owrk on where there is need</v>
      </c>
      <c r="X300" s="74" t="str">
        <f>IFERROR(__xludf.DUMMYFUNCTION("QUERY('Volunteer Survey'!R309)"),"Yes- I am willing to volunteer with any available ClinGen group")</f>
        <v>Yes- I am willing to volunteer with any available ClinGen group</v>
      </c>
      <c r="Y300" s="61"/>
      <c r="Z300" s="62"/>
      <c r="AA300" s="62"/>
      <c r="AB300" s="62"/>
      <c r="AC300" s="62"/>
      <c r="AD300" s="62"/>
      <c r="AE300" s="62"/>
      <c r="AF300" s="62"/>
      <c r="AG300" s="62"/>
      <c r="AH300" s="62"/>
      <c r="AI300" s="62"/>
      <c r="AJ300" s="62"/>
      <c r="AK300" s="62"/>
      <c r="AL300" s="62"/>
      <c r="AM300" s="62"/>
      <c r="AN300" s="62"/>
      <c r="AO300" s="62"/>
    </row>
    <row r="301">
      <c r="A301" s="59">
        <f>IFERROR(__xludf.DUMMYFUNCTION("QUERY('Volunteer Survey'!A310)"),43724.684086863424)</f>
        <v>43724.68409</v>
      </c>
      <c r="B301" s="60" t="s">
        <v>275</v>
      </c>
      <c r="C301" s="80">
        <v>43819.0</v>
      </c>
      <c r="D301" s="62"/>
      <c r="E301" s="62"/>
      <c r="F301" s="60" t="s">
        <v>182</v>
      </c>
      <c r="G301" s="60" t="s">
        <v>288</v>
      </c>
      <c r="H301" s="61"/>
      <c r="I301" s="61"/>
      <c r="J301" s="62"/>
      <c r="K301" s="62"/>
      <c r="L301" s="62" t="str">
        <f>IFERROR(__xludf.DUMMYFUNCTION("QUERY('Volunteer Survey'!B310)"),"Jordan Stern")</f>
        <v>Jordan Stern</v>
      </c>
      <c r="M301" s="62" t="str">
        <f>IFERROR(__xludf.DUMMYFUNCTION("QUERY('Volunteer Survey'!E310)"),"jordanjnstern@gmail.com")</f>
        <v>jordanjnstern@gmail.com</v>
      </c>
      <c r="N301" s="62" t="str">
        <f>IFERROR(__xludf.DUMMYFUNCTION("QUERY('Volunteer Survey'!F310)"),"Undergraduate Student")</f>
        <v>Undergraduate Student</v>
      </c>
      <c r="O301" s="60" t="str">
        <f>IFERROR(__xludf.DUMMYFUNCTION("QUERY('Volunteer Survey'!H310)"),"Comprehensive")</f>
        <v>Comprehensive</v>
      </c>
      <c r="P301" s="62" t="str">
        <f>IFERROR(__xludf.DUMMYFUNCTION("QUERY('Volunteer Survey'!I310)"),"Variant Pathogenicity")</f>
        <v>Variant Pathogenicity</v>
      </c>
      <c r="Q301" s="66" t="str">
        <f>IFERROR(__xludf.DUMMYFUNCTION("QUERY('Volunteer Survey'!J310)"),"Dosage Sensitivity")</f>
        <v>Dosage Sensitivity</v>
      </c>
      <c r="R301" s="62" t="str">
        <f>IFERROR(__xludf.DUMMYFUNCTION("QUERY('Volunteer Survey'!K310)"),"Clinical Actionability")</f>
        <v>Clinical Actionability</v>
      </c>
      <c r="S301" s="62" t="str">
        <f>IFERROR(__xludf.DUMMYFUNCTION("QUERY('Volunteer Survey'!L310)"),"Gene-Disease Validity")</f>
        <v>Gene-Disease Validity</v>
      </c>
      <c r="T301" s="62" t="str">
        <f>IFERROR(__xludf.DUMMYFUNCTION("QUERY('Volunteer Survey'!M310)"),"Somatic Cancer")</f>
        <v>Somatic Cancer</v>
      </c>
      <c r="U301" s="74" t="str">
        <f>IFERROR(__xludf.DUMMYFUNCTION("QUERY('Volunteer Survey'!N310)"),"")</f>
        <v/>
      </c>
      <c r="V301" s="62" t="str">
        <f>IFERROR(__xludf.DUMMYFUNCTION("QUERY('Volunteer Survey'!O310)"),"Yes")</f>
        <v>Yes</v>
      </c>
      <c r="W301" s="75" t="str">
        <f>IFERROR(__xludf.DUMMYFUNCTION("QUERY('Volunteer Survey'!P310)"),"yes")</f>
        <v>yes</v>
      </c>
      <c r="X301" s="74" t="str">
        <f>IFERROR(__xludf.DUMMYFUNCTION("QUERY('Volunteer Survey'!R310)"),"Yes- I am willing to volunteer with any available ClinGen group")</f>
        <v>Yes- I am willing to volunteer with any available ClinGen group</v>
      </c>
      <c r="Y301" s="61"/>
      <c r="Z301" s="62"/>
      <c r="AA301" s="62"/>
      <c r="AB301" s="62"/>
      <c r="AC301" s="62"/>
      <c r="AD301" s="62"/>
      <c r="AE301" s="62"/>
      <c r="AF301" s="62"/>
      <c r="AG301" s="62"/>
      <c r="AH301" s="62"/>
      <c r="AI301" s="62"/>
      <c r="AJ301" s="62"/>
      <c r="AK301" s="62"/>
      <c r="AL301" s="62"/>
      <c r="AM301" s="62"/>
      <c r="AN301" s="62"/>
      <c r="AO301" s="62"/>
    </row>
    <row r="302">
      <c r="A302" s="59">
        <f>IFERROR(__xludf.DUMMYFUNCTION("QUERY('Volunteer Survey'!A311)"),43725.59430077547)</f>
        <v>43725.5943</v>
      </c>
      <c r="B302" s="60" t="s">
        <v>275</v>
      </c>
      <c r="C302" s="61"/>
      <c r="D302" s="62"/>
      <c r="E302" s="62"/>
      <c r="F302" s="60" t="s">
        <v>182</v>
      </c>
      <c r="G302" s="60" t="s">
        <v>276</v>
      </c>
      <c r="H302" s="61"/>
      <c r="I302" s="63" t="s">
        <v>189</v>
      </c>
      <c r="J302" s="62"/>
      <c r="K302" s="62"/>
      <c r="L302" s="62" t="str">
        <f>IFERROR(__xludf.DUMMYFUNCTION("QUERY('Volunteer Survey'!B311)"),"Chris Darnell")</f>
        <v>Chris Darnell</v>
      </c>
      <c r="M302" s="62" t="str">
        <f>IFERROR(__xludf.DUMMYFUNCTION("QUERY('Volunteer Survey'!E311)"),"chris.darnell@bluewaterdxlab.com")</f>
        <v>chris.darnell@bluewaterdxlab.com</v>
      </c>
      <c r="N302" s="62" t="str">
        <f>IFERROR(__xludf.DUMMYFUNCTION("QUERY('Volunteer Survey'!F311)"),"Laboratory Technical Supervisor")</f>
        <v>Laboratory Technical Supervisor</v>
      </c>
      <c r="O302" s="60" t="str">
        <f>IFERROR(__xludf.DUMMYFUNCTION("QUERY('Volunteer Survey'!H311)"),"Baseline")</f>
        <v>Baseline</v>
      </c>
      <c r="P302" s="62" t="str">
        <f>IFERROR(__xludf.DUMMYFUNCTION("QUERY('Volunteer Survey'!I311)"),"Gene-Disease Validity")</f>
        <v>Gene-Disease Validity</v>
      </c>
      <c r="Q302" s="66" t="str">
        <f>IFERROR(__xludf.DUMMYFUNCTION("QUERY('Volunteer Survey'!J311)"),"Variant Pathogenicity")</f>
        <v>Variant Pathogenicity</v>
      </c>
      <c r="R302" s="62" t="str">
        <f>IFERROR(__xludf.DUMMYFUNCTION("QUERY('Volunteer Survey'!K311)"),"Somatic Cancer")</f>
        <v>Somatic Cancer</v>
      </c>
      <c r="S302" s="62" t="str">
        <f>IFERROR(__xludf.DUMMYFUNCTION("QUERY('Volunteer Survey'!L311)"),"Dosage Sensitivity")</f>
        <v>Dosage Sensitivity</v>
      </c>
      <c r="T302" s="62" t="str">
        <f>IFERROR(__xludf.DUMMYFUNCTION("QUERY('Volunteer Survey'!M311)"),"Clinical Actionability")</f>
        <v>Clinical Actionability</v>
      </c>
      <c r="U302" s="74" t="str">
        <f>IFERROR(__xludf.DUMMYFUNCTION("QUERY('Volunteer Survey'!N311)"),"")</f>
        <v/>
      </c>
      <c r="V302" s="62" t="str">
        <f>IFERROR(__xludf.DUMMYFUNCTION("QUERY('Volunteer Survey'!O311)"),"Yes")</f>
        <v>Yes</v>
      </c>
      <c r="W302" s="75" t="str">
        <f>IFERROR(__xludf.DUMMYFUNCTION("QUERY('Volunteer Survey'!P311)"),"")</f>
        <v/>
      </c>
      <c r="X302" s="74" t="str">
        <f>IFERROR(__xludf.DUMMYFUNCTION("QUERY('Volunteer Survey'!R311)"),"")</f>
        <v/>
      </c>
      <c r="Y302" s="61"/>
      <c r="Z302" s="62"/>
      <c r="AA302" s="62"/>
      <c r="AB302" s="62"/>
      <c r="AC302" s="62"/>
      <c r="AD302" s="62"/>
      <c r="AE302" s="62"/>
      <c r="AF302" s="62"/>
      <c r="AG302" s="62"/>
      <c r="AH302" s="62"/>
      <c r="AI302" s="62"/>
      <c r="AJ302" s="62"/>
      <c r="AK302" s="62"/>
      <c r="AL302" s="62"/>
      <c r="AM302" s="62"/>
      <c r="AN302" s="62"/>
      <c r="AO302" s="62"/>
    </row>
    <row r="303">
      <c r="A303" s="59">
        <f>IFERROR(__xludf.DUMMYFUNCTION("QUERY('Volunteer Survey'!A312)"),43727.82528523148)</f>
        <v>43727.82529</v>
      </c>
      <c r="B303" s="60" t="s">
        <v>274</v>
      </c>
      <c r="C303" s="61"/>
      <c r="D303" s="62"/>
      <c r="E303" s="62"/>
      <c r="F303" s="60" t="s">
        <v>182</v>
      </c>
      <c r="G303" s="60" t="s">
        <v>27</v>
      </c>
      <c r="H303" s="61"/>
      <c r="I303" s="61"/>
      <c r="J303" s="62"/>
      <c r="K303" s="62"/>
      <c r="L303" s="62" t="str">
        <f>IFERROR(__xludf.DUMMYFUNCTION("QUERY('Volunteer Survey'!B312)"),"Sally Pea ")</f>
        <v>Sally Pea </v>
      </c>
      <c r="M303" s="62" t="str">
        <f>IFERROR(__xludf.DUMMYFUNCTION("QUERY('Volunteer Survey'!E312)"),"spea@live.com")</f>
        <v>spea@live.com</v>
      </c>
      <c r="N303" s="62" t="str">
        <f>IFERROR(__xludf.DUMMYFUNCTION("QUERY('Volunteer Survey'!F312)"),"Citizen Scientist/Patient Advocate")</f>
        <v>Citizen Scientist/Patient Advocate</v>
      </c>
      <c r="O303" s="60" t="str">
        <f>IFERROR(__xludf.DUMMYFUNCTION("QUERY('Volunteer Survey'!H312)"),"Comprehensive")</f>
        <v>Comprehensive</v>
      </c>
      <c r="P303" s="62" t="str">
        <f>IFERROR(__xludf.DUMMYFUNCTION("QUERY('Volunteer Survey'!I312)"),"Clinical Actionability")</f>
        <v>Clinical Actionability</v>
      </c>
      <c r="Q303" s="66" t="str">
        <f>IFERROR(__xludf.DUMMYFUNCTION("QUERY('Volunteer Survey'!J312)"),"Gene-Disease Validity")</f>
        <v>Gene-Disease Validity</v>
      </c>
      <c r="R303" s="62" t="str">
        <f>IFERROR(__xludf.DUMMYFUNCTION("QUERY('Volunteer Survey'!K312)"),"Variant Pathogenicity")</f>
        <v>Variant Pathogenicity</v>
      </c>
      <c r="S303" s="62" t="str">
        <f>IFERROR(__xludf.DUMMYFUNCTION("QUERY('Volunteer Survey'!L312)"),"Dosage Sensitivity")</f>
        <v>Dosage Sensitivity</v>
      </c>
      <c r="T303" s="62" t="str">
        <f>IFERROR(__xludf.DUMMYFUNCTION("QUERY('Volunteer Survey'!M312)"),"Somatic Cancer")</f>
        <v>Somatic Cancer</v>
      </c>
      <c r="U303" s="74" t="str">
        <f>IFERROR(__xludf.DUMMYFUNCTION("QUERY('Volunteer Survey'!N312)"),"No")</f>
        <v>No</v>
      </c>
      <c r="V303" s="62" t="str">
        <f>IFERROR(__xludf.DUMMYFUNCTION("QUERY('Volunteer Survey'!O312)"),"Yes")</f>
        <v>Yes</v>
      </c>
      <c r="W303" s="75" t="str">
        <f>IFERROR(__xludf.DUMMYFUNCTION("QUERY('Volunteer Survey'!P312)"),"Congenital Myopathies or Limb Girdle Dystrophies or anywhere needed")</f>
        <v>Congenital Myopathies or Limb Girdle Dystrophies or anywhere needed</v>
      </c>
      <c r="X303" s="74" t="str">
        <f>IFERROR(__xludf.DUMMYFUNCTION("QUERY('Volunteer Survey'!R312)"),"Yes- I am willing to volunteer with any available ClinGen group")</f>
        <v>Yes- I am willing to volunteer with any available ClinGen group</v>
      </c>
      <c r="Y303" s="61"/>
      <c r="Z303" s="62"/>
      <c r="AA303" s="62"/>
      <c r="AB303" s="62"/>
      <c r="AC303" s="62"/>
      <c r="AD303" s="62"/>
      <c r="AE303" s="62"/>
      <c r="AF303" s="62"/>
      <c r="AG303" s="62"/>
      <c r="AH303" s="62"/>
      <c r="AI303" s="62"/>
      <c r="AJ303" s="62"/>
      <c r="AK303" s="62"/>
      <c r="AL303" s="62"/>
      <c r="AM303" s="62"/>
      <c r="AN303" s="62"/>
      <c r="AO303" s="62"/>
    </row>
    <row r="304">
      <c r="A304" s="59">
        <f>IFERROR(__xludf.DUMMYFUNCTION("QUERY('Volunteer Survey'!A313)"),43727.949473321765)</f>
        <v>43727.94947</v>
      </c>
      <c r="B304" s="60" t="s">
        <v>275</v>
      </c>
      <c r="C304" s="80">
        <v>43819.0</v>
      </c>
      <c r="D304" s="62"/>
      <c r="E304" s="62"/>
      <c r="F304" s="60" t="s">
        <v>182</v>
      </c>
      <c r="G304" s="60" t="s">
        <v>278</v>
      </c>
      <c r="H304" s="61"/>
      <c r="I304" s="61"/>
      <c r="J304" s="62"/>
      <c r="K304" s="62"/>
      <c r="L304" s="62" t="str">
        <f>IFERROR(__xludf.DUMMYFUNCTION("QUERY('Volunteer Survey'!B313)"),"Sali Farhan")</f>
        <v>Sali Farhan</v>
      </c>
      <c r="M304" s="62" t="str">
        <f>IFERROR(__xludf.DUMMYFUNCTION("QUERY('Volunteer Survey'!E313)"),"sfarhan@broadinstitute.org")</f>
        <v>sfarhan@broadinstitute.org</v>
      </c>
      <c r="N304" s="62" t="str">
        <f>IFERROR(__xludf.DUMMYFUNCTION("QUERY('Volunteer Survey'!F313)"),"Post Doc/Resident/Fellow (MD and/or PhD)")</f>
        <v>Post Doc/Resident/Fellow (MD and/or PhD)</v>
      </c>
      <c r="O304" s="60" t="str">
        <f>IFERROR(__xludf.DUMMYFUNCTION("QUERY('Volunteer Survey'!H313)"),"Comprehensive")</f>
        <v>Comprehensive</v>
      </c>
      <c r="P304" s="62" t="str">
        <f>IFERROR(__xludf.DUMMYFUNCTION("QUERY('Volunteer Survey'!I313)"),"Gene-Disease Validity")</f>
        <v>Gene-Disease Validity</v>
      </c>
      <c r="Q304" s="66" t="str">
        <f>IFERROR(__xludf.DUMMYFUNCTION("QUERY('Volunteer Survey'!J313)"),"Variant Pathogenicity")</f>
        <v>Variant Pathogenicity</v>
      </c>
      <c r="R304" s="62" t="str">
        <f>IFERROR(__xludf.DUMMYFUNCTION("QUERY('Volunteer Survey'!K313)"),"Clinical Actionability")</f>
        <v>Clinical Actionability</v>
      </c>
      <c r="S304" s="62" t="str">
        <f>IFERROR(__xludf.DUMMYFUNCTION("QUERY('Volunteer Survey'!L313)"),"Dosage Sensitivity")</f>
        <v>Dosage Sensitivity</v>
      </c>
      <c r="T304" s="62" t="str">
        <f>IFERROR(__xludf.DUMMYFUNCTION("QUERY('Volunteer Survey'!M313)"),"Somatic Cancer")</f>
        <v>Somatic Cancer</v>
      </c>
      <c r="U304" s="74" t="str">
        <f>IFERROR(__xludf.DUMMYFUNCTION("QUERY('Volunteer Survey'!N313)"),"")</f>
        <v/>
      </c>
      <c r="V304" s="62" t="str">
        <f>IFERROR(__xludf.DUMMYFUNCTION("QUERY('Volunteer Survey'!O313)"),"No")</f>
        <v>No</v>
      </c>
      <c r="W304" s="75" t="str">
        <f>IFERROR(__xludf.DUMMYFUNCTION("QUERY('Volunteer Survey'!P313)"),"")</f>
        <v/>
      </c>
      <c r="X304" s="74" t="str">
        <f>IFERROR(__xludf.DUMMYFUNCTION("QUERY('Volunteer Survey'!R313)"),"No - I am only interested in the group(s) I previously indicated")</f>
        <v>No - I am only interested in the group(s) I previously indicated</v>
      </c>
      <c r="Y304" s="61"/>
      <c r="Z304" s="62"/>
      <c r="AA304" s="62"/>
      <c r="AB304" s="62"/>
      <c r="AC304" s="62"/>
      <c r="AD304" s="62"/>
      <c r="AE304" s="62"/>
      <c r="AF304" s="62"/>
      <c r="AG304" s="62"/>
      <c r="AH304" s="62"/>
      <c r="AI304" s="62"/>
      <c r="AJ304" s="62"/>
      <c r="AK304" s="62"/>
      <c r="AL304" s="62"/>
      <c r="AM304" s="62"/>
      <c r="AN304" s="62"/>
      <c r="AO304" s="62"/>
    </row>
    <row r="305">
      <c r="A305" s="59">
        <f>IFERROR(__xludf.DUMMYFUNCTION("QUERY('Volunteer Survey'!A314)"),43731.70247251157)</f>
        <v>43731.70247</v>
      </c>
      <c r="B305" s="60" t="s">
        <v>275</v>
      </c>
      <c r="C305" s="61"/>
      <c r="D305" s="85">
        <v>43846.0</v>
      </c>
      <c r="E305" s="60" t="s">
        <v>277</v>
      </c>
      <c r="F305" s="60" t="s">
        <v>277</v>
      </c>
      <c r="G305" s="60" t="s">
        <v>278</v>
      </c>
      <c r="H305" s="61"/>
      <c r="I305" s="61"/>
      <c r="J305" s="62"/>
      <c r="K305" s="62"/>
      <c r="L305" s="62" t="str">
        <f>IFERROR(__xludf.DUMMYFUNCTION("QUERY('Volunteer Survey'!B314)"),"Julie Kim ")</f>
        <v>Julie Kim </v>
      </c>
      <c r="M305" s="62" t="str">
        <f>IFERROR(__xludf.DUMMYFUNCTION("QUERY('Volunteer Survey'!E314)"),"serin.kim@nih.gov")</f>
        <v>serin.kim@nih.gov</v>
      </c>
      <c r="N305" s="62" t="str">
        <f>IFERROR(__xludf.DUMMYFUNCTION("QUERY('Volunteer Survey'!F314)"),"Scientific Program Analyst at NHGRI")</f>
        <v>Scientific Program Analyst at NHGRI</v>
      </c>
      <c r="O305" s="60" t="str">
        <f>IFERROR(__xludf.DUMMYFUNCTION("QUERY('Volunteer Survey'!H314)"),"Comprehensive")</f>
        <v>Comprehensive</v>
      </c>
      <c r="P305" s="62" t="str">
        <f>IFERROR(__xludf.DUMMYFUNCTION("QUERY('Volunteer Survey'!I314)"),"Gene-Disease Validity")</f>
        <v>Gene-Disease Validity</v>
      </c>
      <c r="Q305" s="66" t="str">
        <f>IFERROR(__xludf.DUMMYFUNCTION("QUERY('Volunteer Survey'!J314)"),"Clinical Actionability")</f>
        <v>Clinical Actionability</v>
      </c>
      <c r="R305" s="62" t="str">
        <f>IFERROR(__xludf.DUMMYFUNCTION("QUERY('Volunteer Survey'!K314)"),"")</f>
        <v/>
      </c>
      <c r="S305" s="62" t="str">
        <f>IFERROR(__xludf.DUMMYFUNCTION("QUERY('Volunteer Survey'!L314)"),"")</f>
        <v/>
      </c>
      <c r="T305" s="62" t="str">
        <f>IFERROR(__xludf.DUMMYFUNCTION("QUERY('Volunteer Survey'!M314)"),"")</f>
        <v/>
      </c>
      <c r="U305" s="74" t="str">
        <f>IFERROR(__xludf.DUMMYFUNCTION("QUERY('Volunteer Survey'!N314)"),"")</f>
        <v/>
      </c>
      <c r="V305" s="62" t="str">
        <f>IFERROR(__xludf.DUMMYFUNCTION("QUERY('Volunteer Survey'!O314)"),"No")</f>
        <v>No</v>
      </c>
      <c r="W305" s="75" t="str">
        <f>IFERROR(__xludf.DUMMYFUNCTION("QUERY('Volunteer Survey'!P314)"),"Cardiomyopathy, Brain Malformations, hearing loss")</f>
        <v>Cardiomyopathy, Brain Malformations, hearing loss</v>
      </c>
      <c r="X305" s="74" t="str">
        <f>IFERROR(__xludf.DUMMYFUNCTION("QUERY('Volunteer Survey'!R314)"),"Yes- I am willing to volunteer with any available ClinGen group")</f>
        <v>Yes- I am willing to volunteer with any available ClinGen group</v>
      </c>
      <c r="Y305" s="63" t="s">
        <v>360</v>
      </c>
      <c r="Z305" s="62"/>
      <c r="AA305" s="62"/>
      <c r="AB305" s="62"/>
      <c r="AC305" s="62"/>
      <c r="AD305" s="62"/>
      <c r="AE305" s="62"/>
      <c r="AF305" s="62"/>
      <c r="AG305" s="62"/>
      <c r="AH305" s="62"/>
      <c r="AI305" s="62"/>
      <c r="AJ305" s="62"/>
      <c r="AK305" s="62"/>
      <c r="AL305" s="62"/>
      <c r="AM305" s="62"/>
      <c r="AN305" s="62"/>
      <c r="AO305" s="62"/>
    </row>
    <row r="306">
      <c r="A306" s="59">
        <f>IFERROR(__xludf.DUMMYFUNCTION("QUERY('Volunteer Survey'!A315)"),43733.739980405095)</f>
        <v>43733.73998</v>
      </c>
      <c r="B306" s="60" t="s">
        <v>275</v>
      </c>
      <c r="C306" s="80">
        <v>43819.0</v>
      </c>
      <c r="D306" s="62"/>
      <c r="E306" s="62"/>
      <c r="F306" s="60" t="s">
        <v>182</v>
      </c>
      <c r="G306" s="60" t="s">
        <v>288</v>
      </c>
      <c r="H306" s="61"/>
      <c r="I306" s="61"/>
      <c r="J306" s="62"/>
      <c r="K306" s="62"/>
      <c r="L306" s="62" t="str">
        <f>IFERROR(__xludf.DUMMYFUNCTION("QUERY('Volunteer Survey'!B315)"),"Jamie Maciaszek")</f>
        <v>Jamie Maciaszek</v>
      </c>
      <c r="M306" s="62" t="str">
        <f>IFERROR(__xludf.DUMMYFUNCTION("QUERY('Volunteer Survey'!E315)"),"jamie.maciaszek@stjude.org")</f>
        <v>jamie.maciaszek@stjude.org</v>
      </c>
      <c r="N306" s="62" t="str">
        <f>IFERROR(__xludf.DUMMYFUNCTION("QUERY('Volunteer Survey'!F315)"),"Scientific Researcher")</f>
        <v>Scientific Researcher</v>
      </c>
      <c r="O306" s="60" t="str">
        <f>IFERROR(__xludf.DUMMYFUNCTION("QUERY('Volunteer Survey'!H315)"),"Comprehensive")</f>
        <v>Comprehensive</v>
      </c>
      <c r="P306" s="62" t="str">
        <f>IFERROR(__xludf.DUMMYFUNCTION("QUERY('Volunteer Survey'!I315)"),"Variant Pathogenicity")</f>
        <v>Variant Pathogenicity</v>
      </c>
      <c r="Q306" s="66" t="str">
        <f>IFERROR(__xludf.DUMMYFUNCTION("QUERY('Volunteer Survey'!J315)"),"Gene-Disease Validity")</f>
        <v>Gene-Disease Validity</v>
      </c>
      <c r="R306" s="62" t="str">
        <f>IFERROR(__xludf.DUMMYFUNCTION("QUERY('Volunteer Survey'!K315)"),"Somatic Cancer")</f>
        <v>Somatic Cancer</v>
      </c>
      <c r="S306" s="62" t="str">
        <f>IFERROR(__xludf.DUMMYFUNCTION("QUERY('Volunteer Survey'!L315)"),"Clinical Actionability")</f>
        <v>Clinical Actionability</v>
      </c>
      <c r="T306" s="62" t="str">
        <f>IFERROR(__xludf.DUMMYFUNCTION("QUERY('Volunteer Survey'!M315)"),"Dosage Sensitivity")</f>
        <v>Dosage Sensitivity</v>
      </c>
      <c r="U306" s="74" t="str">
        <f>IFERROR(__xludf.DUMMYFUNCTION("QUERY('Volunteer Survey'!N315)"),"working on SJFAMILY study to curate variants in suspected cases of hereditary cancer")</f>
        <v>working on SJFAMILY study to curate variants in suspected cases of hereditary cancer</v>
      </c>
      <c r="V306" s="62" t="str">
        <f>IFERROR(__xludf.DUMMYFUNCTION("QUERY('Volunteer Survey'!O315)"),"Possibly")</f>
        <v>Possibly</v>
      </c>
      <c r="W306" s="75" t="str">
        <f>IFERROR(__xludf.DUMMYFUNCTION("QUERY('Volunteer Survey'!P315)"),"Myeloid Malignancy, Hereditary Cancer")</f>
        <v>Myeloid Malignancy, Hereditary Cancer</v>
      </c>
      <c r="X306" s="74" t="str">
        <f>IFERROR(__xludf.DUMMYFUNCTION("QUERY('Volunteer Survey'!R315)"),"Yes- I am willing to volunteer with any available ClinGen group")</f>
        <v>Yes- I am willing to volunteer with any available ClinGen group</v>
      </c>
      <c r="Y306" s="61"/>
      <c r="Z306" s="62"/>
      <c r="AA306" s="62"/>
      <c r="AB306" s="62"/>
      <c r="AC306" s="62"/>
      <c r="AD306" s="62"/>
      <c r="AE306" s="62"/>
      <c r="AF306" s="62"/>
      <c r="AG306" s="62"/>
      <c r="AH306" s="62"/>
      <c r="AI306" s="62"/>
      <c r="AJ306" s="62"/>
      <c r="AK306" s="62"/>
      <c r="AL306" s="62"/>
      <c r="AM306" s="62"/>
      <c r="AN306" s="62"/>
      <c r="AO306" s="62"/>
    </row>
    <row r="307">
      <c r="A307" s="59">
        <f>IFERROR(__xludf.DUMMYFUNCTION("QUERY('Volunteer Survey'!A316)"),43734.34401487269)</f>
        <v>43734.34401</v>
      </c>
      <c r="B307" s="60" t="s">
        <v>275</v>
      </c>
      <c r="C307" s="80">
        <v>43819.0</v>
      </c>
      <c r="D307" s="62"/>
      <c r="E307" s="62"/>
      <c r="F307" s="60" t="s">
        <v>182</v>
      </c>
      <c r="G307" s="60" t="s">
        <v>288</v>
      </c>
      <c r="H307" s="61"/>
      <c r="I307" s="61"/>
      <c r="J307" s="62"/>
      <c r="K307" s="62"/>
      <c r="L307" s="62" t="str">
        <f>IFERROR(__xludf.DUMMYFUNCTION("QUERY('Volunteer Survey'!B316)"),"Olivier Bluteau")</f>
        <v>Olivier Bluteau</v>
      </c>
      <c r="M307" s="62" t="str">
        <f>IFERROR(__xludf.DUMMYFUNCTION("QUERY('Volunteer Survey'!E316)"),"olivier.bluteau@aphp.fr")</f>
        <v>olivier.bluteau@aphp.fr</v>
      </c>
      <c r="N307" s="62" t="str">
        <f>IFERROR(__xludf.DUMMYFUNCTION("QUERY('Volunteer Survey'!F316)"),"Variant Analyst/Scientist - Academic")</f>
        <v>Variant Analyst/Scientist - Academic</v>
      </c>
      <c r="O307" s="60" t="str">
        <f>IFERROR(__xludf.DUMMYFUNCTION("QUERY('Volunteer Survey'!H316)"),"Comprehensive")</f>
        <v>Comprehensive</v>
      </c>
      <c r="P307" s="62" t="str">
        <f>IFERROR(__xludf.DUMMYFUNCTION("QUERY('Volunteer Survey'!I316)"),"Variant Pathogenicity")</f>
        <v>Variant Pathogenicity</v>
      </c>
      <c r="Q307" s="66" t="str">
        <f>IFERROR(__xludf.DUMMYFUNCTION("QUERY('Volunteer Survey'!J316)"),"Gene-Disease Validity")</f>
        <v>Gene-Disease Validity</v>
      </c>
      <c r="R307" s="62" t="str">
        <f>IFERROR(__xludf.DUMMYFUNCTION("QUERY('Volunteer Survey'!K316)"),"Clinical Actionability")</f>
        <v>Clinical Actionability</v>
      </c>
      <c r="S307" s="62" t="str">
        <f>IFERROR(__xludf.DUMMYFUNCTION("QUERY('Volunteer Survey'!L316)"),"Dosage Sensitivity")</f>
        <v>Dosage Sensitivity</v>
      </c>
      <c r="T307" s="62" t="str">
        <f>IFERROR(__xludf.DUMMYFUNCTION("QUERY('Volunteer Survey'!M316)"),"Somatic Cancer")</f>
        <v>Somatic Cancer</v>
      </c>
      <c r="U307" s="74" t="str">
        <f>IFERROR(__xludf.DUMMYFUNCTION("QUERY('Volunteer Survey'!N316)"),"")</f>
        <v/>
      </c>
      <c r="V307" s="62" t="str">
        <f>IFERROR(__xludf.DUMMYFUNCTION("QUERY('Volunteer Survey'!O316)"),"No")</f>
        <v>No</v>
      </c>
      <c r="W307" s="75" t="str">
        <f>IFERROR(__xludf.DUMMYFUNCTION("QUERY('Volunteer Survey'!P316)"),"Familial Hypercholesterolemia Variant Curation Expert Panel")</f>
        <v>Familial Hypercholesterolemia Variant Curation Expert Panel</v>
      </c>
      <c r="X307" s="74" t="str">
        <f>IFERROR(__xludf.DUMMYFUNCTION("QUERY('Volunteer Survey'!R316)"),"No - I am only interested in the group(s) I previously indicated")</f>
        <v>No - I am only interested in the group(s) I previously indicated</v>
      </c>
      <c r="Y307" s="61"/>
      <c r="Z307" s="62"/>
      <c r="AA307" s="62"/>
      <c r="AB307" s="62"/>
      <c r="AC307" s="62"/>
      <c r="AD307" s="62"/>
      <c r="AE307" s="62"/>
      <c r="AF307" s="62"/>
      <c r="AG307" s="62"/>
      <c r="AH307" s="62"/>
      <c r="AI307" s="62"/>
      <c r="AJ307" s="62"/>
      <c r="AK307" s="62"/>
      <c r="AL307" s="62"/>
      <c r="AM307" s="62"/>
      <c r="AN307" s="62"/>
      <c r="AO307" s="62"/>
    </row>
    <row r="308">
      <c r="A308" s="59">
        <f>IFERROR(__xludf.DUMMYFUNCTION("QUERY('Volunteer Survey'!A317)"),43734.38644290509)</f>
        <v>43734.38644</v>
      </c>
      <c r="B308" s="60" t="s">
        <v>275</v>
      </c>
      <c r="C308" s="61"/>
      <c r="D308" s="62"/>
      <c r="E308" s="62"/>
      <c r="F308" s="60" t="s">
        <v>182</v>
      </c>
      <c r="G308" s="60" t="s">
        <v>276</v>
      </c>
      <c r="H308" s="61"/>
      <c r="I308" s="63" t="s">
        <v>189</v>
      </c>
      <c r="J308" s="62"/>
      <c r="K308" s="62"/>
      <c r="L308" s="62" t="str">
        <f>IFERROR(__xludf.DUMMYFUNCTION("QUERY('Volunteer Survey'!B317)"),"Alexandra Miller")</f>
        <v>Alexandra Miller</v>
      </c>
      <c r="M308" s="62" t="str">
        <f>IFERROR(__xludf.DUMMYFUNCTION("QUERY('Volunteer Survey'!E317)"),"miller.alexandra@mayo.edu")</f>
        <v>miller.alexandra@mayo.edu</v>
      </c>
      <c r="N308" s="62" t="str">
        <f>IFERROR(__xludf.DUMMYFUNCTION("QUERY('Volunteer Survey'!F317)"),"Scientific Researcher")</f>
        <v>Scientific Researcher</v>
      </c>
      <c r="O308" s="60" t="str">
        <f>IFERROR(__xludf.DUMMYFUNCTION("QUERY('Volunteer Survey'!H317)"),"Baseline")</f>
        <v>Baseline</v>
      </c>
      <c r="P308" s="62" t="str">
        <f>IFERROR(__xludf.DUMMYFUNCTION("QUERY('Volunteer Survey'!I317)"),"Variant Pathogenicity")</f>
        <v>Variant Pathogenicity</v>
      </c>
      <c r="Q308" s="66" t="str">
        <f>IFERROR(__xludf.DUMMYFUNCTION("QUERY('Volunteer Survey'!J317)"),"Clinical Actionability")</f>
        <v>Clinical Actionability</v>
      </c>
      <c r="R308" s="62" t="str">
        <f>IFERROR(__xludf.DUMMYFUNCTION("QUERY('Volunteer Survey'!K317)"),"Gene-Disease Validity")</f>
        <v>Gene-Disease Validity</v>
      </c>
      <c r="S308" s="62" t="str">
        <f>IFERROR(__xludf.DUMMYFUNCTION("QUERY('Volunteer Survey'!L317)"),"Dosage Sensitivity")</f>
        <v>Dosage Sensitivity</v>
      </c>
      <c r="T308" s="62" t="str">
        <f>IFERROR(__xludf.DUMMYFUNCTION("QUERY('Volunteer Survey'!M317)"),"Somatic Cancer")</f>
        <v>Somatic Cancer</v>
      </c>
      <c r="U308" s="74" t="str">
        <f>IFERROR(__xludf.DUMMYFUNCTION("QUERY('Volunteer Survey'!N317)"),"")</f>
        <v/>
      </c>
      <c r="V308" s="62" t="str">
        <f>IFERROR(__xludf.DUMMYFUNCTION("QUERY('Volunteer Survey'!O317)"),"No")</f>
        <v>No</v>
      </c>
      <c r="W308" s="75" t="str">
        <f>IFERROR(__xludf.DUMMYFUNCTION("QUERY('Volunteer Survey'!P317)"),"FH VCEP")</f>
        <v>FH VCEP</v>
      </c>
      <c r="X308" s="74" t="str">
        <f>IFERROR(__xludf.DUMMYFUNCTION("QUERY('Volunteer Survey'!R317)"),"No - I am only interested in the group(s) I previously indicated")</f>
        <v>No - I am only interested in the group(s) I previously indicated</v>
      </c>
      <c r="Y308" s="61"/>
      <c r="Z308" s="62"/>
      <c r="AA308" s="62"/>
      <c r="AB308" s="62"/>
      <c r="AC308" s="62"/>
      <c r="AD308" s="62"/>
      <c r="AE308" s="62"/>
      <c r="AF308" s="62"/>
      <c r="AG308" s="62"/>
      <c r="AH308" s="62"/>
      <c r="AI308" s="62"/>
      <c r="AJ308" s="62"/>
      <c r="AK308" s="62"/>
      <c r="AL308" s="62"/>
      <c r="AM308" s="62"/>
      <c r="AN308" s="62"/>
      <c r="AO308" s="62"/>
    </row>
    <row r="309">
      <c r="A309" s="59">
        <f>IFERROR(__xludf.DUMMYFUNCTION("QUERY('Volunteer Survey'!A318)"),43735.73697031249)</f>
        <v>43735.73697</v>
      </c>
      <c r="B309" s="60" t="s">
        <v>340</v>
      </c>
      <c r="C309" s="61"/>
      <c r="D309" s="62"/>
      <c r="E309" s="62"/>
      <c r="F309" s="60" t="s">
        <v>182</v>
      </c>
      <c r="G309" s="60" t="s">
        <v>150</v>
      </c>
      <c r="H309" s="61"/>
      <c r="I309" s="61"/>
      <c r="J309" s="62"/>
      <c r="K309" s="62"/>
      <c r="L309" s="62" t="str">
        <f>IFERROR(__xludf.DUMMYFUNCTION("QUERY('Volunteer Survey'!B318)"),"Zonggao Shi")</f>
        <v>Zonggao Shi</v>
      </c>
      <c r="M309" s="62" t="str">
        <f>IFERROR(__xludf.DUMMYFUNCTION("QUERY('Volunteer Survey'!E318)"),"zshi1@stjude.org")</f>
        <v>zshi1@stjude.org</v>
      </c>
      <c r="N309" s="62" t="str">
        <f>IFERROR(__xludf.DUMMYFUNCTION("QUERY('Volunteer Survey'!F318)"),"Variant Analyst/Scientist - Academic")</f>
        <v>Variant Analyst/Scientist - Academic</v>
      </c>
      <c r="O309" s="60" t="str">
        <f>IFERROR(__xludf.DUMMYFUNCTION("QUERY('Volunteer Survey'!H318)"),"Comprehensive")</f>
        <v>Comprehensive</v>
      </c>
      <c r="P309" s="62" t="str">
        <f>IFERROR(__xludf.DUMMYFUNCTION("QUERY('Volunteer Survey'!I318)"),"Somatic Cancer")</f>
        <v>Somatic Cancer</v>
      </c>
      <c r="Q309" s="66" t="str">
        <f>IFERROR(__xludf.DUMMYFUNCTION("QUERY('Volunteer Survey'!J318)"),"Variant Pathogenicity")</f>
        <v>Variant Pathogenicity</v>
      </c>
      <c r="R309" s="62" t="str">
        <f>IFERROR(__xludf.DUMMYFUNCTION("QUERY('Volunteer Survey'!K318)"),"Clinical Actionability")</f>
        <v>Clinical Actionability</v>
      </c>
      <c r="S309" s="62" t="str">
        <f>IFERROR(__xludf.DUMMYFUNCTION("QUERY('Volunteer Survey'!L318)"),"Gene-Disease Validity")</f>
        <v>Gene-Disease Validity</v>
      </c>
      <c r="T309" s="62" t="str">
        <f>IFERROR(__xludf.DUMMYFUNCTION("QUERY('Volunteer Survey'!M318)"),"Dosage Sensitivity")</f>
        <v>Dosage Sensitivity</v>
      </c>
      <c r="U309" s="74" t="str">
        <f>IFERROR(__xludf.DUMMYFUNCTION("QUERY('Volunteer Survey'!N318)"),"Yes, currently working as an analyst for the manual review of variants and a member of our somatic cancer variant pathogenicity committee in St Jude Children's Clinical Genomics Team. ")</f>
        <v>Yes, currently working as an analyst for the manual review of variants and a member of our somatic cancer variant pathogenicity committee in St Jude Children's Clinical Genomics Team. </v>
      </c>
      <c r="V309" s="62" t="str">
        <f>IFERROR(__xludf.DUMMYFUNCTION("QUERY('Volunteer Survey'!O318)"),"Possibly")</f>
        <v>Possibly</v>
      </c>
      <c r="W309" s="75" t="str">
        <f>IFERROR(__xludf.DUMMYFUNCTION("QUERY('Volunteer Survey'!P318)"),"Yes, Somatic Cancer Pediatric Taskforce would be a good match")</f>
        <v>Yes, Somatic Cancer Pediatric Taskforce would be a good match</v>
      </c>
      <c r="X309" s="74" t="str">
        <f>IFERROR(__xludf.DUMMYFUNCTION("QUERY('Volunteer Survey'!R318)"),"Yes- I am willing to volunteer with any available ClinGen group")</f>
        <v>Yes- I am willing to volunteer with any available ClinGen group</v>
      </c>
      <c r="Y309" s="61"/>
      <c r="Z309" s="62"/>
      <c r="AA309" s="62"/>
      <c r="AB309" s="62"/>
      <c r="AC309" s="62"/>
      <c r="AD309" s="62"/>
      <c r="AE309" s="62"/>
      <c r="AF309" s="62"/>
      <c r="AG309" s="62"/>
      <c r="AH309" s="62"/>
      <c r="AI309" s="62"/>
      <c r="AJ309" s="62"/>
      <c r="AK309" s="62"/>
      <c r="AL309" s="62"/>
      <c r="AM309" s="62"/>
      <c r="AN309" s="62"/>
      <c r="AO309" s="62"/>
    </row>
    <row r="310">
      <c r="A310" s="59">
        <f>IFERROR(__xludf.DUMMYFUNCTION("QUERY('Volunteer Survey'!A319)"),43736.418810243056)</f>
        <v>43736.41881</v>
      </c>
      <c r="B310" s="60" t="s">
        <v>275</v>
      </c>
      <c r="C310" s="80">
        <v>43819.0</v>
      </c>
      <c r="D310" s="62"/>
      <c r="E310" s="62"/>
      <c r="F310" s="60" t="s">
        <v>182</v>
      </c>
      <c r="G310" s="60" t="s">
        <v>288</v>
      </c>
      <c r="H310" s="61"/>
      <c r="I310" s="61"/>
      <c r="J310" s="62"/>
      <c r="K310" s="62"/>
      <c r="L310" s="62" t="str">
        <f>IFERROR(__xludf.DUMMYFUNCTION("QUERY('Volunteer Survey'!B319)"),"Linlin Zhang")</f>
        <v>Linlin Zhang</v>
      </c>
      <c r="M310" s="62" t="str">
        <f>IFERROR(__xludf.DUMMYFUNCTION("QUERY('Volunteer Survey'!E319)"),"linlinzhang277@gmail.com")</f>
        <v>linlinzhang277@gmail.com</v>
      </c>
      <c r="N310" s="62" t="str">
        <f>IFERROR(__xludf.DUMMYFUNCTION("QUERY('Volunteer Survey'!F319)"),"Clinical laboratory geneticist")</f>
        <v>Clinical laboratory geneticist</v>
      </c>
      <c r="O310" s="60" t="str">
        <f>IFERROR(__xludf.DUMMYFUNCTION("QUERY('Volunteer Survey'!H319)"),"Comprehensive")</f>
        <v>Comprehensive</v>
      </c>
      <c r="P310" s="62" t="str">
        <f>IFERROR(__xludf.DUMMYFUNCTION("QUERY('Volunteer Survey'!I319)"),"Variant Pathogenicity")</f>
        <v>Variant Pathogenicity</v>
      </c>
      <c r="Q310" s="66" t="str">
        <f>IFERROR(__xludf.DUMMYFUNCTION("QUERY('Volunteer Survey'!J319)"),"Dosage Sensitivity")</f>
        <v>Dosage Sensitivity</v>
      </c>
      <c r="R310" s="62" t="str">
        <f>IFERROR(__xludf.DUMMYFUNCTION("QUERY('Volunteer Survey'!K319)"),"Gene-Disease Validity")</f>
        <v>Gene-Disease Validity</v>
      </c>
      <c r="S310" s="62" t="str">
        <f>IFERROR(__xludf.DUMMYFUNCTION("QUERY('Volunteer Survey'!L319)"),"Clinical Actionability")</f>
        <v>Clinical Actionability</v>
      </c>
      <c r="T310" s="62" t="str">
        <f>IFERROR(__xludf.DUMMYFUNCTION("QUERY('Volunteer Survey'!M319)"),"Somatic Cancer")</f>
        <v>Somatic Cancer</v>
      </c>
      <c r="U310" s="74" t="str">
        <f>IFERROR(__xludf.DUMMYFUNCTION("QUERY('Volunteer Survey'!N319)"),"I am a director of clinical molecular and genetic lab of the Third Affliated Hospital of Zhengzhou University which is the largest maternal and children's hospital of Henan Province serving over 100 million population. I finish more than 30 CMA reports an"&amp;"d  4 variant pathogenic curation everyweek. I have 7 years of work experience in molecular genetic diagnosis, especially in the field of prenatal diagnosis.  Our Lab will finish about 200 Phenylketonuria molecular tests. These patients are from the newbor"&amp;"n screening center of Henan Province.")</f>
        <v>I am a director of clinical molecular and genetic lab of the Third Affliated Hospital of Zhengzhou University which is the largest maternal and children's hospital of Henan Province serving over 100 million population. I finish more than 30 CMA reports and  4 variant pathogenic curation everyweek. I have 7 years of work experience in molecular genetic diagnosis, especially in the field of prenatal diagnosis.  Our Lab will finish about 200 Phenylketonuria molecular tests. These patients are from the newborn screening center of Henan Province.</v>
      </c>
      <c r="V310" s="62" t="str">
        <f>IFERROR(__xludf.DUMMYFUNCTION("QUERY('Volunteer Survey'!O319)"),"Yes")</f>
        <v>Yes</v>
      </c>
      <c r="W310" s="75" t="str">
        <f>IFERROR(__xludf.DUMMYFUNCTION("QUERY('Volunteer Survey'!P319)"),"Dosage Sensitivity Working Group  or Variant Curation Expert Panels in Phenylketonuria")</f>
        <v>Dosage Sensitivity Working Group  or Variant Curation Expert Panels in Phenylketonuria</v>
      </c>
      <c r="X310" s="74" t="str">
        <f>IFERROR(__xludf.DUMMYFUNCTION("QUERY('Volunteer Survey'!R319)"),"Yes- I am willing to volunteer with any available ClinGen group")</f>
        <v>Yes- I am willing to volunteer with any available ClinGen group</v>
      </c>
      <c r="Y310" s="61"/>
      <c r="Z310" s="62"/>
      <c r="AA310" s="62"/>
      <c r="AB310" s="62"/>
      <c r="AC310" s="62"/>
      <c r="AD310" s="62"/>
      <c r="AE310" s="62"/>
      <c r="AF310" s="62"/>
      <c r="AG310" s="62"/>
      <c r="AH310" s="62"/>
      <c r="AI310" s="62"/>
      <c r="AJ310" s="62"/>
      <c r="AK310" s="62"/>
      <c r="AL310" s="62"/>
      <c r="AM310" s="62"/>
      <c r="AN310" s="62"/>
      <c r="AO310" s="62"/>
    </row>
    <row r="311">
      <c r="A311" s="59">
        <f>IFERROR(__xludf.DUMMYFUNCTION("QUERY('Volunteer Survey'!A320)"),43739.038227233796)</f>
        <v>43739.03823</v>
      </c>
      <c r="B311" s="60" t="s">
        <v>275</v>
      </c>
      <c r="C311" s="80">
        <v>43819.0</v>
      </c>
      <c r="D311" s="62"/>
      <c r="E311" s="62"/>
      <c r="F311" s="60" t="s">
        <v>182</v>
      </c>
      <c r="G311" s="60" t="s">
        <v>288</v>
      </c>
      <c r="H311" s="61"/>
      <c r="I311" s="61"/>
      <c r="J311" s="62"/>
      <c r="K311" s="62"/>
      <c r="L311" s="62" t="str">
        <f>IFERROR(__xludf.DUMMYFUNCTION("QUERY('Volunteer Survey'!B320)"),"Marco Montes de Oca")</f>
        <v>Marco Montes de Oca</v>
      </c>
      <c r="M311" s="62" t="str">
        <f>IFERROR(__xludf.DUMMYFUNCTION("QUERY('Volunteer Survey'!E320)"),"montesm@student.unimelb.edu.au")</f>
        <v>montesm@student.unimelb.edu.au</v>
      </c>
      <c r="N311" s="62" t="str">
        <f>IFERROR(__xludf.DUMMYFUNCTION("QUERY('Volunteer Survey'!F320)"),"Graduate Student")</f>
        <v>Graduate Student</v>
      </c>
      <c r="O311" s="60" t="str">
        <f>IFERROR(__xludf.DUMMYFUNCTION("QUERY('Volunteer Survey'!H320)"),"Comprehensive")</f>
        <v>Comprehensive</v>
      </c>
      <c r="P311" s="62" t="str">
        <f>IFERROR(__xludf.DUMMYFUNCTION("QUERY('Volunteer Survey'!I320)"),"Variant Pathogenicity")</f>
        <v>Variant Pathogenicity</v>
      </c>
      <c r="Q311" s="66" t="str">
        <f>IFERROR(__xludf.DUMMYFUNCTION("QUERY('Volunteer Survey'!J320)"),"Gene-Disease Validity")</f>
        <v>Gene-Disease Validity</v>
      </c>
      <c r="R311" s="62" t="str">
        <f>IFERROR(__xludf.DUMMYFUNCTION("QUERY('Volunteer Survey'!K320)"),"Dosage Sensitivity")</f>
        <v>Dosage Sensitivity</v>
      </c>
      <c r="S311" s="62" t="str">
        <f>IFERROR(__xludf.DUMMYFUNCTION("QUERY('Volunteer Survey'!L320)"),"")</f>
        <v/>
      </c>
      <c r="T311" s="62" t="str">
        <f>IFERROR(__xludf.DUMMYFUNCTION("QUERY('Volunteer Survey'!M320)"),"")</f>
        <v/>
      </c>
      <c r="U311" s="74" t="str">
        <f>IFERROR(__xludf.DUMMYFUNCTION("QUERY('Volunteer Survey'!N320)"),"")</f>
        <v/>
      </c>
      <c r="V311" s="62" t="str">
        <f>IFERROR(__xludf.DUMMYFUNCTION("QUERY('Volunteer Survey'!O320)"),"No")</f>
        <v>No</v>
      </c>
      <c r="W311" s="75" t="str">
        <f>IFERROR(__xludf.DUMMYFUNCTION("QUERY('Volunteer Survey'!P320)"),"I am interested in the following working groups:
- Brain Malformations Variant Curation Expert Panel
- Mitochondrial Diseases Gene Curation Expert Panel")</f>
        <v>I am interested in the following working groups:
- Brain Malformations Variant Curation Expert Panel
- Mitochondrial Diseases Gene Curation Expert Panel</v>
      </c>
      <c r="X311" s="74" t="str">
        <f>IFERROR(__xludf.DUMMYFUNCTION("QUERY('Volunteer Survey'!R320)"),"Yes- I am willing to volunteer with any available ClinGen group")</f>
        <v>Yes- I am willing to volunteer with any available ClinGen group</v>
      </c>
      <c r="Y311" s="63" t="s">
        <v>361</v>
      </c>
      <c r="Z311" s="62"/>
      <c r="AA311" s="62"/>
      <c r="AB311" s="62"/>
      <c r="AC311" s="62"/>
      <c r="AD311" s="62"/>
      <c r="AE311" s="62"/>
      <c r="AF311" s="62"/>
      <c r="AG311" s="62"/>
      <c r="AH311" s="62"/>
      <c r="AI311" s="62"/>
      <c r="AJ311" s="62"/>
      <c r="AK311" s="62"/>
      <c r="AL311" s="62"/>
      <c r="AM311" s="62"/>
      <c r="AN311" s="62"/>
      <c r="AO311" s="62"/>
    </row>
    <row r="312">
      <c r="A312" s="59">
        <f>IFERROR(__xludf.DUMMYFUNCTION("QUERY('Volunteer Survey'!A321)"),43739.38035712963)</f>
        <v>43739.38036</v>
      </c>
      <c r="B312" s="60" t="s">
        <v>275</v>
      </c>
      <c r="C312" s="61"/>
      <c r="D312" s="62"/>
      <c r="E312" s="62"/>
      <c r="F312" s="60" t="s">
        <v>182</v>
      </c>
      <c r="G312" s="60" t="s">
        <v>276</v>
      </c>
      <c r="H312" s="61"/>
      <c r="I312" s="61"/>
      <c r="J312" s="62"/>
      <c r="K312" s="62"/>
      <c r="L312" s="62" t="str">
        <f>IFERROR(__xludf.DUMMYFUNCTION("QUERY('Volunteer Survey'!B321)"),"Carolina Bustamante")</f>
        <v>Carolina Bustamante</v>
      </c>
      <c r="M312" s="62" t="str">
        <f>IFERROR(__xludf.DUMMYFUNCTION("QUERY('Volunteer Survey'!E321)"),"carolina.bustamante@gmail.com")</f>
        <v>carolina.bustamante@gmail.com</v>
      </c>
      <c r="N312" s="62" t="str">
        <f>IFERROR(__xludf.DUMMYFUNCTION("QUERY('Volunteer Survey'!F321)"),"Clinical laboratory geneticist")</f>
        <v>Clinical laboratory geneticist</v>
      </c>
      <c r="O312" s="60" t="str">
        <f>IFERROR(__xludf.DUMMYFUNCTION("QUERY('Volunteer Survey'!H321)"),"Baseline")</f>
        <v>Baseline</v>
      </c>
      <c r="P312" s="62" t="str">
        <f>IFERROR(__xludf.DUMMYFUNCTION("QUERY('Volunteer Survey'!I321)"),"Somatic Cancer")</f>
        <v>Somatic Cancer</v>
      </c>
      <c r="Q312" s="66" t="str">
        <f>IFERROR(__xludf.DUMMYFUNCTION("QUERY('Volunteer Survey'!J321)"),"Variant Pathogenicity")</f>
        <v>Variant Pathogenicity</v>
      </c>
      <c r="R312" s="62" t="str">
        <f>IFERROR(__xludf.DUMMYFUNCTION("QUERY('Volunteer Survey'!K321)"),"Clinical Actionability")</f>
        <v>Clinical Actionability</v>
      </c>
      <c r="S312" s="62" t="str">
        <f>IFERROR(__xludf.DUMMYFUNCTION("QUERY('Volunteer Survey'!L321)"),"Gene-Disease Validity")</f>
        <v>Gene-Disease Validity</v>
      </c>
      <c r="T312" s="62" t="str">
        <f>IFERROR(__xludf.DUMMYFUNCTION("QUERY('Volunteer Survey'!M321)"),"Dosage Sensitivity")</f>
        <v>Dosage Sensitivity</v>
      </c>
      <c r="U312" s="74" t="str">
        <f>IFERROR(__xludf.DUMMYFUNCTION("QUERY('Volunteer Survey'!N321)"),"Yes, I work in a clinical laboratory with NGS panels ")</f>
        <v>Yes, I work in a clinical laboratory with NGS panels </v>
      </c>
      <c r="V312" s="62" t="str">
        <f>IFERROR(__xludf.DUMMYFUNCTION("QUERY('Volunteer Survey'!O321)"),"Possibly")</f>
        <v>Possibly</v>
      </c>
      <c r="W312" s="75" t="str">
        <f>IFERROR(__xludf.DUMMYFUNCTION("QUERY('Volunteer Survey'!P321)"),"Cancer, lung cancer, Hereditary cancer, cardiomyopathy, TP53, colorectal cancer, genitourinary tract cancer")</f>
        <v>Cancer, lung cancer, Hereditary cancer, cardiomyopathy, TP53, colorectal cancer, genitourinary tract cancer</v>
      </c>
      <c r="X312" s="74" t="str">
        <f>IFERROR(__xludf.DUMMYFUNCTION("QUERY('Volunteer Survey'!R321)"),"Yes- I am willing to volunteer with any available ClinGen group")</f>
        <v>Yes- I am willing to volunteer with any available ClinGen group</v>
      </c>
      <c r="Y312" s="61"/>
      <c r="Z312" s="62"/>
      <c r="AA312" s="62"/>
      <c r="AB312" s="62"/>
      <c r="AC312" s="62"/>
      <c r="AD312" s="62"/>
      <c r="AE312" s="62"/>
      <c r="AF312" s="62"/>
      <c r="AG312" s="62"/>
      <c r="AH312" s="62"/>
      <c r="AI312" s="62"/>
      <c r="AJ312" s="62"/>
      <c r="AK312" s="62"/>
      <c r="AL312" s="62"/>
      <c r="AM312" s="62"/>
      <c r="AN312" s="62"/>
      <c r="AO312" s="62"/>
    </row>
    <row r="313">
      <c r="A313" s="59">
        <f>IFERROR(__xludf.DUMMYFUNCTION("QUERY('Volunteer Survey'!A322)"),43739.46347385417)</f>
        <v>43739.46347</v>
      </c>
      <c r="B313" s="60" t="s">
        <v>275</v>
      </c>
      <c r="C313" s="61"/>
      <c r="D313" s="62"/>
      <c r="E313" s="62"/>
      <c r="F313" s="60" t="s">
        <v>182</v>
      </c>
      <c r="G313" s="60" t="s">
        <v>276</v>
      </c>
      <c r="H313" s="61"/>
      <c r="I313" s="61"/>
      <c r="J313" s="62"/>
      <c r="K313" s="62"/>
      <c r="L313" s="62" t="str">
        <f>IFERROR(__xludf.DUMMYFUNCTION("QUERY('Volunteer Survey'!B322)"),"Alex Gout")</f>
        <v>Alex Gout</v>
      </c>
      <c r="M313" s="62" t="str">
        <f>IFERROR(__xludf.DUMMYFUNCTION("QUERY('Volunteer Survey'!E322)"),"alex.gout@stjude.org")</f>
        <v>alex.gout@stjude.org</v>
      </c>
      <c r="N313" s="62" t="str">
        <f>IFERROR(__xludf.DUMMYFUNCTION("QUERY('Volunteer Survey'!F322)"),"Scientific Researcher")</f>
        <v>Scientific Researcher</v>
      </c>
      <c r="O313" s="60" t="str">
        <f>IFERROR(__xludf.DUMMYFUNCTION("QUERY('Volunteer Survey'!H322)"),"Baseline")</f>
        <v>Baseline</v>
      </c>
      <c r="P313" s="62" t="str">
        <f>IFERROR(__xludf.DUMMYFUNCTION("QUERY('Volunteer Survey'!I322)"),"")</f>
        <v/>
      </c>
      <c r="Q313" s="66" t="str">
        <f>IFERROR(__xludf.DUMMYFUNCTION("QUERY('Volunteer Survey'!J322)"),"")</f>
        <v/>
      </c>
      <c r="R313" s="62" t="str">
        <f>IFERROR(__xludf.DUMMYFUNCTION("QUERY('Volunteer Survey'!K322)"),"")</f>
        <v/>
      </c>
      <c r="S313" s="62" t="str">
        <f>IFERROR(__xludf.DUMMYFUNCTION("QUERY('Volunteer Survey'!L322)"),"")</f>
        <v/>
      </c>
      <c r="T313" s="62" t="str">
        <f>IFERROR(__xludf.DUMMYFUNCTION("QUERY('Volunteer Survey'!M322)"),"")</f>
        <v/>
      </c>
      <c r="U313" s="74" t="str">
        <f>IFERROR(__xludf.DUMMYFUNCTION("QUERY('Volunteer Survey'!N322)"),"")</f>
        <v/>
      </c>
      <c r="V313" s="62" t="str">
        <f>IFERROR(__xludf.DUMMYFUNCTION("QUERY('Volunteer Survey'!O322)"),"Possibly")</f>
        <v>Possibly</v>
      </c>
      <c r="W313" s="75" t="str">
        <f>IFERROR(__xludf.DUMMYFUNCTION("QUERY('Volunteer Survey'!P322)"),"somatic cancer working group - pediatric")</f>
        <v>somatic cancer working group - pediatric</v>
      </c>
      <c r="X313" s="74" t="str">
        <f>IFERROR(__xludf.DUMMYFUNCTION("QUERY('Volunteer Survey'!R322)"),"Maybe -- please contact me with other options, and I will decide based on what is available")</f>
        <v>Maybe -- please contact me with other options, and I will decide based on what is available</v>
      </c>
      <c r="Y313" s="61"/>
      <c r="Z313" s="62"/>
      <c r="AA313" s="62"/>
      <c r="AB313" s="62"/>
      <c r="AC313" s="62"/>
      <c r="AD313" s="62"/>
      <c r="AE313" s="62"/>
      <c r="AF313" s="62"/>
      <c r="AG313" s="62"/>
      <c r="AH313" s="62"/>
      <c r="AI313" s="62"/>
      <c r="AJ313" s="62"/>
      <c r="AK313" s="62"/>
      <c r="AL313" s="62"/>
      <c r="AM313" s="62"/>
      <c r="AN313" s="62"/>
      <c r="AO313" s="62"/>
    </row>
    <row r="314">
      <c r="A314" s="59">
        <f>IFERROR(__xludf.DUMMYFUNCTION("QUERY('Volunteer Survey'!A323)"),43742.05410947916)</f>
        <v>43742.05411</v>
      </c>
      <c r="B314" s="60" t="s">
        <v>275</v>
      </c>
      <c r="C314" s="61"/>
      <c r="D314" s="62"/>
      <c r="E314" s="62"/>
      <c r="F314" s="60" t="s">
        <v>182</v>
      </c>
      <c r="G314" s="60" t="s">
        <v>276</v>
      </c>
      <c r="H314" s="61"/>
      <c r="I314" s="61"/>
      <c r="J314" s="62"/>
      <c r="K314" s="62"/>
      <c r="L314" s="62" t="str">
        <f>IFERROR(__xludf.DUMMYFUNCTION("QUERY('Volunteer Survey'!B323)"),"Kim Phuong Tong")</f>
        <v>Kim Phuong Tong</v>
      </c>
      <c r="M314" s="62" t="str">
        <f>IFERROR(__xludf.DUMMYFUNCTION("QUERY('Volunteer Survey'!E323)"),"ktongpotter@yahoo.com")</f>
        <v>ktongpotter@yahoo.com</v>
      </c>
      <c r="N314" s="62" t="str">
        <f>IFERROR(__xludf.DUMMYFUNCTION("QUERY('Volunteer Survey'!F323)"),"Citizen Scientist/Patient Advocate")</f>
        <v>Citizen Scientist/Patient Advocate</v>
      </c>
      <c r="O314" s="60" t="str">
        <f>IFERROR(__xludf.DUMMYFUNCTION("QUERY('Volunteer Survey'!H323)"),"Baseline")</f>
        <v>Baseline</v>
      </c>
      <c r="P314" s="62" t="str">
        <f>IFERROR(__xludf.DUMMYFUNCTION("QUERY('Volunteer Survey'!I323)"),"Gene-Disease Validity")</f>
        <v>Gene-Disease Validity</v>
      </c>
      <c r="Q314" s="66" t="str">
        <f>IFERROR(__xludf.DUMMYFUNCTION("QUERY('Volunteer Survey'!J323)"),"Clinical Actionability")</f>
        <v>Clinical Actionability</v>
      </c>
      <c r="R314" s="62" t="str">
        <f>IFERROR(__xludf.DUMMYFUNCTION("QUERY('Volunteer Survey'!K323)"),"Variant Pathogenicity")</f>
        <v>Variant Pathogenicity</v>
      </c>
      <c r="S314" s="62" t="str">
        <f>IFERROR(__xludf.DUMMYFUNCTION("QUERY('Volunteer Survey'!L323)"),"")</f>
        <v/>
      </c>
      <c r="T314" s="62" t="str">
        <f>IFERROR(__xludf.DUMMYFUNCTION("QUERY('Volunteer Survey'!M323)"),"")</f>
        <v/>
      </c>
      <c r="U314" s="74" t="str">
        <f>IFERROR(__xludf.DUMMYFUNCTION("QUERY('Volunteer Survey'!N323)"),"")</f>
        <v/>
      </c>
      <c r="V314" s="62" t="str">
        <f>IFERROR(__xludf.DUMMYFUNCTION("QUERY('Volunteer Survey'!O323)"),"Possibly")</f>
        <v>Possibly</v>
      </c>
      <c r="W314" s="75" t="str">
        <f>IFERROR(__xludf.DUMMYFUNCTION("QUERY('Volunteer Survey'!P323)"),"")</f>
        <v/>
      </c>
      <c r="X314" s="74" t="str">
        <f>IFERROR(__xludf.DUMMYFUNCTION("QUERY('Volunteer Survey'!R323)"),"Maybe -- please contact me with other options, and I will decide based on what is available")</f>
        <v>Maybe -- please contact me with other options, and I will decide based on what is available</v>
      </c>
      <c r="Y314" s="61"/>
      <c r="Z314" s="62"/>
      <c r="AA314" s="62"/>
      <c r="AB314" s="62"/>
      <c r="AC314" s="62"/>
      <c r="AD314" s="62"/>
      <c r="AE314" s="62"/>
      <c r="AF314" s="62"/>
      <c r="AG314" s="62"/>
      <c r="AH314" s="62"/>
      <c r="AI314" s="62"/>
      <c r="AJ314" s="62"/>
      <c r="AK314" s="62"/>
      <c r="AL314" s="62"/>
      <c r="AM314" s="62"/>
      <c r="AN314" s="62"/>
      <c r="AO314" s="62"/>
    </row>
    <row r="315">
      <c r="A315" s="59">
        <f>IFERROR(__xludf.DUMMYFUNCTION("QUERY('Volunteer Survey'!A324)"),43742.66885350695)</f>
        <v>43742.66885</v>
      </c>
      <c r="B315" s="60" t="s">
        <v>275</v>
      </c>
      <c r="C315" s="80">
        <v>43819.0</v>
      </c>
      <c r="D315" s="117">
        <v>43859.0</v>
      </c>
      <c r="E315" s="60" t="s">
        <v>277</v>
      </c>
      <c r="F315" s="60" t="s">
        <v>277</v>
      </c>
      <c r="G315" s="60" t="s">
        <v>288</v>
      </c>
      <c r="H315" s="61"/>
      <c r="I315" s="61"/>
      <c r="J315" s="62"/>
      <c r="K315" s="62"/>
      <c r="L315" s="62" t="str">
        <f>IFERROR(__xludf.DUMMYFUNCTION("QUERY('Volunteer Survey'!B324)"),"Heather Harris")</f>
        <v>Heather Harris</v>
      </c>
      <c r="M315" s="62" t="str">
        <f>IFERROR(__xludf.DUMMYFUNCTION("QUERY('Volunteer Survey'!E324)"),"heatherkharris1@gmail.com")</f>
        <v>heatherkharris1@gmail.com</v>
      </c>
      <c r="N315" s="62" t="str">
        <f>IFERROR(__xludf.DUMMYFUNCTION("QUERY('Volunteer Survey'!F324)"),"Genetic counselor")</f>
        <v>Genetic counselor</v>
      </c>
      <c r="O315" s="60" t="str">
        <f>IFERROR(__xludf.DUMMYFUNCTION("QUERY('Volunteer Survey'!H324)"),"Comprehensive")</f>
        <v>Comprehensive</v>
      </c>
      <c r="P315" s="62" t="str">
        <f>IFERROR(__xludf.DUMMYFUNCTION("QUERY('Volunteer Survey'!I324)"),"Variant Pathogenicity")</f>
        <v>Variant Pathogenicity</v>
      </c>
      <c r="Q315" s="66" t="str">
        <f>IFERROR(__xludf.DUMMYFUNCTION("QUERY('Volunteer Survey'!J324)"),"Clinical Actionability")</f>
        <v>Clinical Actionability</v>
      </c>
      <c r="R315" s="62" t="str">
        <f>IFERROR(__xludf.DUMMYFUNCTION("QUERY('Volunteer Survey'!K324)"),"Gene-Disease Validity")</f>
        <v>Gene-Disease Validity</v>
      </c>
      <c r="S315" s="62" t="str">
        <f>IFERROR(__xludf.DUMMYFUNCTION("QUERY('Volunteer Survey'!L324)"),"Somatic Cancer")</f>
        <v>Somatic Cancer</v>
      </c>
      <c r="T315" s="62" t="str">
        <f>IFERROR(__xludf.DUMMYFUNCTION("QUERY('Volunteer Survey'!M324)"),"Dosage Sensitivity")</f>
        <v>Dosage Sensitivity</v>
      </c>
      <c r="U315" s="74" t="str">
        <f>IFERROR(__xludf.DUMMYFUNCTION("QUERY('Volunteer Survey'!N324)"),"Limited experience with creating variant descriptions for lab report writing. ")</f>
        <v>Limited experience with creating variant descriptions for lab report writing. </v>
      </c>
      <c r="V315" s="62" t="str">
        <f>IFERROR(__xludf.DUMMYFUNCTION("QUERY('Volunteer Survey'!O324)"),"No")</f>
        <v>No</v>
      </c>
      <c r="W315" s="75" t="str">
        <f>IFERROR(__xludf.DUMMYFUNCTION("QUERY('Volunteer Survey'!P324)"),"I am open to any opportunity.")</f>
        <v>I am open to any opportunity.</v>
      </c>
      <c r="X315" s="74" t="str">
        <f>IFERROR(__xludf.DUMMYFUNCTION("QUERY('Volunteer Survey'!R324)"),"")</f>
        <v/>
      </c>
      <c r="Y315" s="61"/>
      <c r="Z315" s="62"/>
      <c r="AA315" s="62"/>
      <c r="AB315" s="62"/>
      <c r="AC315" s="62"/>
      <c r="AD315" s="62"/>
      <c r="AE315" s="62"/>
      <c r="AF315" s="62"/>
      <c r="AG315" s="62"/>
      <c r="AH315" s="62"/>
      <c r="AI315" s="62"/>
      <c r="AJ315" s="62"/>
      <c r="AK315" s="62"/>
      <c r="AL315" s="62"/>
      <c r="AM315" s="62"/>
      <c r="AN315" s="62"/>
      <c r="AO315" s="62"/>
    </row>
    <row r="316">
      <c r="A316" s="59">
        <f>IFERROR(__xludf.DUMMYFUNCTION("QUERY('Volunteer Survey'!A325)"),43744.75477740741)</f>
        <v>43744.75478</v>
      </c>
      <c r="B316" s="60" t="s">
        <v>275</v>
      </c>
      <c r="C316" s="61"/>
      <c r="D316" s="62"/>
      <c r="E316" s="62"/>
      <c r="F316" s="60" t="s">
        <v>182</v>
      </c>
      <c r="G316" s="60" t="s">
        <v>276</v>
      </c>
      <c r="H316" s="61"/>
      <c r="I316" s="61"/>
      <c r="J316" s="62"/>
      <c r="K316" s="62"/>
      <c r="L316" s="62" t="str">
        <f>IFERROR(__xludf.DUMMYFUNCTION("QUERY('Volunteer Survey'!B325)"),"C. Anwar A. Chahal")</f>
        <v>C. Anwar A. Chahal</v>
      </c>
      <c r="M316" s="62" t="str">
        <f>IFERROR(__xludf.DUMMYFUNCTION("QUERY('Volunteer Survey'!E325)"),"anwar.chahal@uphs.upenn.edu")</f>
        <v>anwar.chahal@uphs.upenn.edu</v>
      </c>
      <c r="N316" s="62" t="str">
        <f>IFERROR(__xludf.DUMMYFUNCTION("QUERY('Volunteer Survey'!F325)"),"Clinician Scientist, EP and Inherited CV Diseases, in final year clinical EP Fellowship")</f>
        <v>Clinician Scientist, EP and Inherited CV Diseases, in final year clinical EP Fellowship</v>
      </c>
      <c r="O316" s="60" t="str">
        <f>IFERROR(__xludf.DUMMYFUNCTION("QUERY('Volunteer Survey'!H325)"),"Baseline")</f>
        <v>Baseline</v>
      </c>
      <c r="P316" s="62" t="str">
        <f>IFERROR(__xludf.DUMMYFUNCTION("QUERY('Volunteer Survey'!I325)"),"Variant Pathogenicity")</f>
        <v>Variant Pathogenicity</v>
      </c>
      <c r="Q316" s="66" t="str">
        <f>IFERROR(__xludf.DUMMYFUNCTION("QUERY('Volunteer Survey'!J325)"),"Gene-Disease Validity")</f>
        <v>Gene-Disease Validity</v>
      </c>
      <c r="R316" s="62" t="str">
        <f>IFERROR(__xludf.DUMMYFUNCTION("QUERY('Volunteer Survey'!K325)"),"Clinical Actionability")</f>
        <v>Clinical Actionability</v>
      </c>
      <c r="S316" s="62" t="str">
        <f>IFERROR(__xludf.DUMMYFUNCTION("QUERY('Volunteer Survey'!L325)"),"")</f>
        <v/>
      </c>
      <c r="T316" s="62" t="str">
        <f>IFERROR(__xludf.DUMMYFUNCTION("QUERY('Volunteer Survey'!M325)"),"")</f>
        <v/>
      </c>
      <c r="U316" s="74" t="str">
        <f>IFERROR(__xludf.DUMMYFUNCTION("QUERY('Volunteer Survey'!N325)"),"Not curation, experience in geneomics (PhD, American Heart Association)")</f>
        <v>Not curation, experience in geneomics (PhD, American Heart Association)</v>
      </c>
      <c r="V316" s="62" t="str">
        <f>IFERROR(__xludf.DUMMYFUNCTION("QUERY('Volunteer Survey'!O325)"),"Possibly")</f>
        <v>Possibly</v>
      </c>
      <c r="W316" s="75" t="str">
        <f>IFERROR(__xludf.DUMMYFUNCTION("QUERY('Volunteer Survey'!P325)"),"Congenital myopathies, Cardiomyopathy* (these are my areas of expertise/interest)")</f>
        <v>Congenital myopathies, Cardiomyopathy* (these are my areas of expertise/interest)</v>
      </c>
      <c r="X316" s="74" t="str">
        <f>IFERROR(__xludf.DUMMYFUNCTION("QUERY('Volunteer Survey'!R325)"),"No - I am only interested in the group(s) I previously indicated")</f>
        <v>No - I am only interested in the group(s) I previously indicated</v>
      </c>
      <c r="Y316" s="61"/>
      <c r="Z316" s="62"/>
      <c r="AA316" s="62"/>
      <c r="AB316" s="62"/>
      <c r="AC316" s="62"/>
      <c r="AD316" s="62"/>
      <c r="AE316" s="62"/>
      <c r="AF316" s="62"/>
      <c r="AG316" s="62"/>
      <c r="AH316" s="62"/>
      <c r="AI316" s="62"/>
      <c r="AJ316" s="62"/>
      <c r="AK316" s="62"/>
      <c r="AL316" s="62"/>
      <c r="AM316" s="62"/>
      <c r="AN316" s="62"/>
      <c r="AO316" s="62"/>
    </row>
    <row r="317">
      <c r="A317" s="59">
        <f>IFERROR(__xludf.DUMMYFUNCTION("QUERY('Volunteer Survey'!A326)"),43745.65172986111)</f>
        <v>43745.65173</v>
      </c>
      <c r="B317" s="60" t="s">
        <v>275</v>
      </c>
      <c r="C317" s="80">
        <v>43819.0</v>
      </c>
      <c r="D317" s="117">
        <v>43859.0</v>
      </c>
      <c r="E317" s="60" t="s">
        <v>277</v>
      </c>
      <c r="F317" s="60" t="s">
        <v>182</v>
      </c>
      <c r="G317" s="60" t="s">
        <v>288</v>
      </c>
      <c r="H317" s="61"/>
      <c r="I317" s="61"/>
      <c r="J317" s="62"/>
      <c r="K317" s="62"/>
      <c r="L317" s="62" t="str">
        <f>IFERROR(__xludf.DUMMYFUNCTION("QUERY('Volunteer Survey'!B326)"),"Kaitlin Lenhart")</f>
        <v>Kaitlin Lenhart</v>
      </c>
      <c r="M317" s="62" t="str">
        <f>IFERROR(__xludf.DUMMYFUNCTION("QUERY('Volunteer Survey'!E326)"),"kaitlin.lenhart@slh.wisc.edu")</f>
        <v>kaitlin.lenhart@slh.wisc.edu</v>
      </c>
      <c r="N317" s="62" t="str">
        <f>IFERROR(__xludf.DUMMYFUNCTION("QUERY('Volunteer Survey'!F326)"),"Clinical laboratory geneticist")</f>
        <v>Clinical laboratory geneticist</v>
      </c>
      <c r="O317" s="60" t="str">
        <f>IFERROR(__xludf.DUMMYFUNCTION("QUERY('Volunteer Survey'!H326)"),"Comprehensive")</f>
        <v>Comprehensive</v>
      </c>
      <c r="P317" s="62" t="str">
        <f>IFERROR(__xludf.DUMMYFUNCTION("QUERY('Volunteer Survey'!I326)"),"Variant Pathogenicity")</f>
        <v>Variant Pathogenicity</v>
      </c>
      <c r="Q317" s="66" t="str">
        <f>IFERROR(__xludf.DUMMYFUNCTION("QUERY('Volunteer Survey'!J326)"),"Gene-Disease Validity")</f>
        <v>Gene-Disease Validity</v>
      </c>
      <c r="R317" s="62" t="str">
        <f>IFERROR(__xludf.DUMMYFUNCTION("QUERY('Volunteer Survey'!K326)"),"Dosage Sensitivity")</f>
        <v>Dosage Sensitivity</v>
      </c>
      <c r="S317" s="62" t="str">
        <f>IFERROR(__xludf.DUMMYFUNCTION("QUERY('Volunteer Survey'!L326)"),"Clinical Actionability")</f>
        <v>Clinical Actionability</v>
      </c>
      <c r="T317" s="62" t="str">
        <f>IFERROR(__xludf.DUMMYFUNCTION("QUERY('Volunteer Survey'!M326)"),"")</f>
        <v/>
      </c>
      <c r="U317" s="74" t="str">
        <f>IFERROR(__xludf.DUMMYFUNCTION("QUERY('Volunteer Survey'!N326)"),"")</f>
        <v/>
      </c>
      <c r="V317" s="62" t="str">
        <f>IFERROR(__xludf.DUMMYFUNCTION("QUERY('Volunteer Survey'!O326)"),"Possibly")</f>
        <v>Possibly</v>
      </c>
      <c r="W317" s="75" t="str">
        <f>IFERROR(__xludf.DUMMYFUNCTION("QUERY('Volunteer Survey'!P326)"),"")</f>
        <v/>
      </c>
      <c r="X317" s="74" t="str">
        <f>IFERROR(__xludf.DUMMYFUNCTION("QUERY('Volunteer Survey'!R326)"),"Maybe -- please contact me with other options, and I will decide based on what is available")</f>
        <v>Maybe -- please contact me with other options, and I will decide based on what is available</v>
      </c>
      <c r="Y317" s="61"/>
      <c r="Z317" s="62"/>
      <c r="AA317" s="62"/>
      <c r="AB317" s="62"/>
      <c r="AC317" s="62"/>
      <c r="AD317" s="62"/>
      <c r="AE317" s="62"/>
      <c r="AF317" s="62"/>
      <c r="AG317" s="62"/>
      <c r="AH317" s="62"/>
      <c r="AI317" s="62"/>
      <c r="AJ317" s="62"/>
      <c r="AK317" s="62"/>
      <c r="AL317" s="62"/>
      <c r="AM317" s="62"/>
      <c r="AN317" s="62"/>
      <c r="AO317" s="62"/>
    </row>
    <row r="318">
      <c r="A318" s="59">
        <f>IFERROR(__xludf.DUMMYFUNCTION("QUERY('Volunteer Survey'!A327)"),43746.86382482639)</f>
        <v>43746.86382</v>
      </c>
      <c r="B318" s="60" t="s">
        <v>275</v>
      </c>
      <c r="C318" s="80">
        <v>43819.0</v>
      </c>
      <c r="D318" s="62"/>
      <c r="E318" s="62"/>
      <c r="F318" s="60" t="s">
        <v>182</v>
      </c>
      <c r="G318" s="60" t="s">
        <v>288</v>
      </c>
      <c r="H318" s="61"/>
      <c r="I318" s="61"/>
      <c r="J318" s="62"/>
      <c r="K318" s="62"/>
      <c r="L318" s="62" t="str">
        <f>IFERROR(__xludf.DUMMYFUNCTION("QUERY('Volunteer Survey'!B327)"),"YANYI YAO")</f>
        <v>YANYI YAO</v>
      </c>
      <c r="M318" s="62" t="str">
        <f>IFERROR(__xludf.DUMMYFUNCTION("QUERY('Volunteer Survey'!E327)"),"yaoyanyi@hotmail.com")</f>
        <v>yaoyanyi@hotmail.com</v>
      </c>
      <c r="N318" s="62" t="str">
        <f>IFERROR(__xludf.DUMMYFUNCTION("QUERY('Volunteer Survey'!F327)"),"Post Doc/Resident/Fellow (MD and/or PhD)")</f>
        <v>Post Doc/Resident/Fellow (MD and/or PhD)</v>
      </c>
      <c r="O318" s="60" t="str">
        <f>IFERROR(__xludf.DUMMYFUNCTION("QUERY('Volunteer Survey'!H327)"),"Comprehensive")</f>
        <v>Comprehensive</v>
      </c>
      <c r="P318" s="62" t="str">
        <f>IFERROR(__xludf.DUMMYFUNCTION("QUERY('Volunteer Survey'!I327)"),"Variant Pathogenicity")</f>
        <v>Variant Pathogenicity</v>
      </c>
      <c r="Q318" s="66" t="str">
        <f>IFERROR(__xludf.DUMMYFUNCTION("QUERY('Volunteer Survey'!J327)"),"Gene-Disease Validity")</f>
        <v>Gene-Disease Validity</v>
      </c>
      <c r="R318" s="62" t="str">
        <f>IFERROR(__xludf.DUMMYFUNCTION("QUERY('Volunteer Survey'!K327)"),"Dosage Sensitivity")</f>
        <v>Dosage Sensitivity</v>
      </c>
      <c r="S318" s="62" t="str">
        <f>IFERROR(__xludf.DUMMYFUNCTION("QUERY('Volunteer Survey'!L327)"),"Clinical Actionability")</f>
        <v>Clinical Actionability</v>
      </c>
      <c r="T318" s="62" t="str">
        <f>IFERROR(__xludf.DUMMYFUNCTION("QUERY('Volunteer Survey'!M327)"),"")</f>
        <v/>
      </c>
      <c r="U318" s="74" t="str">
        <f>IFERROR(__xludf.DUMMYFUNCTION("QUERY('Volunteer Survey'!N327)"),"I attended Interpreting Genomes for Rare Disease 2019.")</f>
        <v>I attended Interpreting Genomes for Rare Disease 2019.</v>
      </c>
      <c r="V318" s="62" t="str">
        <f>IFERROR(__xludf.DUMMYFUNCTION("QUERY('Volunteer Survey'!O327)"),"Possibly")</f>
        <v>Possibly</v>
      </c>
      <c r="W318" s="75" t="str">
        <f>IFERROR(__xludf.DUMMYFUNCTION("QUERY('Volunteer Survey'!P327)"),"Limb Girdle Muscular Dystrophy ")</f>
        <v>Limb Girdle Muscular Dystrophy </v>
      </c>
      <c r="X318" s="74" t="str">
        <f>IFERROR(__xludf.DUMMYFUNCTION("QUERY('Volunteer Survey'!R327)"),"Yes- I am willing to volunteer with any available ClinGen group")</f>
        <v>Yes- I am willing to volunteer with any available ClinGen group</v>
      </c>
      <c r="Y318" s="61"/>
      <c r="Z318" s="62"/>
      <c r="AA318" s="62"/>
      <c r="AB318" s="62"/>
      <c r="AC318" s="62"/>
      <c r="AD318" s="62"/>
      <c r="AE318" s="62"/>
      <c r="AF318" s="62"/>
      <c r="AG318" s="62"/>
      <c r="AH318" s="62"/>
      <c r="AI318" s="62"/>
      <c r="AJ318" s="62"/>
      <c r="AK318" s="62"/>
      <c r="AL318" s="62"/>
      <c r="AM318" s="62"/>
      <c r="AN318" s="62"/>
      <c r="AO318" s="62"/>
    </row>
    <row r="319">
      <c r="A319" s="59">
        <f>IFERROR(__xludf.DUMMYFUNCTION("QUERY('Volunteer Survey'!A328)"),43747.54224105324)</f>
        <v>43747.54224</v>
      </c>
      <c r="B319" s="60" t="s">
        <v>275</v>
      </c>
      <c r="C319" s="80">
        <v>43819.0</v>
      </c>
      <c r="D319" s="85">
        <v>43846.0</v>
      </c>
      <c r="E319" s="60" t="s">
        <v>277</v>
      </c>
      <c r="F319" s="60" t="s">
        <v>182</v>
      </c>
      <c r="G319" s="60" t="s">
        <v>278</v>
      </c>
      <c r="H319" s="61"/>
      <c r="I319" s="61"/>
      <c r="J319" s="62"/>
      <c r="K319" s="62"/>
      <c r="L319" s="62" t="str">
        <f>IFERROR(__xludf.DUMMYFUNCTION("QUERY('Volunteer Survey'!B328)"),"Ikeoluwa Osei-Owusu")</f>
        <v>Ikeoluwa Osei-Owusu</v>
      </c>
      <c r="M319" s="62" t="str">
        <f>IFERROR(__xludf.DUMMYFUNCTION("QUERY('Volunteer Survey'!E328)"),"ikeoluwa@jhmi.edu")</f>
        <v>ikeoluwa@jhmi.edu</v>
      </c>
      <c r="N319" s="62" t="str">
        <f>IFERROR(__xludf.DUMMYFUNCTION("QUERY('Volunteer Survey'!F328)"),"Graduate Student")</f>
        <v>Graduate Student</v>
      </c>
      <c r="O319" s="60" t="str">
        <f>IFERROR(__xludf.DUMMYFUNCTION("QUERY('Volunteer Survey'!H328)"),"Comprehensive")</f>
        <v>Comprehensive</v>
      </c>
      <c r="P319" s="62" t="str">
        <f>IFERROR(__xludf.DUMMYFUNCTION("QUERY('Volunteer Survey'!I328)"),"Gene-Disease Validity")</f>
        <v>Gene-Disease Validity</v>
      </c>
      <c r="Q319" s="66" t="str">
        <f>IFERROR(__xludf.DUMMYFUNCTION("QUERY('Volunteer Survey'!J328)"),"Variant Pathogenicity")</f>
        <v>Variant Pathogenicity</v>
      </c>
      <c r="R319" s="62" t="str">
        <f>IFERROR(__xludf.DUMMYFUNCTION("QUERY('Volunteer Survey'!K328)"),"Dosage Sensitivity")</f>
        <v>Dosage Sensitivity</v>
      </c>
      <c r="S319" s="62" t="str">
        <f>IFERROR(__xludf.DUMMYFUNCTION("QUERY('Volunteer Survey'!L328)"),"Clinical Actionability")</f>
        <v>Clinical Actionability</v>
      </c>
      <c r="T319" s="62" t="str">
        <f>IFERROR(__xludf.DUMMYFUNCTION("QUERY('Volunteer Survey'!M328)"),"Somatic Cancer")</f>
        <v>Somatic Cancer</v>
      </c>
      <c r="U319" s="74" t="str">
        <f>IFERROR(__xludf.DUMMYFUNCTION("QUERY('Volunteer Survey'!N328)"),"My PhD thesis has required the need to associate genes found to be deleterious in whole genome sequence analyses with known diseases. Thereby, I am familiar with databases such as ClinVar, Online Mendelian Inheritance in Man (OMIM), Development Disorder G"&amp;"enotype - Phenotype Database (DDG2P), and Simons Foundation Autism Research Initiative (SFARI). In addition, I have presented papers on the use of in silico algorithms as a ACMG variant interpretation criteria and its implications on ClinVar submissions. ")</f>
        <v>My PhD thesis has required the need to associate genes found to be deleterious in whole genome sequence analyses with known diseases. Thereby, I am familiar with databases such as ClinVar, Online Mendelian Inheritance in Man (OMIM), Development Disorder Genotype - Phenotype Database (DDG2P), and Simons Foundation Autism Research Initiative (SFARI). In addition, I have presented papers on the use of in silico algorithms as a ACMG variant interpretation criteria and its implications on ClinVar submissions. </v>
      </c>
      <c r="V319" s="62" t="str">
        <f>IFERROR(__xludf.DUMMYFUNCTION("QUERY('Volunteer Survey'!O328)"),"Possibly")</f>
        <v>Possibly</v>
      </c>
      <c r="W319" s="75" t="str">
        <f>IFERROR(__xludf.DUMMYFUNCTION("QUERY('Volunteer Survey'!P328)"),"Neurodevelopmental Dosage Sensitivity Working Group; Brain Malformations Gene Curation Expert Panel; Brain Malformations Variant Curation Expert Panel; Pediatric Actionability Working Group")</f>
        <v>Neurodevelopmental Dosage Sensitivity Working Group; Brain Malformations Gene Curation Expert Panel; Brain Malformations Variant Curation Expert Panel; Pediatric Actionability Working Group</v>
      </c>
      <c r="X319" s="74" t="str">
        <f>IFERROR(__xludf.DUMMYFUNCTION("QUERY('Volunteer Survey'!R328)"),"Maybe -- please contact me with other options, and I will decide based on what is available")</f>
        <v>Maybe -- please contact me with other options, and I will decide based on what is available</v>
      </c>
      <c r="Y319" s="61"/>
      <c r="Z319" s="62"/>
      <c r="AA319" s="62"/>
      <c r="AB319" s="62"/>
      <c r="AC319" s="62"/>
      <c r="AD319" s="62"/>
      <c r="AE319" s="62"/>
      <c r="AF319" s="62"/>
      <c r="AG319" s="62"/>
      <c r="AH319" s="62"/>
      <c r="AI319" s="62"/>
      <c r="AJ319" s="62"/>
      <c r="AK319" s="62"/>
      <c r="AL319" s="62"/>
      <c r="AM319" s="62"/>
      <c r="AN319" s="62"/>
      <c r="AO319" s="62"/>
    </row>
    <row r="320">
      <c r="A320" s="59">
        <f>IFERROR(__xludf.DUMMYFUNCTION("QUERY('Volunteer Survey'!A329)"),43749.681813414354)</f>
        <v>43749.68181</v>
      </c>
      <c r="B320" s="60" t="s">
        <v>275</v>
      </c>
      <c r="C320" s="80">
        <v>43819.0</v>
      </c>
      <c r="D320" s="62"/>
      <c r="E320" s="62"/>
      <c r="F320" s="60" t="s">
        <v>182</v>
      </c>
      <c r="G320" s="60" t="s">
        <v>288</v>
      </c>
      <c r="H320" s="61"/>
      <c r="I320" s="61"/>
      <c r="J320" s="62"/>
      <c r="K320" s="62"/>
      <c r="L320" s="62" t="str">
        <f>IFERROR(__xludf.DUMMYFUNCTION("QUERY('Volunteer Survey'!B329)"),"Daniela Martiniuc")</f>
        <v>Daniela Martiniuc</v>
      </c>
      <c r="M320" s="62" t="str">
        <f>IFERROR(__xludf.DUMMYFUNCTION("QUERY('Volunteer Survey'!E329)"),"dmartiniuc@ucdavis.edu")</f>
        <v>dmartiniuc@ucdavis.edu</v>
      </c>
      <c r="N320" s="62" t="str">
        <f>IFERROR(__xludf.DUMMYFUNCTION("QUERY('Volunteer Survey'!F329)"),"Genetic counselor")</f>
        <v>Genetic counselor</v>
      </c>
      <c r="O320" s="60" t="str">
        <f>IFERROR(__xludf.DUMMYFUNCTION("QUERY('Volunteer Survey'!H329)"),"Comprehensive")</f>
        <v>Comprehensive</v>
      </c>
      <c r="P320" s="62" t="str">
        <f>IFERROR(__xludf.DUMMYFUNCTION("QUERY('Volunteer Survey'!I329)"),"Variant Pathogenicity")</f>
        <v>Variant Pathogenicity</v>
      </c>
      <c r="Q320" s="66" t="str">
        <f>IFERROR(__xludf.DUMMYFUNCTION("QUERY('Volunteer Survey'!J329)"),"Clinical Actionability")</f>
        <v>Clinical Actionability</v>
      </c>
      <c r="R320" s="62" t="str">
        <f>IFERROR(__xludf.DUMMYFUNCTION("QUERY('Volunteer Survey'!K329)"),"Gene-Disease Validity")</f>
        <v>Gene-Disease Validity</v>
      </c>
      <c r="S320" s="62" t="str">
        <f>IFERROR(__xludf.DUMMYFUNCTION("QUERY('Volunteer Survey'!L329)"),"")</f>
        <v/>
      </c>
      <c r="T320" s="62" t="str">
        <f>IFERROR(__xludf.DUMMYFUNCTION("QUERY('Volunteer Survey'!M329)"),"")</f>
        <v/>
      </c>
      <c r="U320" s="74" t="str">
        <f>IFERROR(__xludf.DUMMYFUNCTION("QUERY('Volunteer Survey'!N329)"),"I have no experience with curation")</f>
        <v>I have no experience with curation</v>
      </c>
      <c r="V320" s="62" t="str">
        <f>IFERROR(__xludf.DUMMYFUNCTION("QUERY('Volunteer Survey'!O329)"),"No")</f>
        <v>No</v>
      </c>
      <c r="W320" s="75" t="str">
        <f>IFERROR(__xludf.DUMMYFUNCTION("QUERY('Volunteer Survey'!P329)"),"")</f>
        <v/>
      </c>
      <c r="X320" s="74" t="str">
        <f>IFERROR(__xludf.DUMMYFUNCTION("QUERY('Volunteer Survey'!R329)"),"Maybe -- please contact me with other options, and I will decide based on what is available")</f>
        <v>Maybe -- please contact me with other options, and I will decide based on what is available</v>
      </c>
      <c r="Y320" s="61"/>
      <c r="Z320" s="62"/>
      <c r="AA320" s="62"/>
      <c r="AB320" s="62"/>
      <c r="AC320" s="62"/>
      <c r="AD320" s="62"/>
      <c r="AE320" s="62"/>
      <c r="AF320" s="62"/>
      <c r="AG320" s="62"/>
      <c r="AH320" s="62"/>
      <c r="AI320" s="62"/>
      <c r="AJ320" s="62"/>
      <c r="AK320" s="62"/>
      <c r="AL320" s="62"/>
      <c r="AM320" s="62"/>
      <c r="AN320" s="62"/>
      <c r="AO320" s="62"/>
    </row>
    <row r="321">
      <c r="A321" s="59">
        <f>IFERROR(__xludf.DUMMYFUNCTION("QUERY('Volunteer Survey'!A330)"),43753.641005324076)</f>
        <v>43753.64101</v>
      </c>
      <c r="B321" s="60" t="s">
        <v>340</v>
      </c>
      <c r="C321" s="61"/>
      <c r="D321" s="62"/>
      <c r="E321" s="62"/>
      <c r="F321" s="60" t="s">
        <v>182</v>
      </c>
      <c r="G321" s="60" t="s">
        <v>150</v>
      </c>
      <c r="H321" s="61"/>
      <c r="I321" s="61"/>
      <c r="J321" s="62"/>
      <c r="K321" s="62"/>
      <c r="L321" s="62" t="str">
        <f>IFERROR(__xludf.DUMMYFUNCTION("QUERY('Volunteer Survey'!B330)"),"Emilie Lalonde")</f>
        <v>Emilie Lalonde</v>
      </c>
      <c r="M321" s="62" t="str">
        <f>IFERROR(__xludf.DUMMYFUNCTION("QUERY('Volunteer Survey'!E330)"),"lalondee@email.chop.edu")</f>
        <v>lalondee@email.chop.edu</v>
      </c>
      <c r="N321" s="62" t="str">
        <f>IFERROR(__xludf.DUMMYFUNCTION("QUERY('Volunteer Survey'!F330)"),"Clinical laboratory geneticist")</f>
        <v>Clinical laboratory geneticist</v>
      </c>
      <c r="O321" s="60" t="str">
        <f>IFERROR(__xludf.DUMMYFUNCTION("QUERY('Volunteer Survey'!H330)"),"Comprehensive")</f>
        <v>Comprehensive</v>
      </c>
      <c r="P321" s="62" t="str">
        <f>IFERROR(__xludf.DUMMYFUNCTION("QUERY('Volunteer Survey'!I330)"),"Somatic Cancer")</f>
        <v>Somatic Cancer</v>
      </c>
      <c r="Q321" s="66" t="str">
        <f>IFERROR(__xludf.DUMMYFUNCTION("QUERY('Volunteer Survey'!J330)"),"Clinical Actionability")</f>
        <v>Clinical Actionability</v>
      </c>
      <c r="R321" s="62" t="str">
        <f>IFERROR(__xludf.DUMMYFUNCTION("QUERY('Volunteer Survey'!K330)"),"Gene-Disease Validity")</f>
        <v>Gene-Disease Validity</v>
      </c>
      <c r="S321" s="62" t="str">
        <f>IFERROR(__xludf.DUMMYFUNCTION("QUERY('Volunteer Survey'!L330)"),"Dosage Sensitivity")</f>
        <v>Dosage Sensitivity</v>
      </c>
      <c r="T321" s="62" t="str">
        <f>IFERROR(__xludf.DUMMYFUNCTION("QUERY('Volunteer Survey'!M330)"),"Variant Pathogenicity")</f>
        <v>Variant Pathogenicity</v>
      </c>
      <c r="U321" s="74" t="str">
        <f>IFERROR(__xludf.DUMMYFUNCTION("QUERY('Volunteer Survey'!N330)"),"Yes within CHOP/Penn labs for new test design and/or standard variant interpretation")</f>
        <v>Yes within CHOP/Penn labs for new test design and/or standard variant interpretation</v>
      </c>
      <c r="V321" s="62" t="str">
        <f>IFERROR(__xludf.DUMMYFUNCTION("QUERY('Volunteer Survey'!O330)"),"Possibly")</f>
        <v>Possibly</v>
      </c>
      <c r="W321" s="75" t="str">
        <f>IFERROR(__xludf.DUMMYFUNCTION("QUERY('Volunteer Survey'!P330)"),"Somatic cancer WG, hereditary cancer EP, RASopathy EP, Myeloid Malignancy EP, dosage hereditary cancer WG, others as needed")</f>
        <v>Somatic cancer WG, hereditary cancer EP, RASopathy EP, Myeloid Malignancy EP, dosage hereditary cancer WG, others as needed</v>
      </c>
      <c r="X321" s="74" t="str">
        <f>IFERROR(__xludf.DUMMYFUNCTION("QUERY('Volunteer Survey'!R330)"),"Maybe -- please contact me with other options, and I will decide based on what is available")</f>
        <v>Maybe -- please contact me with other options, and I will decide based on what is available</v>
      </c>
      <c r="Y321" s="61"/>
      <c r="Z321" s="62"/>
      <c r="AA321" s="62"/>
      <c r="AB321" s="62"/>
      <c r="AC321" s="62"/>
      <c r="AD321" s="62"/>
      <c r="AE321" s="62"/>
      <c r="AF321" s="62"/>
      <c r="AG321" s="62"/>
      <c r="AH321" s="62"/>
      <c r="AI321" s="62"/>
      <c r="AJ321" s="62"/>
      <c r="AK321" s="62"/>
      <c r="AL321" s="62"/>
      <c r="AM321" s="62"/>
      <c r="AN321" s="62"/>
      <c r="AO321" s="62"/>
    </row>
    <row r="322">
      <c r="A322" s="59">
        <f>IFERROR(__xludf.DUMMYFUNCTION("QUERY('Volunteer Survey'!A331)"),43755.537383634255)</f>
        <v>43755.53738</v>
      </c>
      <c r="B322" s="60" t="s">
        <v>275</v>
      </c>
      <c r="C322" s="80">
        <v>43819.0</v>
      </c>
      <c r="D322" s="117">
        <v>43859.0</v>
      </c>
      <c r="E322" s="60" t="s">
        <v>277</v>
      </c>
      <c r="F322" s="60" t="s">
        <v>277</v>
      </c>
      <c r="G322" s="60" t="s">
        <v>288</v>
      </c>
      <c r="H322" s="61"/>
      <c r="I322" s="61"/>
      <c r="J322" s="62"/>
      <c r="K322" s="62"/>
      <c r="L322" s="62" t="str">
        <f>IFERROR(__xludf.DUMMYFUNCTION("QUERY('Volunteer Survey'!B331)"),"Elizabeth Ewen")</f>
        <v>Elizabeth Ewen</v>
      </c>
      <c r="M322" s="62" t="str">
        <f>IFERROR(__xludf.DUMMYFUNCTION("QUERY('Volunteer Survey'!E331)"),"elizabeth.ewen@agilent.com")</f>
        <v>elizabeth.ewen@agilent.com</v>
      </c>
      <c r="N322" s="62" t="str">
        <f>IFERROR(__xludf.DUMMYFUNCTION("QUERY('Volunteer Survey'!F331)"),"Variant Analyst/Scientist - Industry")</f>
        <v>Variant Analyst/Scientist - Industry</v>
      </c>
      <c r="O322" s="60" t="str">
        <f>IFERROR(__xludf.DUMMYFUNCTION("QUERY('Volunteer Survey'!H331)"),"Comprehensive")</f>
        <v>Comprehensive</v>
      </c>
      <c r="P322" s="62" t="str">
        <f>IFERROR(__xludf.DUMMYFUNCTION("QUERY('Volunteer Survey'!I331)"),"Variant Pathogenicity")</f>
        <v>Variant Pathogenicity</v>
      </c>
      <c r="Q322" s="66" t="str">
        <f>IFERROR(__xludf.DUMMYFUNCTION("QUERY('Volunteer Survey'!J331)"),"Gene-Disease Validity")</f>
        <v>Gene-Disease Validity</v>
      </c>
      <c r="R322" s="62" t="str">
        <f>IFERROR(__xludf.DUMMYFUNCTION("QUERY('Volunteer Survey'!K331)"),"Clinical Actionability")</f>
        <v>Clinical Actionability</v>
      </c>
      <c r="S322" s="62" t="str">
        <f>IFERROR(__xludf.DUMMYFUNCTION("QUERY('Volunteer Survey'!L331)"),"Somatic Cancer")</f>
        <v>Somatic Cancer</v>
      </c>
      <c r="T322" s="62" t="str">
        <f>IFERROR(__xludf.DUMMYFUNCTION("QUERY('Volunteer Survey'!M331)"),"Dosage Sensitivity")</f>
        <v>Dosage Sensitivity</v>
      </c>
      <c r="U322" s="74" t="str">
        <f>IFERROR(__xludf.DUMMYFUNCTION("QUERY('Volunteer Survey'!N331)"),"Helping customers find clinically relevant/pathogenic variants")</f>
        <v>Helping customers find clinically relevant/pathogenic variants</v>
      </c>
      <c r="V322" s="62" t="str">
        <f>IFERROR(__xludf.DUMMYFUNCTION("QUERY('Volunteer Survey'!O331)"),"Possibly")</f>
        <v>Possibly</v>
      </c>
      <c r="W322" s="75" t="str">
        <f>IFERROR(__xludf.DUMMYFUNCTION("QUERY('Volunteer Survey'!P331)"),"")</f>
        <v/>
      </c>
      <c r="X322" s="74" t="str">
        <f>IFERROR(__xludf.DUMMYFUNCTION("QUERY('Volunteer Survey'!R331)"),"Yes- I am willing to volunteer with any available ClinGen group")</f>
        <v>Yes- I am willing to volunteer with any available ClinGen group</v>
      </c>
      <c r="Y322" s="61"/>
      <c r="Z322" s="62"/>
      <c r="AA322" s="62"/>
      <c r="AB322" s="62"/>
      <c r="AC322" s="62"/>
      <c r="AD322" s="62"/>
      <c r="AE322" s="62"/>
      <c r="AF322" s="62"/>
      <c r="AG322" s="62"/>
      <c r="AH322" s="62"/>
      <c r="AI322" s="62"/>
      <c r="AJ322" s="62"/>
      <c r="AK322" s="62"/>
      <c r="AL322" s="62"/>
      <c r="AM322" s="62"/>
      <c r="AN322" s="62"/>
      <c r="AO322" s="62"/>
    </row>
    <row r="323">
      <c r="A323" s="59">
        <f>IFERROR(__xludf.DUMMYFUNCTION("QUERY('Volunteer Survey'!A332)"),43755.58982958333)</f>
        <v>43755.58983</v>
      </c>
      <c r="B323" s="60" t="s">
        <v>340</v>
      </c>
      <c r="C323" s="61"/>
      <c r="D323" s="62"/>
      <c r="E323" s="62"/>
      <c r="F323" s="60" t="s">
        <v>182</v>
      </c>
      <c r="G323" s="60" t="s">
        <v>301</v>
      </c>
      <c r="H323" s="61"/>
      <c r="I323" s="61"/>
      <c r="J323" s="62"/>
      <c r="K323" s="62"/>
      <c r="L323" s="62" t="str">
        <f>IFERROR(__xludf.DUMMYFUNCTION("QUERY('Volunteer Survey'!B332)"),"Brigette Brown-Kipphut")</f>
        <v>Brigette Brown-Kipphut</v>
      </c>
      <c r="M323" s="62" t="str">
        <f>IFERROR(__xludf.DUMMYFUNCTION("QUERY('Volunteer Survey'!E332)"),"brigette.kipphut@agilent.com")</f>
        <v>brigette.kipphut@agilent.com</v>
      </c>
      <c r="N323" s="62" t="str">
        <f>IFERROR(__xludf.DUMMYFUNCTION("QUERY('Volunteer Survey'!F332)"),"Variant Analyst/Scientist - Industry")</f>
        <v>Variant Analyst/Scientist - Industry</v>
      </c>
      <c r="O323" s="60" t="str">
        <f>IFERROR(__xludf.DUMMYFUNCTION("QUERY('Volunteer Survey'!H332)"),"Baseline")</f>
        <v>Baseline</v>
      </c>
      <c r="P323" s="62" t="str">
        <f>IFERROR(__xludf.DUMMYFUNCTION("QUERY('Volunteer Survey'!I332)"),"Variant Pathogenicity")</f>
        <v>Variant Pathogenicity</v>
      </c>
      <c r="Q323" s="66" t="str">
        <f>IFERROR(__xludf.DUMMYFUNCTION("QUERY('Volunteer Survey'!J332)"),"Gene-Disease Validity")</f>
        <v>Gene-Disease Validity</v>
      </c>
      <c r="R323" s="62" t="str">
        <f>IFERROR(__xludf.DUMMYFUNCTION("QUERY('Volunteer Survey'!K332)"),"Clinical Actionability")</f>
        <v>Clinical Actionability</v>
      </c>
      <c r="S323" s="62" t="str">
        <f>IFERROR(__xludf.DUMMYFUNCTION("QUERY('Volunteer Survey'!L332)"),"Somatic Cancer")</f>
        <v>Somatic Cancer</v>
      </c>
      <c r="T323" s="62" t="str">
        <f>IFERROR(__xludf.DUMMYFUNCTION("QUERY('Volunteer Survey'!M332)"),"Dosage Sensitivity")</f>
        <v>Dosage Sensitivity</v>
      </c>
      <c r="U323" s="74" t="str">
        <f>IFERROR(__xludf.DUMMYFUNCTION("QUERY('Volunteer Survey'!N332)"),"Yes - performed variant analysis for NGS at CHOP and internally at Agilent")</f>
        <v>Yes - performed variant analysis for NGS at CHOP and internally at Agilent</v>
      </c>
      <c r="V323" s="62" t="str">
        <f>IFERROR(__xludf.DUMMYFUNCTION("QUERY('Volunteer Survey'!O332)"),"Yes")</f>
        <v>Yes</v>
      </c>
      <c r="W323" s="75" t="str">
        <f>IFERROR(__xludf.DUMMYFUNCTION("QUERY('Volunteer Survey'!P332)"),"")</f>
        <v/>
      </c>
      <c r="X323" s="74" t="str">
        <f>IFERROR(__xludf.DUMMYFUNCTION("QUERY('Volunteer Survey'!R332)"),"Maybe -- please contact me with other options, and I will decide based on what is available")</f>
        <v>Maybe -- please contact me with other options, and I will decide based on what is available</v>
      </c>
      <c r="Y323" s="61"/>
      <c r="Z323" s="62"/>
      <c r="AA323" s="62"/>
      <c r="AB323" s="62"/>
      <c r="AC323" s="62"/>
      <c r="AD323" s="62"/>
      <c r="AE323" s="62"/>
      <c r="AF323" s="62"/>
      <c r="AG323" s="62"/>
      <c r="AH323" s="62"/>
      <c r="AI323" s="62"/>
      <c r="AJ323" s="62"/>
      <c r="AK323" s="62"/>
      <c r="AL323" s="62"/>
      <c r="AM323" s="62"/>
      <c r="AN323" s="62"/>
      <c r="AO323" s="62"/>
    </row>
    <row r="324">
      <c r="A324" s="59">
        <f>IFERROR(__xludf.DUMMYFUNCTION("QUERY('Volunteer Survey'!A333)"),43755.77478533565)</f>
        <v>43755.77479</v>
      </c>
      <c r="B324" s="60" t="s">
        <v>340</v>
      </c>
      <c r="C324" s="61"/>
      <c r="D324" s="62"/>
      <c r="E324" s="62"/>
      <c r="F324" s="60" t="s">
        <v>182</v>
      </c>
      <c r="G324" s="60" t="s">
        <v>150</v>
      </c>
      <c r="H324" s="61"/>
      <c r="I324" s="61"/>
      <c r="J324" s="62"/>
      <c r="K324" s="62"/>
      <c r="L324" s="62" t="str">
        <f>IFERROR(__xludf.DUMMYFUNCTION("QUERY('Volunteer Survey'!B333)"),"KC Vavra")</f>
        <v>KC Vavra</v>
      </c>
      <c r="M324" s="62" t="str">
        <f>IFERROR(__xludf.DUMMYFUNCTION("QUERY('Volunteer Survey'!E333)"),"kc.vavra@agilent.com")</f>
        <v>kc.vavra@agilent.com</v>
      </c>
      <c r="N324" s="62" t="str">
        <f>IFERROR(__xludf.DUMMYFUNCTION("QUERY('Volunteer Survey'!F333)"),"Citizen Scientist/Patient Advocate")</f>
        <v>Citizen Scientist/Patient Advocate</v>
      </c>
      <c r="O324" s="60" t="str">
        <f>IFERROR(__xludf.DUMMYFUNCTION("QUERY('Volunteer Survey'!H333)"),"Comprehensive")</f>
        <v>Comprehensive</v>
      </c>
      <c r="P324" s="62" t="str">
        <f>IFERROR(__xludf.DUMMYFUNCTION("QUERY('Volunteer Survey'!I333)"),"Somatic Cancer")</f>
        <v>Somatic Cancer</v>
      </c>
      <c r="Q324" s="66" t="str">
        <f>IFERROR(__xludf.DUMMYFUNCTION("QUERY('Volunteer Survey'!J333)"),"Gene-Disease Validity")</f>
        <v>Gene-Disease Validity</v>
      </c>
      <c r="R324" s="62" t="str">
        <f>IFERROR(__xludf.DUMMYFUNCTION("QUERY('Volunteer Survey'!K333)"),"Clinical Actionability")</f>
        <v>Clinical Actionability</v>
      </c>
      <c r="S324" s="62" t="str">
        <f>IFERROR(__xludf.DUMMYFUNCTION("QUERY('Volunteer Survey'!L333)"),"Dosage Sensitivity")</f>
        <v>Dosage Sensitivity</v>
      </c>
      <c r="T324" s="62" t="str">
        <f>IFERROR(__xludf.DUMMYFUNCTION("QUERY('Volunteer Survey'!M333)"),"Variant Pathogenicity")</f>
        <v>Variant Pathogenicity</v>
      </c>
      <c r="U324" s="74" t="str">
        <f>IFERROR(__xludf.DUMMYFUNCTION("QUERY('Volunteer Survey'!N333)"),"Variant curation in tumor/normal matched samples in ovarian cancer for a private database. Currently assisting customers or Agilent with various curation databases and understanding of curated variants.")</f>
        <v>Variant curation in tumor/normal matched samples in ovarian cancer for a private database. Currently assisting customers or Agilent with various curation databases and understanding of curated variants.</v>
      </c>
      <c r="V324" s="62" t="str">
        <f>IFERROR(__xludf.DUMMYFUNCTION("QUERY('Volunteer Survey'!O333)"),"Possibly")</f>
        <v>Possibly</v>
      </c>
      <c r="W324" s="75" t="str">
        <f>IFERROR(__xludf.DUMMYFUNCTION("QUERY('Volunteer Survey'!P333)"),"")</f>
        <v/>
      </c>
      <c r="X324" s="74" t="str">
        <f>IFERROR(__xludf.DUMMYFUNCTION("QUERY('Volunteer Survey'!R333)"),"Maybe -- please contact me with other options, and I will decide based on what is available")</f>
        <v>Maybe -- please contact me with other options, and I will decide based on what is available</v>
      </c>
      <c r="Y324" s="61"/>
      <c r="Z324" s="62"/>
      <c r="AA324" s="62"/>
      <c r="AB324" s="62"/>
      <c r="AC324" s="62"/>
      <c r="AD324" s="62"/>
      <c r="AE324" s="62"/>
      <c r="AF324" s="62"/>
      <c r="AG324" s="62"/>
      <c r="AH324" s="62"/>
      <c r="AI324" s="62"/>
      <c r="AJ324" s="62"/>
      <c r="AK324" s="62"/>
      <c r="AL324" s="62"/>
      <c r="AM324" s="62"/>
      <c r="AN324" s="62"/>
      <c r="AO324" s="62"/>
    </row>
    <row r="325">
      <c r="A325" s="59">
        <f>IFERROR(__xludf.DUMMYFUNCTION("QUERY('Volunteer Survey'!A334)"),43756.68047160879)</f>
        <v>43756.68047</v>
      </c>
      <c r="B325" s="60" t="s">
        <v>340</v>
      </c>
      <c r="C325" s="61"/>
      <c r="D325" s="62"/>
      <c r="E325" s="62"/>
      <c r="F325" s="60" t="s">
        <v>182</v>
      </c>
      <c r="G325" s="60" t="s">
        <v>301</v>
      </c>
      <c r="H325" s="61"/>
      <c r="I325" s="61"/>
      <c r="J325" s="62"/>
      <c r="K325" s="62"/>
      <c r="L325" s="62" t="str">
        <f>IFERROR(__xludf.DUMMYFUNCTION("QUERY('Volunteer Survey'!B334)"),"Chisato Yamasaki")</f>
        <v>Chisato Yamasaki</v>
      </c>
      <c r="M325" s="62" t="str">
        <f>IFERROR(__xludf.DUMMYFUNCTION("QUERY('Volunteer Survey'!E334)"),"cyamasak@eth.med.osaka-u.ac.jp")</f>
        <v>cyamasak@eth.med.osaka-u.ac.jp</v>
      </c>
      <c r="N325" s="62" t="str">
        <f>IFERROR(__xludf.DUMMYFUNCTION("QUERY('Volunteer Survey'!F334)"),"Post Doc/Resident/Fellow (MD and/or PhD)")</f>
        <v>Post Doc/Resident/Fellow (MD and/or PhD)</v>
      </c>
      <c r="O325" s="60" t="str">
        <f>IFERROR(__xludf.DUMMYFUNCTION("QUERY('Volunteer Survey'!H334)"),"Baseline")</f>
        <v>Baseline</v>
      </c>
      <c r="P325" s="62" t="str">
        <f>IFERROR(__xludf.DUMMYFUNCTION("QUERY('Volunteer Survey'!I334)"),"Gene-Disease Validity")</f>
        <v>Gene-Disease Validity</v>
      </c>
      <c r="Q325" s="66" t="str">
        <f>IFERROR(__xludf.DUMMYFUNCTION("QUERY('Volunteer Survey'!J334)"),"Variant Pathogenicity")</f>
        <v>Variant Pathogenicity</v>
      </c>
      <c r="R325" s="62" t="str">
        <f>IFERROR(__xludf.DUMMYFUNCTION("QUERY('Volunteer Survey'!K334)"),"Clinical Actionability")</f>
        <v>Clinical Actionability</v>
      </c>
      <c r="S325" s="62" t="str">
        <f>IFERROR(__xludf.DUMMYFUNCTION("QUERY('Volunteer Survey'!L334)"),"")</f>
        <v/>
      </c>
      <c r="T325" s="62" t="str">
        <f>IFERROR(__xludf.DUMMYFUNCTION("QUERY('Volunteer Survey'!M334)"),"")</f>
        <v/>
      </c>
      <c r="U325" s="74" t="str">
        <f>IFERROR(__xludf.DUMMYFUNCTION("QUERY('Volunteer Survey'!N334)"),"H-inv")</f>
        <v>H-inv</v>
      </c>
      <c r="V325" s="62" t="str">
        <f>IFERROR(__xludf.DUMMYFUNCTION("QUERY('Volunteer Survey'!O334)"),"Yes")</f>
        <v>Yes</v>
      </c>
      <c r="W325" s="75" t="str">
        <f>IFERROR(__xludf.DUMMYFUNCTION("QUERY('Volunteer Survey'!P334)"),"")</f>
        <v/>
      </c>
      <c r="X325" s="74" t="str">
        <f>IFERROR(__xludf.DUMMYFUNCTION("QUERY('Volunteer Survey'!R334)"),"No - I am only interested in the group(s) I previously indicated")</f>
        <v>No - I am only interested in the group(s) I previously indicated</v>
      </c>
      <c r="Y325" s="61"/>
      <c r="Z325" s="62"/>
      <c r="AA325" s="62"/>
      <c r="AB325" s="62"/>
      <c r="AC325" s="62"/>
      <c r="AD325" s="62"/>
      <c r="AE325" s="62"/>
      <c r="AF325" s="62"/>
      <c r="AG325" s="62"/>
      <c r="AH325" s="62"/>
      <c r="AI325" s="62"/>
      <c r="AJ325" s="62"/>
      <c r="AK325" s="62"/>
      <c r="AL325" s="62"/>
      <c r="AM325" s="62"/>
      <c r="AN325" s="62"/>
      <c r="AO325" s="62"/>
    </row>
    <row r="326">
      <c r="A326" s="59">
        <f>IFERROR(__xludf.DUMMYFUNCTION("QUERY('Volunteer Survey'!A335)"),43758.702828981484)</f>
        <v>43758.70283</v>
      </c>
      <c r="B326" s="60" t="s">
        <v>275</v>
      </c>
      <c r="C326" s="80">
        <v>43819.0</v>
      </c>
      <c r="D326" s="85">
        <v>43846.0</v>
      </c>
      <c r="E326" s="60" t="s">
        <v>277</v>
      </c>
      <c r="F326" s="60" t="s">
        <v>182</v>
      </c>
      <c r="G326" s="60" t="s">
        <v>278</v>
      </c>
      <c r="H326" s="61"/>
      <c r="I326" s="61"/>
      <c r="J326" s="62"/>
      <c r="K326" s="62"/>
      <c r="L326" s="62" t="str">
        <f>IFERROR(__xludf.DUMMYFUNCTION("QUERY('Volunteer Survey'!B335)"),"Beth Stronach")</f>
        <v>Beth Stronach</v>
      </c>
      <c r="M326" s="62" t="str">
        <f>IFERROR(__xludf.DUMMYFUNCTION("QUERY('Volunteer Survey'!E335)"),"stronach@pitt.edu")</f>
        <v>stronach@pitt.edu</v>
      </c>
      <c r="N326" s="62" t="str">
        <f>IFERROR(__xludf.DUMMYFUNCTION("QUERY('Volunteer Survey'!F335)"),"Scientific Researcher")</f>
        <v>Scientific Researcher</v>
      </c>
      <c r="O326" s="60" t="str">
        <f>IFERROR(__xludf.DUMMYFUNCTION("QUERY('Volunteer Survey'!H335)"),"Comprehensive")</f>
        <v>Comprehensive</v>
      </c>
      <c r="P326" s="62" t="str">
        <f>IFERROR(__xludf.DUMMYFUNCTION("QUERY('Volunteer Survey'!I335)"),"Gene-Disease Validity")</f>
        <v>Gene-Disease Validity</v>
      </c>
      <c r="Q326" s="66" t="str">
        <f>IFERROR(__xludf.DUMMYFUNCTION("QUERY('Volunteer Survey'!J335)"),"Variant Pathogenicity")</f>
        <v>Variant Pathogenicity</v>
      </c>
      <c r="R326" s="62" t="str">
        <f>IFERROR(__xludf.DUMMYFUNCTION("QUERY('Volunteer Survey'!K335)"),"Clinical Actionability")</f>
        <v>Clinical Actionability</v>
      </c>
      <c r="S326" s="62" t="str">
        <f>IFERROR(__xludf.DUMMYFUNCTION("QUERY('Volunteer Survey'!L335)"),"Somatic Cancer")</f>
        <v>Somatic Cancer</v>
      </c>
      <c r="T326" s="62" t="str">
        <f>IFERROR(__xludf.DUMMYFUNCTION("QUERY('Volunteer Survey'!M335)"),"Dosage Sensitivity")</f>
        <v>Dosage Sensitivity</v>
      </c>
      <c r="U326" s="74" t="str">
        <f>IFERROR(__xludf.DUMMYFUNCTION("QUERY('Volunteer Survey'!N335)"),"Not formally, but as a practicing basic research scientist for over a decade, and a molecular biologist and developmental geneticist by training, I could be useful.")</f>
        <v>Not formally, but as a practicing basic research scientist for over a decade, and a molecular biologist and developmental geneticist by training, I could be useful.</v>
      </c>
      <c r="V326" s="62" t="str">
        <f>IFERROR(__xludf.DUMMYFUNCTION("QUERY('Volunteer Survey'!O335)"),"Possibly")</f>
        <v>Possibly</v>
      </c>
      <c r="W326" s="75" t="str">
        <f>IFERROR(__xludf.DUMMYFUNCTION("QUERY('Volunteer Survey'!P335)"),"RASopathy, neurodevelopmental, or myopathy groups")</f>
        <v>RASopathy, neurodevelopmental, or myopathy groups</v>
      </c>
      <c r="X326" s="74" t="str">
        <f>IFERROR(__xludf.DUMMYFUNCTION("QUERY('Volunteer Survey'!R335)"),"Yes- I am willing to volunteer with any available ClinGen group")</f>
        <v>Yes- I am willing to volunteer with any available ClinGen group</v>
      </c>
      <c r="Y326" s="61"/>
      <c r="Z326" s="62"/>
      <c r="AA326" s="62"/>
      <c r="AB326" s="62"/>
      <c r="AC326" s="62"/>
      <c r="AD326" s="62"/>
      <c r="AE326" s="62"/>
      <c r="AF326" s="62"/>
      <c r="AG326" s="62"/>
      <c r="AH326" s="62"/>
      <c r="AI326" s="62"/>
      <c r="AJ326" s="62"/>
      <c r="AK326" s="62"/>
      <c r="AL326" s="62"/>
      <c r="AM326" s="62"/>
      <c r="AN326" s="62"/>
      <c r="AO326" s="62"/>
    </row>
    <row r="327">
      <c r="A327" s="59">
        <f>IFERROR(__xludf.DUMMYFUNCTION("QUERY('Volunteer Survey'!A336)"),43759.36184341435)</f>
        <v>43759.36184</v>
      </c>
      <c r="B327" s="60" t="s">
        <v>340</v>
      </c>
      <c r="C327" s="61"/>
      <c r="D327" s="62"/>
      <c r="E327" s="62"/>
      <c r="F327" s="60" t="s">
        <v>182</v>
      </c>
      <c r="G327" s="60" t="s">
        <v>150</v>
      </c>
      <c r="H327" s="61"/>
      <c r="I327" s="61"/>
      <c r="J327" s="62"/>
      <c r="K327" s="62"/>
      <c r="L327" s="62" t="str">
        <f>IFERROR(__xludf.DUMMYFUNCTION("QUERY('Volunteer Survey'!B336)"),"Eileen Chen")</f>
        <v>Eileen Chen</v>
      </c>
      <c r="M327" s="62" t="str">
        <f>IFERROR(__xludf.DUMMYFUNCTION("QUERY('Volunteer Survey'!E336)"),"eileen.chen.x.q@sgh.com.sg")</f>
        <v>eileen.chen.x.q@sgh.com.sg</v>
      </c>
      <c r="N327" s="62" t="str">
        <f>IFERROR(__xludf.DUMMYFUNCTION("QUERY('Volunteer Survey'!F336)"),"Variant Analyst/Scientist - Academic")</f>
        <v>Variant Analyst/Scientist - Academic</v>
      </c>
      <c r="O327" s="60" t="str">
        <f>IFERROR(__xludf.DUMMYFUNCTION("QUERY('Volunteer Survey'!H336)"),"Comprehensive")</f>
        <v>Comprehensive</v>
      </c>
      <c r="P327" s="62" t="str">
        <f>IFERROR(__xludf.DUMMYFUNCTION("QUERY('Volunteer Survey'!I336)"),"Somatic Cancer")</f>
        <v>Somatic Cancer</v>
      </c>
      <c r="Q327" s="66" t="str">
        <f>IFERROR(__xludf.DUMMYFUNCTION("QUERY('Volunteer Survey'!J336)"),"Clinical Actionability")</f>
        <v>Clinical Actionability</v>
      </c>
      <c r="R327" s="62" t="str">
        <f>IFERROR(__xludf.DUMMYFUNCTION("QUERY('Volunteer Survey'!K336)"),"Dosage Sensitivity")</f>
        <v>Dosage Sensitivity</v>
      </c>
      <c r="S327" s="62" t="str">
        <f>IFERROR(__xludf.DUMMYFUNCTION("QUERY('Volunteer Survey'!L336)"),"Variant Pathogenicity")</f>
        <v>Variant Pathogenicity</v>
      </c>
      <c r="T327" s="62" t="str">
        <f>IFERROR(__xludf.DUMMYFUNCTION("QUERY('Volunteer Survey'!M336)"),"Gene-Disease Validity")</f>
        <v>Gene-Disease Validity</v>
      </c>
      <c r="U327" s="74" t="str">
        <f>IFERROR(__xludf.DUMMYFUNCTION("QUERY('Volunteer Survey'!N336)"),"No, only minimal training. ")</f>
        <v>No, only minimal training. </v>
      </c>
      <c r="V327" s="62" t="str">
        <f>IFERROR(__xludf.DUMMYFUNCTION("QUERY('Volunteer Survey'!O336)"),"Yes")</f>
        <v>Yes</v>
      </c>
      <c r="W327" s="75" t="str">
        <f>IFERROR(__xludf.DUMMYFUNCTION("QUERY('Volunteer Survey'!P336)"),"Yes. Somatic Cancer Working Group as the first choice.")</f>
        <v>Yes. Somatic Cancer Working Group as the first choice.</v>
      </c>
      <c r="X327" s="74" t="str">
        <f>IFERROR(__xludf.DUMMYFUNCTION("QUERY('Volunteer Survey'!R336)"),"Yes- I am willing to volunteer with any available ClinGen group")</f>
        <v>Yes- I am willing to volunteer with any available ClinGen group</v>
      </c>
      <c r="Y327" s="61"/>
      <c r="Z327" s="62"/>
      <c r="AA327" s="62"/>
      <c r="AB327" s="62"/>
      <c r="AC327" s="62"/>
      <c r="AD327" s="62"/>
      <c r="AE327" s="62"/>
      <c r="AF327" s="62"/>
      <c r="AG327" s="62"/>
      <c r="AH327" s="62"/>
      <c r="AI327" s="62"/>
      <c r="AJ327" s="62"/>
      <c r="AK327" s="62"/>
      <c r="AL327" s="62"/>
      <c r="AM327" s="62"/>
      <c r="AN327" s="62"/>
      <c r="AO327" s="62"/>
    </row>
    <row r="328">
      <c r="A328" s="59">
        <f>IFERROR(__xludf.DUMMYFUNCTION("QUERY('Volunteer Survey'!A337)"),43760.48148934028)</f>
        <v>43760.48149</v>
      </c>
      <c r="B328" s="60" t="s">
        <v>275</v>
      </c>
      <c r="C328" s="80">
        <v>43819.0</v>
      </c>
      <c r="D328" s="62"/>
      <c r="E328" s="62"/>
      <c r="F328" s="60" t="s">
        <v>277</v>
      </c>
      <c r="G328" s="60" t="s">
        <v>288</v>
      </c>
      <c r="H328" s="61"/>
      <c r="I328" s="61"/>
      <c r="J328" s="62"/>
      <c r="K328" s="62"/>
      <c r="L328" s="62" t="str">
        <f>IFERROR(__xludf.DUMMYFUNCTION("QUERY('Volunteer Survey'!B337)"),"Jennifer Sloan")</f>
        <v>Jennifer Sloan</v>
      </c>
      <c r="M328" s="62" t="str">
        <f>IFERROR(__xludf.DUMMYFUNCTION("QUERY('Volunteer Survey'!E337)"),"jsloan@mail.nih.gov")</f>
        <v>jsloan@mail.nih.gov</v>
      </c>
      <c r="N328" s="62" t="str">
        <f>IFERROR(__xludf.DUMMYFUNCTION("QUERY('Volunteer Survey'!F337)"),"Genetic counselor")</f>
        <v>Genetic counselor</v>
      </c>
      <c r="O328" s="60" t="str">
        <f>IFERROR(__xludf.DUMMYFUNCTION("QUERY('Volunteer Survey'!H337)"),"Comprehensive")</f>
        <v>Comprehensive</v>
      </c>
      <c r="P328" s="62" t="str">
        <f>IFERROR(__xludf.DUMMYFUNCTION("QUERY('Volunteer Survey'!I337)"),"Variant Pathogenicity")</f>
        <v>Variant Pathogenicity</v>
      </c>
      <c r="Q328" s="66" t="str">
        <f>IFERROR(__xludf.DUMMYFUNCTION("QUERY('Volunteer Survey'!J337)"),"Gene-Disease Validity")</f>
        <v>Gene-Disease Validity</v>
      </c>
      <c r="R328" s="62" t="str">
        <f>IFERROR(__xludf.DUMMYFUNCTION("QUERY('Volunteer Survey'!K337)"),"Clinical Actionability")</f>
        <v>Clinical Actionability</v>
      </c>
      <c r="S328" s="62" t="str">
        <f>IFERROR(__xludf.DUMMYFUNCTION("QUERY('Volunteer Survey'!L337)"),"Dosage Sensitivity")</f>
        <v>Dosage Sensitivity</v>
      </c>
      <c r="T328" s="62" t="str">
        <f>IFERROR(__xludf.DUMMYFUNCTION("QUERY('Volunteer Survey'!M337)"),"Somatic Cancer")</f>
        <v>Somatic Cancer</v>
      </c>
      <c r="U328" s="74" t="str">
        <f>IFERROR(__xludf.DUMMYFUNCTION("QUERY('Volunteer Survey'!N337)"),"I work on natural hx studies for MMA/cobalamin disorders and PA where we have evaluated &gt;200 affected individuals and am involved in reviewing and interpreting molecular genetic test results. Also recently completed fellowship in Clinical Molecular Geneti"&amp;"cs at NIH and took board exam in 8/2019.")</f>
        <v>I work on natural hx studies for MMA/cobalamin disorders and PA where we have evaluated &gt;200 affected individuals and am involved in reviewing and interpreting molecular genetic test results. Also recently completed fellowship in Clinical Molecular Genetics at NIH and took board exam in 8/2019.</v>
      </c>
      <c r="V328" s="62" t="str">
        <f>IFERROR(__xludf.DUMMYFUNCTION("QUERY('Volunteer Survey'!O337)"),"Possibly")</f>
        <v>Possibly</v>
      </c>
      <c r="W328" s="75" t="str">
        <f>IFERROR(__xludf.DUMMYFUNCTION("QUERY('Volunteer Survey'!P337)"),"OTC")</f>
        <v>OTC</v>
      </c>
      <c r="X328" s="74" t="str">
        <f>IFERROR(__xludf.DUMMYFUNCTION("QUERY('Volunteer Survey'!R337)"),"Maybe -- please contact me with other options, and I will decide based on what is available")</f>
        <v>Maybe -- please contact me with other options, and I will decide based on what is available</v>
      </c>
      <c r="Y328" s="61"/>
      <c r="Z328" s="62"/>
      <c r="AA328" s="62"/>
      <c r="AB328" s="62"/>
      <c r="AC328" s="62"/>
      <c r="AD328" s="62"/>
      <c r="AE328" s="62"/>
      <c r="AF328" s="62"/>
      <c r="AG328" s="62"/>
      <c r="AH328" s="62"/>
      <c r="AI328" s="62"/>
      <c r="AJ328" s="62"/>
      <c r="AK328" s="62"/>
      <c r="AL328" s="62"/>
      <c r="AM328" s="62"/>
      <c r="AN328" s="62"/>
      <c r="AO328" s="62"/>
    </row>
    <row r="329">
      <c r="A329" s="59">
        <f>IFERROR(__xludf.DUMMYFUNCTION("QUERY('Volunteer Survey'!A338)"),43761.40069155092)</f>
        <v>43761.40069</v>
      </c>
      <c r="B329" s="60" t="s">
        <v>275</v>
      </c>
      <c r="C329" s="80">
        <v>43819.0</v>
      </c>
      <c r="D329" s="62"/>
      <c r="E329" s="62"/>
      <c r="F329" s="60" t="s">
        <v>182</v>
      </c>
      <c r="G329" s="60" t="s">
        <v>278</v>
      </c>
      <c r="H329" s="61"/>
      <c r="I329" s="61"/>
      <c r="J329" s="62"/>
      <c r="K329" s="62"/>
      <c r="L329" s="62" t="str">
        <f>IFERROR(__xludf.DUMMYFUNCTION("QUERY('Volunteer Survey'!B338)"),"Vasiliki Rahimzadeh")</f>
        <v>Vasiliki Rahimzadeh</v>
      </c>
      <c r="M329" s="62" t="str">
        <f>IFERROR(__xludf.DUMMYFUNCTION("QUERY('Volunteer Survey'!E338)"),"vrahim@stanford.edu")</f>
        <v>vrahim@stanford.edu</v>
      </c>
      <c r="N329" s="62" t="str">
        <f>IFERROR(__xludf.DUMMYFUNCTION("QUERY('Volunteer Survey'!F338)"),"Postdoctoral fellow ")</f>
        <v>Postdoctoral fellow </v>
      </c>
      <c r="O329" s="60" t="str">
        <f>IFERROR(__xludf.DUMMYFUNCTION("QUERY('Volunteer Survey'!H338)"),"Comprehensive")</f>
        <v>Comprehensive</v>
      </c>
      <c r="P329" s="62" t="str">
        <f>IFERROR(__xludf.DUMMYFUNCTION("QUERY('Volunteer Survey'!I338)"),"Gene-Disease Validity")</f>
        <v>Gene-Disease Validity</v>
      </c>
      <c r="Q329" s="66" t="str">
        <f>IFERROR(__xludf.DUMMYFUNCTION("QUERY('Volunteer Survey'!J338)"),"Variant Pathogenicity")</f>
        <v>Variant Pathogenicity</v>
      </c>
      <c r="R329" s="62" t="str">
        <f>IFERROR(__xludf.DUMMYFUNCTION("QUERY('Volunteer Survey'!K338)"),"Somatic Cancer")</f>
        <v>Somatic Cancer</v>
      </c>
      <c r="S329" s="62" t="str">
        <f>IFERROR(__xludf.DUMMYFUNCTION("QUERY('Volunteer Survey'!L338)"),"")</f>
        <v/>
      </c>
      <c r="T329" s="62" t="str">
        <f>IFERROR(__xludf.DUMMYFUNCTION("QUERY('Volunteer Survey'!M338)"),"")</f>
        <v/>
      </c>
      <c r="U329" s="74" t="str">
        <f>IFERROR(__xludf.DUMMYFUNCTION("QUERY('Volunteer Survey'!N338)"),"No, but have a basic theoretical background of genomic/genetic science ")</f>
        <v>No, but have a basic theoretical background of genomic/genetic science </v>
      </c>
      <c r="V329" s="62" t="str">
        <f>IFERROR(__xludf.DUMMYFUNCTION("QUERY('Volunteer Survey'!O338)"),"Possibly")</f>
        <v>Possibly</v>
      </c>
      <c r="W329" s="75" t="str">
        <f>IFERROR(__xludf.DUMMYFUNCTION("QUERY('Volunteer Survey'!P338)"),"Yes, pediatric cancer or rare genetic disease ")</f>
        <v>Yes, pediatric cancer or rare genetic disease </v>
      </c>
      <c r="X329" s="74" t="str">
        <f>IFERROR(__xludf.DUMMYFUNCTION("QUERY('Volunteer Survey'!R338)"),"Yes- I am willing to volunteer with any available ClinGen group")</f>
        <v>Yes- I am willing to volunteer with any available ClinGen group</v>
      </c>
      <c r="Y329" s="61"/>
      <c r="Z329" s="62"/>
      <c r="AA329" s="62"/>
      <c r="AB329" s="62"/>
      <c r="AC329" s="62"/>
      <c r="AD329" s="62"/>
      <c r="AE329" s="62"/>
      <c r="AF329" s="62"/>
      <c r="AG329" s="62"/>
      <c r="AH329" s="62"/>
      <c r="AI329" s="62"/>
      <c r="AJ329" s="62"/>
      <c r="AK329" s="62"/>
      <c r="AL329" s="62"/>
      <c r="AM329" s="62"/>
      <c r="AN329" s="62"/>
      <c r="AO329" s="62"/>
    </row>
    <row r="330">
      <c r="A330" s="59">
        <f>IFERROR(__xludf.DUMMYFUNCTION("QUERY('Volunteer Survey'!A339)"),43761.512264895835)</f>
        <v>43761.51226</v>
      </c>
      <c r="B330" s="60" t="s">
        <v>275</v>
      </c>
      <c r="C330" s="80">
        <v>43819.0</v>
      </c>
      <c r="D330" s="62"/>
      <c r="E330" s="62"/>
      <c r="F330" s="60" t="s">
        <v>182</v>
      </c>
      <c r="G330" s="60" t="s">
        <v>288</v>
      </c>
      <c r="H330" s="61"/>
      <c r="I330" s="61"/>
      <c r="J330" s="62"/>
      <c r="K330" s="62"/>
      <c r="L330" s="62" t="str">
        <f>IFERROR(__xludf.DUMMYFUNCTION("QUERY('Volunteer Survey'!B339)"),"Guadalupe Carvajal")</f>
        <v>Guadalupe Carvajal</v>
      </c>
      <c r="M330" s="62" t="str">
        <f>IFERROR(__xludf.DUMMYFUNCTION("QUERY('Volunteer Survey'!E339)"),"gcarvajal18@students.kgi.edu")</f>
        <v>gcarvajal18@students.kgi.edu</v>
      </c>
      <c r="N330" s="62" t="str">
        <f>IFERROR(__xludf.DUMMYFUNCTION("QUERY('Volunteer Survey'!F339)"),"Genetic counselor")</f>
        <v>Genetic counselor</v>
      </c>
      <c r="O330" s="60" t="str">
        <f>IFERROR(__xludf.DUMMYFUNCTION("QUERY('Volunteer Survey'!H339)"),"Comprehensive")</f>
        <v>Comprehensive</v>
      </c>
      <c r="P330" s="62" t="str">
        <f>IFERROR(__xludf.DUMMYFUNCTION("QUERY('Volunteer Survey'!I339)"),"Variant Pathogenicity")</f>
        <v>Variant Pathogenicity</v>
      </c>
      <c r="Q330" s="66" t="str">
        <f>IFERROR(__xludf.DUMMYFUNCTION("QUERY('Volunteer Survey'!J339)"),"Clinical Actionability")</f>
        <v>Clinical Actionability</v>
      </c>
      <c r="R330" s="62" t="str">
        <f>IFERROR(__xludf.DUMMYFUNCTION("QUERY('Volunteer Survey'!K339)"),"Somatic Cancer")</f>
        <v>Somatic Cancer</v>
      </c>
      <c r="S330" s="62" t="str">
        <f>IFERROR(__xludf.DUMMYFUNCTION("QUERY('Volunteer Survey'!L339)"),"Dosage Sensitivity")</f>
        <v>Dosage Sensitivity</v>
      </c>
      <c r="T330" s="62" t="str">
        <f>IFERROR(__xludf.DUMMYFUNCTION("QUERY('Volunteer Survey'!M339)"),"Gene-Disease Validity")</f>
        <v>Gene-Disease Validity</v>
      </c>
      <c r="U330" s="74" t="str">
        <f>IFERROR(__xludf.DUMMYFUNCTION("QUERY('Volunteer Survey'!N339)"),"Very basic work done in class")</f>
        <v>Very basic work done in class</v>
      </c>
      <c r="V330" s="62" t="str">
        <f>IFERROR(__xludf.DUMMYFUNCTION("QUERY('Volunteer Survey'!O339)"),"Yes")</f>
        <v>Yes</v>
      </c>
      <c r="W330" s="75" t="str">
        <f>IFERROR(__xludf.DUMMYFUNCTION("QUERY('Volunteer Survey'!P339)"),"")</f>
        <v/>
      </c>
      <c r="X330" s="74" t="str">
        <f>IFERROR(__xludf.DUMMYFUNCTION("QUERY('Volunteer Survey'!R339)"),"")</f>
        <v/>
      </c>
      <c r="Y330" s="61"/>
      <c r="Z330" s="62"/>
      <c r="AA330" s="62"/>
      <c r="AB330" s="62"/>
      <c r="AC330" s="62"/>
      <c r="AD330" s="62"/>
      <c r="AE330" s="62"/>
      <c r="AF330" s="62"/>
      <c r="AG330" s="62"/>
      <c r="AH330" s="62"/>
      <c r="AI330" s="62"/>
      <c r="AJ330" s="62"/>
      <c r="AK330" s="62"/>
      <c r="AL330" s="62"/>
      <c r="AM330" s="62"/>
      <c r="AN330" s="62"/>
      <c r="AO330" s="62"/>
    </row>
    <row r="331">
      <c r="A331" s="59">
        <f>IFERROR(__xludf.DUMMYFUNCTION("QUERY('Volunteer Survey'!A340)"),43762.71625583333)</f>
        <v>43762.71626</v>
      </c>
      <c r="B331" s="60" t="s">
        <v>275</v>
      </c>
      <c r="C331" s="80">
        <v>43819.0</v>
      </c>
      <c r="D331" s="62"/>
      <c r="E331" s="62"/>
      <c r="F331" s="60" t="s">
        <v>182</v>
      </c>
      <c r="G331" s="60" t="s">
        <v>288</v>
      </c>
      <c r="H331" s="61"/>
      <c r="I331" s="61"/>
      <c r="J331" s="62"/>
      <c r="K331" s="62"/>
      <c r="L331" s="62" t="str">
        <f>IFERROR(__xludf.DUMMYFUNCTION("QUERY('Volunteer Survey'!B340)"),"Liang Guo")</f>
        <v>Liang Guo</v>
      </c>
      <c r="M331" s="62" t="str">
        <f>IFERROR(__xludf.DUMMYFUNCTION("QUERY('Volunteer Survey'!E340)"),"lguo@cvpath.org")</f>
        <v>lguo@cvpath.org</v>
      </c>
      <c r="N331" s="62" t="str">
        <f>IFERROR(__xludf.DUMMYFUNCTION("QUERY('Volunteer Survey'!F340)"),"Scientific Researcher")</f>
        <v>Scientific Researcher</v>
      </c>
      <c r="O331" s="60" t="str">
        <f>IFERROR(__xludf.DUMMYFUNCTION("QUERY('Volunteer Survey'!H340)"),"Comprehensive")</f>
        <v>Comprehensive</v>
      </c>
      <c r="P331" s="62" t="str">
        <f>IFERROR(__xludf.DUMMYFUNCTION("QUERY('Volunteer Survey'!I340)"),"Variant Pathogenicity")</f>
        <v>Variant Pathogenicity</v>
      </c>
      <c r="Q331" s="66" t="str">
        <f>IFERROR(__xludf.DUMMYFUNCTION("QUERY('Volunteer Survey'!J340)"),"Gene-Disease Validity")</f>
        <v>Gene-Disease Validity</v>
      </c>
      <c r="R331" s="62" t="str">
        <f>IFERROR(__xludf.DUMMYFUNCTION("QUERY('Volunteer Survey'!K340)"),"Clinical Actionability")</f>
        <v>Clinical Actionability</v>
      </c>
      <c r="S331" s="62" t="str">
        <f>IFERROR(__xludf.DUMMYFUNCTION("QUERY('Volunteer Survey'!L340)"),"Dosage Sensitivity")</f>
        <v>Dosage Sensitivity</v>
      </c>
      <c r="T331" s="62" t="str">
        <f>IFERROR(__xludf.DUMMYFUNCTION("QUERY('Volunteer Survey'!M340)"),"Somatic Cancer")</f>
        <v>Somatic Cancer</v>
      </c>
      <c r="U331" s="74" t="str">
        <f>IFERROR(__xludf.DUMMYFUNCTION("QUERY('Volunteer Survey'!N340)"),"Yes, curation of hypertrophic cardiomyopathy")</f>
        <v>Yes, curation of hypertrophic cardiomyopathy</v>
      </c>
      <c r="V331" s="62" t="str">
        <f>IFERROR(__xludf.DUMMYFUNCTION("QUERY('Volunteer Survey'!O340)"),"Yes")</f>
        <v>Yes</v>
      </c>
      <c r="W331" s="75" t="str">
        <f>IFERROR(__xludf.DUMMYFUNCTION("QUERY('Volunteer Survey'!P340)"),"Cardiovascular working group")</f>
        <v>Cardiovascular working group</v>
      </c>
      <c r="X331" s="74" t="str">
        <f>IFERROR(__xludf.DUMMYFUNCTION("QUERY('Volunteer Survey'!R340)"),"No - I am only interested in the group(s) I previously indicated")</f>
        <v>No - I am only interested in the group(s) I previously indicated</v>
      </c>
      <c r="Y331" s="61"/>
      <c r="Z331" s="62"/>
      <c r="AA331" s="62"/>
      <c r="AB331" s="62"/>
      <c r="AC331" s="62"/>
      <c r="AD331" s="62"/>
      <c r="AE331" s="62"/>
      <c r="AF331" s="62"/>
      <c r="AG331" s="62"/>
      <c r="AH331" s="62"/>
      <c r="AI331" s="62"/>
      <c r="AJ331" s="62"/>
      <c r="AK331" s="62"/>
      <c r="AL331" s="62"/>
      <c r="AM331" s="62"/>
      <c r="AN331" s="62"/>
      <c r="AO331" s="62"/>
    </row>
    <row r="332">
      <c r="A332" s="59">
        <f>IFERROR(__xludf.DUMMYFUNCTION("QUERY('Volunteer Survey'!A341)"),43765.72616362268)</f>
        <v>43765.72616</v>
      </c>
      <c r="B332" s="60" t="s">
        <v>275</v>
      </c>
      <c r="C332" s="80">
        <v>43819.0</v>
      </c>
      <c r="D332" s="62"/>
      <c r="E332" s="62"/>
      <c r="F332" s="60" t="s">
        <v>182</v>
      </c>
      <c r="G332" s="60" t="s">
        <v>278</v>
      </c>
      <c r="H332" s="61"/>
      <c r="I332" s="61"/>
      <c r="J332" s="62"/>
      <c r="K332" s="62"/>
      <c r="L332" s="62" t="str">
        <f>IFERROR(__xludf.DUMMYFUNCTION("QUERY('Volunteer Survey'!B341)"),"Sha Tang")</f>
        <v>Sha Tang</v>
      </c>
      <c r="M332" s="62" t="str">
        <f>IFERROR(__xludf.DUMMYFUNCTION("QUERY('Volunteer Survey'!E341)"),"stang@wuxinextcode.cm")</f>
        <v>stang@wuxinextcode.cm</v>
      </c>
      <c r="N332" s="62" t="str">
        <f>IFERROR(__xludf.DUMMYFUNCTION("QUERY('Volunteer Survey'!F341)"),"Clinical laboratory geneticist")</f>
        <v>Clinical laboratory geneticist</v>
      </c>
      <c r="O332" s="60" t="str">
        <f>IFERROR(__xludf.DUMMYFUNCTION("QUERY('Volunteer Survey'!H341)"),"Comprehensive")</f>
        <v>Comprehensive</v>
      </c>
      <c r="P332" s="62" t="str">
        <f>IFERROR(__xludf.DUMMYFUNCTION("QUERY('Volunteer Survey'!I341)"),"Gene-Disease Validity")</f>
        <v>Gene-Disease Validity</v>
      </c>
      <c r="Q332" s="66" t="str">
        <f>IFERROR(__xludf.DUMMYFUNCTION("QUERY('Volunteer Survey'!J341)"),"Variant Pathogenicity")</f>
        <v>Variant Pathogenicity</v>
      </c>
      <c r="R332" s="62" t="str">
        <f>IFERROR(__xludf.DUMMYFUNCTION("QUERY('Volunteer Survey'!K341)"),"Dosage Sensitivity")</f>
        <v>Dosage Sensitivity</v>
      </c>
      <c r="S332" s="62" t="str">
        <f>IFERROR(__xludf.DUMMYFUNCTION("QUERY('Volunteer Survey'!L341)"),"Clinical Actionability")</f>
        <v>Clinical Actionability</v>
      </c>
      <c r="T332" s="62" t="str">
        <f>IFERROR(__xludf.DUMMYFUNCTION("QUERY('Volunteer Survey'!M341)"),"Somatic Cancer")</f>
        <v>Somatic Cancer</v>
      </c>
      <c r="U332" s="74" t="str">
        <f>IFERROR(__xludf.DUMMYFUNCTION("QUERY('Volunteer Survey'!N341)"),"Yes, my previous work at Ambry Genetics involved development clinical validity scheme and I am experienced in variant classifications.")</f>
        <v>Yes, my previous work at Ambry Genetics involved development clinical validity scheme and I am experienced in variant classifications.</v>
      </c>
      <c r="V332" s="62" t="str">
        <f>IFERROR(__xludf.DUMMYFUNCTION("QUERY('Volunteer Survey'!O341)"),"Yes")</f>
        <v>Yes</v>
      </c>
      <c r="W332" s="75" t="str">
        <f>IFERROR(__xludf.DUMMYFUNCTION("QUERY('Volunteer Survey'!P341)"),"Intellectual Disability and Autism, Mitochondrial Diseases")</f>
        <v>Intellectual Disability and Autism, Mitochondrial Diseases</v>
      </c>
      <c r="X332" s="74" t="str">
        <f>IFERROR(__xludf.DUMMYFUNCTION("QUERY('Volunteer Survey'!R341)"),"Maybe -- please contact me with other options, and I will decide based on what is available")</f>
        <v>Maybe -- please contact me with other options, and I will decide based on what is available</v>
      </c>
      <c r="Y332" s="61"/>
      <c r="Z332" s="62"/>
      <c r="AA332" s="62"/>
      <c r="AB332" s="62"/>
      <c r="AC332" s="62"/>
      <c r="AD332" s="62"/>
      <c r="AE332" s="62"/>
      <c r="AF332" s="62"/>
      <c r="AG332" s="62"/>
      <c r="AH332" s="62"/>
      <c r="AI332" s="62"/>
      <c r="AJ332" s="62"/>
      <c r="AK332" s="62"/>
      <c r="AL332" s="62"/>
      <c r="AM332" s="62"/>
      <c r="AN332" s="62"/>
      <c r="AO332" s="62"/>
    </row>
    <row r="333">
      <c r="A333" s="59">
        <f>IFERROR(__xludf.DUMMYFUNCTION("QUERY('Volunteer Survey'!A342)"),43766.53192383102)</f>
        <v>43766.53192</v>
      </c>
      <c r="B333" s="60" t="s">
        <v>340</v>
      </c>
      <c r="C333" s="61"/>
      <c r="D333" s="62"/>
      <c r="E333" s="62"/>
      <c r="F333" s="60" t="s">
        <v>182</v>
      </c>
      <c r="G333" s="60" t="s">
        <v>301</v>
      </c>
      <c r="H333" s="61"/>
      <c r="I333" s="61"/>
      <c r="J333" s="62"/>
      <c r="K333" s="62"/>
      <c r="L333" s="62" t="str">
        <f>IFERROR(__xludf.DUMMYFUNCTION("QUERY('Volunteer Survey'!B342)"),"Patrick Forny")</f>
        <v>Patrick Forny</v>
      </c>
      <c r="M333" s="62" t="str">
        <f>IFERROR(__xludf.DUMMYFUNCTION("QUERY('Volunteer Survey'!E342)"),"patrick.forny@kispi.uzh.ch")</f>
        <v>patrick.forny@kispi.uzh.ch</v>
      </c>
      <c r="N333" s="62" t="str">
        <f>IFERROR(__xludf.DUMMYFUNCTION("QUERY('Volunteer Survey'!F342)"),"Post Doc/Resident/Fellow (MD and/or PhD)")</f>
        <v>Post Doc/Resident/Fellow (MD and/or PhD)</v>
      </c>
      <c r="O333" s="60" t="str">
        <f>IFERROR(__xludf.DUMMYFUNCTION("QUERY('Volunteer Survey'!H342)"),"Baseline")</f>
        <v>Baseline</v>
      </c>
      <c r="P333" s="62" t="str">
        <f>IFERROR(__xludf.DUMMYFUNCTION("QUERY('Volunteer Survey'!I342)"),"Gene-Disease Validity, Variant Pathogenicity")</f>
        <v>Gene-Disease Validity, Variant Pathogenicity</v>
      </c>
      <c r="Q333" s="66" t="str">
        <f>IFERROR(__xludf.DUMMYFUNCTION("QUERY('Volunteer Survey'!J342)"),"Clinical Actionability")</f>
        <v>Clinical Actionability</v>
      </c>
      <c r="R333" s="62" t="str">
        <f>IFERROR(__xludf.DUMMYFUNCTION("QUERY('Volunteer Survey'!K342)"),"Dosage Sensitivity")</f>
        <v>Dosage Sensitivity</v>
      </c>
      <c r="S333" s="62" t="str">
        <f>IFERROR(__xludf.DUMMYFUNCTION("QUERY('Volunteer Survey'!L342)"),"Somatic Cancer")</f>
        <v>Somatic Cancer</v>
      </c>
      <c r="T333" s="62" t="str">
        <f>IFERROR(__xludf.DUMMYFUNCTION("QUERY('Volunteer Survey'!M342)"),"")</f>
        <v/>
      </c>
      <c r="U333" s="74" t="str">
        <f>IFERROR(__xludf.DUMMYFUNCTION("QUERY('Volunteer Survey'!N342)"),"")</f>
        <v/>
      </c>
      <c r="V333" s="62" t="str">
        <f>IFERROR(__xludf.DUMMYFUNCTION("QUERY('Volunteer Survey'!O342)"),"No")</f>
        <v>No</v>
      </c>
      <c r="W333" s="75" t="str">
        <f>IFERROR(__xludf.DUMMYFUNCTION("QUERY('Volunteer Survey'!P342)"),"")</f>
        <v/>
      </c>
      <c r="X333" s="74" t="str">
        <f>IFERROR(__xludf.DUMMYFUNCTION("QUERY('Volunteer Survey'!R342)"),"No - I am only interested in the group(s) I previously indicated")</f>
        <v>No - I am only interested in the group(s) I previously indicated</v>
      </c>
      <c r="Y333" s="61"/>
      <c r="Z333" s="62"/>
      <c r="AA333" s="62"/>
      <c r="AB333" s="62"/>
      <c r="AC333" s="62"/>
      <c r="AD333" s="62"/>
      <c r="AE333" s="62"/>
      <c r="AF333" s="62"/>
      <c r="AG333" s="62"/>
      <c r="AH333" s="62"/>
      <c r="AI333" s="62"/>
      <c r="AJ333" s="62"/>
      <c r="AK333" s="62"/>
      <c r="AL333" s="62"/>
      <c r="AM333" s="62"/>
      <c r="AN333" s="62"/>
      <c r="AO333" s="62"/>
    </row>
    <row r="334">
      <c r="A334" s="59">
        <f>IFERROR(__xludf.DUMMYFUNCTION("QUERY('Volunteer Survey'!A343)"),43767.202232766205)</f>
        <v>43767.20223</v>
      </c>
      <c r="B334" s="60" t="s">
        <v>340</v>
      </c>
      <c r="C334" s="61"/>
      <c r="D334" s="62"/>
      <c r="E334" s="62"/>
      <c r="F334" s="60" t="s">
        <v>182</v>
      </c>
      <c r="G334" s="60" t="s">
        <v>301</v>
      </c>
      <c r="H334" s="61"/>
      <c r="I334" s="61"/>
      <c r="J334" s="62"/>
      <c r="K334" s="62"/>
      <c r="L334" s="62" t="str">
        <f>IFERROR(__xludf.DUMMYFUNCTION("QUERY('Volunteer Survey'!B343)"),"Ximena Bonilla")</f>
        <v>Ximena Bonilla</v>
      </c>
      <c r="M334" s="62" t="str">
        <f>IFERROR(__xludf.DUMMYFUNCTION("QUERY('Volunteer Survey'!E343)"),"ximena.bonilla@inf.ethz.ch")</f>
        <v>ximena.bonilla@inf.ethz.ch</v>
      </c>
      <c r="N334" s="62" t="str">
        <f>IFERROR(__xludf.DUMMYFUNCTION("QUERY('Volunteer Survey'!F343)"),"Post Doc/Resident/Fellow (MD and/or PhD)")</f>
        <v>Post Doc/Resident/Fellow (MD and/or PhD)</v>
      </c>
      <c r="O334" s="60" t="str">
        <f>IFERROR(__xludf.DUMMYFUNCTION("QUERY('Volunteer Survey'!H343)"),"Baseline")</f>
        <v>Baseline</v>
      </c>
      <c r="P334" s="62" t="str">
        <f>IFERROR(__xludf.DUMMYFUNCTION("QUERY('Volunteer Survey'!I343)"),"Variant Pathogenicity")</f>
        <v>Variant Pathogenicity</v>
      </c>
      <c r="Q334" s="66" t="str">
        <f>IFERROR(__xludf.DUMMYFUNCTION("QUERY('Volunteer Survey'!J343)"),"Dosage Sensitivity")</f>
        <v>Dosage Sensitivity</v>
      </c>
      <c r="R334" s="62" t="str">
        <f>IFERROR(__xludf.DUMMYFUNCTION("QUERY('Volunteer Survey'!K343)"),"Gene-Disease Validity")</f>
        <v>Gene-Disease Validity</v>
      </c>
      <c r="S334" s="62" t="str">
        <f>IFERROR(__xludf.DUMMYFUNCTION("QUERY('Volunteer Survey'!L343)"),"")</f>
        <v/>
      </c>
      <c r="T334" s="62" t="str">
        <f>IFERROR(__xludf.DUMMYFUNCTION("QUERY('Volunteer Survey'!M343)"),"")</f>
        <v/>
      </c>
      <c r="U334" s="74" t="str">
        <f>IFERROR(__xludf.DUMMYFUNCTION("QUERY('Volunteer Survey'!N343)"),"Regarding ""Variant pathogenicity"", I carried out variant pathogenicity assessments for Mendelian disease routinely during my PhD, and have worked as a variant interpretation specialist at a medical genetics department (Universidad Autónoma de Nuevo León"&amp;", Mexico). Regarding ""dosage sensitivity"", I am currently working on the effect of mitochondria mutation burden in metabolic disorders (non-mitochondrial disorders). Regarding ""gene-disease validity"", I have medical training and although I am not a cl"&amp;"inical geneticist I have ample experience in genotype/phenotype associations and dissection of complex phenotypes and their link to genetics.")</f>
        <v>Regarding "Variant pathogenicity", I carried out variant pathogenicity assessments for Mendelian disease routinely during my PhD, and have worked as a variant interpretation specialist at a medical genetics department (Universidad Autónoma de Nuevo León, Mexico). Regarding "dosage sensitivity", I am currently working on the effect of mitochondria mutation burden in metabolic disorders (non-mitochondrial disorders). Regarding "gene-disease validity", I have medical training and although I am not a clinical geneticist I have ample experience in genotype/phenotype associations and dissection of complex phenotypes and their link to genetics.</v>
      </c>
      <c r="V334" s="62" t="str">
        <f>IFERROR(__xludf.DUMMYFUNCTION("QUERY('Volunteer Survey'!O343)"),"Possibly")</f>
        <v>Possibly</v>
      </c>
      <c r="W334" s="75" t="str">
        <f>IFERROR(__xludf.DUMMYFUNCTION("QUERY('Volunteer Survey'!P343)"),"")</f>
        <v/>
      </c>
      <c r="X334" s="74" t="str">
        <f>IFERROR(__xludf.DUMMYFUNCTION("QUERY('Volunteer Survey'!R343)"),"Yes- I am willing to volunteer with any available ClinGen group")</f>
        <v>Yes- I am willing to volunteer with any available ClinGen group</v>
      </c>
      <c r="Y334" s="61"/>
      <c r="Z334" s="62"/>
      <c r="AA334" s="62"/>
      <c r="AB334" s="62"/>
      <c r="AC334" s="62"/>
      <c r="AD334" s="62"/>
      <c r="AE334" s="62"/>
      <c r="AF334" s="62"/>
      <c r="AG334" s="62"/>
      <c r="AH334" s="62"/>
      <c r="AI334" s="62"/>
      <c r="AJ334" s="62"/>
      <c r="AK334" s="62"/>
      <c r="AL334" s="62"/>
      <c r="AM334" s="62"/>
      <c r="AN334" s="62"/>
      <c r="AO334" s="62"/>
    </row>
    <row r="335">
      <c r="A335" s="59">
        <f>IFERROR(__xludf.DUMMYFUNCTION("QUERY('Volunteer Survey'!A344)"),43767.624537407406)</f>
        <v>43767.62454</v>
      </c>
      <c r="B335" s="60" t="s">
        <v>275</v>
      </c>
      <c r="C335" s="80">
        <v>43819.0</v>
      </c>
      <c r="D335" s="62"/>
      <c r="E335" s="62"/>
      <c r="F335" s="60" t="s">
        <v>182</v>
      </c>
      <c r="G335" s="60" t="s">
        <v>278</v>
      </c>
      <c r="H335" s="61"/>
      <c r="I335" s="61"/>
      <c r="J335" s="62"/>
      <c r="K335" s="62"/>
      <c r="L335" s="62" t="str">
        <f>IFERROR(__xludf.DUMMYFUNCTION("QUERY('Volunteer Survey'!B344)"),"Steve Waring")</f>
        <v>Steve Waring</v>
      </c>
      <c r="M335" s="62" t="str">
        <f>IFERROR(__xludf.DUMMYFUNCTION("QUERY('Volunteer Survey'!E344)"),"stephen.waring@essentiahealth.org")</f>
        <v>stephen.waring@essentiahealth.org</v>
      </c>
      <c r="N335" s="62" t="str">
        <f>IFERROR(__xludf.DUMMYFUNCTION("QUERY('Volunteer Survey'!F344)"),"Scientific Researcher")</f>
        <v>Scientific Researcher</v>
      </c>
      <c r="O335" s="60" t="str">
        <f>IFERROR(__xludf.DUMMYFUNCTION("QUERY('Volunteer Survey'!H344)"),"Comprehensive")</f>
        <v>Comprehensive</v>
      </c>
      <c r="P335" s="62" t="str">
        <f>IFERROR(__xludf.DUMMYFUNCTION("QUERY('Volunteer Survey'!I344)"),"Gene-Disease Validity")</f>
        <v>Gene-Disease Validity</v>
      </c>
      <c r="Q335" s="66" t="str">
        <f>IFERROR(__xludf.DUMMYFUNCTION("QUERY('Volunteer Survey'!J344)"),"Clinical Actionability")</f>
        <v>Clinical Actionability</v>
      </c>
      <c r="R335" s="62" t="str">
        <f>IFERROR(__xludf.DUMMYFUNCTION("QUERY('Volunteer Survey'!K344)"),"")</f>
        <v/>
      </c>
      <c r="S335" s="62" t="str">
        <f>IFERROR(__xludf.DUMMYFUNCTION("QUERY('Volunteer Survey'!L344)"),"")</f>
        <v/>
      </c>
      <c r="T335" s="62" t="str">
        <f>IFERROR(__xludf.DUMMYFUNCTION("QUERY('Volunteer Survey'!M344)"),"")</f>
        <v/>
      </c>
      <c r="U335" s="74" t="str">
        <f>IFERROR(__xludf.DUMMYFUNCTION("QUERY('Volunteer Survey'!N344)"),"Genetic epidemiology research involving gene-gene and gene-env interactions; PGx")</f>
        <v>Genetic epidemiology research involving gene-gene and gene-env interactions; PGx</v>
      </c>
      <c r="V335" s="62" t="str">
        <f>IFERROR(__xludf.DUMMYFUNCTION("QUERY('Volunteer Survey'!O344)"),"No")</f>
        <v>No</v>
      </c>
      <c r="W335" s="75" t="str">
        <f>IFERROR(__xludf.DUMMYFUNCTION("QUERY('Volunteer Survey'!P344)"),"Open to assignment based on greatest need")</f>
        <v>Open to assignment based on greatest need</v>
      </c>
      <c r="X335" s="74" t="str">
        <f>IFERROR(__xludf.DUMMYFUNCTION("QUERY('Volunteer Survey'!R344)"),"Yes- I am willing to volunteer with any available ClinGen group")</f>
        <v>Yes- I am willing to volunteer with any available ClinGen group</v>
      </c>
      <c r="Y335" s="61"/>
      <c r="Z335" s="62"/>
      <c r="AA335" s="62"/>
      <c r="AB335" s="62"/>
      <c r="AC335" s="62"/>
      <c r="AD335" s="62"/>
      <c r="AE335" s="62"/>
      <c r="AF335" s="62"/>
      <c r="AG335" s="62"/>
      <c r="AH335" s="62"/>
      <c r="AI335" s="62"/>
      <c r="AJ335" s="62"/>
      <c r="AK335" s="62"/>
      <c r="AL335" s="62"/>
      <c r="AM335" s="62"/>
      <c r="AN335" s="62"/>
      <c r="AO335" s="62"/>
    </row>
    <row r="336">
      <c r="A336" s="59">
        <f>IFERROR(__xludf.DUMMYFUNCTION("QUERY('Volunteer Survey'!A345)"),43769.53906245371)</f>
        <v>43769.53906</v>
      </c>
      <c r="B336" s="60" t="s">
        <v>275</v>
      </c>
      <c r="C336" s="80">
        <v>43819.0</v>
      </c>
      <c r="D336" s="85">
        <v>43859.0</v>
      </c>
      <c r="E336" s="60" t="s">
        <v>277</v>
      </c>
      <c r="F336" s="60" t="s">
        <v>277</v>
      </c>
      <c r="G336" s="60" t="s">
        <v>288</v>
      </c>
      <c r="H336" s="61"/>
      <c r="I336" s="63" t="s">
        <v>342</v>
      </c>
      <c r="J336" s="62"/>
      <c r="K336" s="62"/>
      <c r="L336" s="62" t="str">
        <f>IFERROR(__xludf.DUMMYFUNCTION("QUERY('Volunteer Survey'!B345)"),"Abul Kalam Azad")</f>
        <v>Abul Kalam Azad</v>
      </c>
      <c r="M336" s="62" t="str">
        <f>IFERROR(__xludf.DUMMYFUNCTION("QUERY('Volunteer Survey'!E345)"),"azadak@gmail.com")</f>
        <v>azadak@gmail.com</v>
      </c>
      <c r="N336" s="62" t="str">
        <f>IFERROR(__xludf.DUMMYFUNCTION("QUERY('Volunteer Survey'!F345)"),"Post Doc/Resident/Fellow (MD and/or PhD)")</f>
        <v>Post Doc/Resident/Fellow (MD and/or PhD)</v>
      </c>
      <c r="O336" s="60" t="str">
        <f>IFERROR(__xludf.DUMMYFUNCTION("QUERY('Volunteer Survey'!H345)"),"Comprehensive")</f>
        <v>Comprehensive</v>
      </c>
      <c r="P336" s="62" t="str">
        <f>IFERROR(__xludf.DUMMYFUNCTION("QUERY('Volunteer Survey'!I345)"),"Variant Pathogenicity")</f>
        <v>Variant Pathogenicity</v>
      </c>
      <c r="Q336" s="66" t="str">
        <f>IFERROR(__xludf.DUMMYFUNCTION("QUERY('Volunteer Survey'!J345)"),"")</f>
        <v/>
      </c>
      <c r="R336" s="62" t="str">
        <f>IFERROR(__xludf.DUMMYFUNCTION("QUERY('Volunteer Survey'!K345)"),"")</f>
        <v/>
      </c>
      <c r="S336" s="62" t="str">
        <f>IFERROR(__xludf.DUMMYFUNCTION("QUERY('Volunteer Survey'!L345)"),"")</f>
        <v/>
      </c>
      <c r="T336" s="62" t="str">
        <f>IFERROR(__xludf.DUMMYFUNCTION("QUERY('Volunteer Survey'!M345)"),"")</f>
        <v/>
      </c>
      <c r="U336" s="74" t="str">
        <f>IFERROR(__xludf.DUMMYFUNCTION("QUERY('Volunteer Survey'!N345)"),"")</f>
        <v/>
      </c>
      <c r="V336" s="62" t="str">
        <f>IFERROR(__xludf.DUMMYFUNCTION("QUERY('Volunteer Survey'!O345)"),"Yes")</f>
        <v>Yes</v>
      </c>
      <c r="W336" s="75" t="str">
        <f>IFERROR(__xludf.DUMMYFUNCTION("QUERY('Volunteer Survey'!P345)"),"")</f>
        <v/>
      </c>
      <c r="X336" s="74" t="str">
        <f>IFERROR(__xludf.DUMMYFUNCTION("QUERY('Volunteer Survey'!R345)"),"Yes- I am willing to volunteer with any available ClinGen group")</f>
        <v>Yes- I am willing to volunteer with any available ClinGen group</v>
      </c>
      <c r="Y336" s="61"/>
      <c r="Z336" s="62"/>
      <c r="AA336" s="62"/>
      <c r="AB336" s="62"/>
      <c r="AC336" s="62"/>
      <c r="AD336" s="62"/>
      <c r="AE336" s="62"/>
      <c r="AF336" s="62"/>
      <c r="AG336" s="62"/>
      <c r="AH336" s="62"/>
      <c r="AI336" s="62"/>
      <c r="AJ336" s="62"/>
      <c r="AK336" s="62"/>
      <c r="AL336" s="62"/>
      <c r="AM336" s="62"/>
      <c r="AN336" s="62"/>
      <c r="AO336" s="62"/>
    </row>
    <row r="337">
      <c r="A337" s="59">
        <f>IFERROR(__xludf.DUMMYFUNCTION("QUERY('Volunteer Survey'!A346)"),43769.889063877315)</f>
        <v>43769.88906</v>
      </c>
      <c r="B337" s="60" t="s">
        <v>340</v>
      </c>
      <c r="C337" s="61"/>
      <c r="D337" s="62"/>
      <c r="E337" s="62"/>
      <c r="F337" s="60" t="s">
        <v>182</v>
      </c>
      <c r="G337" s="60" t="s">
        <v>301</v>
      </c>
      <c r="H337" s="61"/>
      <c r="I337" s="61"/>
      <c r="J337" s="62"/>
      <c r="K337" s="62"/>
      <c r="L337" s="62" t="str">
        <f>IFERROR(__xludf.DUMMYFUNCTION("QUERY('Volunteer Survey'!B346)"),"Lise Graversen")</f>
        <v>Lise Graversen</v>
      </c>
      <c r="M337" s="62" t="str">
        <f>IFERROR(__xludf.DUMMYFUNCTION("QUERY('Volunteer Survey'!E346)"),"lisega@rm.dk")</f>
        <v>lisega@rm.dk</v>
      </c>
      <c r="N337" s="62" t="str">
        <f>IFERROR(__xludf.DUMMYFUNCTION("QUERY('Volunteer Survey'!F346)"),"Clinical Medical Geneticist")</f>
        <v>Clinical Medical Geneticist</v>
      </c>
      <c r="O337" s="60" t="str">
        <f>IFERROR(__xludf.DUMMYFUNCTION("QUERY('Volunteer Survey'!H346)"),"Baseline")</f>
        <v>Baseline</v>
      </c>
      <c r="P337" s="62" t="str">
        <f>IFERROR(__xludf.DUMMYFUNCTION("QUERY('Volunteer Survey'!I346)"),"")</f>
        <v/>
      </c>
      <c r="Q337" s="66" t="str">
        <f>IFERROR(__xludf.DUMMYFUNCTION("QUERY('Volunteer Survey'!J346)"),"")</f>
        <v/>
      </c>
      <c r="R337" s="62" t="str">
        <f>IFERROR(__xludf.DUMMYFUNCTION("QUERY('Volunteer Survey'!K346)"),"")</f>
        <v/>
      </c>
      <c r="S337" s="62" t="str">
        <f>IFERROR(__xludf.DUMMYFUNCTION("QUERY('Volunteer Survey'!L346)"),"")</f>
        <v/>
      </c>
      <c r="T337" s="62" t="str">
        <f>IFERROR(__xludf.DUMMYFUNCTION("QUERY('Volunteer Survey'!M346)"),"")</f>
        <v/>
      </c>
      <c r="U337" s="74" t="str">
        <f>IFERROR(__xludf.DUMMYFUNCTION("QUERY('Volunteer Survey'!N346)"),"")</f>
        <v/>
      </c>
      <c r="V337" s="62" t="str">
        <f>IFERROR(__xludf.DUMMYFUNCTION("QUERY('Volunteer Survey'!O346)"),"No")</f>
        <v>No</v>
      </c>
      <c r="W337" s="75" t="str">
        <f>IFERROR(__xludf.DUMMYFUNCTION("QUERY('Volunteer Survey'!P346)"),"Insight mismatch repair")</f>
        <v>Insight mismatch repair</v>
      </c>
      <c r="X337" s="74" t="str">
        <f>IFERROR(__xludf.DUMMYFUNCTION("QUERY('Volunteer Survey'!R346)"),"No - I am only interested in the group(s) I previously indicated")</f>
        <v>No - I am only interested in the group(s) I previously indicated</v>
      </c>
      <c r="Y337" s="61"/>
      <c r="Z337" s="62"/>
      <c r="AA337" s="62"/>
      <c r="AB337" s="62"/>
      <c r="AC337" s="62"/>
      <c r="AD337" s="62"/>
      <c r="AE337" s="62"/>
      <c r="AF337" s="62"/>
      <c r="AG337" s="62"/>
      <c r="AH337" s="62"/>
      <c r="AI337" s="62"/>
      <c r="AJ337" s="62"/>
      <c r="AK337" s="62"/>
      <c r="AL337" s="62"/>
      <c r="AM337" s="62"/>
      <c r="AN337" s="62"/>
      <c r="AO337" s="62"/>
    </row>
    <row r="338">
      <c r="A338" s="59">
        <f>IFERROR(__xludf.DUMMYFUNCTION("QUERY('Volunteer Survey'!A347)"),43772.945721909724)</f>
        <v>43772.94572</v>
      </c>
      <c r="B338" s="60" t="s">
        <v>340</v>
      </c>
      <c r="C338" s="61"/>
      <c r="D338" s="62"/>
      <c r="E338" s="62"/>
      <c r="F338" s="60" t="s">
        <v>182</v>
      </c>
      <c r="G338" s="60" t="s">
        <v>301</v>
      </c>
      <c r="H338" s="61"/>
      <c r="I338" s="61"/>
      <c r="J338" s="62"/>
      <c r="K338" s="62"/>
      <c r="L338" s="62" t="str">
        <f>IFERROR(__xludf.DUMMYFUNCTION("QUERY('Volunteer Survey'!B347)"),"Ke Yu")</f>
        <v>Ke Yu</v>
      </c>
      <c r="M338" s="62" t="str">
        <f>IFERROR(__xludf.DUMMYFUNCTION("QUERY('Volunteer Survey'!E347)"),"yukefg@163.com")</f>
        <v>yukefg@163.com</v>
      </c>
      <c r="N338" s="62" t="str">
        <f>IFERROR(__xludf.DUMMYFUNCTION("QUERY('Volunteer Survey'!F347)"),"Clinical laboratory geneticist")</f>
        <v>Clinical laboratory geneticist</v>
      </c>
      <c r="O338" s="60" t="str">
        <f>IFERROR(__xludf.DUMMYFUNCTION("QUERY('Volunteer Survey'!H347)"),"Baseline")</f>
        <v>Baseline</v>
      </c>
      <c r="P338" s="62" t="str">
        <f>IFERROR(__xludf.DUMMYFUNCTION("QUERY('Volunteer Survey'!I347)"),"Variant Pathogenicity")</f>
        <v>Variant Pathogenicity</v>
      </c>
      <c r="Q338" s="66" t="str">
        <f>IFERROR(__xludf.DUMMYFUNCTION("QUERY('Volunteer Survey'!J347)"),"Gene-Disease Validity")</f>
        <v>Gene-Disease Validity</v>
      </c>
      <c r="R338" s="62" t="str">
        <f>IFERROR(__xludf.DUMMYFUNCTION("QUERY('Volunteer Survey'!K347)"),"Somatic Cancer")</f>
        <v>Somatic Cancer</v>
      </c>
      <c r="S338" s="62" t="str">
        <f>IFERROR(__xludf.DUMMYFUNCTION("QUERY('Volunteer Survey'!L347)"),"Dosage Sensitivity")</f>
        <v>Dosage Sensitivity</v>
      </c>
      <c r="T338" s="62" t="str">
        <f>IFERROR(__xludf.DUMMYFUNCTION("QUERY('Volunteer Survey'!M347)"),"Clinical Actionability")</f>
        <v>Clinical Actionability</v>
      </c>
      <c r="U338" s="74" t="str">
        <f>IFERROR(__xludf.DUMMYFUNCTION("QUERY('Volunteer Survey'!N347)"),"")</f>
        <v/>
      </c>
      <c r="V338" s="62" t="str">
        <f>IFERROR(__xludf.DUMMYFUNCTION("QUERY('Volunteer Survey'!O347)"),"Yes")</f>
        <v>Yes</v>
      </c>
      <c r="W338" s="75" t="str">
        <f>IFERROR(__xludf.DUMMYFUNCTION("QUERY('Volunteer Survey'!P347)"),"")</f>
        <v/>
      </c>
      <c r="X338" s="74" t="str">
        <f>IFERROR(__xludf.DUMMYFUNCTION("QUERY('Volunteer Survey'!R347)"),"Yes- I am willing to volunteer with any available ClinGen group")</f>
        <v>Yes- I am willing to volunteer with any available ClinGen group</v>
      </c>
      <c r="Y338" s="61"/>
      <c r="Z338" s="62"/>
      <c r="AA338" s="62"/>
      <c r="AB338" s="62"/>
      <c r="AC338" s="62"/>
      <c r="AD338" s="62"/>
      <c r="AE338" s="62"/>
      <c r="AF338" s="62"/>
      <c r="AG338" s="62"/>
      <c r="AH338" s="62"/>
      <c r="AI338" s="62"/>
      <c r="AJ338" s="62"/>
      <c r="AK338" s="62"/>
      <c r="AL338" s="62"/>
      <c r="AM338" s="62"/>
      <c r="AN338" s="62"/>
      <c r="AO338" s="62"/>
    </row>
    <row r="339">
      <c r="A339" s="59">
        <f>IFERROR(__xludf.DUMMYFUNCTION("QUERY('Volunteer Survey'!A348)"),43773.58556355324)</f>
        <v>43773.58556</v>
      </c>
      <c r="B339" s="60" t="s">
        <v>340</v>
      </c>
      <c r="C339" s="61"/>
      <c r="D339" s="62"/>
      <c r="E339" s="62"/>
      <c r="F339" s="60" t="s">
        <v>182</v>
      </c>
      <c r="G339" s="60" t="s">
        <v>301</v>
      </c>
      <c r="H339" s="61"/>
      <c r="I339" s="61"/>
      <c r="J339" s="62"/>
      <c r="K339" s="62"/>
      <c r="L339" s="62" t="str">
        <f>IFERROR(__xludf.DUMMYFUNCTION("QUERY('Volunteer Survey'!B348)"),"JELENA BREZO")</f>
        <v>JELENA BREZO</v>
      </c>
      <c r="M339" s="62" t="str">
        <f>IFERROR(__xludf.DUMMYFUNCTION("QUERY('Volunteer Survey'!E348)"),"dnalphabet@gmail.com")</f>
        <v>dnalphabet@gmail.com</v>
      </c>
      <c r="N339" s="62" t="str">
        <f>IFERROR(__xludf.DUMMYFUNCTION("QUERY('Volunteer Survey'!F348)"),"Clinical laboratory geneticist")</f>
        <v>Clinical laboratory geneticist</v>
      </c>
      <c r="O339" s="60" t="str">
        <f>IFERROR(__xludf.DUMMYFUNCTION("QUERY('Volunteer Survey'!H348)"),"Baseline")</f>
        <v>Baseline</v>
      </c>
      <c r="P339" s="62" t="str">
        <f>IFERROR(__xludf.DUMMYFUNCTION("QUERY('Volunteer Survey'!I348)"),"Clinical Actionability")</f>
        <v>Clinical Actionability</v>
      </c>
      <c r="Q339" s="66" t="str">
        <f>IFERROR(__xludf.DUMMYFUNCTION("QUERY('Volunteer Survey'!J348)"),"Gene-Disease Validity")</f>
        <v>Gene-Disease Validity</v>
      </c>
      <c r="R339" s="62" t="str">
        <f>IFERROR(__xludf.DUMMYFUNCTION("QUERY('Volunteer Survey'!K348)"),"Variant Pathogenicity")</f>
        <v>Variant Pathogenicity</v>
      </c>
      <c r="S339" s="62" t="str">
        <f>IFERROR(__xludf.DUMMYFUNCTION("QUERY('Volunteer Survey'!L348)"),"Somatic Cancer")</f>
        <v>Somatic Cancer</v>
      </c>
      <c r="T339" s="62" t="str">
        <f>IFERROR(__xludf.DUMMYFUNCTION("QUERY('Volunteer Survey'!M348)"),"Dosage Sensitivity")</f>
        <v>Dosage Sensitivity</v>
      </c>
      <c r="U339" s="74" t="str">
        <f>IFERROR(__xludf.DUMMYFUNCTION("QUERY('Volunteer Survey'!N348)"),"As a lab director, I reviewed interpretations for  a number of phenotypes")</f>
        <v>As a lab director, I reviewed interpretations for  a number of phenotypes</v>
      </c>
      <c r="V339" s="62" t="str">
        <f>IFERROR(__xludf.DUMMYFUNCTION("QUERY('Volunteer Survey'!O348)"),"Possibly")</f>
        <v>Possibly</v>
      </c>
      <c r="W339" s="75" t="str">
        <f>IFERROR(__xludf.DUMMYFUNCTION("QUERY('Volunteer Survey'!P348)"),"No specific interest")</f>
        <v>No specific interest</v>
      </c>
      <c r="X339" s="74" t="str">
        <f>IFERROR(__xludf.DUMMYFUNCTION("QUERY('Volunteer Survey'!R348)"),"Maybe -- please contact me with other options, and I will decide based on what is available")</f>
        <v>Maybe -- please contact me with other options, and I will decide based on what is available</v>
      </c>
      <c r="Y339" s="61"/>
      <c r="Z339" s="62"/>
      <c r="AA339" s="62"/>
      <c r="AB339" s="62"/>
      <c r="AC339" s="62"/>
      <c r="AD339" s="62"/>
      <c r="AE339" s="62"/>
      <c r="AF339" s="62"/>
      <c r="AG339" s="62"/>
      <c r="AH339" s="62"/>
      <c r="AI339" s="62"/>
      <c r="AJ339" s="62"/>
      <c r="AK339" s="62"/>
      <c r="AL339" s="62"/>
      <c r="AM339" s="62"/>
      <c r="AN339" s="62"/>
      <c r="AO339" s="62"/>
    </row>
    <row r="340">
      <c r="A340" s="59">
        <f>IFERROR(__xludf.DUMMYFUNCTION("QUERY('Volunteer Survey'!A349)"),43773.596221053245)</f>
        <v>43773.59622</v>
      </c>
      <c r="B340" s="60" t="s">
        <v>340</v>
      </c>
      <c r="C340" s="61"/>
      <c r="D340" s="62"/>
      <c r="E340" s="62"/>
      <c r="F340" s="60" t="s">
        <v>182</v>
      </c>
      <c r="G340" s="60" t="s">
        <v>150</v>
      </c>
      <c r="H340" s="61"/>
      <c r="I340" s="61"/>
      <c r="J340" s="62"/>
      <c r="K340" s="62"/>
      <c r="L340" s="62" t="str">
        <f>IFERROR(__xludf.DUMMYFUNCTION("QUERY('Volunteer Survey'!B349)"),"Qing Zhang")</f>
        <v>Qing Zhang</v>
      </c>
      <c r="M340" s="62" t="str">
        <f>IFERROR(__xludf.DUMMYFUNCTION("QUERY('Volunteer Survey'!E349)"),"qz1seattle@yahoo.com")</f>
        <v>qz1seattle@yahoo.com</v>
      </c>
      <c r="N340" s="62" t="str">
        <f>IFERROR(__xludf.DUMMYFUNCTION("QUERY('Volunteer Survey'!F349)"),"Scientific Researcher")</f>
        <v>Scientific Researcher</v>
      </c>
      <c r="O340" s="60" t="str">
        <f>IFERROR(__xludf.DUMMYFUNCTION("QUERY('Volunteer Survey'!H349)"),"Comprehensive")</f>
        <v>Comprehensive</v>
      </c>
      <c r="P340" s="62" t="str">
        <f>IFERROR(__xludf.DUMMYFUNCTION("QUERY('Volunteer Survey'!I349)"),"Somatic Cancer")</f>
        <v>Somatic Cancer</v>
      </c>
      <c r="Q340" s="66" t="str">
        <f>IFERROR(__xludf.DUMMYFUNCTION("QUERY('Volunteer Survey'!J349)"),"Variant Pathogenicity")</f>
        <v>Variant Pathogenicity</v>
      </c>
      <c r="R340" s="62" t="str">
        <f>IFERROR(__xludf.DUMMYFUNCTION("QUERY('Volunteer Survey'!K349)"),"Clinical Actionability")</f>
        <v>Clinical Actionability</v>
      </c>
      <c r="S340" s="62" t="str">
        <f>IFERROR(__xludf.DUMMYFUNCTION("QUERY('Volunteer Survey'!L349)"),"")</f>
        <v/>
      </c>
      <c r="T340" s="62" t="str">
        <f>IFERROR(__xludf.DUMMYFUNCTION("QUERY('Volunteer Survey'!M349)"),"")</f>
        <v/>
      </c>
      <c r="U340" s="74" t="str">
        <f>IFERROR(__xludf.DUMMYFUNCTION("QUERY('Volunteer Survey'!N349)"),"")</f>
        <v/>
      </c>
      <c r="V340" s="62" t="str">
        <f>IFERROR(__xludf.DUMMYFUNCTION("QUERY('Volunteer Survey'!O349)"),"Possibly")</f>
        <v>Possibly</v>
      </c>
      <c r="W340" s="75" t="str">
        <f>IFERROR(__xludf.DUMMYFUNCTION("QUERY('Volunteer Survey'!P349)"),"Somatic Cancer Working Group")</f>
        <v>Somatic Cancer Working Group</v>
      </c>
      <c r="X340" s="74" t="str">
        <f>IFERROR(__xludf.DUMMYFUNCTION("QUERY('Volunteer Survey'!R349)"),"Maybe -- please contact me with other options, and I will decide based on what is available")</f>
        <v>Maybe -- please contact me with other options, and I will decide based on what is available</v>
      </c>
      <c r="Y340" s="61"/>
      <c r="Z340" s="62"/>
      <c r="AA340" s="62"/>
      <c r="AB340" s="62"/>
      <c r="AC340" s="62"/>
      <c r="AD340" s="62"/>
      <c r="AE340" s="62"/>
      <c r="AF340" s="62"/>
      <c r="AG340" s="62"/>
      <c r="AH340" s="62"/>
      <c r="AI340" s="62"/>
      <c r="AJ340" s="62"/>
      <c r="AK340" s="62"/>
      <c r="AL340" s="62"/>
      <c r="AM340" s="62"/>
      <c r="AN340" s="62"/>
      <c r="AO340" s="62"/>
    </row>
    <row r="341">
      <c r="A341" s="59">
        <f>IFERROR(__xludf.DUMMYFUNCTION("QUERY('Volunteer Survey'!A350)"),43775.928431423614)</f>
        <v>43775.92843</v>
      </c>
      <c r="B341" s="60" t="s">
        <v>340</v>
      </c>
      <c r="C341" s="61"/>
      <c r="D341" s="62"/>
      <c r="E341" s="62"/>
      <c r="F341" s="60" t="s">
        <v>182</v>
      </c>
      <c r="G341" s="60" t="s">
        <v>301</v>
      </c>
      <c r="H341" s="61"/>
      <c r="I341" s="61"/>
      <c r="J341" s="62"/>
      <c r="K341" s="62"/>
      <c r="L341" s="62" t="str">
        <f>IFERROR(__xludf.DUMMYFUNCTION("QUERY('Volunteer Survey'!B350)"),"Cassandra Barrett")</f>
        <v>Cassandra Barrett</v>
      </c>
      <c r="M341" s="62" t="str">
        <f>IFERROR(__xludf.DUMMYFUNCTION("QUERY('Volunteer Survey'!E350)"),"cas9bar@gmail.com")</f>
        <v>cas9bar@gmail.com</v>
      </c>
      <c r="N341" s="62" t="str">
        <f>IFERROR(__xludf.DUMMYFUNCTION("QUERY('Volunteer Survey'!F350)"),"PhD in genetic engineering; currently in a genetic counseling graduate program")</f>
        <v>PhD in genetic engineering; currently in a genetic counseling graduate program</v>
      </c>
      <c r="O341" s="60" t="str">
        <f>IFERROR(__xludf.DUMMYFUNCTION("QUERY('Volunteer Survey'!H350)"),"Comprehensive")</f>
        <v>Comprehensive</v>
      </c>
      <c r="P341" s="62" t="str">
        <f>IFERROR(__xludf.DUMMYFUNCTION("QUERY('Volunteer Survey'!I350)"),"Dosage Sensitivity")</f>
        <v>Dosage Sensitivity</v>
      </c>
      <c r="Q341" s="66" t="str">
        <f>IFERROR(__xludf.DUMMYFUNCTION("QUERY('Volunteer Survey'!J350)"),"Clinical Actionability")</f>
        <v>Clinical Actionability</v>
      </c>
      <c r="R341" s="62" t="str">
        <f>IFERROR(__xludf.DUMMYFUNCTION("QUERY('Volunteer Survey'!K350)"),"Gene-Disease Validity")</f>
        <v>Gene-Disease Validity</v>
      </c>
      <c r="S341" s="62" t="str">
        <f>IFERROR(__xludf.DUMMYFUNCTION("QUERY('Volunteer Survey'!L350)"),"Variant Pathogenicity")</f>
        <v>Variant Pathogenicity</v>
      </c>
      <c r="T341" s="62" t="str">
        <f>IFERROR(__xludf.DUMMYFUNCTION("QUERY('Volunteer Survey'!M350)"),"Somatic Cancer")</f>
        <v>Somatic Cancer</v>
      </c>
      <c r="U341" s="74" t="str">
        <f>IFERROR(__xludf.DUMMYFUNCTION("QUERY('Volunteer Survey'!N350)"),"I've done literature research before related to the effects of specific epigenetic modifiers on phenotype, but that's about it.")</f>
        <v>I've done literature research before related to the effects of specific epigenetic modifiers on phenotype, but that's about it.</v>
      </c>
      <c r="V341" s="62" t="str">
        <f>IFERROR(__xludf.DUMMYFUNCTION("QUERY('Volunteer Survey'!O350)"),"Possibly")</f>
        <v>Possibly</v>
      </c>
      <c r="W341" s="75" t="str">
        <f>IFERROR(__xludf.DUMMYFUNCTION("QUERY('Volunteer Survey'!P350)"),"")</f>
        <v/>
      </c>
      <c r="X341" s="74" t="str">
        <f>IFERROR(__xludf.DUMMYFUNCTION("QUERY('Volunteer Survey'!R350)"),"")</f>
        <v/>
      </c>
      <c r="Y341" s="61"/>
      <c r="Z341" s="62"/>
      <c r="AA341" s="62"/>
      <c r="AB341" s="62"/>
      <c r="AC341" s="62"/>
      <c r="AD341" s="62"/>
      <c r="AE341" s="62"/>
      <c r="AF341" s="62"/>
      <c r="AG341" s="62"/>
      <c r="AH341" s="62"/>
      <c r="AI341" s="62"/>
      <c r="AJ341" s="62"/>
      <c r="AK341" s="62"/>
      <c r="AL341" s="62"/>
      <c r="AM341" s="62"/>
      <c r="AN341" s="62"/>
      <c r="AO341" s="62"/>
    </row>
    <row r="342">
      <c r="A342" s="59">
        <f>IFERROR(__xludf.DUMMYFUNCTION("QUERY('Volunteer Survey'!A351)"),43776.037574699076)</f>
        <v>43776.03757</v>
      </c>
      <c r="B342" s="60" t="s">
        <v>340</v>
      </c>
      <c r="C342" s="61"/>
      <c r="D342" s="62"/>
      <c r="E342" s="62"/>
      <c r="F342" s="60" t="s">
        <v>182</v>
      </c>
      <c r="G342" s="60" t="s">
        <v>301</v>
      </c>
      <c r="H342" s="61"/>
      <c r="I342" s="61"/>
      <c r="J342" s="62"/>
      <c r="K342" s="62"/>
      <c r="L342" s="62" t="str">
        <f>IFERROR(__xludf.DUMMYFUNCTION("QUERY('Volunteer Survey'!B351)"),"Punithavathi Sundaramurthy")</f>
        <v>Punithavathi Sundaramurthy</v>
      </c>
      <c r="M342" s="62" t="str">
        <f>IFERROR(__xludf.DUMMYFUNCTION("QUERY('Volunteer Survey'!E351)"),"PunitSundar95@gmail.com")</f>
        <v>PunitSundar95@gmail.com</v>
      </c>
      <c r="N342" s="62" t="str">
        <f>IFERROR(__xludf.DUMMYFUNCTION("QUERY('Volunteer Survey'!F351)"),"Graduate Student")</f>
        <v>Graduate Student</v>
      </c>
      <c r="O342" s="60" t="str">
        <f>IFERROR(__xludf.DUMMYFUNCTION("QUERY('Volunteer Survey'!H351)"),"Baseline")</f>
        <v>Baseline</v>
      </c>
      <c r="P342" s="62" t="str">
        <f>IFERROR(__xludf.DUMMYFUNCTION("QUERY('Volunteer Survey'!I351)"),"")</f>
        <v/>
      </c>
      <c r="Q342" s="66" t="str">
        <f>IFERROR(__xludf.DUMMYFUNCTION("QUERY('Volunteer Survey'!J351)"),"")</f>
        <v/>
      </c>
      <c r="R342" s="62" t="str">
        <f>IFERROR(__xludf.DUMMYFUNCTION("QUERY('Volunteer Survey'!K351)"),"")</f>
        <v/>
      </c>
      <c r="S342" s="62" t="str">
        <f>IFERROR(__xludf.DUMMYFUNCTION("QUERY('Volunteer Survey'!L351)"),"")</f>
        <v/>
      </c>
      <c r="T342" s="62" t="str">
        <f>IFERROR(__xludf.DUMMYFUNCTION("QUERY('Volunteer Survey'!M351)"),"")</f>
        <v/>
      </c>
      <c r="U342" s="74" t="str">
        <f>IFERROR(__xludf.DUMMYFUNCTION("QUERY('Volunteer Survey'!N351)"),"")</f>
        <v/>
      </c>
      <c r="V342" s="62" t="str">
        <f>IFERROR(__xludf.DUMMYFUNCTION("QUERY('Volunteer Survey'!O351)"),"Yes")</f>
        <v>Yes</v>
      </c>
      <c r="W342" s="75" t="str">
        <f>IFERROR(__xludf.DUMMYFUNCTION("QUERY('Volunteer Survey'!P351)"),"")</f>
        <v/>
      </c>
      <c r="X342" s="74" t="str">
        <f>IFERROR(__xludf.DUMMYFUNCTION("QUERY('Volunteer Survey'!R351)"),"Yes- I am willing to volunteer with any available ClinGen group")</f>
        <v>Yes- I am willing to volunteer with any available ClinGen group</v>
      </c>
      <c r="Y342" s="61"/>
      <c r="Z342" s="62"/>
      <c r="AA342" s="62"/>
      <c r="AB342" s="62"/>
      <c r="AC342" s="62"/>
      <c r="AD342" s="62"/>
      <c r="AE342" s="62"/>
      <c r="AF342" s="62"/>
      <c r="AG342" s="62"/>
      <c r="AH342" s="62"/>
      <c r="AI342" s="62"/>
      <c r="AJ342" s="62"/>
      <c r="AK342" s="62"/>
      <c r="AL342" s="62"/>
      <c r="AM342" s="62"/>
      <c r="AN342" s="62"/>
      <c r="AO342" s="62"/>
    </row>
    <row r="343">
      <c r="A343" s="59">
        <f>IFERROR(__xludf.DUMMYFUNCTION("QUERY('Volunteer Survey'!A352)"),43776.555087673616)</f>
        <v>43776.55509</v>
      </c>
      <c r="B343" s="60" t="s">
        <v>340</v>
      </c>
      <c r="C343" s="61"/>
      <c r="D343" s="62"/>
      <c r="E343" s="62"/>
      <c r="F343" s="60" t="s">
        <v>182</v>
      </c>
      <c r="G343" s="60" t="s">
        <v>301</v>
      </c>
      <c r="H343" s="61"/>
      <c r="I343" s="61"/>
      <c r="J343" s="62"/>
      <c r="K343" s="62"/>
      <c r="L343" s="62" t="str">
        <f>IFERROR(__xludf.DUMMYFUNCTION("QUERY('Volunteer Survey'!B352)"),"Madhulatha Pantrangi")</f>
        <v>Madhulatha Pantrangi</v>
      </c>
      <c r="M343" s="62" t="str">
        <f>IFERROR(__xludf.DUMMYFUNCTION("QUERY('Volunteer Survey'!E352)"),"madhu.pantrangi@preventiongenetics.com")</f>
        <v>madhu.pantrangi@preventiongenetics.com</v>
      </c>
      <c r="N343" s="62" t="str">
        <f>IFERROR(__xludf.DUMMYFUNCTION("QUERY('Volunteer Survey'!F352)"),"Clinical laboratory geneticist")</f>
        <v>Clinical laboratory geneticist</v>
      </c>
      <c r="O343" s="60" t="str">
        <f>IFERROR(__xludf.DUMMYFUNCTION("QUERY('Volunteer Survey'!H352)"),"Baseline")</f>
        <v>Baseline</v>
      </c>
      <c r="P343" s="62" t="str">
        <f>IFERROR(__xludf.DUMMYFUNCTION("QUERY('Volunteer Survey'!I352)"),"")</f>
        <v/>
      </c>
      <c r="Q343" s="66" t="str">
        <f>IFERROR(__xludf.DUMMYFUNCTION("QUERY('Volunteer Survey'!J352)"),"")</f>
        <v/>
      </c>
      <c r="R343" s="62" t="str">
        <f>IFERROR(__xludf.DUMMYFUNCTION("QUERY('Volunteer Survey'!K352)"),"")</f>
        <v/>
      </c>
      <c r="S343" s="62" t="str">
        <f>IFERROR(__xludf.DUMMYFUNCTION("QUERY('Volunteer Survey'!L352)"),"")</f>
        <v/>
      </c>
      <c r="T343" s="62" t="str">
        <f>IFERROR(__xludf.DUMMYFUNCTION("QUERY('Volunteer Survey'!M352)"),"")</f>
        <v/>
      </c>
      <c r="U343" s="74" t="str">
        <f>IFERROR(__xludf.DUMMYFUNCTION("QUERY('Volunteer Survey'!N352)"),"")</f>
        <v/>
      </c>
      <c r="V343" s="62" t="str">
        <f>IFERROR(__xludf.DUMMYFUNCTION("QUERY('Volunteer Survey'!O352)"),"Possibly")</f>
        <v>Possibly</v>
      </c>
      <c r="W343" s="75" t="str">
        <f>IFERROR(__xludf.DUMMYFUNCTION("QUERY('Volunteer Survey'!P352)"),"Peroxisomal Disorders ")</f>
        <v>Peroxisomal Disorders </v>
      </c>
      <c r="X343" s="74" t="str">
        <f>IFERROR(__xludf.DUMMYFUNCTION("QUERY('Volunteer Survey'!R352)"),"Maybe -- please contact me with other options, and I will decide based on what is available")</f>
        <v>Maybe -- please contact me with other options, and I will decide based on what is available</v>
      </c>
      <c r="Y343" s="61"/>
      <c r="Z343" s="62"/>
      <c r="AA343" s="62"/>
      <c r="AB343" s="62"/>
      <c r="AC343" s="62"/>
      <c r="AD343" s="62"/>
      <c r="AE343" s="62"/>
      <c r="AF343" s="62"/>
      <c r="AG343" s="62"/>
      <c r="AH343" s="62"/>
      <c r="AI343" s="62"/>
      <c r="AJ343" s="62"/>
      <c r="AK343" s="62"/>
      <c r="AL343" s="62"/>
      <c r="AM343" s="62"/>
      <c r="AN343" s="62"/>
      <c r="AO343" s="62"/>
    </row>
    <row r="344">
      <c r="A344" s="59">
        <f>IFERROR(__xludf.DUMMYFUNCTION("QUERY('Volunteer Survey'!A353)"),43777.2171097801)</f>
        <v>43777.21711</v>
      </c>
      <c r="B344" s="60" t="s">
        <v>275</v>
      </c>
      <c r="C344" s="80">
        <v>43819.0</v>
      </c>
      <c r="D344" s="62"/>
      <c r="E344" s="62"/>
      <c r="F344" s="60" t="s">
        <v>277</v>
      </c>
      <c r="G344" s="60" t="s">
        <v>288</v>
      </c>
      <c r="H344" s="61"/>
      <c r="I344" s="61"/>
      <c r="J344" s="62"/>
      <c r="K344" s="62"/>
      <c r="L344" s="62" t="str">
        <f>IFERROR(__xludf.DUMMYFUNCTION("QUERY('Volunteer Survey'!B353)"),"Celeste Bento")</f>
        <v>Celeste Bento</v>
      </c>
      <c r="M344" s="62" t="str">
        <f>IFERROR(__xludf.DUMMYFUNCTION("QUERY('Volunteer Survey'!E353)"),"celeste.bento@chuc.min-saude.pt")</f>
        <v>celeste.bento@chuc.min-saude.pt</v>
      </c>
      <c r="N344" s="62" t="str">
        <f>IFERROR(__xludf.DUMMYFUNCTION("QUERY('Volunteer Survey'!F353)"),"Clinical laboratory geneticist")</f>
        <v>Clinical laboratory geneticist</v>
      </c>
      <c r="O344" s="60" t="str">
        <f>IFERROR(__xludf.DUMMYFUNCTION("QUERY('Volunteer Survey'!H353)"),"Comprehensive")</f>
        <v>Comprehensive</v>
      </c>
      <c r="P344" s="62" t="str">
        <f>IFERROR(__xludf.DUMMYFUNCTION("QUERY('Volunteer Survey'!I353)"),"Variant Pathogenicity")</f>
        <v>Variant Pathogenicity</v>
      </c>
      <c r="Q344" s="66" t="str">
        <f>IFERROR(__xludf.DUMMYFUNCTION("QUERY('Volunteer Survey'!J353)"),"Gene-Disease Validity")</f>
        <v>Gene-Disease Validity</v>
      </c>
      <c r="R344" s="62" t="str">
        <f>IFERROR(__xludf.DUMMYFUNCTION("QUERY('Volunteer Survey'!K353)"),"Clinical Actionability")</f>
        <v>Clinical Actionability</v>
      </c>
      <c r="S344" s="62" t="str">
        <f>IFERROR(__xludf.DUMMYFUNCTION("QUERY('Volunteer Survey'!L353)"),"Dosage Sensitivity")</f>
        <v>Dosage Sensitivity</v>
      </c>
      <c r="T344" s="62" t="str">
        <f>IFERROR(__xludf.DUMMYFUNCTION("QUERY('Volunteer Survey'!M353)"),"Somatic Cancer")</f>
        <v>Somatic Cancer</v>
      </c>
      <c r="U344" s="74" t="str">
        <f>IFERROR(__xludf.DUMMYFUNCTION("QUERY('Volunteer Survey'!N353)"),"I need to apply the ACMG rules in my everyday work ")</f>
        <v>I need to apply the ACMG rules in my everyday work </v>
      </c>
      <c r="V344" s="62" t="str">
        <f>IFERROR(__xludf.DUMMYFUNCTION("QUERY('Volunteer Survey'!O353)"),"Possibly")</f>
        <v>Possibly</v>
      </c>
      <c r="W344" s="75" t="str">
        <f>IFERROR(__xludf.DUMMYFUNCTION("QUERY('Volunteer Survey'!P353)"),"I'm in the Core Task Team of ClinGen Haemoglobinopathy EP")</f>
        <v>I'm in the Core Task Team of ClinGen Haemoglobinopathy EP</v>
      </c>
      <c r="X344" s="74" t="str">
        <f>IFERROR(__xludf.DUMMYFUNCTION("QUERY('Volunteer Survey'!R353)"),"No - I am only interested in the group(s) I previously indicated")</f>
        <v>No - I am only interested in the group(s) I previously indicated</v>
      </c>
      <c r="Y344" s="61"/>
      <c r="Z344" s="62"/>
      <c r="AA344" s="62"/>
      <c r="AB344" s="62"/>
      <c r="AC344" s="62"/>
      <c r="AD344" s="62"/>
      <c r="AE344" s="62"/>
      <c r="AF344" s="62"/>
      <c r="AG344" s="62"/>
      <c r="AH344" s="62"/>
      <c r="AI344" s="62"/>
      <c r="AJ344" s="62"/>
      <c r="AK344" s="62"/>
      <c r="AL344" s="62"/>
      <c r="AM344" s="62"/>
      <c r="AN344" s="62"/>
      <c r="AO344" s="62"/>
    </row>
    <row r="345">
      <c r="A345" s="59">
        <f>IFERROR(__xludf.DUMMYFUNCTION("QUERY('Volunteer Survey'!A354)"),43777.537821550926)</f>
        <v>43777.53782</v>
      </c>
      <c r="B345" s="60" t="s">
        <v>340</v>
      </c>
      <c r="C345" s="61"/>
      <c r="D345" s="62"/>
      <c r="E345" s="62"/>
      <c r="F345" s="60" t="s">
        <v>182</v>
      </c>
      <c r="G345" s="60" t="s">
        <v>150</v>
      </c>
      <c r="H345" s="61"/>
      <c r="I345" s="61"/>
      <c r="J345" s="62"/>
      <c r="K345" s="62"/>
      <c r="L345" s="62" t="str">
        <f>IFERROR(__xludf.DUMMYFUNCTION("QUERY('Volunteer Survey'!B354)"),"Gokce Toruner")</f>
        <v>Gokce Toruner</v>
      </c>
      <c r="M345" s="62" t="str">
        <f>IFERROR(__xludf.DUMMYFUNCTION("QUERY('Volunteer Survey'!E354)"),"gatoruner@mdanderson.org")</f>
        <v>gatoruner@mdanderson.org</v>
      </c>
      <c r="N345" s="62" t="str">
        <f>IFERROR(__xludf.DUMMYFUNCTION("QUERY('Volunteer Survey'!F354)"),"Clinical laboratory geneticist")</f>
        <v>Clinical laboratory geneticist</v>
      </c>
      <c r="O345" s="60" t="str">
        <f>IFERROR(__xludf.DUMMYFUNCTION("QUERY('Volunteer Survey'!H354)"),"Comprehensive")</f>
        <v>Comprehensive</v>
      </c>
      <c r="P345" s="62" t="str">
        <f>IFERROR(__xludf.DUMMYFUNCTION("QUERY('Volunteer Survey'!I354)"),"Somatic Cancer")</f>
        <v>Somatic Cancer</v>
      </c>
      <c r="Q345" s="66" t="str">
        <f>IFERROR(__xludf.DUMMYFUNCTION("QUERY('Volunteer Survey'!J354)"),"")</f>
        <v/>
      </c>
      <c r="R345" s="62" t="str">
        <f>IFERROR(__xludf.DUMMYFUNCTION("QUERY('Volunteer Survey'!K354)"),"")</f>
        <v/>
      </c>
      <c r="S345" s="62" t="str">
        <f>IFERROR(__xludf.DUMMYFUNCTION("QUERY('Volunteer Survey'!L354)"),"")</f>
        <v/>
      </c>
      <c r="T345" s="62" t="str">
        <f>IFERROR(__xludf.DUMMYFUNCTION("QUERY('Volunteer Survey'!M354)"),"")</f>
        <v/>
      </c>
      <c r="U345" s="74" t="str">
        <f>IFERROR(__xludf.DUMMYFUNCTION("QUERY('Volunteer Survey'!N354)"),"")</f>
        <v/>
      </c>
      <c r="V345" s="62" t="str">
        <f>IFERROR(__xludf.DUMMYFUNCTION("QUERY('Volunteer Survey'!O354)"),"No")</f>
        <v>No</v>
      </c>
      <c r="W345" s="75" t="str">
        <f>IFERROR(__xludf.DUMMYFUNCTION("QUERY('Volunteer Survey'!P354)"),"Somatic Cancer")</f>
        <v>Somatic Cancer</v>
      </c>
      <c r="X345" s="74" t="str">
        <f>IFERROR(__xludf.DUMMYFUNCTION("QUERY('Volunteer Survey'!R354)"),"Maybe -- please contact me with other options, and I will decide based on what is available")</f>
        <v>Maybe -- please contact me with other options, and I will decide based on what is available</v>
      </c>
      <c r="Y345" s="61"/>
      <c r="Z345" s="62"/>
      <c r="AA345" s="62"/>
      <c r="AB345" s="62"/>
      <c r="AC345" s="62"/>
      <c r="AD345" s="62"/>
      <c r="AE345" s="62"/>
      <c r="AF345" s="62"/>
      <c r="AG345" s="62"/>
      <c r="AH345" s="62"/>
      <c r="AI345" s="62"/>
      <c r="AJ345" s="62"/>
      <c r="AK345" s="62"/>
      <c r="AL345" s="62"/>
      <c r="AM345" s="62"/>
      <c r="AN345" s="62"/>
      <c r="AO345" s="62"/>
    </row>
    <row r="346">
      <c r="A346" s="59">
        <f>IFERROR(__xludf.DUMMYFUNCTION("QUERY('Volunteer Survey'!A355)"),43777.94741894676)</f>
        <v>43777.94742</v>
      </c>
      <c r="B346" s="60" t="s">
        <v>340</v>
      </c>
      <c r="C346" s="61"/>
      <c r="D346" s="62"/>
      <c r="E346" s="62"/>
      <c r="F346" s="60" t="s">
        <v>182</v>
      </c>
      <c r="G346" s="60" t="s">
        <v>301</v>
      </c>
      <c r="H346" s="61"/>
      <c r="I346" s="61"/>
      <c r="J346" s="62"/>
      <c r="K346" s="62"/>
      <c r="L346" s="62" t="str">
        <f>IFERROR(__xludf.DUMMYFUNCTION("QUERY('Volunteer Survey'!B355)"),"rekha aaron")</f>
        <v>rekha aaron</v>
      </c>
      <c r="M346" s="62" t="str">
        <f>IFERROR(__xludf.DUMMYFUNCTION("QUERY('Volunteer Survey'!E355)"),"rekha.a@cmcvellore.ac.in")</f>
        <v>rekha.a@cmcvellore.ac.in</v>
      </c>
      <c r="N346" s="62" t="str">
        <f>IFERROR(__xludf.DUMMYFUNCTION("QUERY('Volunteer Survey'!F355)"),"Clinical laboratory geneticist")</f>
        <v>Clinical laboratory geneticist</v>
      </c>
      <c r="O346" s="60" t="str">
        <f>IFERROR(__xludf.DUMMYFUNCTION("QUERY('Volunteer Survey'!H355)"),"Baseline")</f>
        <v>Baseline</v>
      </c>
      <c r="P346" s="62" t="str">
        <f>IFERROR(__xludf.DUMMYFUNCTION("QUERY('Volunteer Survey'!I355)"),"Variant Pathogenicity")</f>
        <v>Variant Pathogenicity</v>
      </c>
      <c r="Q346" s="66" t="str">
        <f>IFERROR(__xludf.DUMMYFUNCTION("QUERY('Volunteer Survey'!J355)"),"Gene-Disease Validity")</f>
        <v>Gene-Disease Validity</v>
      </c>
      <c r="R346" s="62" t="str">
        <f>IFERROR(__xludf.DUMMYFUNCTION("QUERY('Volunteer Survey'!K355)"),"Dosage Sensitivity")</f>
        <v>Dosage Sensitivity</v>
      </c>
      <c r="S346" s="62" t="str">
        <f>IFERROR(__xludf.DUMMYFUNCTION("QUERY('Volunteer Survey'!L355)"),"Clinical Actionability")</f>
        <v>Clinical Actionability</v>
      </c>
      <c r="T346" s="62" t="str">
        <f>IFERROR(__xludf.DUMMYFUNCTION("QUERY('Volunteer Survey'!M355)"),"Somatic Cancer")</f>
        <v>Somatic Cancer</v>
      </c>
      <c r="U346" s="74" t="str">
        <f>IFERROR(__xludf.DUMMYFUNCTION("QUERY('Volunteer Survey'!N355)"),"My work regularly involved in variant analysis, interpretation &amp; reporting ")</f>
        <v>My work regularly involved in variant analysis, interpretation &amp; reporting </v>
      </c>
      <c r="V346" s="62" t="str">
        <f>IFERROR(__xludf.DUMMYFUNCTION("QUERY('Volunteer Survey'!O355)"),"Possibly")</f>
        <v>Possibly</v>
      </c>
      <c r="W346" s="75" t="str">
        <f>IFERROR(__xludf.DUMMYFUNCTION("QUERY('Volunteer Survey'!P355)"),"mitochondrial ,neurodevelopmental disorders,myopathies")</f>
        <v>mitochondrial ,neurodevelopmental disorders,myopathies</v>
      </c>
      <c r="X346" s="74" t="str">
        <f>IFERROR(__xludf.DUMMYFUNCTION("QUERY('Volunteer Survey'!R355)"),"Maybe -- please contact me with other options, and I will decide based on what is available")</f>
        <v>Maybe -- please contact me with other options, and I will decide based on what is available</v>
      </c>
      <c r="Y346" s="61"/>
      <c r="Z346" s="62"/>
      <c r="AA346" s="62"/>
      <c r="AB346" s="62"/>
      <c r="AC346" s="62"/>
      <c r="AD346" s="62"/>
      <c r="AE346" s="62"/>
      <c r="AF346" s="62"/>
      <c r="AG346" s="62"/>
      <c r="AH346" s="62"/>
      <c r="AI346" s="62"/>
      <c r="AJ346" s="62"/>
      <c r="AK346" s="62"/>
      <c r="AL346" s="62"/>
      <c r="AM346" s="62"/>
      <c r="AN346" s="62"/>
      <c r="AO346" s="62"/>
    </row>
    <row r="347">
      <c r="A347" s="59">
        <f>IFERROR(__xludf.DUMMYFUNCTION("QUERY('Volunteer Survey'!A356)"),43778.843209189814)</f>
        <v>43778.84321</v>
      </c>
      <c r="B347" s="60" t="s">
        <v>282</v>
      </c>
      <c r="C347" s="90">
        <v>44160.0</v>
      </c>
      <c r="D347" s="82">
        <v>43859.0</v>
      </c>
      <c r="E347" s="60" t="s">
        <v>277</v>
      </c>
      <c r="F347" s="60" t="s">
        <v>182</v>
      </c>
      <c r="G347" s="60" t="s">
        <v>27</v>
      </c>
      <c r="H347" s="61"/>
      <c r="I347" s="61"/>
      <c r="J347" s="62"/>
      <c r="K347" s="62"/>
      <c r="L347" s="62" t="str">
        <f>IFERROR(__xludf.DUMMYFUNCTION("QUERY('Volunteer Survey'!B356)"),"Larissa Waldman")</f>
        <v>Larissa Waldman</v>
      </c>
      <c r="M347" s="62" t="str">
        <f>IFERROR(__xludf.DUMMYFUNCTION("QUERY('Volunteer Survey'!E356)"),"larissa.waldman@gmail.com")</f>
        <v>larissa.waldman@gmail.com</v>
      </c>
      <c r="N347" s="62" t="str">
        <f>IFERROR(__xludf.DUMMYFUNCTION("QUERY('Volunteer Survey'!F356)"),"Genetic counselor")</f>
        <v>Genetic counselor</v>
      </c>
      <c r="O347" s="60" t="str">
        <f>IFERROR(__xludf.DUMMYFUNCTION("QUERY('Volunteer Survey'!H356)"),"Comprehensive")</f>
        <v>Comprehensive</v>
      </c>
      <c r="P347" s="62" t="str">
        <f>IFERROR(__xludf.DUMMYFUNCTION("QUERY('Volunteer Survey'!I356)"),"Clinical Actionability")</f>
        <v>Clinical Actionability</v>
      </c>
      <c r="Q347" s="66" t="str">
        <f>IFERROR(__xludf.DUMMYFUNCTION("QUERY('Volunteer Survey'!J356)"),"Gene-Disease Validity")</f>
        <v>Gene-Disease Validity</v>
      </c>
      <c r="R347" s="62" t="str">
        <f>IFERROR(__xludf.DUMMYFUNCTION("QUERY('Volunteer Survey'!K356)"),"Somatic Cancer")</f>
        <v>Somatic Cancer</v>
      </c>
      <c r="S347" s="62" t="str">
        <f>IFERROR(__xludf.DUMMYFUNCTION("QUERY('Volunteer Survey'!L356)"),"Variant Pathogenicity")</f>
        <v>Variant Pathogenicity</v>
      </c>
      <c r="T347" s="62" t="str">
        <f>IFERROR(__xludf.DUMMYFUNCTION("QUERY('Volunteer Survey'!M356)"),"Dosage Sensitivity")</f>
        <v>Dosage Sensitivity</v>
      </c>
      <c r="U347" s="74" t="str">
        <f>IFERROR(__xludf.DUMMYFUNCTION("QUERY('Volunteer Survey'!N356)"),"")</f>
        <v/>
      </c>
      <c r="V347" s="62" t="str">
        <f>IFERROR(__xludf.DUMMYFUNCTION("QUERY('Volunteer Survey'!O356)"),"No")</f>
        <v>No</v>
      </c>
      <c r="W347" s="75" t="str">
        <f>IFERROR(__xludf.DUMMYFUNCTION("QUERY('Volunteer Survey'!P356)"),"Hereditary cancer, myeloid malignancy, pediatric somatic")</f>
        <v>Hereditary cancer, myeloid malignancy, pediatric somatic</v>
      </c>
      <c r="X347" s="74" t="str">
        <f>IFERROR(__xludf.DUMMYFUNCTION("QUERY('Volunteer Survey'!R356)"),"Maybe -- please contact me with other options, and I will decide based on what is available")</f>
        <v>Maybe -- please contact me with other options, and I will decide based on what is available</v>
      </c>
      <c r="Y347" s="61"/>
      <c r="Z347" s="62"/>
      <c r="AA347" s="62"/>
      <c r="AB347" s="62"/>
      <c r="AC347" s="62"/>
      <c r="AD347" s="62"/>
      <c r="AE347" s="62"/>
      <c r="AF347" s="62"/>
      <c r="AG347" s="62"/>
      <c r="AH347" s="62"/>
      <c r="AI347" s="62"/>
      <c r="AJ347" s="62"/>
      <c r="AK347" s="62"/>
      <c r="AL347" s="62"/>
      <c r="AM347" s="62"/>
      <c r="AN347" s="62"/>
      <c r="AO347" s="62"/>
    </row>
    <row r="348">
      <c r="A348" s="59">
        <f>IFERROR(__xludf.DUMMYFUNCTION("QUERY('Volunteer Survey'!A357)"),43779.01428032407)</f>
        <v>43779.01428</v>
      </c>
      <c r="B348" s="60" t="s">
        <v>275</v>
      </c>
      <c r="C348" s="80">
        <v>43819.0</v>
      </c>
      <c r="D348" s="117">
        <v>43859.0</v>
      </c>
      <c r="E348" s="60" t="s">
        <v>277</v>
      </c>
      <c r="F348" s="60" t="s">
        <v>277</v>
      </c>
      <c r="G348" s="60" t="s">
        <v>288</v>
      </c>
      <c r="H348" s="61"/>
      <c r="I348" s="61"/>
      <c r="J348" s="62"/>
      <c r="K348" s="62"/>
      <c r="L348" s="62" t="str">
        <f>IFERROR(__xludf.DUMMYFUNCTION("QUERY('Volunteer Survey'!B357)"),"Prasad Rao Kopparapu")</f>
        <v>Prasad Rao Kopparapu</v>
      </c>
      <c r="M348" s="62" t="str">
        <f>IFERROR(__xludf.DUMMYFUNCTION("QUERY('Volunteer Survey'!E357)"),"prasaad82@gmail.com")</f>
        <v>prasaad82@gmail.com</v>
      </c>
      <c r="N348" s="62" t="str">
        <f>IFERROR(__xludf.DUMMYFUNCTION("QUERY('Volunteer Survey'!F357)"),"Post Doc/Resident/Fellow (MD and/or PhD)")</f>
        <v>Post Doc/Resident/Fellow (MD and/or PhD)</v>
      </c>
      <c r="O348" s="60" t="str">
        <f>IFERROR(__xludf.DUMMYFUNCTION("QUERY('Volunteer Survey'!H357)"),"Comprehensive")</f>
        <v>Comprehensive</v>
      </c>
      <c r="P348" s="62" t="str">
        <f>IFERROR(__xludf.DUMMYFUNCTION("QUERY('Volunteer Survey'!I357)"),"Variant Pathogenicity")</f>
        <v>Variant Pathogenicity</v>
      </c>
      <c r="Q348" s="66" t="str">
        <f>IFERROR(__xludf.DUMMYFUNCTION("QUERY('Volunteer Survey'!J357)"),"Gene-Disease Validity")</f>
        <v>Gene-Disease Validity</v>
      </c>
      <c r="R348" s="62" t="str">
        <f>IFERROR(__xludf.DUMMYFUNCTION("QUERY('Volunteer Survey'!K357)"),"Somatic Cancer")</f>
        <v>Somatic Cancer</v>
      </c>
      <c r="S348" s="62" t="str">
        <f>IFERROR(__xludf.DUMMYFUNCTION("QUERY('Volunteer Survey'!L357)"),"Dosage Sensitivity")</f>
        <v>Dosage Sensitivity</v>
      </c>
      <c r="T348" s="62" t="str">
        <f>IFERROR(__xludf.DUMMYFUNCTION("QUERY('Volunteer Survey'!M357)"),"Clinical Actionability")</f>
        <v>Clinical Actionability</v>
      </c>
      <c r="U348" s="74" t="str">
        <f>IFERROR(__xludf.DUMMYFUNCTION("QUERY('Volunteer Survey'!N357)"),"")</f>
        <v/>
      </c>
      <c r="V348" s="62" t="str">
        <f>IFERROR(__xludf.DUMMYFUNCTION("QUERY('Volunteer Survey'!O357)"),"Possibly")</f>
        <v>Possibly</v>
      </c>
      <c r="W348" s="75" t="str">
        <f>IFERROR(__xludf.DUMMYFUNCTION("QUERY('Volunteer Survey'!P357)"),"Variant Curation Expert Panels-TP53*, Somatic Cancer Working Group-Pediatric,")</f>
        <v>Variant Curation Expert Panels-TP53*, Somatic Cancer Working Group-Pediatric,</v>
      </c>
      <c r="X348" s="74" t="str">
        <f>IFERROR(__xludf.DUMMYFUNCTION("QUERY('Volunteer Survey'!R357)"),"Yes- I am willing to volunteer with any available ClinGen group")</f>
        <v>Yes- I am willing to volunteer with any available ClinGen group</v>
      </c>
      <c r="Y348" s="61"/>
      <c r="Z348" s="62"/>
      <c r="AA348" s="62"/>
      <c r="AB348" s="62"/>
      <c r="AC348" s="62"/>
      <c r="AD348" s="62"/>
      <c r="AE348" s="62"/>
      <c r="AF348" s="62"/>
      <c r="AG348" s="62"/>
      <c r="AH348" s="62"/>
      <c r="AI348" s="62"/>
      <c r="AJ348" s="62"/>
      <c r="AK348" s="62"/>
      <c r="AL348" s="62"/>
      <c r="AM348" s="62"/>
      <c r="AN348" s="62"/>
      <c r="AO348" s="62"/>
    </row>
    <row r="349">
      <c r="A349" s="59">
        <f>IFERROR(__xludf.DUMMYFUNCTION("QUERY('Volunteer Survey'!A358)"),43780.19700046296)</f>
        <v>43780.197</v>
      </c>
      <c r="B349" s="60" t="s">
        <v>275</v>
      </c>
      <c r="C349" s="80">
        <v>43819.0</v>
      </c>
      <c r="D349" s="62"/>
      <c r="E349" s="62"/>
      <c r="F349" s="60" t="s">
        <v>182</v>
      </c>
      <c r="G349" s="60" t="s">
        <v>278</v>
      </c>
      <c r="H349" s="61"/>
      <c r="I349" s="61"/>
      <c r="J349" s="62"/>
      <c r="K349" s="62"/>
      <c r="L349" s="62" t="str">
        <f>IFERROR(__xludf.DUMMYFUNCTION("QUERY('Volunteer Survey'!B358)"),"Mansour Zamanpoor")</f>
        <v>Mansour Zamanpoor</v>
      </c>
      <c r="M349" s="62" t="str">
        <f>IFERROR(__xludf.DUMMYFUNCTION("QUERY('Volunteer Survey'!E358)"),"mansour.zamanpoor@ccdhb.org.nz")</f>
        <v>mansour.zamanpoor@ccdhb.org.nz</v>
      </c>
      <c r="N349" s="62" t="str">
        <f>IFERROR(__xludf.DUMMYFUNCTION("QUERY('Volunteer Survey'!F358)"),"Clinical laboratory geneticist")</f>
        <v>Clinical laboratory geneticist</v>
      </c>
      <c r="O349" s="60" t="str">
        <f>IFERROR(__xludf.DUMMYFUNCTION("QUERY('Volunteer Survey'!H358)"),"Comprehensive")</f>
        <v>Comprehensive</v>
      </c>
      <c r="P349" s="62" t="str">
        <f>IFERROR(__xludf.DUMMYFUNCTION("QUERY('Volunteer Survey'!I358)"),"Gene-Disease Validity")</f>
        <v>Gene-Disease Validity</v>
      </c>
      <c r="Q349" s="66" t="str">
        <f>IFERROR(__xludf.DUMMYFUNCTION("QUERY('Volunteer Survey'!J358)"),"Variant Pathogenicity")</f>
        <v>Variant Pathogenicity</v>
      </c>
      <c r="R349" s="62" t="str">
        <f>IFERROR(__xludf.DUMMYFUNCTION("QUERY('Volunteer Survey'!K358)"),"Somatic Cancer")</f>
        <v>Somatic Cancer</v>
      </c>
      <c r="S349" s="62" t="str">
        <f>IFERROR(__xludf.DUMMYFUNCTION("QUERY('Volunteer Survey'!L358)"),"Clinical Actionability")</f>
        <v>Clinical Actionability</v>
      </c>
      <c r="T349" s="62" t="str">
        <f>IFERROR(__xludf.DUMMYFUNCTION("QUERY('Volunteer Survey'!M358)"),"Dosage Sensitivity")</f>
        <v>Dosage Sensitivity</v>
      </c>
      <c r="U349" s="74" t="str">
        <f>IFERROR(__xludf.DUMMYFUNCTION("QUERY('Volunteer Survey'!N358)"),"I am actively involved in variant curation in a diagnostic genomic laboratory ")</f>
        <v>I am actively involved in variant curation in a diagnostic genomic laboratory </v>
      </c>
      <c r="V349" s="62" t="str">
        <f>IFERROR(__xludf.DUMMYFUNCTION("QUERY('Volunteer Survey'!O358)"),"Yes")</f>
        <v>Yes</v>
      </c>
      <c r="W349" s="75" t="str">
        <f>IFERROR(__xludf.DUMMYFUNCTION("QUERY('Volunteer Survey'!P358)"),"")</f>
        <v/>
      </c>
      <c r="X349" s="74" t="str">
        <f>IFERROR(__xludf.DUMMYFUNCTION("QUERY('Volunteer Survey'!R358)"),"Maybe -- please contact me with other options, and I will decide based on what is available")</f>
        <v>Maybe -- please contact me with other options, and I will decide based on what is available</v>
      </c>
      <c r="Y349" s="61"/>
      <c r="Z349" s="62"/>
      <c r="AA349" s="62"/>
      <c r="AB349" s="62"/>
      <c r="AC349" s="62"/>
      <c r="AD349" s="62"/>
      <c r="AE349" s="62"/>
      <c r="AF349" s="62"/>
      <c r="AG349" s="62"/>
      <c r="AH349" s="62"/>
      <c r="AI349" s="62"/>
      <c r="AJ349" s="62"/>
      <c r="AK349" s="62"/>
      <c r="AL349" s="62"/>
      <c r="AM349" s="62"/>
      <c r="AN349" s="62"/>
      <c r="AO349" s="62"/>
    </row>
    <row r="350">
      <c r="A350" s="59">
        <f>IFERROR(__xludf.DUMMYFUNCTION("QUERY('Volunteer Survey'!A359)"),43780.37467388889)</f>
        <v>43780.37467</v>
      </c>
      <c r="B350" s="60" t="s">
        <v>282</v>
      </c>
      <c r="C350" s="90">
        <v>43808.0</v>
      </c>
      <c r="D350" s="82">
        <v>43859.0</v>
      </c>
      <c r="E350" s="60" t="s">
        <v>277</v>
      </c>
      <c r="F350" s="60" t="s">
        <v>182</v>
      </c>
      <c r="G350" s="60" t="s">
        <v>27</v>
      </c>
      <c r="H350" s="61"/>
      <c r="I350" s="61"/>
      <c r="J350" s="62"/>
      <c r="K350" s="62"/>
      <c r="L350" s="62" t="str">
        <f>IFERROR(__xludf.DUMMYFUNCTION("QUERY('Volunteer Survey'!B359)"),"Mark Shlapobersky")</f>
        <v>Mark Shlapobersky</v>
      </c>
      <c r="M350" s="62" t="str">
        <f>IFERROR(__xludf.DUMMYFUNCTION("QUERY('Volunteer Survey'!E359)"),"marks@bmc.gov.il")</f>
        <v>marks@bmc.gov.il</v>
      </c>
      <c r="N350" s="62" t="str">
        <f>IFERROR(__xludf.DUMMYFUNCTION("QUERY('Volunteer Survey'!F359)"),"Director of Pathology lab")</f>
        <v>Director of Pathology lab</v>
      </c>
      <c r="O350" s="60" t="str">
        <f>IFERROR(__xludf.DUMMYFUNCTION("QUERY('Volunteer Survey'!H359)"),"Comprehensive")</f>
        <v>Comprehensive</v>
      </c>
      <c r="P350" s="62" t="str">
        <f>IFERROR(__xludf.DUMMYFUNCTION("QUERY('Volunteer Survey'!I359)"),"Clinical Actionability")</f>
        <v>Clinical Actionability</v>
      </c>
      <c r="Q350" s="66" t="str">
        <f>IFERROR(__xludf.DUMMYFUNCTION("QUERY('Volunteer Survey'!J359)"),"Variant Pathogenicity")</f>
        <v>Variant Pathogenicity</v>
      </c>
      <c r="R350" s="62" t="str">
        <f>IFERROR(__xludf.DUMMYFUNCTION("QUERY('Volunteer Survey'!K359)"),"Somatic Cancer")</f>
        <v>Somatic Cancer</v>
      </c>
      <c r="S350" s="62" t="str">
        <f>IFERROR(__xludf.DUMMYFUNCTION("QUERY('Volunteer Survey'!L359)"),"Gene-Disease Validity")</f>
        <v>Gene-Disease Validity</v>
      </c>
      <c r="T350" s="62" t="str">
        <f>IFERROR(__xludf.DUMMYFUNCTION("QUERY('Volunteer Survey'!M359)"),"Dosage Sensitivity")</f>
        <v>Dosage Sensitivity</v>
      </c>
      <c r="U350" s="74" t="str">
        <f>IFERROR(__xludf.DUMMYFUNCTION("QUERY('Volunteer Survey'!N359)"),"I was a curator for Pathway Genomics and Human Longevity")</f>
        <v>I was a curator for Pathway Genomics and Human Longevity</v>
      </c>
      <c r="V350" s="62" t="str">
        <f>IFERROR(__xludf.DUMMYFUNCTION("QUERY('Volunteer Survey'!O359)"),"Yes")</f>
        <v>Yes</v>
      </c>
      <c r="W350" s="75" t="str">
        <f>IFERROR(__xludf.DUMMYFUNCTION("QUERY('Volunteer Survey'!P359)"),"")</f>
        <v/>
      </c>
      <c r="X350" s="74" t="str">
        <f>IFERROR(__xludf.DUMMYFUNCTION("QUERY('Volunteer Survey'!R359)"),"Yes- I am willing to volunteer with any available ClinGen group")</f>
        <v>Yes- I am willing to volunteer with any available ClinGen group</v>
      </c>
      <c r="Y350" s="61"/>
      <c r="Z350" s="62"/>
      <c r="AA350" s="62"/>
      <c r="AB350" s="62"/>
      <c r="AC350" s="62"/>
      <c r="AD350" s="62"/>
      <c r="AE350" s="62"/>
      <c r="AF350" s="62"/>
      <c r="AG350" s="62"/>
      <c r="AH350" s="62"/>
      <c r="AI350" s="62"/>
      <c r="AJ350" s="62"/>
      <c r="AK350" s="62"/>
      <c r="AL350" s="62"/>
      <c r="AM350" s="62"/>
      <c r="AN350" s="62"/>
      <c r="AO350" s="62"/>
    </row>
    <row r="351">
      <c r="A351" s="59">
        <f>IFERROR(__xludf.DUMMYFUNCTION("QUERY('Volunteer Survey'!A360)"),43782.569134212965)</f>
        <v>43782.56913</v>
      </c>
      <c r="B351" s="60" t="s">
        <v>275</v>
      </c>
      <c r="C351" s="80">
        <v>43819.0</v>
      </c>
      <c r="D351" s="85">
        <v>43846.0</v>
      </c>
      <c r="E351" s="60" t="s">
        <v>277</v>
      </c>
      <c r="F351" s="60" t="s">
        <v>277</v>
      </c>
      <c r="G351" s="60" t="s">
        <v>278</v>
      </c>
      <c r="H351" s="61"/>
      <c r="I351" s="61"/>
      <c r="J351" s="62"/>
      <c r="K351" s="62"/>
      <c r="L351" s="62" t="str">
        <f>IFERROR(__xludf.DUMMYFUNCTION("QUERY('Volunteer Survey'!B360)"),"Marie-Luise Brennan")</f>
        <v>Marie-Luise Brennan</v>
      </c>
      <c r="M351" s="62" t="str">
        <f>IFERROR(__xludf.DUMMYFUNCTION("QUERY('Volunteer Survey'!E360)"),"mbrennan@acmg.net")</f>
        <v>mbrennan@acmg.net</v>
      </c>
      <c r="N351" s="62" t="str">
        <f>IFERROR(__xludf.DUMMYFUNCTION("QUERY('Volunteer Survey'!F360)"),"Clinical Medical Geneticist")</f>
        <v>Clinical Medical Geneticist</v>
      </c>
      <c r="O351" s="60" t="str">
        <f>IFERROR(__xludf.DUMMYFUNCTION("QUERY('Volunteer Survey'!H360)"),"Comprehensive")</f>
        <v>Comprehensive</v>
      </c>
      <c r="P351" s="62" t="str">
        <f>IFERROR(__xludf.DUMMYFUNCTION("QUERY('Volunteer Survey'!I360)"),"Gene-Disease Validity")</f>
        <v>Gene-Disease Validity</v>
      </c>
      <c r="Q351" s="66" t="str">
        <f>IFERROR(__xludf.DUMMYFUNCTION("QUERY('Volunteer Survey'!J360)"),"Variant Pathogenicity")</f>
        <v>Variant Pathogenicity</v>
      </c>
      <c r="R351" s="62" t="str">
        <f>IFERROR(__xludf.DUMMYFUNCTION("QUERY('Volunteer Survey'!K360)"),"Dosage Sensitivity")</f>
        <v>Dosage Sensitivity</v>
      </c>
      <c r="S351" s="62" t="str">
        <f>IFERROR(__xludf.DUMMYFUNCTION("QUERY('Volunteer Survey'!L360)"),"Clinical Actionability")</f>
        <v>Clinical Actionability</v>
      </c>
      <c r="T351" s="62" t="str">
        <f>IFERROR(__xludf.DUMMYFUNCTION("QUERY('Volunteer Survey'!M360)"),"Somatic Cancer")</f>
        <v>Somatic Cancer</v>
      </c>
      <c r="U351" s="74" t="str">
        <f>IFERROR(__xludf.DUMMYFUNCTION("QUERY('Volunteer Survey'!N360)"),"No prior experience with curation. ")</f>
        <v>No prior experience with curation. </v>
      </c>
      <c r="V351" s="62" t="str">
        <f>IFERROR(__xludf.DUMMYFUNCTION("QUERY('Volunteer Survey'!O360)"),"Yes")</f>
        <v>Yes</v>
      </c>
      <c r="W351" s="75" t="str">
        <f>IFERROR(__xludf.DUMMYFUNCTION("QUERY('Volunteer Survey'!P360)"),"Low penetrance/risk alleles; gene curation (monogenic diabetes; any); dosage sens (neurodev or recurrent regions). Preferences listed, happy to join where needed.")</f>
        <v>Low penetrance/risk alleles; gene curation (monogenic diabetes; any); dosage sens (neurodev or recurrent regions). Preferences listed, happy to join where needed.</v>
      </c>
      <c r="X351" s="74" t="str">
        <f>IFERROR(__xludf.DUMMYFUNCTION("QUERY('Volunteer Survey'!R360)"),"Yes- I am willing to volunteer with any available ClinGen group")</f>
        <v>Yes- I am willing to volunteer with any available ClinGen group</v>
      </c>
      <c r="Y351" s="61"/>
      <c r="Z351" s="62"/>
      <c r="AA351" s="62"/>
      <c r="AB351" s="62"/>
      <c r="AC351" s="62"/>
      <c r="AD351" s="62"/>
      <c r="AE351" s="62"/>
      <c r="AF351" s="62"/>
      <c r="AG351" s="62"/>
      <c r="AH351" s="62"/>
      <c r="AI351" s="62"/>
      <c r="AJ351" s="62"/>
      <c r="AK351" s="62"/>
      <c r="AL351" s="62"/>
      <c r="AM351" s="62"/>
      <c r="AN351" s="62"/>
      <c r="AO351" s="62"/>
    </row>
    <row r="352">
      <c r="A352" s="59">
        <f>IFERROR(__xludf.DUMMYFUNCTION("QUERY('Volunteer Survey'!A361)"),43789.37928430555)</f>
        <v>43789.37928</v>
      </c>
      <c r="B352" s="60" t="s">
        <v>275</v>
      </c>
      <c r="C352" s="80">
        <v>43819.0</v>
      </c>
      <c r="D352" s="117">
        <v>43859.0</v>
      </c>
      <c r="E352" s="60" t="s">
        <v>277</v>
      </c>
      <c r="F352" s="60" t="s">
        <v>277</v>
      </c>
      <c r="G352" s="60" t="s">
        <v>288</v>
      </c>
      <c r="H352" s="61"/>
      <c r="I352" s="61"/>
      <c r="J352" s="62"/>
      <c r="K352" s="62"/>
      <c r="L352" s="62" t="str">
        <f>IFERROR(__xludf.DUMMYFUNCTION("QUERY('Volunteer Survey'!B361)"),"Shawn Gessay")</f>
        <v>Shawn Gessay</v>
      </c>
      <c r="M352" s="62" t="str">
        <f>IFERROR(__xludf.DUMMYFUNCTION("QUERY('Volunteer Survey'!E361)"),"gessays75@gmail.com")</f>
        <v>gessays75@gmail.com</v>
      </c>
      <c r="N352" s="62" t="str">
        <f>IFERROR(__xludf.DUMMYFUNCTION("QUERY('Volunteer Survey'!F361)"),"Genetic counselor")</f>
        <v>Genetic counselor</v>
      </c>
      <c r="O352" s="60" t="str">
        <f>IFERROR(__xludf.DUMMYFUNCTION("QUERY('Volunteer Survey'!H361)"),"Comprehensive")</f>
        <v>Comprehensive</v>
      </c>
      <c r="P352" s="62" t="str">
        <f>IFERROR(__xludf.DUMMYFUNCTION("QUERY('Volunteer Survey'!I361)"),"Variant Pathogenicity")</f>
        <v>Variant Pathogenicity</v>
      </c>
      <c r="Q352" s="66" t="str">
        <f>IFERROR(__xludf.DUMMYFUNCTION("QUERY('Volunteer Survey'!J361)"),"Clinical Actionability")</f>
        <v>Clinical Actionability</v>
      </c>
      <c r="R352" s="62" t="str">
        <f>IFERROR(__xludf.DUMMYFUNCTION("QUERY('Volunteer Survey'!K361)"),"Gene-Disease Validity")</f>
        <v>Gene-Disease Validity</v>
      </c>
      <c r="S352" s="62" t="str">
        <f>IFERROR(__xludf.DUMMYFUNCTION("QUERY('Volunteer Survey'!L361)"),"Dosage Sensitivity")</f>
        <v>Dosage Sensitivity</v>
      </c>
      <c r="T352" s="62" t="str">
        <f>IFERROR(__xludf.DUMMYFUNCTION("QUERY('Volunteer Survey'!M361)"),"Somatic Cancer")</f>
        <v>Somatic Cancer</v>
      </c>
      <c r="U352" s="74" t="str">
        <f>IFERROR(__xludf.DUMMYFUNCTION("QUERY('Volunteer Survey'!N361)"),"No ")</f>
        <v>No </v>
      </c>
      <c r="V352" s="62" t="str">
        <f>IFERROR(__xludf.DUMMYFUNCTION("QUERY('Volunteer Survey'!O361)"),"Yes")</f>
        <v>Yes</v>
      </c>
      <c r="W352" s="75" t="str">
        <f>IFERROR(__xludf.DUMMYFUNCTION("QUERY('Volunteer Survey'!P361)"),"RASopathy")</f>
        <v>RASopathy</v>
      </c>
      <c r="X352" s="74" t="str">
        <f>IFERROR(__xludf.DUMMYFUNCTION("QUERY('Volunteer Survey'!R361)"),"Yes- I am willing to volunteer with any available ClinGen group")</f>
        <v>Yes- I am willing to volunteer with any available ClinGen group</v>
      </c>
      <c r="Y352" s="61"/>
      <c r="Z352" s="62"/>
      <c r="AA352" s="62"/>
      <c r="AB352" s="62"/>
      <c r="AC352" s="62"/>
      <c r="AD352" s="62"/>
      <c r="AE352" s="62"/>
      <c r="AF352" s="62"/>
      <c r="AG352" s="62"/>
      <c r="AH352" s="62"/>
      <c r="AI352" s="62"/>
      <c r="AJ352" s="62"/>
      <c r="AK352" s="62"/>
      <c r="AL352" s="62"/>
      <c r="AM352" s="62"/>
      <c r="AN352" s="62"/>
      <c r="AO352" s="62"/>
    </row>
    <row r="353">
      <c r="A353" s="59">
        <f>IFERROR(__xludf.DUMMYFUNCTION("QUERY('Volunteer Survey'!A362)"),43789.561137233795)</f>
        <v>43789.56114</v>
      </c>
      <c r="B353" s="60" t="s">
        <v>275</v>
      </c>
      <c r="C353" s="80">
        <v>43819.0</v>
      </c>
      <c r="D353" s="117">
        <v>43859.0</v>
      </c>
      <c r="E353" s="60" t="s">
        <v>277</v>
      </c>
      <c r="F353" s="60" t="s">
        <v>277</v>
      </c>
      <c r="G353" s="60" t="s">
        <v>288</v>
      </c>
      <c r="H353" s="61"/>
      <c r="I353" s="61"/>
      <c r="J353" s="62"/>
      <c r="K353" s="62"/>
      <c r="L353" s="62" t="str">
        <f>IFERROR(__xludf.DUMMYFUNCTION("QUERY('Volunteer Survey'!B362)"),"Angela Hoang")</f>
        <v>Angela Hoang</v>
      </c>
      <c r="M353" s="62" t="str">
        <f>IFERROR(__xludf.DUMMYFUNCTION("QUERY('Volunteer Survey'!E362)"),"ahoang18@students.kgi.edu")</f>
        <v>ahoang18@students.kgi.edu</v>
      </c>
      <c r="N353" s="62" t="str">
        <f>IFERROR(__xludf.DUMMYFUNCTION("QUERY('Volunteer Survey'!F362)"),"Graduate Student")</f>
        <v>Graduate Student</v>
      </c>
      <c r="O353" s="60" t="str">
        <f>IFERROR(__xludf.DUMMYFUNCTION("QUERY('Volunteer Survey'!H362)"),"Comprehensive")</f>
        <v>Comprehensive</v>
      </c>
      <c r="P353" s="62" t="str">
        <f>IFERROR(__xludf.DUMMYFUNCTION("QUERY('Volunteer Survey'!I362)"),"Variant Pathogenicity")</f>
        <v>Variant Pathogenicity</v>
      </c>
      <c r="Q353" s="66" t="str">
        <f>IFERROR(__xludf.DUMMYFUNCTION("QUERY('Volunteer Survey'!J362)"),"Gene-Disease Validity")</f>
        <v>Gene-Disease Validity</v>
      </c>
      <c r="R353" s="62" t="str">
        <f>IFERROR(__xludf.DUMMYFUNCTION("QUERY('Volunteer Survey'!K362)"),"Clinical Actionability")</f>
        <v>Clinical Actionability</v>
      </c>
      <c r="S353" s="62" t="str">
        <f>IFERROR(__xludf.DUMMYFUNCTION("QUERY('Volunteer Survey'!L362)"),"")</f>
        <v/>
      </c>
      <c r="T353" s="62" t="str">
        <f>IFERROR(__xludf.DUMMYFUNCTION("QUERY('Volunteer Survey'!M362)"),"")</f>
        <v/>
      </c>
      <c r="U353" s="74" t="str">
        <f>IFERROR(__xludf.DUMMYFUNCTION("QUERY('Volunteer Survey'!N362)"),"Yes, I have educational experience with variant classification and gene-disease association. ")</f>
        <v>Yes, I have educational experience with variant classification and gene-disease association. </v>
      </c>
      <c r="V353" s="62" t="str">
        <f>IFERROR(__xludf.DUMMYFUNCTION("QUERY('Volunteer Survey'!O362)"),"Possibly")</f>
        <v>Possibly</v>
      </c>
      <c r="W353" s="75" t="str">
        <f>IFERROR(__xludf.DUMMYFUNCTION("QUERY('Volunteer Survey'!P362)"),"N/A")</f>
        <v>N/A</v>
      </c>
      <c r="X353" s="74" t="str">
        <f>IFERROR(__xludf.DUMMYFUNCTION("QUERY('Volunteer Survey'!R362)"),"Yes- I am willing to volunteer with any available ClinGen group")</f>
        <v>Yes- I am willing to volunteer with any available ClinGen group</v>
      </c>
      <c r="Y353" s="61"/>
      <c r="Z353" s="62"/>
      <c r="AA353" s="62"/>
      <c r="AB353" s="62"/>
      <c r="AC353" s="62"/>
      <c r="AD353" s="62"/>
      <c r="AE353" s="62"/>
      <c r="AF353" s="62"/>
      <c r="AG353" s="62"/>
      <c r="AH353" s="62"/>
      <c r="AI353" s="62"/>
      <c r="AJ353" s="62"/>
      <c r="AK353" s="62"/>
      <c r="AL353" s="62"/>
      <c r="AM353" s="62"/>
      <c r="AN353" s="62"/>
      <c r="AO353" s="62"/>
    </row>
    <row r="354">
      <c r="A354" s="59">
        <f>IFERROR(__xludf.DUMMYFUNCTION("QUERY('Volunteer Survey'!A363)"),43790.71008880787)</f>
        <v>43790.71009</v>
      </c>
      <c r="B354" s="60" t="s">
        <v>275</v>
      </c>
      <c r="C354" s="80">
        <v>43819.0</v>
      </c>
      <c r="D354" s="117">
        <v>43859.0</v>
      </c>
      <c r="E354" s="60" t="s">
        <v>277</v>
      </c>
      <c r="F354" s="60" t="s">
        <v>277</v>
      </c>
      <c r="G354" s="60" t="s">
        <v>288</v>
      </c>
      <c r="H354" s="61"/>
      <c r="I354" s="61"/>
      <c r="J354" s="62"/>
      <c r="K354" s="62"/>
      <c r="L354" s="62" t="str">
        <f>IFERROR(__xludf.DUMMYFUNCTION("QUERY('Volunteer Survey'!B363)"),"Poornima Vijayan")</f>
        <v>Poornima Vijayan</v>
      </c>
      <c r="M354" s="62" t="str">
        <f>IFERROR(__xludf.DUMMYFUNCTION("QUERY('Volunteer Survey'!E363)"),"poornima2785@gmail.com")</f>
        <v>poornima2785@gmail.com</v>
      </c>
      <c r="N354" s="62" t="str">
        <f>IFERROR(__xludf.DUMMYFUNCTION("QUERY('Volunteer Survey'!F363)"),"Graduate Student")</f>
        <v>Graduate Student</v>
      </c>
      <c r="O354" s="60" t="str">
        <f>IFERROR(__xludf.DUMMYFUNCTION("QUERY('Volunteer Survey'!H363)"),"Comprehensive")</f>
        <v>Comprehensive</v>
      </c>
      <c r="P354" s="62" t="str">
        <f>IFERROR(__xludf.DUMMYFUNCTION("QUERY('Volunteer Survey'!I363)"),"Variant Pathogenicity")</f>
        <v>Variant Pathogenicity</v>
      </c>
      <c r="Q354" s="66" t="str">
        <f>IFERROR(__xludf.DUMMYFUNCTION("QUERY('Volunteer Survey'!J363)"),"Clinical Actionability")</f>
        <v>Clinical Actionability</v>
      </c>
      <c r="R354" s="62" t="str">
        <f>IFERROR(__xludf.DUMMYFUNCTION("QUERY('Volunteer Survey'!K363)"),"Gene-Disease Validity")</f>
        <v>Gene-Disease Validity</v>
      </c>
      <c r="S354" s="62" t="str">
        <f>IFERROR(__xludf.DUMMYFUNCTION("QUERY('Volunteer Survey'!L363)"),"Somatic Cancer")</f>
        <v>Somatic Cancer</v>
      </c>
      <c r="T354" s="62" t="str">
        <f>IFERROR(__xludf.DUMMYFUNCTION("QUERY('Volunteer Survey'!M363)"),"Dosage Sensitivity")</f>
        <v>Dosage Sensitivity</v>
      </c>
      <c r="U354" s="74" t="str">
        <f>IFERROR(__xludf.DUMMYFUNCTION("QUERY('Volunteer Survey'!N363)"),"I am a student of medical genomics")</f>
        <v>I am a student of medical genomics</v>
      </c>
      <c r="V354" s="62" t="str">
        <f>IFERROR(__xludf.DUMMYFUNCTION("QUERY('Volunteer Survey'!O363)"),"Yes")</f>
        <v>Yes</v>
      </c>
      <c r="W354" s="75" t="str">
        <f>IFERROR(__xludf.DUMMYFUNCTION("QUERY('Volunteer Survey'!P363)"),"")</f>
        <v/>
      </c>
      <c r="X354" s="74" t="str">
        <f>IFERROR(__xludf.DUMMYFUNCTION("QUERY('Volunteer Survey'!R363)"),"Yes- I am willing to volunteer with any available ClinGen group")</f>
        <v>Yes- I am willing to volunteer with any available ClinGen group</v>
      </c>
      <c r="Y354" s="61"/>
      <c r="Z354" s="62"/>
      <c r="AA354" s="62"/>
      <c r="AB354" s="62"/>
      <c r="AC354" s="62"/>
      <c r="AD354" s="62"/>
      <c r="AE354" s="62"/>
      <c r="AF354" s="62"/>
      <c r="AG354" s="62"/>
      <c r="AH354" s="62"/>
      <c r="AI354" s="62"/>
      <c r="AJ354" s="62"/>
      <c r="AK354" s="62"/>
      <c r="AL354" s="62"/>
      <c r="AM354" s="62"/>
      <c r="AN354" s="62"/>
      <c r="AO354" s="62"/>
    </row>
    <row r="355">
      <c r="A355" s="59">
        <f>IFERROR(__xludf.DUMMYFUNCTION("QUERY('Volunteer Survey'!A364)"),43794.31350851851)</f>
        <v>43794.31351</v>
      </c>
      <c r="B355" s="60" t="s">
        <v>275</v>
      </c>
      <c r="C355" s="80">
        <v>43819.0</v>
      </c>
      <c r="D355" s="85">
        <v>43846.0</v>
      </c>
      <c r="E355" s="60" t="s">
        <v>277</v>
      </c>
      <c r="F355" s="60" t="s">
        <v>182</v>
      </c>
      <c r="G355" s="60" t="s">
        <v>278</v>
      </c>
      <c r="H355" s="61"/>
      <c r="I355" s="63" t="s">
        <v>285</v>
      </c>
      <c r="J355" s="62"/>
      <c r="K355" s="62"/>
      <c r="L355" s="62" t="str">
        <f>IFERROR(__xludf.DUMMYFUNCTION("QUERY('Volunteer Survey'!B364)"),"Adriana Bastos Carvalho")</f>
        <v>Adriana Bastos Carvalho</v>
      </c>
      <c r="M355" s="62" t="str">
        <f>IFERROR(__xludf.DUMMYFUNCTION("QUERY('Volunteer Survey'!E364)"),"carvalhoab@biof.ufrj.br")</f>
        <v>carvalhoab@biof.ufrj.br</v>
      </c>
      <c r="N355" s="62" t="str">
        <f>IFERROR(__xludf.DUMMYFUNCTION("QUERY('Volunteer Survey'!F364)"),"Scientific Researcher")</f>
        <v>Scientific Researcher</v>
      </c>
      <c r="O355" s="60" t="str">
        <f>IFERROR(__xludf.DUMMYFUNCTION("QUERY('Volunteer Survey'!H364)"),"Comprehensive")</f>
        <v>Comprehensive</v>
      </c>
      <c r="P355" s="62" t="str">
        <f>IFERROR(__xludf.DUMMYFUNCTION("QUERY('Volunteer Survey'!I364)"),"Gene-Disease Validity")</f>
        <v>Gene-Disease Validity</v>
      </c>
      <c r="Q355" s="66" t="str">
        <f>IFERROR(__xludf.DUMMYFUNCTION("QUERY('Volunteer Survey'!J364)"),"Variant Pathogenicity")</f>
        <v>Variant Pathogenicity</v>
      </c>
      <c r="R355" s="62" t="str">
        <f>IFERROR(__xludf.DUMMYFUNCTION("QUERY('Volunteer Survey'!K364)"),"Clinical Actionability")</f>
        <v>Clinical Actionability</v>
      </c>
      <c r="S355" s="62" t="str">
        <f>IFERROR(__xludf.DUMMYFUNCTION("QUERY('Volunteer Survey'!L364)"),"Dosage Sensitivity")</f>
        <v>Dosage Sensitivity</v>
      </c>
      <c r="T355" s="62" t="str">
        <f>IFERROR(__xludf.DUMMYFUNCTION("QUERY('Volunteer Survey'!M364)"),"Somatic Cancer")</f>
        <v>Somatic Cancer</v>
      </c>
      <c r="U355" s="74" t="str">
        <f>IFERROR(__xludf.DUMMYFUNCTION("QUERY('Volunteer Survey'!N364)"),"No. Although I have never worked in curation activities, I work with in vitro models to investigate variant pathogenicity.")</f>
        <v>No. Although I have never worked in curation activities, I work with in vitro models to investigate variant pathogenicity.</v>
      </c>
      <c r="V355" s="62" t="str">
        <f>IFERROR(__xludf.DUMMYFUNCTION("QUERY('Volunteer Survey'!O364)"),"Yes")</f>
        <v>Yes</v>
      </c>
      <c r="W355" s="75" t="str">
        <f>IFERROR(__xludf.DUMMYFUNCTION("QUERY('Volunteer Survey'!P364)"),"Cardiomyopathy Variant Curation Expert Panel")</f>
        <v>Cardiomyopathy Variant Curation Expert Panel</v>
      </c>
      <c r="X355" s="74" t="str">
        <f>IFERROR(__xludf.DUMMYFUNCTION("QUERY('Volunteer Survey'!R364)"),"Yes- I am willing to volunteer with any available ClinGen group")</f>
        <v>Yes- I am willing to volunteer with any available ClinGen group</v>
      </c>
      <c r="Y355" s="61"/>
      <c r="Z355" s="62"/>
      <c r="AA355" s="62"/>
      <c r="AB355" s="62"/>
      <c r="AC355" s="62"/>
      <c r="AD355" s="62"/>
      <c r="AE355" s="62"/>
      <c r="AF355" s="62"/>
      <c r="AG355" s="62"/>
      <c r="AH355" s="62"/>
      <c r="AI355" s="62"/>
      <c r="AJ355" s="62"/>
      <c r="AK355" s="62"/>
      <c r="AL355" s="62"/>
      <c r="AM355" s="62"/>
      <c r="AN355" s="62"/>
      <c r="AO355" s="62"/>
    </row>
    <row r="356">
      <c r="A356" s="59">
        <f>IFERROR(__xludf.DUMMYFUNCTION("QUERY('Volunteer Survey'!A365)"),43795.466076805555)</f>
        <v>43795.46608</v>
      </c>
      <c r="B356" s="60" t="s">
        <v>275</v>
      </c>
      <c r="C356" s="80">
        <v>43819.0</v>
      </c>
      <c r="D356" s="62"/>
      <c r="E356" s="62"/>
      <c r="F356" s="60" t="s">
        <v>182</v>
      </c>
      <c r="G356" s="60" t="s">
        <v>278</v>
      </c>
      <c r="H356" s="61"/>
      <c r="I356" s="61"/>
      <c r="J356" s="62"/>
      <c r="K356" s="62"/>
      <c r="L356" s="62" t="str">
        <f>IFERROR(__xludf.DUMMYFUNCTION("QUERY('Volunteer Survey'!B365)"),"Megan Puckelwartz")</f>
        <v>Megan Puckelwartz</v>
      </c>
      <c r="M356" s="62" t="str">
        <f>IFERROR(__xludf.DUMMYFUNCTION("QUERY('Volunteer Survey'!E365)"),"m.puckelwartz@northwestern.edu")</f>
        <v>m.puckelwartz@northwestern.edu</v>
      </c>
      <c r="N356" s="62" t="str">
        <f>IFERROR(__xludf.DUMMYFUNCTION("QUERY('Volunteer Survey'!F365)"),"Scientific Researcher")</f>
        <v>Scientific Researcher</v>
      </c>
      <c r="O356" s="60" t="str">
        <f>IFERROR(__xludf.DUMMYFUNCTION("QUERY('Volunteer Survey'!H365)"),"Comprehensive")</f>
        <v>Comprehensive</v>
      </c>
      <c r="P356" s="62" t="str">
        <f>IFERROR(__xludf.DUMMYFUNCTION("QUERY('Volunteer Survey'!I365)"),"Gene-Disease Validity")</f>
        <v>Gene-Disease Validity</v>
      </c>
      <c r="Q356" s="66" t="str">
        <f>IFERROR(__xludf.DUMMYFUNCTION("QUERY('Volunteer Survey'!J365)"),"Variant Pathogenicity")</f>
        <v>Variant Pathogenicity</v>
      </c>
      <c r="R356" s="62" t="str">
        <f>IFERROR(__xludf.DUMMYFUNCTION("QUERY('Volunteer Survey'!K365)"),"Clinical Actionability")</f>
        <v>Clinical Actionability</v>
      </c>
      <c r="S356" s="62" t="str">
        <f>IFERROR(__xludf.DUMMYFUNCTION("QUERY('Volunteer Survey'!L365)"),"Dosage Sensitivity")</f>
        <v>Dosage Sensitivity</v>
      </c>
      <c r="T356" s="62" t="str">
        <f>IFERROR(__xludf.DUMMYFUNCTION("QUERY('Volunteer Survey'!M365)"),"")</f>
        <v/>
      </c>
      <c r="U356" s="74" t="str">
        <f>IFERROR(__xludf.DUMMYFUNCTION("QUERY('Volunteer Survey'!N365)"),"I perform molecular autopsy using whole genome sequencing on sudden death subjects.  I also curate variants for cardiomyopathy subjects for research purposes.")</f>
        <v>I perform molecular autopsy using whole genome sequencing on sudden death subjects.  I also curate variants for cardiomyopathy subjects for research purposes.</v>
      </c>
      <c r="V356" s="62" t="str">
        <f>IFERROR(__xludf.DUMMYFUNCTION("QUERY('Volunteer Survey'!O365)"),"Yes")</f>
        <v>Yes</v>
      </c>
      <c r="W356" s="75" t="str">
        <f>IFERROR(__xludf.DUMMYFUNCTION("QUERY('Volunteer Survey'!P365)"),"cardiomyopathy")</f>
        <v>cardiomyopathy</v>
      </c>
      <c r="X356" s="74" t="str">
        <f>IFERROR(__xludf.DUMMYFUNCTION("QUERY('Volunteer Survey'!R365)"),"Maybe -- please contact me with other options, and I will decide based on what is available")</f>
        <v>Maybe -- please contact me with other options, and I will decide based on what is available</v>
      </c>
      <c r="Y356" s="61"/>
      <c r="Z356" s="62"/>
      <c r="AA356" s="62"/>
      <c r="AB356" s="62"/>
      <c r="AC356" s="62"/>
      <c r="AD356" s="62"/>
      <c r="AE356" s="62"/>
      <c r="AF356" s="62"/>
      <c r="AG356" s="62"/>
      <c r="AH356" s="62"/>
      <c r="AI356" s="62"/>
      <c r="AJ356" s="62"/>
      <c r="AK356" s="62"/>
      <c r="AL356" s="62"/>
      <c r="AM356" s="62"/>
      <c r="AN356" s="62"/>
      <c r="AO356" s="62"/>
    </row>
    <row r="357">
      <c r="A357" s="59">
        <f>IFERROR(__xludf.DUMMYFUNCTION("QUERY('Volunteer Survey'!A366)"),43796.31597033565)</f>
        <v>43796.31597</v>
      </c>
      <c r="B357" s="60" t="s">
        <v>340</v>
      </c>
      <c r="C357" s="61"/>
      <c r="D357" s="62"/>
      <c r="E357" s="62"/>
      <c r="F357" s="60" t="s">
        <v>182</v>
      </c>
      <c r="G357" s="60" t="s">
        <v>150</v>
      </c>
      <c r="H357" s="61"/>
      <c r="I357" s="61"/>
      <c r="J357" s="62"/>
      <c r="K357" s="62"/>
      <c r="L357" s="62" t="str">
        <f>IFERROR(__xludf.DUMMYFUNCTION("QUERY('Volunteer Survey'!B366)"),"Nicole Hinceman")</f>
        <v>Nicole Hinceman</v>
      </c>
      <c r="M357" s="62" t="str">
        <f>IFERROR(__xludf.DUMMYFUNCTION("QUERY('Volunteer Survey'!E366)"),"nhinceman@genedx.com")</f>
        <v>nhinceman@genedx.com</v>
      </c>
      <c r="N357" s="62" t="str">
        <f>IFERROR(__xludf.DUMMYFUNCTION("QUERY('Volunteer Survey'!F366)"),"Prospective Genetic Counseling Student &amp; Variant Analyst (currently a Genetic Counseling Assistant)")</f>
        <v>Prospective Genetic Counseling Student &amp; Variant Analyst (currently a Genetic Counseling Assistant)</v>
      </c>
      <c r="O357" s="60" t="str">
        <f>IFERROR(__xludf.DUMMYFUNCTION("QUERY('Volunteer Survey'!H366)"),"Comprehensive")</f>
        <v>Comprehensive</v>
      </c>
      <c r="P357" s="62" t="str">
        <f>IFERROR(__xludf.DUMMYFUNCTION("QUERY('Volunteer Survey'!I366)"),"Somatic Cancer")</f>
        <v>Somatic Cancer</v>
      </c>
      <c r="Q357" s="66" t="str">
        <f>IFERROR(__xludf.DUMMYFUNCTION("QUERY('Volunteer Survey'!J366)"),"Gene-Disease Validity")</f>
        <v>Gene-Disease Validity</v>
      </c>
      <c r="R357" s="62" t="str">
        <f>IFERROR(__xludf.DUMMYFUNCTION("QUERY('Volunteer Survey'!K366)"),"Clinical Actionability")</f>
        <v>Clinical Actionability</v>
      </c>
      <c r="S357" s="62" t="str">
        <f>IFERROR(__xludf.DUMMYFUNCTION("QUERY('Volunteer Survey'!L366)"),"Variant Pathogenicity")</f>
        <v>Variant Pathogenicity</v>
      </c>
      <c r="T357" s="62" t="str">
        <f>IFERROR(__xludf.DUMMYFUNCTION("QUERY('Volunteer Survey'!M366)"),"Dosage Sensitivity")</f>
        <v>Dosage Sensitivity</v>
      </c>
      <c r="U357" s="74" t="str">
        <f>IFERROR(__xludf.DUMMYFUNCTION("QUERY('Volunteer Survey'!N366)"),"PhD in Molecular Biology, specifically developing mouse models of cancer, working in cancer clinical trials at the Institute of Cancer Research in London, UK")</f>
        <v>PhD in Molecular Biology, specifically developing mouse models of cancer, working in cancer clinical trials at the Institute of Cancer Research in London, UK</v>
      </c>
      <c r="V357" s="62" t="str">
        <f>IFERROR(__xludf.DUMMYFUNCTION("QUERY('Volunteer Survey'!O366)"),"Possibly")</f>
        <v>Possibly</v>
      </c>
      <c r="W357" s="75" t="str">
        <f>IFERROR(__xludf.DUMMYFUNCTION("QUERY('Volunteer Survey'!P366)"),"Pediatric Somatic Cancer Working Group")</f>
        <v>Pediatric Somatic Cancer Working Group</v>
      </c>
      <c r="X357" s="74" t="str">
        <f>IFERROR(__xludf.DUMMYFUNCTION("QUERY('Volunteer Survey'!R366)"),"Yes- I am willing to volunteer with any available ClinGen group")</f>
        <v>Yes- I am willing to volunteer with any available ClinGen group</v>
      </c>
      <c r="Y357" s="61"/>
      <c r="Z357" s="62"/>
      <c r="AA357" s="62"/>
      <c r="AB357" s="62"/>
      <c r="AC357" s="62"/>
      <c r="AD357" s="62"/>
      <c r="AE357" s="62"/>
      <c r="AF357" s="62"/>
      <c r="AG357" s="62"/>
      <c r="AH357" s="62"/>
      <c r="AI357" s="62"/>
      <c r="AJ357" s="62"/>
      <c r="AK357" s="62"/>
      <c r="AL357" s="62"/>
      <c r="AM357" s="62"/>
      <c r="AN357" s="62"/>
      <c r="AO357" s="62"/>
    </row>
    <row r="358">
      <c r="A358" s="59">
        <f>IFERROR(__xludf.DUMMYFUNCTION("QUERY('Volunteer Survey'!A367)"),43796.448630798615)</f>
        <v>43796.44863</v>
      </c>
      <c r="B358" s="60" t="s">
        <v>340</v>
      </c>
      <c r="C358" s="61"/>
      <c r="D358" s="62"/>
      <c r="E358" s="62"/>
      <c r="F358" s="60" t="s">
        <v>182</v>
      </c>
      <c r="G358" s="60" t="s">
        <v>301</v>
      </c>
      <c r="H358" s="61"/>
      <c r="I358" s="61"/>
      <c r="J358" s="62"/>
      <c r="K358" s="62"/>
      <c r="L358" s="62" t="str">
        <f>IFERROR(__xludf.DUMMYFUNCTION("QUERY('Volunteer Survey'!B367)"),"Ekaterini Iordanou")</f>
        <v>Ekaterini Iordanou</v>
      </c>
      <c r="M358" s="62" t="str">
        <f>IFERROR(__xludf.DUMMYFUNCTION("QUERY('Volunteer Survey'!E367)"),"iordanoue@childrensdayton.org")</f>
        <v>iordanoue@childrensdayton.org</v>
      </c>
      <c r="N358" s="62" t="str">
        <f>IFERROR(__xludf.DUMMYFUNCTION("QUERY('Volunteer Survey'!F367)"),"Clinical laboratory geneticist")</f>
        <v>Clinical laboratory geneticist</v>
      </c>
      <c r="O358" s="60" t="str">
        <f>IFERROR(__xludf.DUMMYFUNCTION("QUERY('Volunteer Survey'!H367)"),"Comprehensive")</f>
        <v>Comprehensive</v>
      </c>
      <c r="P358" s="62" t="str">
        <f>IFERROR(__xludf.DUMMYFUNCTION("QUERY('Volunteer Survey'!I367)"),"Dosage Sensitivity")</f>
        <v>Dosage Sensitivity</v>
      </c>
      <c r="Q358" s="66" t="str">
        <f>IFERROR(__xludf.DUMMYFUNCTION("QUERY('Volunteer Survey'!J367)"),"Variant Pathogenicity")</f>
        <v>Variant Pathogenicity</v>
      </c>
      <c r="R358" s="62" t="str">
        <f>IFERROR(__xludf.DUMMYFUNCTION("QUERY('Volunteer Survey'!K367)"),"")</f>
        <v/>
      </c>
      <c r="S358" s="62" t="str">
        <f>IFERROR(__xludf.DUMMYFUNCTION("QUERY('Volunteer Survey'!L367)"),"")</f>
        <v/>
      </c>
      <c r="T358" s="62" t="str">
        <f>IFERROR(__xludf.DUMMYFUNCTION("QUERY('Volunteer Survey'!M367)"),"")</f>
        <v/>
      </c>
      <c r="U358" s="74" t="str">
        <f>IFERROR(__xludf.DUMMYFUNCTION("QUERY('Volunteer Survey'!N367)"),"")</f>
        <v/>
      </c>
      <c r="V358" s="62" t="str">
        <f>IFERROR(__xludf.DUMMYFUNCTION("QUERY('Volunteer Survey'!O367)"),"Possibly")</f>
        <v>Possibly</v>
      </c>
      <c r="W358" s="75" t="str">
        <f>IFERROR(__xludf.DUMMYFUNCTION("QUERY('Volunteer Survey'!P367)"),"")</f>
        <v/>
      </c>
      <c r="X358" s="74" t="str">
        <f>IFERROR(__xludf.DUMMYFUNCTION("QUERY('Volunteer Survey'!R367)"),"Maybe -- please contact me with other options, and I will decide based on what is available")</f>
        <v>Maybe -- please contact me with other options, and I will decide based on what is available</v>
      </c>
      <c r="Y358" s="61"/>
      <c r="Z358" s="62"/>
      <c r="AA358" s="62"/>
      <c r="AB358" s="62"/>
      <c r="AC358" s="62"/>
      <c r="AD358" s="62"/>
      <c r="AE358" s="62"/>
      <c r="AF358" s="62"/>
      <c r="AG358" s="62"/>
      <c r="AH358" s="62"/>
      <c r="AI358" s="62"/>
      <c r="AJ358" s="62"/>
      <c r="AK358" s="62"/>
      <c r="AL358" s="62"/>
      <c r="AM358" s="62"/>
      <c r="AN358" s="62"/>
      <c r="AO358" s="62"/>
    </row>
    <row r="359">
      <c r="A359" s="59">
        <f>IFERROR(__xludf.DUMMYFUNCTION("QUERY('Volunteer Survey'!A368)"),43803.37856755788)</f>
        <v>43803.37857</v>
      </c>
      <c r="B359" s="60" t="s">
        <v>275</v>
      </c>
      <c r="C359" s="61"/>
      <c r="D359" s="62"/>
      <c r="E359" s="62"/>
      <c r="F359" s="60" t="s">
        <v>182</v>
      </c>
      <c r="G359" s="60" t="s">
        <v>27</v>
      </c>
      <c r="H359" s="61"/>
      <c r="I359" s="61"/>
      <c r="J359" s="62"/>
      <c r="K359" s="62"/>
      <c r="L359" s="62" t="str">
        <f>IFERROR(__xludf.DUMMYFUNCTION("QUERY('Volunteer Survey'!B368)"),"Laurie Connors")</f>
        <v>Laurie Connors</v>
      </c>
      <c r="M359" s="62" t="str">
        <f>IFERROR(__xludf.DUMMYFUNCTION("QUERY('Volunteer Survey'!E368)"),"laurie.m.connors@vanderbilt.edu")</f>
        <v>laurie.m.connors@vanderbilt.edu</v>
      </c>
      <c r="N359" s="62" t="str">
        <f>IFERROR(__xludf.DUMMYFUNCTION("QUERY('Volunteer Survey'!F368)"),"Clinical geneticist, Genetic Nurse Practitioner")</f>
        <v>Clinical geneticist, Genetic Nurse Practitioner</v>
      </c>
      <c r="O359" s="60" t="str">
        <f>IFERROR(__xludf.DUMMYFUNCTION("QUERY('Volunteer Survey'!H368)"),"Comprehensive")</f>
        <v>Comprehensive</v>
      </c>
      <c r="P359" s="62" t="str">
        <f>IFERROR(__xludf.DUMMYFUNCTION("QUERY('Volunteer Survey'!I368)"),"Clinical Actionability")</f>
        <v>Clinical Actionability</v>
      </c>
      <c r="Q359" s="66" t="str">
        <f>IFERROR(__xludf.DUMMYFUNCTION("QUERY('Volunteer Survey'!J368)"),"Variant Pathogenicity")</f>
        <v>Variant Pathogenicity</v>
      </c>
      <c r="R359" s="62" t="str">
        <f>IFERROR(__xludf.DUMMYFUNCTION("QUERY('Volunteer Survey'!K368)"),"Gene-Disease Validity")</f>
        <v>Gene-Disease Validity</v>
      </c>
      <c r="S359" s="62" t="str">
        <f>IFERROR(__xludf.DUMMYFUNCTION("QUERY('Volunteer Survey'!L368)"),"Somatic Cancer")</f>
        <v>Somatic Cancer</v>
      </c>
      <c r="T359" s="62" t="str">
        <f>IFERROR(__xludf.DUMMYFUNCTION("QUERY('Volunteer Survey'!M368)"),"Dosage Sensitivity")</f>
        <v>Dosage Sensitivity</v>
      </c>
      <c r="U359" s="74" t="str">
        <f>IFERROR(__xludf.DUMMYFUNCTION("QUERY('Volunteer Survey'!N368)"),"No")</f>
        <v>No</v>
      </c>
      <c r="V359" s="62" t="str">
        <f>IFERROR(__xludf.DUMMYFUNCTION("QUERY('Volunteer Survey'!O368)"),"Yes")</f>
        <v>Yes</v>
      </c>
      <c r="W359" s="75" t="str">
        <f>IFERROR(__xludf.DUMMYFUNCTION("QUERY('Volunteer Survey'!P368)"),"Hereditary Cancer, PTEN, VHL")</f>
        <v>Hereditary Cancer, PTEN, VHL</v>
      </c>
      <c r="X359" s="74" t="str">
        <f>IFERROR(__xludf.DUMMYFUNCTION("QUERY('Volunteer Survey'!R368)"),"Maybe -- please contact me with other options, and I will decide based on what is available")</f>
        <v>Maybe -- please contact me with other options, and I will decide based on what is available</v>
      </c>
      <c r="Y359" s="61"/>
      <c r="Z359" s="62"/>
      <c r="AA359" s="62"/>
      <c r="AB359" s="62"/>
      <c r="AC359" s="62"/>
      <c r="AD359" s="62"/>
      <c r="AE359" s="62"/>
      <c r="AF359" s="62"/>
      <c r="AG359" s="62"/>
      <c r="AH359" s="62"/>
      <c r="AI359" s="62"/>
      <c r="AJ359" s="62"/>
      <c r="AK359" s="62"/>
      <c r="AL359" s="62"/>
      <c r="AM359" s="62"/>
      <c r="AN359" s="62"/>
      <c r="AO359" s="62"/>
    </row>
    <row r="360">
      <c r="A360" s="59">
        <f>IFERROR(__xludf.DUMMYFUNCTION("QUERY('Volunteer Survey'!A369)"),43809.806702071764)</f>
        <v>43809.8067</v>
      </c>
      <c r="B360" s="60" t="s">
        <v>340</v>
      </c>
      <c r="C360" s="61"/>
      <c r="D360" s="62"/>
      <c r="E360" s="62"/>
      <c r="F360" s="60" t="s">
        <v>182</v>
      </c>
      <c r="G360" s="60" t="s">
        <v>301</v>
      </c>
      <c r="H360" s="61"/>
      <c r="I360" s="61"/>
      <c r="J360" s="62"/>
      <c r="K360" s="62"/>
      <c r="L360" s="62" t="str">
        <f>IFERROR(__xludf.DUMMYFUNCTION("QUERY('Volunteer Survey'!B369)"),"Jian Zhao")</f>
        <v>Jian Zhao</v>
      </c>
      <c r="M360" s="62" t="str">
        <f>IFERROR(__xludf.DUMMYFUNCTION("QUERY('Volunteer Survey'!E369)"),"jian.zhao@aruplab.com")</f>
        <v>jian.zhao@aruplab.com</v>
      </c>
      <c r="N360" s="62" t="str">
        <f>IFERROR(__xludf.DUMMYFUNCTION("QUERY('Volunteer Survey'!F369)"),"Post Doc/Resident/Fellow (MD and/or PhD)")</f>
        <v>Post Doc/Resident/Fellow (MD and/or PhD)</v>
      </c>
      <c r="O360" s="60" t="str">
        <f>IFERROR(__xludf.DUMMYFUNCTION("QUERY('Volunteer Survey'!H369)"),"Baseline")</f>
        <v>Baseline</v>
      </c>
      <c r="P360" s="62" t="str">
        <f>IFERROR(__xludf.DUMMYFUNCTION("QUERY('Volunteer Survey'!I369)"),"Dosage Sensitivity")</f>
        <v>Dosage Sensitivity</v>
      </c>
      <c r="Q360" s="66" t="str">
        <f>IFERROR(__xludf.DUMMYFUNCTION("QUERY('Volunteer Survey'!J369)"),"")</f>
        <v/>
      </c>
      <c r="R360" s="62" t="str">
        <f>IFERROR(__xludf.DUMMYFUNCTION("QUERY('Volunteer Survey'!K369)"),"")</f>
        <v/>
      </c>
      <c r="S360" s="62" t="str">
        <f>IFERROR(__xludf.DUMMYFUNCTION("QUERY('Volunteer Survey'!L369)"),"")</f>
        <v/>
      </c>
      <c r="T360" s="62" t="str">
        <f>IFERROR(__xludf.DUMMYFUNCTION("QUERY('Volunteer Survey'!M369)"),"")</f>
        <v/>
      </c>
      <c r="U360" s="74" t="str">
        <f>IFERROR(__xludf.DUMMYFUNCTION("QUERY('Volunteer Survey'!N369)"),"I was a variant analyst at EGL Genetics before joining ARUP for LGG fellowship")</f>
        <v>I was a variant analyst at EGL Genetics before joining ARUP for LGG fellowship</v>
      </c>
      <c r="V360" s="62" t="str">
        <f>IFERROR(__xludf.DUMMYFUNCTION("QUERY('Volunteer Survey'!O369)"),"Possibly")</f>
        <v>Possibly</v>
      </c>
      <c r="W360" s="75" t="str">
        <f>IFERROR(__xludf.DUMMYFUNCTION("QUERY('Volunteer Survey'!P369)"),"")</f>
        <v/>
      </c>
      <c r="X360" s="74" t="str">
        <f>IFERROR(__xludf.DUMMYFUNCTION("QUERY('Volunteer Survey'!R369)"),"Maybe -- please contact me with other options, and I will decide based on what is available")</f>
        <v>Maybe -- please contact me with other options, and I will decide based on what is available</v>
      </c>
      <c r="Y360" s="61"/>
      <c r="Z360" s="62"/>
      <c r="AA360" s="62"/>
      <c r="AB360" s="62"/>
      <c r="AC360" s="62"/>
      <c r="AD360" s="62"/>
      <c r="AE360" s="62"/>
      <c r="AF360" s="62"/>
      <c r="AG360" s="62"/>
      <c r="AH360" s="62"/>
      <c r="AI360" s="62"/>
      <c r="AJ360" s="62"/>
      <c r="AK360" s="62"/>
      <c r="AL360" s="62"/>
      <c r="AM360" s="62"/>
      <c r="AN360" s="62"/>
      <c r="AO360" s="62"/>
    </row>
    <row r="361">
      <c r="A361" s="59">
        <f>IFERROR(__xludf.DUMMYFUNCTION("QUERY('Volunteer Survey'!A370)"),43810.62789938657)</f>
        <v>43810.6279</v>
      </c>
      <c r="B361" s="60" t="s">
        <v>275</v>
      </c>
      <c r="C361" s="80">
        <v>43819.0</v>
      </c>
      <c r="D361" s="85">
        <v>43846.0</v>
      </c>
      <c r="E361" s="60" t="s">
        <v>277</v>
      </c>
      <c r="F361" s="60" t="s">
        <v>182</v>
      </c>
      <c r="G361" s="60" t="s">
        <v>278</v>
      </c>
      <c r="H361" s="61"/>
      <c r="I361" s="61"/>
      <c r="J361" s="62"/>
      <c r="K361" s="62"/>
      <c r="L361" s="62" t="str">
        <f>IFERROR(__xludf.DUMMYFUNCTION("QUERY('Volunteer Survey'!B370)"),"Tess Levy")</f>
        <v>Tess Levy</v>
      </c>
      <c r="M361" s="62" t="str">
        <f>IFERROR(__xludf.DUMMYFUNCTION("QUERY('Volunteer Survey'!E370)"),"tess.levy@mssm.edu")</f>
        <v>tess.levy@mssm.edu</v>
      </c>
      <c r="N361" s="62" t="str">
        <f>IFERROR(__xludf.DUMMYFUNCTION("QUERY('Volunteer Survey'!F370)"),"Genetic counselor")</f>
        <v>Genetic counselor</v>
      </c>
      <c r="O361" s="60" t="str">
        <f>IFERROR(__xludf.DUMMYFUNCTION("QUERY('Volunteer Survey'!H370)"),"Comprehensive")</f>
        <v>Comprehensive</v>
      </c>
      <c r="P361" s="62" t="str">
        <f>IFERROR(__xludf.DUMMYFUNCTION("QUERY('Volunteer Survey'!I370)"),"Gene-Disease Validity")</f>
        <v>Gene-Disease Validity</v>
      </c>
      <c r="Q361" s="66" t="str">
        <f>IFERROR(__xludf.DUMMYFUNCTION("QUERY('Volunteer Survey'!J370)"),"")</f>
        <v/>
      </c>
      <c r="R361" s="62" t="str">
        <f>IFERROR(__xludf.DUMMYFUNCTION("QUERY('Volunteer Survey'!K370)"),"")</f>
        <v/>
      </c>
      <c r="S361" s="62" t="str">
        <f>IFERROR(__xludf.DUMMYFUNCTION("QUERY('Volunteer Survey'!L370)"),"")</f>
        <v/>
      </c>
      <c r="T361" s="62" t="str">
        <f>IFERROR(__xludf.DUMMYFUNCTION("QUERY('Volunteer Survey'!M370)"),"")</f>
        <v/>
      </c>
      <c r="U361" s="74" t="str">
        <f>IFERROR(__xludf.DUMMYFUNCTION("QUERY('Volunteer Survey'!N370)"),"Interpretation of whole genome sequences for individuals with undiagnosed neurodevelopment disorders ")</f>
        <v>Interpretation of whole genome sequences for individuals with undiagnosed neurodevelopment disorders </v>
      </c>
      <c r="V361" s="62" t="str">
        <f>IFERROR(__xludf.DUMMYFUNCTION("QUERY('Volunteer Survey'!O370)"),"Possibly")</f>
        <v>Possibly</v>
      </c>
      <c r="W361" s="75" t="str">
        <f>IFERROR(__xludf.DUMMYFUNCTION("QUERY('Volunteer Survey'!P370)"),"ASD/ID")</f>
        <v>ASD/ID</v>
      </c>
      <c r="X361" s="74" t="str">
        <f>IFERROR(__xludf.DUMMYFUNCTION("QUERY('Volunteer Survey'!R370)"),"Maybe -- please contact me with other options, and I will decide based on what is available")</f>
        <v>Maybe -- please contact me with other options, and I will decide based on what is available</v>
      </c>
      <c r="Y361" s="61"/>
      <c r="Z361" s="62"/>
      <c r="AA361" s="62"/>
      <c r="AB361" s="62"/>
      <c r="AC361" s="62"/>
      <c r="AD361" s="62"/>
      <c r="AE361" s="62"/>
      <c r="AF361" s="62"/>
      <c r="AG361" s="62"/>
      <c r="AH361" s="62"/>
      <c r="AI361" s="62"/>
      <c r="AJ361" s="62"/>
      <c r="AK361" s="62"/>
      <c r="AL361" s="62"/>
      <c r="AM361" s="62"/>
      <c r="AN361" s="62"/>
      <c r="AO361" s="62"/>
    </row>
    <row r="362">
      <c r="A362" s="59">
        <f>IFERROR(__xludf.DUMMYFUNCTION("QUERY('Volunteer Survey'!A371)"),43811.14995009259)</f>
        <v>43811.14995</v>
      </c>
      <c r="B362" s="60" t="s">
        <v>275</v>
      </c>
      <c r="C362" s="80">
        <v>43819.0</v>
      </c>
      <c r="D362" s="85">
        <v>43846.0</v>
      </c>
      <c r="E362" s="60" t="s">
        <v>277</v>
      </c>
      <c r="F362" s="60" t="s">
        <v>277</v>
      </c>
      <c r="G362" s="60" t="s">
        <v>278</v>
      </c>
      <c r="H362" s="61"/>
      <c r="I362" s="61"/>
      <c r="J362" s="62"/>
      <c r="K362" s="62"/>
      <c r="L362" s="62" t="str">
        <f>IFERROR(__xludf.DUMMYFUNCTION("QUERY('Volunteer Survey'!B371)"),"Xiaoyan Guo ")</f>
        <v>Xiaoyan Guo </v>
      </c>
      <c r="M362" s="62" t="str">
        <f>IFERROR(__xludf.DUMMYFUNCTION("QUERY('Volunteer Survey'!E371)"),"540842557@qq.com")</f>
        <v>540842557@qq.com</v>
      </c>
      <c r="N362" s="62" t="str">
        <f>IFERROR(__xludf.DUMMYFUNCTION("QUERY('Volunteer Survey'!F371)"),"Post Doc/Resident/Fellow (MD and/or PhD)")</f>
        <v>Post Doc/Resident/Fellow (MD and/or PhD)</v>
      </c>
      <c r="O362" s="60" t="str">
        <f>IFERROR(__xludf.DUMMYFUNCTION("QUERY('Volunteer Survey'!H371)"),"Comprehensive")</f>
        <v>Comprehensive</v>
      </c>
      <c r="P362" s="62" t="str">
        <f>IFERROR(__xludf.DUMMYFUNCTION("QUERY('Volunteer Survey'!I371)"),"Gene-Disease Validity")</f>
        <v>Gene-Disease Validity</v>
      </c>
      <c r="Q362" s="66" t="str">
        <f>IFERROR(__xludf.DUMMYFUNCTION("QUERY('Volunteer Survey'!J371)"),"Variant Pathogenicity")</f>
        <v>Variant Pathogenicity</v>
      </c>
      <c r="R362" s="62" t="str">
        <f>IFERROR(__xludf.DUMMYFUNCTION("QUERY('Volunteer Survey'!K371)"),"Dosage Sensitivity")</f>
        <v>Dosage Sensitivity</v>
      </c>
      <c r="S362" s="62" t="str">
        <f>IFERROR(__xludf.DUMMYFUNCTION("QUERY('Volunteer Survey'!L371)"),"Somatic Cancer")</f>
        <v>Somatic Cancer</v>
      </c>
      <c r="T362" s="62" t="str">
        <f>IFERROR(__xludf.DUMMYFUNCTION("QUERY('Volunteer Survey'!M371)"),"Clinical Actionability")</f>
        <v>Clinical Actionability</v>
      </c>
      <c r="U362" s="74" t="str">
        <f>IFERROR(__xludf.DUMMYFUNCTION("QUERY('Volunteer Survey'!N371)"),"")</f>
        <v/>
      </c>
      <c r="V362" s="62" t="str">
        <f>IFERROR(__xludf.DUMMYFUNCTION("QUERY('Volunteer Survey'!O371)"),"Possibly")</f>
        <v>Possibly</v>
      </c>
      <c r="W362" s="75" t="str">
        <f>IFERROR(__xludf.DUMMYFUNCTION("QUERY('Volunteer Survey'!P371)"),"")</f>
        <v/>
      </c>
      <c r="X362" s="74" t="str">
        <f>IFERROR(__xludf.DUMMYFUNCTION("QUERY('Volunteer Survey'!R371)"),"Yes- I am willing to volunteer with any available ClinGen group")</f>
        <v>Yes- I am willing to volunteer with any available ClinGen group</v>
      </c>
      <c r="Y362" s="61"/>
      <c r="Z362" s="62"/>
      <c r="AA362" s="62"/>
      <c r="AB362" s="62"/>
      <c r="AC362" s="62"/>
      <c r="AD362" s="62"/>
      <c r="AE362" s="62"/>
      <c r="AF362" s="62"/>
      <c r="AG362" s="62"/>
      <c r="AH362" s="62"/>
      <c r="AI362" s="62"/>
      <c r="AJ362" s="62"/>
      <c r="AK362" s="62"/>
      <c r="AL362" s="62"/>
      <c r="AM362" s="62"/>
      <c r="AN362" s="62"/>
      <c r="AO362" s="62"/>
    </row>
    <row r="363">
      <c r="A363" s="59">
        <f>IFERROR(__xludf.DUMMYFUNCTION("QUERY('Volunteer Survey'!A372)"),43811.796518055555)</f>
        <v>43811.79652</v>
      </c>
      <c r="B363" s="60" t="s">
        <v>340</v>
      </c>
      <c r="C363" s="61"/>
      <c r="D363" s="62"/>
      <c r="E363" s="62"/>
      <c r="F363" s="60" t="s">
        <v>182</v>
      </c>
      <c r="G363" s="60" t="s">
        <v>301</v>
      </c>
      <c r="H363" s="61"/>
      <c r="I363" s="61"/>
      <c r="J363" s="62"/>
      <c r="K363" s="62"/>
      <c r="L363" s="62" t="str">
        <f>IFERROR(__xludf.DUMMYFUNCTION("QUERY('Volunteer Survey'!B372)"),"Benjamin Clyde")</f>
        <v>Benjamin Clyde</v>
      </c>
      <c r="M363" s="62" t="str">
        <f>IFERROR(__xludf.DUMMYFUNCTION("QUERY('Volunteer Survey'!E372)"),"benjamin.clyde@aruplab.com")</f>
        <v>benjamin.clyde@aruplab.com</v>
      </c>
      <c r="N363" s="62" t="str">
        <f>IFERROR(__xludf.DUMMYFUNCTION("QUERY('Volunteer Survey'!F372)"),"Variant Analyst/Scientist - Industry")</f>
        <v>Variant Analyst/Scientist - Industry</v>
      </c>
      <c r="O363" s="60" t="str">
        <f>IFERROR(__xludf.DUMMYFUNCTION("QUERY('Volunteer Survey'!H372)"),"Comprehensive")</f>
        <v>Comprehensive</v>
      </c>
      <c r="P363" s="62" t="str">
        <f>IFERROR(__xludf.DUMMYFUNCTION("QUERY('Volunteer Survey'!I372)"),"Dosage Sensitivity")</f>
        <v>Dosage Sensitivity</v>
      </c>
      <c r="Q363" s="66" t="str">
        <f>IFERROR(__xludf.DUMMYFUNCTION("QUERY('Volunteer Survey'!J372)"),"Somatic Cancer")</f>
        <v>Somatic Cancer</v>
      </c>
      <c r="R363" s="62" t="str">
        <f>IFERROR(__xludf.DUMMYFUNCTION("QUERY('Volunteer Survey'!K372)"),"")</f>
        <v/>
      </c>
      <c r="S363" s="62" t="str">
        <f>IFERROR(__xludf.DUMMYFUNCTION("QUERY('Volunteer Survey'!L372)"),"")</f>
        <v/>
      </c>
      <c r="T363" s="62" t="str">
        <f>IFERROR(__xludf.DUMMYFUNCTION("QUERY('Volunteer Survey'!M372)"),"")</f>
        <v/>
      </c>
      <c r="U363" s="74" t="str">
        <f>IFERROR(__xludf.DUMMYFUNCTION("QUERY('Volunteer Survey'!N372)"),"")</f>
        <v/>
      </c>
      <c r="V363" s="62" t="str">
        <f>IFERROR(__xludf.DUMMYFUNCTION("QUERY('Volunteer Survey'!O372)"),"")</f>
        <v/>
      </c>
      <c r="W363" s="75" t="str">
        <f>IFERROR(__xludf.DUMMYFUNCTION("QUERY('Volunteer Survey'!P372)"),"Hereditary Cancer Dosage Sensitivity Subgroup")</f>
        <v>Hereditary Cancer Dosage Sensitivity Subgroup</v>
      </c>
      <c r="X363" s="74" t="str">
        <f>IFERROR(__xludf.DUMMYFUNCTION("QUERY('Volunteer Survey'!R372)"),"Maybe -- please contact me with other options, and I will decide based on what is available")</f>
        <v>Maybe -- please contact me with other options, and I will decide based on what is available</v>
      </c>
      <c r="Y363" s="61"/>
      <c r="Z363" s="62"/>
      <c r="AA363" s="62"/>
      <c r="AB363" s="62"/>
      <c r="AC363" s="62"/>
      <c r="AD363" s="62"/>
      <c r="AE363" s="62"/>
      <c r="AF363" s="62"/>
      <c r="AG363" s="62"/>
      <c r="AH363" s="62"/>
      <c r="AI363" s="62"/>
      <c r="AJ363" s="62"/>
      <c r="AK363" s="62"/>
      <c r="AL363" s="62"/>
      <c r="AM363" s="62"/>
      <c r="AN363" s="62"/>
      <c r="AO363" s="62"/>
    </row>
    <row r="364">
      <c r="A364" s="59">
        <f>IFERROR(__xludf.DUMMYFUNCTION("QUERY('Volunteer Survey'!A373)"),43815.79704074074)</f>
        <v>43815.79704</v>
      </c>
      <c r="B364" s="60" t="s">
        <v>340</v>
      </c>
      <c r="C364" s="61"/>
      <c r="D364" s="62"/>
      <c r="E364" s="62"/>
      <c r="F364" s="60" t="s">
        <v>182</v>
      </c>
      <c r="G364" s="60" t="s">
        <v>150</v>
      </c>
      <c r="H364" s="61"/>
      <c r="I364" s="61"/>
      <c r="J364" s="62"/>
      <c r="K364" s="62"/>
      <c r="L364" s="62" t="str">
        <f>IFERROR(__xludf.DUMMYFUNCTION("QUERY('Volunteer Survey'!B373)"),"cynthia chow")</f>
        <v>cynthia chow</v>
      </c>
      <c r="M364" s="62" t="str">
        <f>IFERROR(__xludf.DUMMYFUNCTION("QUERY('Volunteer Survey'!E373)"),"cchow3@bccancer.bc.ca")</f>
        <v>cchow3@bccancer.bc.ca</v>
      </c>
      <c r="N364" s="62" t="str">
        <f>IFERROR(__xludf.DUMMYFUNCTION("QUERY('Volunteer Survey'!F373)"),"Variant Analyst for an In-house Oncopanel and Myeloid Panels")</f>
        <v>Variant Analyst for an In-house Oncopanel and Myeloid Panels</v>
      </c>
      <c r="O364" s="60" t="str">
        <f>IFERROR(__xludf.DUMMYFUNCTION("QUERY('Volunteer Survey'!H373)"),"Comprehensive")</f>
        <v>Comprehensive</v>
      </c>
      <c r="P364" s="62" t="str">
        <f>IFERROR(__xludf.DUMMYFUNCTION("QUERY('Volunteer Survey'!I373)"),"Somatic Cancer")</f>
        <v>Somatic Cancer</v>
      </c>
      <c r="Q364" s="66" t="str">
        <f>IFERROR(__xludf.DUMMYFUNCTION("QUERY('Volunteer Survey'!J373)"),"Clinical Actionability")</f>
        <v>Clinical Actionability</v>
      </c>
      <c r="R364" s="62" t="str">
        <f>IFERROR(__xludf.DUMMYFUNCTION("QUERY('Volunteer Survey'!K373)"),"Variant Pathogenicity")</f>
        <v>Variant Pathogenicity</v>
      </c>
      <c r="S364" s="62" t="str">
        <f>IFERROR(__xludf.DUMMYFUNCTION("QUERY('Volunteer Survey'!L373)"),"Gene-Disease Validity")</f>
        <v>Gene-Disease Validity</v>
      </c>
      <c r="T364" s="62" t="str">
        <f>IFERROR(__xludf.DUMMYFUNCTION("QUERY('Volunteer Survey'!M373)"),"Dosage Sensitivity")</f>
        <v>Dosage Sensitivity</v>
      </c>
      <c r="U364" s="74" t="str">
        <f>IFERROR(__xludf.DUMMYFUNCTION("QUERY('Volunteer Survey'!N373)"),"I have 3 years experience in variant assesment/interpretation for myeloid and oncopanels.  I currently prepare and interpret for the medical staff to use to correlate with other clinical findings.")</f>
        <v>I have 3 years experience in variant assesment/interpretation for myeloid and oncopanels.  I currently prepare and interpret for the medical staff to use to correlate with other clinical findings.</v>
      </c>
      <c r="V364" s="62" t="str">
        <f>IFERROR(__xludf.DUMMYFUNCTION("QUERY('Volunteer Survey'!O373)"),"Yes")</f>
        <v>Yes</v>
      </c>
      <c r="W364" s="75" t="str">
        <f>IFERROR(__xludf.DUMMYFUNCTION("QUERY('Volunteer Survey'!P373)"),"")</f>
        <v/>
      </c>
      <c r="X364" s="74" t="str">
        <f>IFERROR(__xludf.DUMMYFUNCTION("QUERY('Volunteer Survey'!R373)"),"Maybe -- please contact me with other options, and I will decide based on what is available")</f>
        <v>Maybe -- please contact me with other options, and I will decide based on what is available</v>
      </c>
      <c r="Y364" s="61"/>
      <c r="Z364" s="62"/>
      <c r="AA364" s="62"/>
      <c r="AB364" s="62"/>
      <c r="AC364" s="62"/>
      <c r="AD364" s="62"/>
      <c r="AE364" s="62"/>
      <c r="AF364" s="62"/>
      <c r="AG364" s="62"/>
      <c r="AH364" s="62"/>
      <c r="AI364" s="62"/>
      <c r="AJ364" s="62"/>
      <c r="AK364" s="62"/>
      <c r="AL364" s="62"/>
      <c r="AM364" s="62"/>
      <c r="AN364" s="62"/>
      <c r="AO364" s="62"/>
    </row>
    <row r="365">
      <c r="A365" s="59">
        <f>IFERROR(__xludf.DUMMYFUNCTION("QUERY('Volunteer Survey'!A374)"),43817.62045903935)</f>
        <v>43817.62046</v>
      </c>
      <c r="B365" s="60" t="s">
        <v>275</v>
      </c>
      <c r="C365" s="80">
        <v>43819.0</v>
      </c>
      <c r="D365" s="62"/>
      <c r="E365" s="62"/>
      <c r="F365" s="60" t="s">
        <v>182</v>
      </c>
      <c r="G365" s="60" t="s">
        <v>278</v>
      </c>
      <c r="H365" s="61"/>
      <c r="I365" s="61"/>
      <c r="J365" s="62"/>
      <c r="K365" s="62"/>
      <c r="L365" s="62" t="str">
        <f>IFERROR(__xludf.DUMMYFUNCTION("QUERY('Volunteer Survey'!B374)"),"Marco Leung")</f>
        <v>Marco Leung</v>
      </c>
      <c r="M365" s="62" t="str">
        <f>IFERROR(__xludf.DUMMYFUNCTION("QUERY('Volunteer Survey'!E374)"),"marcoleung@me.com")</f>
        <v>marcoleung@me.com</v>
      </c>
      <c r="N365" s="62" t="str">
        <f>IFERROR(__xludf.DUMMYFUNCTION("QUERY('Volunteer Survey'!F374)"),"Clinical laboratory geneticist")</f>
        <v>Clinical laboratory geneticist</v>
      </c>
      <c r="O365" s="60" t="str">
        <f>IFERROR(__xludf.DUMMYFUNCTION("QUERY('Volunteer Survey'!H374)"),"Comprehensive")</f>
        <v>Comprehensive</v>
      </c>
      <c r="P365" s="62" t="str">
        <f>IFERROR(__xludf.DUMMYFUNCTION("QUERY('Volunteer Survey'!I374)"),"Gene-Disease Validity")</f>
        <v>Gene-Disease Validity</v>
      </c>
      <c r="Q365" s="66" t="str">
        <f>IFERROR(__xludf.DUMMYFUNCTION("QUERY('Volunteer Survey'!J374)"),"Variant Pathogenicity")</f>
        <v>Variant Pathogenicity</v>
      </c>
      <c r="R365" s="62" t="str">
        <f>IFERROR(__xludf.DUMMYFUNCTION("QUERY('Volunteer Survey'!K374)"),"Clinical Actionability")</f>
        <v>Clinical Actionability</v>
      </c>
      <c r="S365" s="62" t="str">
        <f>IFERROR(__xludf.DUMMYFUNCTION("QUERY('Volunteer Survey'!L374)"),"Dosage Sensitivity")</f>
        <v>Dosage Sensitivity</v>
      </c>
      <c r="T365" s="62" t="str">
        <f>IFERROR(__xludf.DUMMYFUNCTION("QUERY('Volunteer Survey'!M374)"),"Somatic Cancer")</f>
        <v>Somatic Cancer</v>
      </c>
      <c r="U365" s="74" t="str">
        <f>IFERROR(__xludf.DUMMYFUNCTION("QUERY('Volunteer Survey'!N374)"),"Determining gene-disease validity and variant pathogenicity is my everyday job")</f>
        <v>Determining gene-disease validity and variant pathogenicity is my everyday job</v>
      </c>
      <c r="V365" s="62" t="str">
        <f>IFERROR(__xludf.DUMMYFUNCTION("QUERY('Volunteer Survey'!O374)"),"Yes")</f>
        <v>Yes</v>
      </c>
      <c r="W365" s="75" t="str">
        <f>IFERROR(__xludf.DUMMYFUNCTION("QUERY('Volunteer Survey'!P374)"),"")</f>
        <v/>
      </c>
      <c r="X365" s="74" t="str">
        <f>IFERROR(__xludf.DUMMYFUNCTION("QUERY('Volunteer Survey'!R374)"),"Yes- I am willing to volunteer with any available ClinGen group")</f>
        <v>Yes- I am willing to volunteer with any available ClinGen group</v>
      </c>
      <c r="Y365" s="61"/>
      <c r="Z365" s="62"/>
      <c r="AA365" s="62"/>
      <c r="AB365" s="62"/>
      <c r="AC365" s="62"/>
      <c r="AD365" s="62"/>
      <c r="AE365" s="62"/>
      <c r="AF365" s="62"/>
      <c r="AG365" s="62"/>
      <c r="AH365" s="62"/>
      <c r="AI365" s="62"/>
      <c r="AJ365" s="62"/>
      <c r="AK365" s="62"/>
      <c r="AL365" s="62"/>
      <c r="AM365" s="62"/>
      <c r="AN365" s="62"/>
      <c r="AO365" s="62"/>
    </row>
    <row r="366">
      <c r="A366" s="59">
        <f>IFERROR(__xludf.DUMMYFUNCTION("QUERY('Volunteer Survey'!A375)"),43817.633831550935)</f>
        <v>43817.63383</v>
      </c>
      <c r="B366" s="60" t="s">
        <v>340</v>
      </c>
      <c r="C366" s="61"/>
      <c r="D366" s="62"/>
      <c r="E366" s="62"/>
      <c r="F366" s="60" t="s">
        <v>182</v>
      </c>
      <c r="G366" s="60" t="s">
        <v>301</v>
      </c>
      <c r="H366" s="61"/>
      <c r="I366" s="61"/>
      <c r="J366" s="62"/>
      <c r="K366" s="62"/>
      <c r="L366" s="62" t="str">
        <f>IFERROR(__xludf.DUMMYFUNCTION("QUERY('Volunteer Survey'!B375)"),"Alaa Koleilat")</f>
        <v>Alaa Koleilat</v>
      </c>
      <c r="M366" s="62" t="str">
        <f>IFERROR(__xludf.DUMMYFUNCTION("QUERY('Volunteer Survey'!E375)"),"koleilat.alaa@mayo.edu")</f>
        <v>koleilat.alaa@mayo.edu</v>
      </c>
      <c r="N366" s="62" t="str">
        <f>IFERROR(__xludf.DUMMYFUNCTION("QUERY('Volunteer Survey'!F375)"),"Graduate Student")</f>
        <v>Graduate Student</v>
      </c>
      <c r="O366" s="60" t="str">
        <f>IFERROR(__xludf.DUMMYFUNCTION("QUERY('Volunteer Survey'!H375)"),"Baseline")</f>
        <v>Baseline</v>
      </c>
      <c r="P366" s="62" t="str">
        <f>IFERROR(__xludf.DUMMYFUNCTION("QUERY('Volunteer Survey'!I375)"),"Variant Pathogenicity")</f>
        <v>Variant Pathogenicity</v>
      </c>
      <c r="Q366" s="66" t="str">
        <f>IFERROR(__xludf.DUMMYFUNCTION("QUERY('Volunteer Survey'!J375)"),"Gene-Disease Validity")</f>
        <v>Gene-Disease Validity</v>
      </c>
      <c r="R366" s="62" t="str">
        <f>IFERROR(__xludf.DUMMYFUNCTION("QUERY('Volunteer Survey'!K375)"),"Somatic Cancer")</f>
        <v>Somatic Cancer</v>
      </c>
      <c r="S366" s="62" t="str">
        <f>IFERROR(__xludf.DUMMYFUNCTION("QUERY('Volunteer Survey'!L375)"),"Clinical Actionability")</f>
        <v>Clinical Actionability</v>
      </c>
      <c r="T366" s="62" t="str">
        <f>IFERROR(__xludf.DUMMYFUNCTION("QUERY('Volunteer Survey'!M375)"),"Dosage Sensitivity")</f>
        <v>Dosage Sensitivity</v>
      </c>
      <c r="U366" s="74" t="str">
        <f>IFERROR(__xludf.DUMMYFUNCTION("QUERY('Volunteer Survey'!N375)"),"")</f>
        <v/>
      </c>
      <c r="V366" s="62" t="str">
        <f>IFERROR(__xludf.DUMMYFUNCTION("QUERY('Volunteer Survey'!O375)"),"Yes")</f>
        <v>Yes</v>
      </c>
      <c r="W366" s="75" t="str">
        <f>IFERROR(__xludf.DUMMYFUNCTION("QUERY('Volunteer Survey'!P375)"),"mitochondrial disease, pediatric somatic cancer")</f>
        <v>mitochondrial disease, pediatric somatic cancer</v>
      </c>
      <c r="X366" s="74" t="str">
        <f>IFERROR(__xludf.DUMMYFUNCTION("QUERY('Volunteer Survey'!R375)"),"Yes- I am willing to volunteer with any available ClinGen group")</f>
        <v>Yes- I am willing to volunteer with any available ClinGen group</v>
      </c>
      <c r="Y366" s="61"/>
      <c r="Z366" s="62"/>
      <c r="AA366" s="62"/>
      <c r="AB366" s="62"/>
      <c r="AC366" s="62"/>
      <c r="AD366" s="62"/>
      <c r="AE366" s="62"/>
      <c r="AF366" s="62"/>
      <c r="AG366" s="62"/>
      <c r="AH366" s="62"/>
      <c r="AI366" s="62"/>
      <c r="AJ366" s="62"/>
      <c r="AK366" s="62"/>
      <c r="AL366" s="62"/>
      <c r="AM366" s="62"/>
      <c r="AN366" s="62"/>
      <c r="AO366" s="62"/>
    </row>
    <row r="367">
      <c r="A367" s="59">
        <f>IFERROR(__xludf.DUMMYFUNCTION("QUERY('Volunteer Survey'!A376)"),43818.519401909725)</f>
        <v>43818.5194</v>
      </c>
      <c r="B367" s="60" t="s">
        <v>275</v>
      </c>
      <c r="C367" s="80">
        <v>43819.0</v>
      </c>
      <c r="D367" s="85">
        <v>43846.0</v>
      </c>
      <c r="E367" s="60" t="s">
        <v>277</v>
      </c>
      <c r="F367" s="60" t="s">
        <v>277</v>
      </c>
      <c r="G367" s="60" t="s">
        <v>278</v>
      </c>
      <c r="H367" s="61"/>
      <c r="I367" s="61"/>
      <c r="J367" s="62"/>
      <c r="K367" s="62"/>
      <c r="L367" s="62" t="str">
        <f>IFERROR(__xludf.DUMMYFUNCTION("QUERY('Volunteer Survey'!B376)"),"Thanuja Selvanayagam")</f>
        <v>Thanuja Selvanayagam</v>
      </c>
      <c r="M367" s="62" t="str">
        <f>IFERROR(__xludf.DUMMYFUNCTION("QUERY('Volunteer Survey'!E376)"),"tselvanayagam@cheo.on.ca")</f>
        <v>tselvanayagam@cheo.on.ca</v>
      </c>
      <c r="N367" s="62" t="str">
        <f>IFERROR(__xludf.DUMMYFUNCTION("QUERY('Volunteer Survey'!F376)"),"Genetic counselor")</f>
        <v>Genetic counselor</v>
      </c>
      <c r="O367" s="60" t="str">
        <f>IFERROR(__xludf.DUMMYFUNCTION("QUERY('Volunteer Survey'!H376)"),"Comprehensive")</f>
        <v>Comprehensive</v>
      </c>
      <c r="P367" s="62" t="str">
        <f>IFERROR(__xludf.DUMMYFUNCTION("QUERY('Volunteer Survey'!I376)"),"Gene-Disease Validity")</f>
        <v>Gene-Disease Validity</v>
      </c>
      <c r="Q367" s="66" t="str">
        <f>IFERROR(__xludf.DUMMYFUNCTION("QUERY('Volunteer Survey'!J376)"),"Variant Pathogenicity")</f>
        <v>Variant Pathogenicity</v>
      </c>
      <c r="R367" s="62" t="str">
        <f>IFERROR(__xludf.DUMMYFUNCTION("QUERY('Volunteer Survey'!K376)"),"Clinical Actionability")</f>
        <v>Clinical Actionability</v>
      </c>
      <c r="S367" s="62" t="str">
        <f>IFERROR(__xludf.DUMMYFUNCTION("QUERY('Volunteer Survey'!L376)"),"Dosage Sensitivity")</f>
        <v>Dosage Sensitivity</v>
      </c>
      <c r="T367" s="62" t="str">
        <f>IFERROR(__xludf.DUMMYFUNCTION("QUERY('Volunteer Survey'!M376)"),"Somatic Cancer")</f>
        <v>Somatic Cancer</v>
      </c>
      <c r="U367" s="74" t="str">
        <f>IFERROR(__xludf.DUMMYFUNCTION("QUERY('Volunteer Survey'!N376)"),"NO")</f>
        <v>NO</v>
      </c>
      <c r="V367" s="62" t="str">
        <f>IFERROR(__xludf.DUMMYFUNCTION("QUERY('Volunteer Survey'!O376)"),"Possibly")</f>
        <v>Possibly</v>
      </c>
      <c r="W367" s="75" t="str">
        <f>IFERROR(__xludf.DUMMYFUNCTION("QUERY('Volunteer Survey'!P376)"),"Cardiomyopathy ")</f>
        <v>Cardiomyopathy </v>
      </c>
      <c r="X367" s="74" t="str">
        <f>IFERROR(__xludf.DUMMYFUNCTION("QUERY('Volunteer Survey'!R376)"),"Maybe -- please contact me with other options, and I will decide based on what is available")</f>
        <v>Maybe -- please contact me with other options, and I will decide based on what is available</v>
      </c>
      <c r="Y367" s="61"/>
      <c r="Z367" s="62"/>
      <c r="AA367" s="62"/>
      <c r="AB367" s="62"/>
      <c r="AC367" s="62"/>
      <c r="AD367" s="62"/>
      <c r="AE367" s="62"/>
      <c r="AF367" s="62"/>
      <c r="AG367" s="62"/>
      <c r="AH367" s="62"/>
      <c r="AI367" s="62"/>
      <c r="AJ367" s="62"/>
      <c r="AK367" s="62"/>
      <c r="AL367" s="62"/>
      <c r="AM367" s="62"/>
      <c r="AN367" s="62"/>
      <c r="AO367" s="62"/>
    </row>
    <row r="368">
      <c r="A368" s="59">
        <f>IFERROR(__xludf.DUMMYFUNCTION("QUERY('Volunteer Survey'!A377)"),43822.78095611111)</f>
        <v>43822.78096</v>
      </c>
      <c r="B368" s="60" t="s">
        <v>282</v>
      </c>
      <c r="C368" s="90">
        <v>43860.0</v>
      </c>
      <c r="D368" s="62"/>
      <c r="E368" s="62"/>
      <c r="F368" s="60" t="s">
        <v>182</v>
      </c>
      <c r="G368" s="60" t="s">
        <v>27</v>
      </c>
      <c r="H368" s="61"/>
      <c r="I368" s="61"/>
      <c r="J368" s="62"/>
      <c r="K368" s="62"/>
      <c r="L368" s="62" t="str">
        <f>IFERROR(__xludf.DUMMYFUNCTION("QUERY('Volunteer Survey'!B377)"),"Shrutika Jadhav")</f>
        <v>Shrutika Jadhav</v>
      </c>
      <c r="M368" s="62" t="str">
        <f>IFERROR(__xludf.DUMMYFUNCTION("QUERY('Volunteer Survey'!E377)"),"shrutikajadhav18@gmail.com")</f>
        <v>shrutikajadhav18@gmail.com</v>
      </c>
      <c r="N368" s="62" t="str">
        <f>IFERROR(__xludf.DUMMYFUNCTION("QUERY('Volunteer Survey'!F377)"),"Graduate Student")</f>
        <v>Graduate Student</v>
      </c>
      <c r="O368" s="60" t="str">
        <f>IFERROR(__xludf.DUMMYFUNCTION("QUERY('Volunteer Survey'!H377)"),"Comprehensive")</f>
        <v>Comprehensive</v>
      </c>
      <c r="P368" s="62" t="str">
        <f>IFERROR(__xludf.DUMMYFUNCTION("QUERY('Volunteer Survey'!I377)"),"Clinical Actionability")</f>
        <v>Clinical Actionability</v>
      </c>
      <c r="Q368" s="66" t="str">
        <f>IFERROR(__xludf.DUMMYFUNCTION("QUERY('Volunteer Survey'!J377)"),"Gene-Disease Validity")</f>
        <v>Gene-Disease Validity</v>
      </c>
      <c r="R368" s="62" t="str">
        <f>IFERROR(__xludf.DUMMYFUNCTION("QUERY('Volunteer Survey'!K377)"),"Variant Pathogenicity")</f>
        <v>Variant Pathogenicity</v>
      </c>
      <c r="S368" s="62" t="str">
        <f>IFERROR(__xludf.DUMMYFUNCTION("QUERY('Volunteer Survey'!L377)"),"Dosage Sensitivity")</f>
        <v>Dosage Sensitivity</v>
      </c>
      <c r="T368" s="62" t="str">
        <f>IFERROR(__xludf.DUMMYFUNCTION("QUERY('Volunteer Survey'!M377)"),"Somatic Cancer")</f>
        <v>Somatic Cancer</v>
      </c>
      <c r="U368" s="74" t="str">
        <f>IFERROR(__xludf.DUMMYFUNCTION("QUERY('Volunteer Survey'!N377)"),"No")</f>
        <v>No</v>
      </c>
      <c r="V368" s="62" t="str">
        <f>IFERROR(__xludf.DUMMYFUNCTION("QUERY('Volunteer Survey'!O377)"),"Yes")</f>
        <v>Yes</v>
      </c>
      <c r="W368" s="75" t="str">
        <f>IFERROR(__xludf.DUMMYFUNCTION("QUERY('Volunteer Survey'!P377)"),"Brain Malformations, Intellectual Disability and Autism, Pediatric ")</f>
        <v>Brain Malformations, Intellectual Disability and Autism, Pediatric </v>
      </c>
      <c r="X368" s="74" t="str">
        <f>IFERROR(__xludf.DUMMYFUNCTION("QUERY('Volunteer Survey'!R377)"),"Yes- I am willing to volunteer with any available ClinGen group")</f>
        <v>Yes- I am willing to volunteer with any available ClinGen group</v>
      </c>
      <c r="Y368" s="61"/>
      <c r="Z368" s="62"/>
      <c r="AA368" s="62"/>
      <c r="AB368" s="62"/>
      <c r="AC368" s="62"/>
      <c r="AD368" s="62"/>
      <c r="AE368" s="62"/>
      <c r="AF368" s="62"/>
      <c r="AG368" s="62"/>
      <c r="AH368" s="62"/>
      <c r="AI368" s="62"/>
      <c r="AJ368" s="62"/>
      <c r="AK368" s="62"/>
      <c r="AL368" s="62"/>
      <c r="AM368" s="62"/>
      <c r="AN368" s="62"/>
      <c r="AO368" s="62"/>
    </row>
    <row r="369">
      <c r="A369" s="59">
        <f>IFERROR(__xludf.DUMMYFUNCTION("QUERY('Volunteer Survey'!A378)"),43833.441767766206)</f>
        <v>43833.44177</v>
      </c>
      <c r="B369" s="60" t="s">
        <v>275</v>
      </c>
      <c r="C369" s="80">
        <v>43838.0</v>
      </c>
      <c r="D369" s="62"/>
      <c r="E369" s="62"/>
      <c r="F369" s="60" t="s">
        <v>182</v>
      </c>
      <c r="G369" s="60" t="s">
        <v>278</v>
      </c>
      <c r="H369" s="61"/>
      <c r="I369" s="61"/>
      <c r="J369" s="62"/>
      <c r="K369" s="62"/>
      <c r="L369" s="62" t="str">
        <f>IFERROR(__xludf.DUMMYFUNCTION("QUERY('Volunteer Survey'!B378)"),"JACQUELINE BATANIAN")</f>
        <v>JACQUELINE BATANIAN</v>
      </c>
      <c r="M369" s="62" t="str">
        <f>IFERROR(__xludf.DUMMYFUNCTION("QUERY('Volunteer Survey'!E378)"),"JACQUELINE.BATANIAN@HEALTH.SLU.EDU")</f>
        <v>JACQUELINE.BATANIAN@HEALTH.SLU.EDU</v>
      </c>
      <c r="N369" s="62" t="str">
        <f>IFERROR(__xludf.DUMMYFUNCTION("QUERY('Volunteer Survey'!F378)"),"Clinical laboratory geneticist")</f>
        <v>Clinical laboratory geneticist</v>
      </c>
      <c r="O369" s="60" t="str">
        <f>IFERROR(__xludf.DUMMYFUNCTION("QUERY('Volunteer Survey'!H378)"),"Comprehensive")</f>
        <v>Comprehensive</v>
      </c>
      <c r="P369" s="62" t="str">
        <f>IFERROR(__xludf.DUMMYFUNCTION("QUERY('Volunteer Survey'!I378)"),"Gene-Disease Validity")</f>
        <v>Gene-Disease Validity</v>
      </c>
      <c r="Q369" s="66" t="str">
        <f>IFERROR(__xludf.DUMMYFUNCTION("QUERY('Volunteer Survey'!J378)"),"Somatic Cancer")</f>
        <v>Somatic Cancer</v>
      </c>
      <c r="R369" s="62" t="str">
        <f>IFERROR(__xludf.DUMMYFUNCTION("QUERY('Volunteer Survey'!K378)"),"Variant Pathogenicity")</f>
        <v>Variant Pathogenicity</v>
      </c>
      <c r="S369" s="62" t="str">
        <f>IFERROR(__xludf.DUMMYFUNCTION("QUERY('Volunteer Survey'!L378)"),"Dosage Sensitivity")</f>
        <v>Dosage Sensitivity</v>
      </c>
      <c r="T369" s="62" t="str">
        <f>IFERROR(__xludf.DUMMYFUNCTION("QUERY('Volunteer Survey'!M378)"),"Clinical Actionability")</f>
        <v>Clinical Actionability</v>
      </c>
      <c r="U369" s="74" t="str">
        <f>IFERROR(__xludf.DUMMYFUNCTION("QUERY('Volunteer Survey'!N378)"),"I used to navigate literature to determine the nature of copy number variants identified by Oligo/SNP Agilent microarray.")</f>
        <v>I used to navigate literature to determine the nature of copy number variants identified by Oligo/SNP Agilent microarray.</v>
      </c>
      <c r="V369" s="62" t="str">
        <f>IFERROR(__xludf.DUMMYFUNCTION("QUERY('Volunteer Survey'!O378)"),"Yes")</f>
        <v>Yes</v>
      </c>
      <c r="W369" s="75" t="str">
        <f>IFERROR(__xludf.DUMMYFUNCTION("QUERY('Volunteer Survey'!P378)"),"Cardiovascular diseases and Pediatric cancer")</f>
        <v>Cardiovascular diseases and Pediatric cancer</v>
      </c>
      <c r="X369" s="74" t="str">
        <f>IFERROR(__xludf.DUMMYFUNCTION("QUERY('Volunteer Survey'!R378)"),"Yes- I am willing to volunteer with any available ClinGen group")</f>
        <v>Yes- I am willing to volunteer with any available ClinGen group</v>
      </c>
      <c r="Y369" s="61"/>
      <c r="Z369" s="62"/>
      <c r="AA369" s="62"/>
      <c r="AB369" s="62"/>
      <c r="AC369" s="62"/>
      <c r="AD369" s="62"/>
      <c r="AE369" s="62"/>
      <c r="AF369" s="62"/>
      <c r="AG369" s="62"/>
      <c r="AH369" s="62"/>
      <c r="AI369" s="62"/>
      <c r="AJ369" s="62"/>
      <c r="AK369" s="62"/>
      <c r="AL369" s="62"/>
      <c r="AM369" s="62"/>
      <c r="AN369" s="62"/>
      <c r="AO369" s="62"/>
    </row>
    <row r="370">
      <c r="A370" s="59">
        <f>IFERROR(__xludf.DUMMYFUNCTION("QUERY('Volunteer Survey'!A379)"),43833.71189856481)</f>
        <v>43833.7119</v>
      </c>
      <c r="B370" s="60" t="s">
        <v>340</v>
      </c>
      <c r="C370" s="61"/>
      <c r="D370" s="62"/>
      <c r="E370" s="62"/>
      <c r="F370" s="60" t="s">
        <v>182</v>
      </c>
      <c r="G370" s="60" t="s">
        <v>301</v>
      </c>
      <c r="H370" s="61"/>
      <c r="I370" s="61"/>
      <c r="J370" s="62"/>
      <c r="K370" s="62"/>
      <c r="L370" s="62" t="str">
        <f>IFERROR(__xludf.DUMMYFUNCTION("QUERY('Volunteer Survey'!B379)"),"Nan Jiang")</f>
        <v>Nan Jiang</v>
      </c>
      <c r="M370" s="62" t="str">
        <f>IFERROR(__xludf.DUMMYFUNCTION("QUERY('Volunteer Survey'!E379)"),"nj2421@cumc.columbia.edu")</f>
        <v>nj2421@cumc.columbia.edu</v>
      </c>
      <c r="N370" s="62" t="str">
        <f>IFERROR(__xludf.DUMMYFUNCTION("QUERY('Volunteer Survey'!F379)"),"Post Doc/Resident/Fellow (MD and/or PhD)")</f>
        <v>Post Doc/Resident/Fellow (MD and/or PhD)</v>
      </c>
      <c r="O370" s="60" t="str">
        <f>IFERROR(__xludf.DUMMYFUNCTION("QUERY('Volunteer Survey'!H379)"),"Comprehensive")</f>
        <v>Comprehensive</v>
      </c>
      <c r="P370" s="62" t="str">
        <f>IFERROR(__xludf.DUMMYFUNCTION("QUERY('Volunteer Survey'!I379)"),"Somatic Cancer")</f>
        <v>Somatic Cancer</v>
      </c>
      <c r="Q370" s="66" t="str">
        <f>IFERROR(__xludf.DUMMYFUNCTION("QUERY('Volunteer Survey'!J379)"),"Gene-Disease Validity")</f>
        <v>Gene-Disease Validity</v>
      </c>
      <c r="R370" s="62" t="str">
        <f>IFERROR(__xludf.DUMMYFUNCTION("QUERY('Volunteer Survey'!K379)"),"Clinical Actionability")</f>
        <v>Clinical Actionability</v>
      </c>
      <c r="S370" s="62" t="str">
        <f>IFERROR(__xludf.DUMMYFUNCTION("QUERY('Volunteer Survey'!L379)"),"Variant Pathogenicity")</f>
        <v>Variant Pathogenicity</v>
      </c>
      <c r="T370" s="62" t="str">
        <f>IFERROR(__xludf.DUMMYFUNCTION("QUERY('Volunteer Survey'!M379)"),"Dosage Sensitivity")</f>
        <v>Dosage Sensitivity</v>
      </c>
      <c r="U370" s="74" t="str">
        <f>IFERROR(__xludf.DUMMYFUNCTION("QUERY('Volunteer Survey'!N379)"),"Yes. I am currently a LGG fellow at Columbia. I do SOMA analysis, WES variant curation on daily bases. ")</f>
        <v>Yes. I am currently a LGG fellow at Columbia. I do SOMA analysis, WES variant curation on daily bases. </v>
      </c>
      <c r="V370" s="62" t="str">
        <f>IFERROR(__xludf.DUMMYFUNCTION("QUERY('Volunteer Survey'!O379)"),"Yes")</f>
        <v>Yes</v>
      </c>
      <c r="W370" s="75" t="str">
        <f>IFERROR(__xludf.DUMMYFUNCTION("QUERY('Volunteer Survey'!P379)"),"Hereditary Cancer, Brain Malformations , Somatic Cancer Pediatric")</f>
        <v>Hereditary Cancer, Brain Malformations , Somatic Cancer Pediatric</v>
      </c>
      <c r="X370" s="74" t="str">
        <f>IFERROR(__xludf.DUMMYFUNCTION("QUERY('Volunteer Survey'!R379)"),"Yes- I am willing to volunteer with any available ClinGen group")</f>
        <v>Yes- I am willing to volunteer with any available ClinGen group</v>
      </c>
      <c r="Y370" s="61"/>
      <c r="Z370" s="62"/>
      <c r="AA370" s="62"/>
      <c r="AB370" s="62"/>
      <c r="AC370" s="62"/>
      <c r="AD370" s="62"/>
      <c r="AE370" s="62"/>
      <c r="AF370" s="62"/>
      <c r="AG370" s="62"/>
      <c r="AH370" s="62"/>
      <c r="AI370" s="62"/>
      <c r="AJ370" s="62"/>
      <c r="AK370" s="62"/>
      <c r="AL370" s="62"/>
      <c r="AM370" s="62"/>
      <c r="AN370" s="62"/>
      <c r="AO370" s="62"/>
    </row>
    <row r="371">
      <c r="A371" s="59">
        <f>IFERROR(__xludf.DUMMYFUNCTION("QUERY('Volunteer Survey'!A380)"),43836.64994055556)</f>
        <v>43836.64994</v>
      </c>
      <c r="B371" s="60" t="s">
        <v>340</v>
      </c>
      <c r="C371" s="61"/>
      <c r="D371" s="62"/>
      <c r="E371" s="62"/>
      <c r="F371" s="60" t="s">
        <v>182</v>
      </c>
      <c r="G371" s="60" t="s">
        <v>301</v>
      </c>
      <c r="H371" s="61"/>
      <c r="I371" s="61"/>
      <c r="J371" s="62"/>
      <c r="K371" s="62"/>
      <c r="L371" s="62" t="str">
        <f>IFERROR(__xludf.DUMMYFUNCTION("QUERY('Volunteer Survey'!B380)"),"Jaime Nagy")</f>
        <v>Jaime Nagy</v>
      </c>
      <c r="M371" s="62" t="str">
        <f>IFERROR(__xludf.DUMMYFUNCTION("QUERY('Volunteer Survey'!E380)"),"jaime-nagy@uiowa.edu")</f>
        <v>jaime-nagy@uiowa.edu</v>
      </c>
      <c r="N371" s="62" t="str">
        <f>IFERROR(__xludf.DUMMYFUNCTION("QUERY('Volunteer Survey'!F380)"),"Clinical laboratory geneticist")</f>
        <v>Clinical laboratory geneticist</v>
      </c>
      <c r="O371" s="60" t="str">
        <f>IFERROR(__xludf.DUMMYFUNCTION("QUERY('Volunteer Survey'!H380)"),"Comprehensive")</f>
        <v>Comprehensive</v>
      </c>
      <c r="P371" s="62" t="str">
        <f>IFERROR(__xludf.DUMMYFUNCTION("QUERY('Volunteer Survey'!I380)"),"Dosage Sensitivity")</f>
        <v>Dosage Sensitivity</v>
      </c>
      <c r="Q371" s="66" t="str">
        <f>IFERROR(__xludf.DUMMYFUNCTION("QUERY('Volunteer Survey'!J380)"),"")</f>
        <v/>
      </c>
      <c r="R371" s="62" t="str">
        <f>IFERROR(__xludf.DUMMYFUNCTION("QUERY('Volunteer Survey'!K380)"),"")</f>
        <v/>
      </c>
      <c r="S371" s="62" t="str">
        <f>IFERROR(__xludf.DUMMYFUNCTION("QUERY('Volunteer Survey'!L380)"),"")</f>
        <v/>
      </c>
      <c r="T371" s="62" t="str">
        <f>IFERROR(__xludf.DUMMYFUNCTION("QUERY('Volunteer Survey'!M380)"),"")</f>
        <v/>
      </c>
      <c r="U371" s="74" t="str">
        <f>IFERROR(__xludf.DUMMYFUNCTION("QUERY('Volunteer Survey'!N380)"),"Review and interpretation of clinical CMA cases")</f>
        <v>Review and interpretation of clinical CMA cases</v>
      </c>
      <c r="V371" s="62" t="str">
        <f>IFERROR(__xludf.DUMMYFUNCTION("QUERY('Volunteer Survey'!O380)"),"No")</f>
        <v>No</v>
      </c>
      <c r="W371" s="75" t="str">
        <f>IFERROR(__xludf.DUMMYFUNCTION("QUERY('Volunteer Survey'!P380)"),"Dosage Sensitivity working group")</f>
        <v>Dosage Sensitivity working group</v>
      </c>
      <c r="X371" s="74" t="str">
        <f>IFERROR(__xludf.DUMMYFUNCTION("QUERY('Volunteer Survey'!R380)"),"Maybe -- please contact me with other options, and I will decide based on what is available")</f>
        <v>Maybe -- please contact me with other options, and I will decide based on what is available</v>
      </c>
      <c r="Y371" s="61"/>
      <c r="Z371" s="62"/>
      <c r="AA371" s="62"/>
      <c r="AB371" s="62"/>
      <c r="AC371" s="62"/>
      <c r="AD371" s="62"/>
      <c r="AE371" s="62"/>
      <c r="AF371" s="62"/>
      <c r="AG371" s="62"/>
      <c r="AH371" s="62"/>
      <c r="AI371" s="62"/>
      <c r="AJ371" s="62"/>
      <c r="AK371" s="62"/>
      <c r="AL371" s="62"/>
      <c r="AM371" s="62"/>
      <c r="AN371" s="62"/>
      <c r="AO371" s="62"/>
    </row>
    <row r="372">
      <c r="A372" s="59">
        <f>IFERROR(__xludf.DUMMYFUNCTION("QUERY('Volunteer Survey'!A381)"),43838.04942578704)</f>
        <v>43838.04943</v>
      </c>
      <c r="B372" s="60" t="s">
        <v>340</v>
      </c>
      <c r="C372" s="61"/>
      <c r="D372" s="62"/>
      <c r="E372" s="62"/>
      <c r="F372" s="60" t="s">
        <v>182</v>
      </c>
      <c r="G372" s="60" t="s">
        <v>301</v>
      </c>
      <c r="H372" s="61"/>
      <c r="I372" s="61"/>
      <c r="J372" s="62"/>
      <c r="K372" s="62"/>
      <c r="L372" s="62" t="str">
        <f>IFERROR(__xludf.DUMMYFUNCTION("QUERY('Volunteer Survey'!B381)"),"Indu Raja")</f>
        <v>Indu Raja</v>
      </c>
      <c r="M372" s="62" t="str">
        <f>IFERROR(__xludf.DUMMYFUNCTION("QUERY('Volunteer Survey'!E381)"),"indudraja@gmail.com")</f>
        <v>indudraja@gmail.com</v>
      </c>
      <c r="N372" s="62" t="str">
        <f>IFERROR(__xludf.DUMMYFUNCTION("QUERY('Volunteer Survey'!F381)"),"Laboratory Technologist")</f>
        <v>Laboratory Technologist</v>
      </c>
      <c r="O372" s="60" t="str">
        <f>IFERROR(__xludf.DUMMYFUNCTION("QUERY('Volunteer Survey'!H381)"),"Comprehensive")</f>
        <v>Comprehensive</v>
      </c>
      <c r="P372" s="62" t="str">
        <f>IFERROR(__xludf.DUMMYFUNCTION("QUERY('Volunteer Survey'!I381)"),"Gene-Disease Validity")</f>
        <v>Gene-Disease Validity</v>
      </c>
      <c r="Q372" s="66" t="str">
        <f>IFERROR(__xludf.DUMMYFUNCTION("QUERY('Volunteer Survey'!J381)"),"Clinical Actionability")</f>
        <v>Clinical Actionability</v>
      </c>
      <c r="R372" s="62" t="str">
        <f>IFERROR(__xludf.DUMMYFUNCTION("QUERY('Volunteer Survey'!K381)"),"Variant Pathogenicity")</f>
        <v>Variant Pathogenicity</v>
      </c>
      <c r="S372" s="62" t="str">
        <f>IFERROR(__xludf.DUMMYFUNCTION("QUERY('Volunteer Survey'!L381)"),"Dosage Sensitivity")</f>
        <v>Dosage Sensitivity</v>
      </c>
      <c r="T372" s="62" t="str">
        <f>IFERROR(__xludf.DUMMYFUNCTION("QUERY('Volunteer Survey'!M381)"),"")</f>
        <v/>
      </c>
      <c r="U372" s="74" t="str">
        <f>IFERROR(__xludf.DUMMYFUNCTION("QUERY('Volunteer Survey'!N381)"),"No")</f>
        <v>No</v>
      </c>
      <c r="V372" s="62" t="str">
        <f>IFERROR(__xludf.DUMMYFUNCTION("QUERY('Volunteer Survey'!O381)"),"Possibly")</f>
        <v>Possibly</v>
      </c>
      <c r="W372" s="75" t="str">
        <f>IFERROR(__xludf.DUMMYFUNCTION("QUERY('Volunteer Survey'!P381)"),"Gene curation (Intellectual disability &amp; Autism), Dosage Sensitivity &amp; Clinical Actionability")</f>
        <v>Gene curation (Intellectual disability &amp; Autism), Dosage Sensitivity &amp; Clinical Actionability</v>
      </c>
      <c r="X372" s="74" t="str">
        <f>IFERROR(__xludf.DUMMYFUNCTION("QUERY('Volunteer Survey'!R381)"),"Yes- I am willing to volunteer with any available ClinGen group")</f>
        <v>Yes- I am willing to volunteer with any available ClinGen group</v>
      </c>
      <c r="Y372" s="61"/>
      <c r="Z372" s="62"/>
      <c r="AA372" s="62"/>
      <c r="AB372" s="62"/>
      <c r="AC372" s="62"/>
      <c r="AD372" s="62"/>
      <c r="AE372" s="62"/>
      <c r="AF372" s="62"/>
      <c r="AG372" s="62"/>
      <c r="AH372" s="62"/>
      <c r="AI372" s="62"/>
      <c r="AJ372" s="62"/>
      <c r="AK372" s="62"/>
      <c r="AL372" s="62"/>
      <c r="AM372" s="62"/>
      <c r="AN372" s="62"/>
      <c r="AO372" s="62"/>
    </row>
    <row r="373">
      <c r="A373" s="59">
        <f>IFERROR(__xludf.DUMMYFUNCTION("QUERY('Volunteer Survey'!A382)"),43838.591925925924)</f>
        <v>43838.59193</v>
      </c>
      <c r="B373" s="60" t="s">
        <v>275</v>
      </c>
      <c r="C373" s="87">
        <v>43847.0</v>
      </c>
      <c r="D373" s="117">
        <v>43859.0</v>
      </c>
      <c r="E373" s="60" t="s">
        <v>277</v>
      </c>
      <c r="F373" s="60" t="s">
        <v>277</v>
      </c>
      <c r="G373" s="60" t="s">
        <v>288</v>
      </c>
      <c r="H373" s="61"/>
      <c r="I373" s="61"/>
      <c r="J373" s="62"/>
      <c r="K373" s="62"/>
      <c r="L373" s="62" t="str">
        <f>IFERROR(__xludf.DUMMYFUNCTION("QUERY('Volunteer Survey'!B382)"),"Kendrah Kidd")</f>
        <v>Kendrah Kidd</v>
      </c>
      <c r="M373" s="62" t="str">
        <f>IFERROR(__xludf.DUMMYFUNCTION("QUERY('Volunteer Survey'!E382)"),"kkidd@wakehealth.edu")</f>
        <v>kkidd@wakehealth.edu</v>
      </c>
      <c r="N373" s="62" t="str">
        <f>IFERROR(__xludf.DUMMYFUNCTION("QUERY('Volunteer Survey'!F382)"),"Scientific Researcher")</f>
        <v>Scientific Researcher</v>
      </c>
      <c r="O373" s="60" t="str">
        <f>IFERROR(__xludf.DUMMYFUNCTION("QUERY('Volunteer Survey'!H382)"),"Comprehensive")</f>
        <v>Comprehensive</v>
      </c>
      <c r="P373" s="62" t="str">
        <f>IFERROR(__xludf.DUMMYFUNCTION("QUERY('Volunteer Survey'!I382)"),"Variant Pathogenicity")</f>
        <v>Variant Pathogenicity</v>
      </c>
      <c r="Q373" s="66" t="str">
        <f>IFERROR(__xludf.DUMMYFUNCTION("QUERY('Volunteer Survey'!J382)"),"Gene-Disease Validity")</f>
        <v>Gene-Disease Validity</v>
      </c>
      <c r="R373" s="62" t="str">
        <f>IFERROR(__xludf.DUMMYFUNCTION("QUERY('Volunteer Survey'!K382)"),"")</f>
        <v/>
      </c>
      <c r="S373" s="62" t="str">
        <f>IFERROR(__xludf.DUMMYFUNCTION("QUERY('Volunteer Survey'!L382)"),"")</f>
        <v/>
      </c>
      <c r="T373" s="62" t="str">
        <f>IFERROR(__xludf.DUMMYFUNCTION("QUERY('Volunteer Survey'!M382)"),"")</f>
        <v/>
      </c>
      <c r="U373" s="74" t="str">
        <f>IFERROR(__xludf.DUMMYFUNCTION("QUERY('Volunteer Survey'!N382)"),"Yes, I manage our Autosomal Dominant Tubulointerstitial Kidney Disease  pathogenic variant registry and have a database of variants found in families that have segregation and clinical data, as well as any literature associated with the variant.  ")</f>
        <v>Yes, I manage our Autosomal Dominant Tubulointerstitial Kidney Disease  pathogenic variant registry and have a database of variants found in families that have segregation and clinical data, as well as any literature associated with the variant.  </v>
      </c>
      <c r="V373" s="62" t="str">
        <f>IFERROR(__xludf.DUMMYFUNCTION("QUERY('Volunteer Survey'!O382)"),"Possibly")</f>
        <v>Possibly</v>
      </c>
      <c r="W373" s="75" t="str">
        <f>IFERROR(__xludf.DUMMYFUNCTION("QUERY('Volunteer Survey'!P382)"),"I would be interested in forming one for inherited kidney diseases ")</f>
        <v>I would be interested in forming one for inherited kidney diseases </v>
      </c>
      <c r="X373" s="74" t="str">
        <f>IFERROR(__xludf.DUMMYFUNCTION("QUERY('Volunteer Survey'!R382)"),"Maybe -- please contact me with other options, and I will decide based on what is available")</f>
        <v>Maybe -- please contact me with other options, and I will decide based on what is available</v>
      </c>
      <c r="Y373" s="61"/>
      <c r="Z373" s="62"/>
      <c r="AA373" s="62"/>
      <c r="AB373" s="62"/>
      <c r="AC373" s="62"/>
      <c r="AD373" s="62"/>
      <c r="AE373" s="62"/>
      <c r="AF373" s="62"/>
      <c r="AG373" s="62"/>
      <c r="AH373" s="62"/>
      <c r="AI373" s="62"/>
      <c r="AJ373" s="62"/>
      <c r="AK373" s="62"/>
      <c r="AL373" s="62"/>
      <c r="AM373" s="62"/>
      <c r="AN373" s="62"/>
      <c r="AO373" s="62"/>
    </row>
    <row r="374">
      <c r="A374" s="59">
        <f>IFERROR(__xludf.DUMMYFUNCTION("QUERY('Volunteer Survey'!A383)"),43840.35674295139)</f>
        <v>43840.35674</v>
      </c>
      <c r="B374" s="60" t="s">
        <v>340</v>
      </c>
      <c r="C374" s="61"/>
      <c r="D374" s="62"/>
      <c r="E374" s="62"/>
      <c r="F374" s="60" t="s">
        <v>182</v>
      </c>
      <c r="G374" s="60" t="s">
        <v>301</v>
      </c>
      <c r="H374" s="61"/>
      <c r="I374" s="61"/>
      <c r="J374" s="62"/>
      <c r="K374" s="62"/>
      <c r="L374" s="62" t="str">
        <f>IFERROR(__xludf.DUMMYFUNCTION("QUERY('Volunteer Survey'!B383)"),"Joanne Adelberg")</f>
        <v>Joanne Adelberg</v>
      </c>
      <c r="M374" s="62" t="str">
        <f>IFERROR(__xludf.DUMMYFUNCTION("QUERY('Volunteer Survey'!E383)"),"joanneadelberg@gmail.com")</f>
        <v>joanneadelberg@gmail.com</v>
      </c>
      <c r="N374" s="62" t="str">
        <f>IFERROR(__xludf.DUMMYFUNCTION("QUERY('Volunteer Survey'!F383)"),"Scientific Researcher")</f>
        <v>Scientific Researcher</v>
      </c>
      <c r="O374" s="60" t="str">
        <f>IFERROR(__xludf.DUMMYFUNCTION("QUERY('Volunteer Survey'!H383)"),"Comprehensive")</f>
        <v>Comprehensive</v>
      </c>
      <c r="P374" s="62" t="str">
        <f>IFERROR(__xludf.DUMMYFUNCTION("QUERY('Volunteer Survey'!I383)"),"Gene-Disease Validity")</f>
        <v>Gene-Disease Validity</v>
      </c>
      <c r="Q374" s="66" t="str">
        <f>IFERROR(__xludf.DUMMYFUNCTION("QUERY('Volunteer Survey'!J383)"),"Clinical Actionability")</f>
        <v>Clinical Actionability</v>
      </c>
      <c r="R374" s="62" t="str">
        <f>IFERROR(__xludf.DUMMYFUNCTION("QUERY('Volunteer Survey'!K383)"),"Variant Pathogenicity")</f>
        <v>Variant Pathogenicity</v>
      </c>
      <c r="S374" s="62" t="str">
        <f>IFERROR(__xludf.DUMMYFUNCTION("QUERY('Volunteer Survey'!L383)"),"Dosage Sensitivity")</f>
        <v>Dosage Sensitivity</v>
      </c>
      <c r="T374" s="62" t="str">
        <f>IFERROR(__xludf.DUMMYFUNCTION("QUERY('Volunteer Survey'!M383)"),"Somatic Cancer")</f>
        <v>Somatic Cancer</v>
      </c>
      <c r="U374" s="74" t="str">
        <f>IFERROR(__xludf.DUMMYFUNCTION("QUERY('Volunteer Survey'!N383)"),"")</f>
        <v/>
      </c>
      <c r="V374" s="62" t="str">
        <f>IFERROR(__xludf.DUMMYFUNCTION("QUERY('Volunteer Survey'!O383)"),"Possibly")</f>
        <v>Possibly</v>
      </c>
      <c r="W374" s="75" t="str">
        <f>IFERROR(__xludf.DUMMYFUNCTION("QUERY('Volunteer Survey'!P383)"),"Will work on groups with the most need-excited for the learning opportunity")</f>
        <v>Will work on groups with the most need-excited for the learning opportunity</v>
      </c>
      <c r="X374" s="74" t="str">
        <f>IFERROR(__xludf.DUMMYFUNCTION("QUERY('Volunteer Survey'!R383)"),"Yes- I am willing to volunteer with any available ClinGen group")</f>
        <v>Yes- I am willing to volunteer with any available ClinGen group</v>
      </c>
      <c r="Y374" s="61"/>
      <c r="Z374" s="62"/>
      <c r="AA374" s="62"/>
      <c r="AB374" s="62"/>
      <c r="AC374" s="62"/>
      <c r="AD374" s="62"/>
      <c r="AE374" s="62"/>
      <c r="AF374" s="62"/>
      <c r="AG374" s="62"/>
      <c r="AH374" s="62"/>
      <c r="AI374" s="62"/>
      <c r="AJ374" s="62"/>
      <c r="AK374" s="62"/>
      <c r="AL374" s="62"/>
      <c r="AM374" s="62"/>
      <c r="AN374" s="62"/>
      <c r="AO374" s="62"/>
    </row>
    <row r="375">
      <c r="A375" s="59">
        <f>IFERROR(__xludf.DUMMYFUNCTION("QUERY('Volunteer Survey'!A384)"),43842.70257400463)</f>
        <v>43842.70257</v>
      </c>
      <c r="B375" s="60" t="s">
        <v>340</v>
      </c>
      <c r="C375" s="61"/>
      <c r="D375" s="62"/>
      <c r="E375" s="62"/>
      <c r="F375" s="60" t="s">
        <v>182</v>
      </c>
      <c r="G375" s="60" t="s">
        <v>301</v>
      </c>
      <c r="H375" s="61"/>
      <c r="I375" s="61"/>
      <c r="J375" s="62"/>
      <c r="K375" s="62"/>
      <c r="L375" s="62" t="str">
        <f>IFERROR(__xludf.DUMMYFUNCTION("QUERY('Volunteer Survey'!B384)"),"Erika Meaddough")</f>
        <v>Erika Meaddough</v>
      </c>
      <c r="M375" s="62" t="str">
        <f>IFERROR(__xludf.DUMMYFUNCTION("QUERY('Volunteer Survey'!E384)"),"meaddough@yahoo.com")</f>
        <v>meaddough@yahoo.com</v>
      </c>
      <c r="N375" s="62" t="str">
        <f>IFERROR(__xludf.DUMMYFUNCTION("QUERY('Volunteer Survey'!F384)"),"Graduate Student")</f>
        <v>Graduate Student</v>
      </c>
      <c r="O375" s="60" t="str">
        <f>IFERROR(__xludf.DUMMYFUNCTION("QUERY('Volunteer Survey'!H384)"),"Baseline")</f>
        <v>Baseline</v>
      </c>
      <c r="P375" s="62" t="str">
        <f>IFERROR(__xludf.DUMMYFUNCTION("QUERY('Volunteer Survey'!I384)"),"")</f>
        <v/>
      </c>
      <c r="Q375" s="66" t="str">
        <f>IFERROR(__xludf.DUMMYFUNCTION("QUERY('Volunteer Survey'!J384)"),"")</f>
        <v/>
      </c>
      <c r="R375" s="62" t="str">
        <f>IFERROR(__xludf.DUMMYFUNCTION("QUERY('Volunteer Survey'!K384)"),"")</f>
        <v/>
      </c>
      <c r="S375" s="62" t="str">
        <f>IFERROR(__xludf.DUMMYFUNCTION("QUERY('Volunteer Survey'!L384)"),"")</f>
        <v/>
      </c>
      <c r="T375" s="62" t="str">
        <f>IFERROR(__xludf.DUMMYFUNCTION("QUERY('Volunteer Survey'!M384)"),"")</f>
        <v/>
      </c>
      <c r="U375" s="74" t="str">
        <f>IFERROR(__xludf.DUMMYFUNCTION("QUERY('Volunteer Survey'!N384)"),"")</f>
        <v/>
      </c>
      <c r="V375" s="62" t="str">
        <f>IFERROR(__xludf.DUMMYFUNCTION("QUERY('Volunteer Survey'!O384)"),"Possibly")</f>
        <v>Possibly</v>
      </c>
      <c r="W375" s="75" t="str">
        <f>IFERROR(__xludf.DUMMYFUNCTION("QUERY('Volunteer Survey'!P384)"),"Dosage Sensitivity Working Group")</f>
        <v>Dosage Sensitivity Working Group</v>
      </c>
      <c r="X375" s="74" t="str">
        <f>IFERROR(__xludf.DUMMYFUNCTION("QUERY('Volunteer Survey'!R384)"),"Yes- I am willing to volunteer with any available ClinGen group")</f>
        <v>Yes- I am willing to volunteer with any available ClinGen group</v>
      </c>
      <c r="Y375" s="61"/>
      <c r="Z375" s="62"/>
      <c r="AA375" s="62"/>
      <c r="AB375" s="62"/>
      <c r="AC375" s="62"/>
      <c r="AD375" s="62"/>
      <c r="AE375" s="62"/>
      <c r="AF375" s="62"/>
      <c r="AG375" s="62"/>
      <c r="AH375" s="62"/>
      <c r="AI375" s="62"/>
      <c r="AJ375" s="62"/>
      <c r="AK375" s="62"/>
      <c r="AL375" s="62"/>
      <c r="AM375" s="62"/>
      <c r="AN375" s="62"/>
      <c r="AO375" s="62"/>
    </row>
    <row r="376">
      <c r="A376" s="59">
        <f>IFERROR(__xludf.DUMMYFUNCTION("QUERY('Volunteer Survey'!A385)"),43846.63864890046)</f>
        <v>43846.63865</v>
      </c>
      <c r="B376" s="60" t="s">
        <v>340</v>
      </c>
      <c r="C376" s="61"/>
      <c r="D376" s="62"/>
      <c r="E376" s="62"/>
      <c r="F376" s="60" t="s">
        <v>182</v>
      </c>
      <c r="G376" s="60" t="s">
        <v>301</v>
      </c>
      <c r="H376" s="61"/>
      <c r="I376" s="61"/>
      <c r="J376" s="62"/>
      <c r="K376" s="62"/>
      <c r="L376" s="62" t="str">
        <f>IFERROR(__xludf.DUMMYFUNCTION("QUERY('Volunteer Survey'!B385)"),"Vijay Ganesh")</f>
        <v>Vijay Ganesh</v>
      </c>
      <c r="M376" s="62" t="str">
        <f>IFERROR(__xludf.DUMMYFUNCTION("QUERY('Volunteer Survey'!E385)"),"vganesh@bwh.harvard.edu")</f>
        <v>vganesh@bwh.harvard.edu</v>
      </c>
      <c r="N376" s="62" t="str">
        <f>IFERROR(__xludf.DUMMYFUNCTION("QUERY('Volunteer Survey'!F385)"),"Post Doc/Resident/Fellow (MD and/or PhD)")</f>
        <v>Post Doc/Resident/Fellow (MD and/or PhD)</v>
      </c>
      <c r="O376" s="60" t="str">
        <f>IFERROR(__xludf.DUMMYFUNCTION("QUERY('Volunteer Survey'!H385)"),"Baseline")</f>
        <v>Baseline</v>
      </c>
      <c r="P376" s="62" t="str">
        <f>IFERROR(__xludf.DUMMYFUNCTION("QUERY('Volunteer Survey'!I385)"),"Gene-Disease Validity")</f>
        <v>Gene-Disease Validity</v>
      </c>
      <c r="Q376" s="66" t="str">
        <f>IFERROR(__xludf.DUMMYFUNCTION("QUERY('Volunteer Survey'!J385)"),"Variant Pathogenicity")</f>
        <v>Variant Pathogenicity</v>
      </c>
      <c r="R376" s="62" t="str">
        <f>IFERROR(__xludf.DUMMYFUNCTION("QUERY('Volunteer Survey'!K385)"),"Clinical Actionability")</f>
        <v>Clinical Actionability</v>
      </c>
      <c r="S376" s="62" t="str">
        <f>IFERROR(__xludf.DUMMYFUNCTION("QUERY('Volunteer Survey'!L385)"),"Dosage Sensitivity")</f>
        <v>Dosage Sensitivity</v>
      </c>
      <c r="T376" s="62" t="str">
        <f>IFERROR(__xludf.DUMMYFUNCTION("QUERY('Volunteer Survey'!M385)"),"Somatic Cancer")</f>
        <v>Somatic Cancer</v>
      </c>
      <c r="U376" s="74" t="str">
        <f>IFERROR(__xludf.DUMMYFUNCTION("QUERY('Volunteer Survey'!N385)"),"None")</f>
        <v>None</v>
      </c>
      <c r="V376" s="62" t="str">
        <f>IFERROR(__xludf.DUMMYFUNCTION("QUERY('Volunteer Survey'!O385)"),"Yes")</f>
        <v>Yes</v>
      </c>
      <c r="W376" s="75" t="str">
        <f>IFERROR(__xludf.DUMMYFUNCTION("QUERY('Volunteer Survey'!P385)"),"Limb Girdle Muscular Dystrophy; Congenital Myopathies; Charcot-Marie Tooth")</f>
        <v>Limb Girdle Muscular Dystrophy; Congenital Myopathies; Charcot-Marie Tooth</v>
      </c>
      <c r="X376" s="74" t="str">
        <f>IFERROR(__xludf.DUMMYFUNCTION("QUERY('Volunteer Survey'!R385)"),"No - I am only interested in the group(s) I previously indicated")</f>
        <v>No - I am only interested in the group(s) I previously indicated</v>
      </c>
      <c r="Y376" s="61"/>
      <c r="Z376" s="62"/>
      <c r="AA376" s="62"/>
      <c r="AB376" s="62"/>
      <c r="AC376" s="62"/>
      <c r="AD376" s="62"/>
      <c r="AE376" s="62"/>
      <c r="AF376" s="62"/>
      <c r="AG376" s="62"/>
      <c r="AH376" s="62"/>
      <c r="AI376" s="62"/>
      <c r="AJ376" s="62"/>
      <c r="AK376" s="62"/>
      <c r="AL376" s="62"/>
      <c r="AM376" s="62"/>
      <c r="AN376" s="62"/>
      <c r="AO376" s="62"/>
    </row>
    <row r="377">
      <c r="A377" s="59">
        <f>IFERROR(__xludf.DUMMYFUNCTION("QUERY('Volunteer Survey'!A386)"),43846.63989085648)</f>
        <v>43846.63989</v>
      </c>
      <c r="B377" s="60" t="s">
        <v>275</v>
      </c>
      <c r="C377" s="61"/>
      <c r="D377" s="85">
        <v>43846.0</v>
      </c>
      <c r="E377" s="60" t="s">
        <v>277</v>
      </c>
      <c r="F377" s="60" t="s">
        <v>277</v>
      </c>
      <c r="G377" s="60" t="s">
        <v>278</v>
      </c>
      <c r="H377" s="61"/>
      <c r="I377" s="61"/>
      <c r="J377" s="62"/>
      <c r="K377" s="62"/>
      <c r="L377" s="62" t="str">
        <f>IFERROR(__xludf.DUMMYFUNCTION("QUERY('Volunteer Survey'!B386)"),"Julie Hathaway")</f>
        <v>Julie Hathaway</v>
      </c>
      <c r="M377" s="62" t="str">
        <f>IFERROR(__xludf.DUMMYFUNCTION("QUERY('Volunteer Survey'!E386)"),"julie.hathaway@blueprintgenetics.com")</f>
        <v>julie.hathaway@blueprintgenetics.com</v>
      </c>
      <c r="N377" s="62" t="str">
        <f>IFERROR(__xludf.DUMMYFUNCTION("QUERY('Volunteer Survey'!F386)"),"Genetic counselor")</f>
        <v>Genetic counselor</v>
      </c>
      <c r="O377" s="60" t="str">
        <f>IFERROR(__xludf.DUMMYFUNCTION("QUERY('Volunteer Survey'!H386)"),"Comprehensive")</f>
        <v>Comprehensive</v>
      </c>
      <c r="P377" s="62" t="str">
        <f>IFERROR(__xludf.DUMMYFUNCTION("QUERY('Volunteer Survey'!I386)"),"Gene-Disease Validity")</f>
        <v>Gene-Disease Validity</v>
      </c>
      <c r="Q377" s="66" t="str">
        <f>IFERROR(__xludf.DUMMYFUNCTION("QUERY('Volunteer Survey'!J386)"),"Variant Pathogenicity")</f>
        <v>Variant Pathogenicity</v>
      </c>
      <c r="R377" s="62" t="str">
        <f>IFERROR(__xludf.DUMMYFUNCTION("QUERY('Volunteer Survey'!K386)"),"Clinical Actionability")</f>
        <v>Clinical Actionability</v>
      </c>
      <c r="S377" s="62" t="str">
        <f>IFERROR(__xludf.DUMMYFUNCTION("QUERY('Volunteer Survey'!L386)"),"Dosage Sensitivity")</f>
        <v>Dosage Sensitivity</v>
      </c>
      <c r="T377" s="62" t="str">
        <f>IFERROR(__xludf.DUMMYFUNCTION("QUERY('Volunteer Survey'!M386)"),"Somatic Cancer")</f>
        <v>Somatic Cancer</v>
      </c>
      <c r="U377" s="74" t="str">
        <f>IFERROR(__xludf.DUMMYFUNCTION("QUERY('Volunteer Survey'!N386)"),"")</f>
        <v/>
      </c>
      <c r="V377" s="62" t="str">
        <f>IFERROR(__xludf.DUMMYFUNCTION("QUERY('Volunteer Survey'!O386)"),"No")</f>
        <v>No</v>
      </c>
      <c r="W377" s="75" t="str">
        <f>IFERROR(__xludf.DUMMYFUNCTION("QUERY('Volunteer Survey'!P386)"),"Cardiomyopathy")</f>
        <v>Cardiomyopathy</v>
      </c>
      <c r="X377" s="74" t="str">
        <f>IFERROR(__xludf.DUMMYFUNCTION("QUERY('Volunteer Survey'!R386)"),"Maybe -- please contact me with other options, and I will decide based on what is available")</f>
        <v>Maybe -- please contact me with other options, and I will decide based on what is available</v>
      </c>
      <c r="Y377" s="61"/>
      <c r="Z377" s="62"/>
      <c r="AA377" s="62"/>
      <c r="AB377" s="62"/>
      <c r="AC377" s="62"/>
      <c r="AD377" s="62"/>
      <c r="AE377" s="62"/>
      <c r="AF377" s="62"/>
      <c r="AG377" s="62"/>
      <c r="AH377" s="62"/>
      <c r="AI377" s="62"/>
      <c r="AJ377" s="62"/>
      <c r="AK377" s="62"/>
      <c r="AL377" s="62"/>
      <c r="AM377" s="62"/>
      <c r="AN377" s="62"/>
      <c r="AO377" s="62"/>
    </row>
    <row r="378">
      <c r="A378" s="59">
        <f>IFERROR(__xludf.DUMMYFUNCTION("QUERY('Volunteer Survey'!A387)"),43846.65032980324)</f>
        <v>43846.65033</v>
      </c>
      <c r="B378" s="60" t="s">
        <v>275</v>
      </c>
      <c r="C378" s="61"/>
      <c r="D378" s="85">
        <v>43846.0</v>
      </c>
      <c r="E378" s="60" t="s">
        <v>277</v>
      </c>
      <c r="F378" s="60" t="s">
        <v>182</v>
      </c>
      <c r="G378" s="60" t="s">
        <v>278</v>
      </c>
      <c r="H378" s="61"/>
      <c r="I378" s="61"/>
      <c r="J378" s="62"/>
      <c r="K378" s="62"/>
      <c r="L378" s="62" t="str">
        <f>IFERROR(__xludf.DUMMYFUNCTION("QUERY('Volunteer Survey'!B387)"),"Devon Thrush")</f>
        <v>Devon Thrush</v>
      </c>
      <c r="M378" s="62" t="str">
        <f>IFERROR(__xludf.DUMMYFUNCTION("QUERY('Volunteer Survey'!E387)"),"dthrush@ambrygen.com")</f>
        <v>dthrush@ambrygen.com</v>
      </c>
      <c r="N378" s="62" t="str">
        <f>IFERROR(__xludf.DUMMYFUNCTION("QUERY('Volunteer Survey'!F387)"),"Genetic counselor")</f>
        <v>Genetic counselor</v>
      </c>
      <c r="O378" s="60" t="str">
        <f>IFERROR(__xludf.DUMMYFUNCTION("QUERY('Volunteer Survey'!H387)"),"Comprehensive")</f>
        <v>Comprehensive</v>
      </c>
      <c r="P378" s="62" t="str">
        <f>IFERROR(__xludf.DUMMYFUNCTION("QUERY('Volunteer Survey'!I387)"),"Gene-Disease Validity")</f>
        <v>Gene-Disease Validity</v>
      </c>
      <c r="Q378" s="66" t="str">
        <f>IFERROR(__xludf.DUMMYFUNCTION("QUERY('Volunteer Survey'!J387)"),"Variant Pathogenicity")</f>
        <v>Variant Pathogenicity</v>
      </c>
      <c r="R378" s="62" t="str">
        <f>IFERROR(__xludf.DUMMYFUNCTION("QUERY('Volunteer Survey'!K387)"),"Somatic Cancer")</f>
        <v>Somatic Cancer</v>
      </c>
      <c r="S378" s="62" t="str">
        <f>IFERROR(__xludf.DUMMYFUNCTION("QUERY('Volunteer Survey'!L387)"),"Clinical Actionability")</f>
        <v>Clinical Actionability</v>
      </c>
      <c r="T378" s="62" t="str">
        <f>IFERROR(__xludf.DUMMYFUNCTION("QUERY('Volunteer Survey'!M387)"),"Dosage Sensitivity")</f>
        <v>Dosage Sensitivity</v>
      </c>
      <c r="U378" s="74" t="str">
        <f>IFERROR(__xludf.DUMMYFUNCTION("QUERY('Volunteer Survey'!N387)"),"I currently perform this type of work in my job. ")</f>
        <v>I currently perform this type of work in my job. </v>
      </c>
      <c r="V378" s="62" t="str">
        <f>IFERROR(__xludf.DUMMYFUNCTION("QUERY('Volunteer Survey'!O387)"),"No")</f>
        <v>No</v>
      </c>
      <c r="W378" s="75" t="str">
        <f>IFERROR(__xludf.DUMMYFUNCTION("QUERY('Volunteer Survey'!P387)"),"")</f>
        <v/>
      </c>
      <c r="X378" s="74" t="str">
        <f>IFERROR(__xludf.DUMMYFUNCTION("QUERY('Volunteer Survey'!R387)"),"Yes- I am willing to volunteer with any available ClinGen group")</f>
        <v>Yes- I am willing to volunteer with any available ClinGen group</v>
      </c>
      <c r="Y378" s="61"/>
      <c r="Z378" s="62"/>
      <c r="AA378" s="62"/>
      <c r="AB378" s="62"/>
      <c r="AC378" s="62"/>
      <c r="AD378" s="62"/>
      <c r="AE378" s="62"/>
      <c r="AF378" s="62"/>
      <c r="AG378" s="62"/>
      <c r="AH378" s="62"/>
      <c r="AI378" s="62"/>
      <c r="AJ378" s="62"/>
      <c r="AK378" s="62"/>
      <c r="AL378" s="62"/>
      <c r="AM378" s="62"/>
      <c r="AN378" s="62"/>
      <c r="AO378" s="62"/>
    </row>
    <row r="379">
      <c r="A379" s="59">
        <f>IFERROR(__xludf.DUMMYFUNCTION("QUERY('Volunteer Survey'!A388)"),43847.4378778125)</f>
        <v>43847.43788</v>
      </c>
      <c r="B379" s="60" t="s">
        <v>275</v>
      </c>
      <c r="C379" s="87">
        <v>43482.0</v>
      </c>
      <c r="D379" s="85">
        <v>43859.0</v>
      </c>
      <c r="E379" s="60" t="s">
        <v>277</v>
      </c>
      <c r="F379" s="60" t="s">
        <v>277</v>
      </c>
      <c r="G379" s="60" t="s">
        <v>288</v>
      </c>
      <c r="H379" s="61"/>
      <c r="I379" s="63" t="s">
        <v>342</v>
      </c>
      <c r="J379" s="62"/>
      <c r="K379" s="62"/>
      <c r="L379" s="62" t="str">
        <f>IFERROR(__xludf.DUMMYFUNCTION("QUERY('Volunteer Survey'!B388)"),"Adriana Bastos Carvalho")</f>
        <v>Adriana Bastos Carvalho</v>
      </c>
      <c r="M379" s="62" t="str">
        <f>IFERROR(__xludf.DUMMYFUNCTION("QUERY('Volunteer Survey'!E388)"),"carvalhoab@biof.ufrj.br")</f>
        <v>carvalhoab@biof.ufrj.br</v>
      </c>
      <c r="N379" s="62" t="str">
        <f>IFERROR(__xludf.DUMMYFUNCTION("QUERY('Volunteer Survey'!F388)"),"Scientific Researcher")</f>
        <v>Scientific Researcher</v>
      </c>
      <c r="O379" s="60" t="str">
        <f>IFERROR(__xludf.DUMMYFUNCTION("QUERY('Volunteer Survey'!H388)"),"Comprehensive")</f>
        <v>Comprehensive</v>
      </c>
      <c r="P379" s="62" t="str">
        <f>IFERROR(__xludf.DUMMYFUNCTION("QUERY('Volunteer Survey'!I388)"),"Variant Pathogenicity")</f>
        <v>Variant Pathogenicity</v>
      </c>
      <c r="Q379" s="66" t="str">
        <f>IFERROR(__xludf.DUMMYFUNCTION("QUERY('Volunteer Survey'!J388)"),"")</f>
        <v/>
      </c>
      <c r="R379" s="62" t="str">
        <f>IFERROR(__xludf.DUMMYFUNCTION("QUERY('Volunteer Survey'!K388)"),"")</f>
        <v/>
      </c>
      <c r="S379" s="62" t="str">
        <f>IFERROR(__xludf.DUMMYFUNCTION("QUERY('Volunteer Survey'!L388)"),"")</f>
        <v/>
      </c>
      <c r="T379" s="62" t="str">
        <f>IFERROR(__xludf.DUMMYFUNCTION("QUERY('Volunteer Survey'!M388)"),"")</f>
        <v/>
      </c>
      <c r="U379" s="74" t="str">
        <f>IFERROR(__xludf.DUMMYFUNCTION("QUERY('Volunteer Survey'!N388)"),"No. Although I have never worked in curation activities, I work with in vitro models to investigate variant pathogenicity.")</f>
        <v>No. Although I have never worked in curation activities, I work with in vitro models to investigate variant pathogenicity.</v>
      </c>
      <c r="V379" s="62" t="str">
        <f>IFERROR(__xludf.DUMMYFUNCTION("QUERY('Volunteer Survey'!O388)"),"Yes")</f>
        <v>Yes</v>
      </c>
      <c r="W379" s="75" t="str">
        <f>IFERROR(__xludf.DUMMYFUNCTION("QUERY('Volunteer Survey'!P388)"),"Cardiomyopathy Variant Curation Expert Panel")</f>
        <v>Cardiomyopathy Variant Curation Expert Panel</v>
      </c>
      <c r="X379" s="74" t="str">
        <f>IFERROR(__xludf.DUMMYFUNCTION("QUERY('Volunteer Survey'!R388)"),"Yes- I am willing to volunteer with any available ClinGen group")</f>
        <v>Yes- I am willing to volunteer with any available ClinGen group</v>
      </c>
      <c r="Y379" s="61"/>
      <c r="Z379" s="62"/>
      <c r="AA379" s="62"/>
      <c r="AB379" s="62"/>
      <c r="AC379" s="62"/>
      <c r="AD379" s="62"/>
      <c r="AE379" s="62"/>
      <c r="AF379" s="62"/>
      <c r="AG379" s="62"/>
      <c r="AH379" s="62"/>
      <c r="AI379" s="62"/>
      <c r="AJ379" s="62"/>
      <c r="AK379" s="62"/>
      <c r="AL379" s="62"/>
      <c r="AM379" s="62"/>
      <c r="AN379" s="62"/>
      <c r="AO379" s="62"/>
    </row>
    <row r="380">
      <c r="A380" s="59">
        <f>IFERROR(__xludf.DUMMYFUNCTION("QUERY('Volunteer Survey'!A389)"),43847.669551747684)</f>
        <v>43847.66955</v>
      </c>
      <c r="B380" s="60" t="s">
        <v>275</v>
      </c>
      <c r="C380" s="61"/>
      <c r="D380" s="85">
        <v>43846.0</v>
      </c>
      <c r="E380" s="60" t="s">
        <v>277</v>
      </c>
      <c r="F380" s="60" t="s">
        <v>277</v>
      </c>
      <c r="G380" s="60" t="s">
        <v>278</v>
      </c>
      <c r="H380" s="61"/>
      <c r="I380" s="61"/>
      <c r="J380" s="62"/>
      <c r="K380" s="62"/>
      <c r="L380" s="62" t="str">
        <f>IFERROR(__xludf.DUMMYFUNCTION("QUERY('Volunteer Survey'!B389)"),"Shiloh Martin")</f>
        <v>Shiloh Martin</v>
      </c>
      <c r="M380" s="62" t="str">
        <f>IFERROR(__xludf.DUMMYFUNCTION("QUERY('Volunteer Survey'!E389)"),"shiloh.martin@invitae.com")</f>
        <v>shiloh.martin@invitae.com</v>
      </c>
      <c r="N380" s="62" t="str">
        <f>IFERROR(__xludf.DUMMYFUNCTION("QUERY('Volunteer Survey'!F389)"),"Variant Analyst/Scientist - Industry")</f>
        <v>Variant Analyst/Scientist - Industry</v>
      </c>
      <c r="O380" s="60" t="str">
        <f>IFERROR(__xludf.DUMMYFUNCTION("QUERY('Volunteer Survey'!H389)"),"Comprehensive")</f>
        <v>Comprehensive</v>
      </c>
      <c r="P380" s="62" t="str">
        <f>IFERROR(__xludf.DUMMYFUNCTION("QUERY('Volunteer Survey'!I389)"),"Gene-Disease Validity")</f>
        <v>Gene-Disease Validity</v>
      </c>
      <c r="Q380" s="66" t="str">
        <f>IFERROR(__xludf.DUMMYFUNCTION("QUERY('Volunteer Survey'!J389)"),"Variant Pathogenicity")</f>
        <v>Variant Pathogenicity</v>
      </c>
      <c r="R380" s="62" t="str">
        <f>IFERROR(__xludf.DUMMYFUNCTION("QUERY('Volunteer Survey'!K389)"),"")</f>
        <v/>
      </c>
      <c r="S380" s="62" t="str">
        <f>IFERROR(__xludf.DUMMYFUNCTION("QUERY('Volunteer Survey'!L389)"),"")</f>
        <v/>
      </c>
      <c r="T380" s="62" t="str">
        <f>IFERROR(__xludf.DUMMYFUNCTION("QUERY('Volunteer Survey'!M389)"),"")</f>
        <v/>
      </c>
      <c r="U380" s="74" t="str">
        <f>IFERROR(__xludf.DUMMYFUNCTION("QUERY('Volunteer Survey'!N389)"),"I currently do gene-disease curations and variant interpretation at Invitae")</f>
        <v>I currently do gene-disease curations and variant interpretation at Invitae</v>
      </c>
      <c r="V380" s="62" t="str">
        <f>IFERROR(__xludf.DUMMYFUNCTION("QUERY('Volunteer Survey'!O389)"),"No")</f>
        <v>No</v>
      </c>
      <c r="W380" s="75" t="str">
        <f>IFERROR(__xludf.DUMMYFUNCTION("QUERY('Volunteer Survey'!P389)"),"I am interested in working with an Immunology GCEP.  I don't think such a GCEP exists at this time, but I have been told that one is possibly forming, so I would be interested in joining that group once formed.")</f>
        <v>I am interested in working with an Immunology GCEP.  I don't think such a GCEP exists at this time, but I have been told that one is possibly forming, so I would be interested in joining that group once formed.</v>
      </c>
      <c r="X380" s="74" t="str">
        <f>IFERROR(__xludf.DUMMYFUNCTION("QUERY('Volunteer Survey'!R389)"),"Maybe -- please contact me with other options, and I will decide based on what is available")</f>
        <v>Maybe -- please contact me with other options, and I will decide based on what is available</v>
      </c>
      <c r="Y380" s="61"/>
      <c r="Z380" s="62"/>
      <c r="AA380" s="62"/>
      <c r="AB380" s="62"/>
      <c r="AC380" s="62"/>
      <c r="AD380" s="62"/>
      <c r="AE380" s="62"/>
      <c r="AF380" s="62"/>
      <c r="AG380" s="62"/>
      <c r="AH380" s="62"/>
      <c r="AI380" s="62"/>
      <c r="AJ380" s="62"/>
      <c r="AK380" s="62"/>
      <c r="AL380" s="62"/>
      <c r="AM380" s="62"/>
      <c r="AN380" s="62"/>
      <c r="AO380" s="62"/>
    </row>
    <row r="381">
      <c r="A381" s="59">
        <f>IFERROR(__xludf.DUMMYFUNCTION("QUERY('Volunteer Survey'!A390)"),43847.82158326389)</f>
        <v>43847.82158</v>
      </c>
      <c r="B381" s="60" t="s">
        <v>340</v>
      </c>
      <c r="C381" s="61"/>
      <c r="D381" s="62"/>
      <c r="E381" s="62"/>
      <c r="F381" s="60" t="s">
        <v>182</v>
      </c>
      <c r="G381" s="60" t="s">
        <v>301</v>
      </c>
      <c r="H381" s="61"/>
      <c r="I381" s="61"/>
      <c r="J381" s="62"/>
      <c r="K381" s="62"/>
      <c r="L381" s="62" t="str">
        <f>IFERROR(__xludf.DUMMYFUNCTION("QUERY('Volunteer Survey'!B390)"),"Jennifer Holle")</f>
        <v>Jennifer Holle</v>
      </c>
      <c r="M381" s="62" t="str">
        <f>IFERROR(__xludf.DUMMYFUNCTION("QUERY('Volunteer Survey'!E390)"),"jennifer.holle@invitae.com")</f>
        <v>jennifer.holle@invitae.com</v>
      </c>
      <c r="N381" s="62" t="str">
        <f>IFERROR(__xludf.DUMMYFUNCTION("QUERY('Volunteer Survey'!F390)"),"Variant Analyst/Scientist - Industry")</f>
        <v>Variant Analyst/Scientist - Industry</v>
      </c>
      <c r="O381" s="60" t="str">
        <f>IFERROR(__xludf.DUMMYFUNCTION("QUERY('Volunteer Survey'!H390)"),"Comprehensive")</f>
        <v>Comprehensive</v>
      </c>
      <c r="P381" s="62" t="str">
        <f>IFERROR(__xludf.DUMMYFUNCTION("QUERY('Volunteer Survey'!I390)"),"Gene-Disease Validity")</f>
        <v>Gene-Disease Validity</v>
      </c>
      <c r="Q381" s="66" t="str">
        <f>IFERROR(__xludf.DUMMYFUNCTION("QUERY('Volunteer Survey'!J390)"),"Variant Pathogenicity")</f>
        <v>Variant Pathogenicity</v>
      </c>
      <c r="R381" s="62" t="str">
        <f>IFERROR(__xludf.DUMMYFUNCTION("QUERY('Volunteer Survey'!K390)"),"")</f>
        <v/>
      </c>
      <c r="S381" s="62" t="str">
        <f>IFERROR(__xludf.DUMMYFUNCTION("QUERY('Volunteer Survey'!L390)"),"")</f>
        <v/>
      </c>
      <c r="T381" s="62" t="str">
        <f>IFERROR(__xludf.DUMMYFUNCTION("QUERY('Volunteer Survey'!M390)"),"")</f>
        <v/>
      </c>
      <c r="U381" s="74" t="str">
        <f>IFERROR(__xludf.DUMMYFUNCTION("QUERY('Volunteer Survey'!N390)"),"Yes, I do variant pathogenicity curation in my job, as well as gene-disease validity curation (though I do less of this).")</f>
        <v>Yes, I do variant pathogenicity curation in my job, as well as gene-disease validity curation (though I do less of this).</v>
      </c>
      <c r="V381" s="62" t="str">
        <f>IFERROR(__xludf.DUMMYFUNCTION("QUERY('Volunteer Survey'!O390)"),"Possibly")</f>
        <v>Possibly</v>
      </c>
      <c r="W381" s="75" t="str">
        <f>IFERROR(__xludf.DUMMYFUNCTION("QUERY('Volunteer Survey'!P390)"),"The primary immunodeficiency group - didn't see it on the list, but I know it's upcoming")</f>
        <v>The primary immunodeficiency group - didn't see it on the list, but I know it's upcoming</v>
      </c>
      <c r="X381" s="74" t="str">
        <f>IFERROR(__xludf.DUMMYFUNCTION("QUERY('Volunteer Survey'!R390)"),"Maybe -- please contact me with other options, and I will decide based on what is available")</f>
        <v>Maybe -- please contact me with other options, and I will decide based on what is available</v>
      </c>
      <c r="Y381" s="61"/>
      <c r="Z381" s="62"/>
      <c r="AA381" s="62"/>
      <c r="AB381" s="62"/>
      <c r="AC381" s="62"/>
      <c r="AD381" s="62"/>
      <c r="AE381" s="62"/>
      <c r="AF381" s="62"/>
      <c r="AG381" s="62"/>
      <c r="AH381" s="62"/>
      <c r="AI381" s="62"/>
      <c r="AJ381" s="62"/>
      <c r="AK381" s="62"/>
      <c r="AL381" s="62"/>
      <c r="AM381" s="62"/>
      <c r="AN381" s="62"/>
      <c r="AO381" s="62"/>
    </row>
    <row r="382">
      <c r="A382" s="59">
        <f>IFERROR(__xludf.DUMMYFUNCTION("QUERY('Volunteer Survey'!A391)"),43851.400375983794)</f>
        <v>43851.40038</v>
      </c>
      <c r="B382" s="60" t="s">
        <v>282</v>
      </c>
      <c r="C382" s="90">
        <v>43860.0</v>
      </c>
      <c r="D382" s="62"/>
      <c r="E382" s="62"/>
      <c r="F382" s="60" t="s">
        <v>182</v>
      </c>
      <c r="G382" s="60" t="s">
        <v>301</v>
      </c>
      <c r="H382" s="61"/>
      <c r="I382" s="61"/>
      <c r="J382" s="62"/>
      <c r="K382" s="62"/>
      <c r="L382" s="62" t="str">
        <f>IFERROR(__xludf.DUMMYFUNCTION("QUERY('Volunteer Survey'!B391)"),"George Jour")</f>
        <v>George Jour</v>
      </c>
      <c r="M382" s="62" t="str">
        <f>IFERROR(__xludf.DUMMYFUNCTION("QUERY('Volunteer Survey'!E391)"),"george.jour@nyulangone.org")</f>
        <v>george.jour@nyulangone.org</v>
      </c>
      <c r="N382" s="62" t="str">
        <f>IFERROR(__xludf.DUMMYFUNCTION("QUERY('Volunteer Survey'!F391)"),"Physician (Non-geneticist)")</f>
        <v>Physician (Non-geneticist)</v>
      </c>
      <c r="O382" s="60" t="str">
        <f>IFERROR(__xludf.DUMMYFUNCTION("QUERY('Volunteer Survey'!H391)"),"Baseline")</f>
        <v>Baseline</v>
      </c>
      <c r="P382" s="62" t="str">
        <f>IFERROR(__xludf.DUMMYFUNCTION("QUERY('Volunteer Survey'!I391)"),"Clinical Actionability")</f>
        <v>Clinical Actionability</v>
      </c>
      <c r="Q382" s="66" t="str">
        <f>IFERROR(__xludf.DUMMYFUNCTION("QUERY('Volunteer Survey'!J391)"),"Somatic Cancer")</f>
        <v>Somatic Cancer</v>
      </c>
      <c r="R382" s="62" t="str">
        <f>IFERROR(__xludf.DUMMYFUNCTION("QUERY('Volunteer Survey'!K391)"),"Gene-Disease Validity")</f>
        <v>Gene-Disease Validity</v>
      </c>
      <c r="S382" s="62" t="str">
        <f>IFERROR(__xludf.DUMMYFUNCTION("QUERY('Volunteer Survey'!L391)"),"Variant Pathogenicity")</f>
        <v>Variant Pathogenicity</v>
      </c>
      <c r="T382" s="62" t="str">
        <f>IFERROR(__xludf.DUMMYFUNCTION("QUERY('Volunteer Survey'!M391)"),"")</f>
        <v/>
      </c>
      <c r="U382" s="74" t="str">
        <f>IFERROR(__xludf.DUMMYFUNCTION("QUERY('Volunteer Survey'!N391)"),"I did help curate an internal database during my fellowship for an inherited cancer NGS panel")</f>
        <v>I did help curate an internal database during my fellowship for an inherited cancer NGS panel</v>
      </c>
      <c r="V382" s="62" t="str">
        <f>IFERROR(__xludf.DUMMYFUNCTION("QUERY('Volunteer Survey'!O391)"),"Yes")</f>
        <v>Yes</v>
      </c>
      <c r="W382" s="75" t="str">
        <f>IFERROR(__xludf.DUMMYFUNCTION("QUERY('Volunteer Survey'!P391)"),"Rasopathies; hearing Loss; inherited cancers")</f>
        <v>Rasopathies; hearing Loss; inherited cancers</v>
      </c>
      <c r="X382" s="74" t="str">
        <f>IFERROR(__xludf.DUMMYFUNCTION("QUERY('Volunteer Survey'!R391)"),"Maybe -- please contact me with other options, and I will decide based on what is available")</f>
        <v>Maybe -- please contact me with other options, and I will decide based on what is available</v>
      </c>
      <c r="Y382" s="61"/>
      <c r="Z382" s="62"/>
      <c r="AA382" s="62"/>
      <c r="AB382" s="62"/>
      <c r="AC382" s="62"/>
      <c r="AD382" s="62"/>
      <c r="AE382" s="62"/>
      <c r="AF382" s="62"/>
      <c r="AG382" s="62"/>
      <c r="AH382" s="62"/>
      <c r="AI382" s="62"/>
      <c r="AJ382" s="62"/>
      <c r="AK382" s="62"/>
      <c r="AL382" s="62"/>
      <c r="AM382" s="62"/>
      <c r="AN382" s="62"/>
      <c r="AO382" s="62"/>
    </row>
    <row r="383">
      <c r="A383" s="59">
        <f>IFERROR(__xludf.DUMMYFUNCTION("QUERY('Volunteer Survey'!A392)"),43851.415571122685)</f>
        <v>43851.41557</v>
      </c>
      <c r="B383" s="60" t="s">
        <v>340</v>
      </c>
      <c r="C383" s="63" t="s">
        <v>362</v>
      </c>
      <c r="D383" s="62"/>
      <c r="E383" s="62"/>
      <c r="F383" s="60" t="s">
        <v>182</v>
      </c>
      <c r="G383" s="60" t="s">
        <v>301</v>
      </c>
      <c r="H383" s="61"/>
      <c r="I383" s="61"/>
      <c r="J383" s="62"/>
      <c r="K383" s="62"/>
      <c r="L383" s="62" t="str">
        <f>IFERROR(__xludf.DUMMYFUNCTION("QUERY('Volunteer Survey'!B392)"),"George Jour")</f>
        <v>George Jour</v>
      </c>
      <c r="M383" s="62" t="str">
        <f>IFERROR(__xludf.DUMMYFUNCTION("QUERY('Volunteer Survey'!E392)"),"george.jour@nyulangone.org")</f>
        <v>george.jour@nyulangone.org</v>
      </c>
      <c r="N383" s="62" t="str">
        <f>IFERROR(__xludf.DUMMYFUNCTION("QUERY('Volunteer Survey'!F392)"),"Physician (Non-geneticist)")</f>
        <v>Physician (Non-geneticist)</v>
      </c>
      <c r="O383" s="60" t="str">
        <f>IFERROR(__xludf.DUMMYFUNCTION("QUERY('Volunteer Survey'!H392)"),"Baseline")</f>
        <v>Baseline</v>
      </c>
      <c r="P383" s="62" t="str">
        <f>IFERROR(__xludf.DUMMYFUNCTION("QUERY('Volunteer Survey'!I392)"),"Clinical Actionability")</f>
        <v>Clinical Actionability</v>
      </c>
      <c r="Q383" s="66" t="str">
        <f>IFERROR(__xludf.DUMMYFUNCTION("QUERY('Volunteer Survey'!J392)"),"Somatic Cancer")</f>
        <v>Somatic Cancer</v>
      </c>
      <c r="R383" s="62" t="str">
        <f>IFERROR(__xludf.DUMMYFUNCTION("QUERY('Volunteer Survey'!K392)"),"Gene-Disease Validity")</f>
        <v>Gene-Disease Validity</v>
      </c>
      <c r="S383" s="62" t="str">
        <f>IFERROR(__xludf.DUMMYFUNCTION("QUERY('Volunteer Survey'!L392)"),"Variant Pathogenicity")</f>
        <v>Variant Pathogenicity</v>
      </c>
      <c r="T383" s="62" t="str">
        <f>IFERROR(__xludf.DUMMYFUNCTION("QUERY('Volunteer Survey'!M392)"),"")</f>
        <v/>
      </c>
      <c r="U383" s="74" t="str">
        <f>IFERROR(__xludf.DUMMYFUNCTION("QUERY('Volunteer Survey'!N392)"),"I did help curate an internal database during my fellowship for an inherited cancer NGS panel")</f>
        <v>I did help curate an internal database during my fellowship for an inherited cancer NGS panel</v>
      </c>
      <c r="V383" s="62" t="str">
        <f>IFERROR(__xludf.DUMMYFUNCTION("QUERY('Volunteer Survey'!O392)"),"Yes")</f>
        <v>Yes</v>
      </c>
      <c r="W383" s="75" t="str">
        <f>IFERROR(__xludf.DUMMYFUNCTION("QUERY('Volunteer Survey'!P392)"),"Rasopathies; hearing Loss; inherited cancers")</f>
        <v>Rasopathies; hearing Loss; inherited cancers</v>
      </c>
      <c r="X383" s="74" t="str">
        <f>IFERROR(__xludf.DUMMYFUNCTION("QUERY('Volunteer Survey'!R392)"),"Maybe -- please contact me with other options, and I will decide based on what is available")</f>
        <v>Maybe -- please contact me with other options, and I will decide based on what is available</v>
      </c>
      <c r="Y383" s="61"/>
      <c r="Z383" s="62"/>
      <c r="AA383" s="62"/>
      <c r="AB383" s="62"/>
      <c r="AC383" s="62"/>
      <c r="AD383" s="62"/>
      <c r="AE383" s="62"/>
      <c r="AF383" s="62"/>
      <c r="AG383" s="62"/>
      <c r="AH383" s="62"/>
      <c r="AI383" s="62"/>
      <c r="AJ383" s="62"/>
      <c r="AK383" s="62"/>
      <c r="AL383" s="62"/>
      <c r="AM383" s="62"/>
      <c r="AN383" s="62"/>
      <c r="AO383" s="62"/>
    </row>
    <row r="384">
      <c r="A384" s="59">
        <f>IFERROR(__xludf.DUMMYFUNCTION("QUERY('Volunteer Survey'!A393)"),43851.816404606485)</f>
        <v>43851.8164</v>
      </c>
      <c r="B384" s="60" t="s">
        <v>340</v>
      </c>
      <c r="C384" s="61"/>
      <c r="D384" s="62"/>
      <c r="E384" s="62"/>
      <c r="F384" s="60" t="s">
        <v>182</v>
      </c>
      <c r="G384" s="60" t="s">
        <v>301</v>
      </c>
      <c r="H384" s="61"/>
      <c r="I384" s="61"/>
      <c r="J384" s="62"/>
      <c r="K384" s="62"/>
      <c r="L384" s="62" t="str">
        <f>IFERROR(__xludf.DUMMYFUNCTION("QUERY('Volunteer Survey'!B393)"),"Emily Hansen-Kiss")</f>
        <v>Emily Hansen-Kiss</v>
      </c>
      <c r="M384" s="62" t="str">
        <f>IFERROR(__xludf.DUMMYFUNCTION("QUERY('Volunteer Survey'!E393)"),"Emily.HansenKiss@uth.tmc.edu")</f>
        <v>Emily.HansenKiss@uth.tmc.edu</v>
      </c>
      <c r="N384" s="62" t="str">
        <f>IFERROR(__xludf.DUMMYFUNCTION("QUERY('Volunteer Survey'!F393)"),"Genetic counselor")</f>
        <v>Genetic counselor</v>
      </c>
      <c r="O384" s="60" t="str">
        <f>IFERROR(__xludf.DUMMYFUNCTION("QUERY('Volunteer Survey'!H393)"),"Comprehensive")</f>
        <v>Comprehensive</v>
      </c>
      <c r="P384" s="62" t="str">
        <f>IFERROR(__xludf.DUMMYFUNCTION("QUERY('Volunteer Survey'!I393)"),"Variant Pathogenicity")</f>
        <v>Variant Pathogenicity</v>
      </c>
      <c r="Q384" s="66" t="str">
        <f>IFERROR(__xludf.DUMMYFUNCTION("QUERY('Volunteer Survey'!J393)"),"Clinical Actionability")</f>
        <v>Clinical Actionability</v>
      </c>
      <c r="R384" s="62" t="str">
        <f>IFERROR(__xludf.DUMMYFUNCTION("QUERY('Volunteer Survey'!K393)"),"Gene-Disease Validity")</f>
        <v>Gene-Disease Validity</v>
      </c>
      <c r="S384" s="62" t="str">
        <f>IFERROR(__xludf.DUMMYFUNCTION("QUERY('Volunteer Survey'!L393)"),"Dosage Sensitivity")</f>
        <v>Dosage Sensitivity</v>
      </c>
      <c r="T384" s="62" t="str">
        <f>IFERROR(__xludf.DUMMYFUNCTION("QUERY('Volunteer Survey'!M393)"),"")</f>
        <v/>
      </c>
      <c r="U384" s="74" t="str">
        <f>IFERROR(__xludf.DUMMYFUNCTION("QUERY('Volunteer Survey'!N393)"),"No official training or experience, but clinical experience working with patients with mutations within the PTEN gene and identifying when phenotype is a good match for genotype.")</f>
        <v>No official training or experience, but clinical experience working with patients with mutations within the PTEN gene and identifying when phenotype is a good match for genotype.</v>
      </c>
      <c r="V384" s="62" t="str">
        <f>IFERROR(__xludf.DUMMYFUNCTION("QUERY('Volunteer Survey'!O393)"),"Possibly")</f>
        <v>Possibly</v>
      </c>
      <c r="W384" s="75" t="str">
        <f>IFERROR(__xludf.DUMMYFUNCTION("QUERY('Volunteer Survey'!P393)"),"PTEN")</f>
        <v>PTEN</v>
      </c>
      <c r="X384" s="74" t="str">
        <f>IFERROR(__xludf.DUMMYFUNCTION("QUERY('Volunteer Survey'!R393)"),"No - I am only interested in the group(s) I previously indicated")</f>
        <v>No - I am only interested in the group(s) I previously indicated</v>
      </c>
      <c r="Y384" s="61"/>
      <c r="Z384" s="62"/>
      <c r="AA384" s="62"/>
      <c r="AB384" s="62"/>
      <c r="AC384" s="62"/>
      <c r="AD384" s="62"/>
      <c r="AE384" s="62"/>
      <c r="AF384" s="62"/>
      <c r="AG384" s="62"/>
      <c r="AH384" s="62"/>
      <c r="AI384" s="62"/>
      <c r="AJ384" s="62"/>
      <c r="AK384" s="62"/>
      <c r="AL384" s="62"/>
      <c r="AM384" s="62"/>
      <c r="AN384" s="62"/>
      <c r="AO384" s="62"/>
    </row>
    <row r="385">
      <c r="A385" s="59">
        <f>IFERROR(__xludf.DUMMYFUNCTION("QUERY('Volunteer Survey'!A394)"),43852.431576759256)</f>
        <v>43852.43158</v>
      </c>
      <c r="B385" s="60" t="s">
        <v>340</v>
      </c>
      <c r="C385" s="61"/>
      <c r="D385" s="62"/>
      <c r="E385" s="62"/>
      <c r="F385" s="60" t="s">
        <v>182</v>
      </c>
      <c r="G385" s="60" t="s">
        <v>301</v>
      </c>
      <c r="H385" s="61"/>
      <c r="I385" s="61"/>
      <c r="J385" s="62"/>
      <c r="K385" s="62"/>
      <c r="L385" s="62" t="str">
        <f>IFERROR(__xludf.DUMMYFUNCTION("QUERY('Volunteer Survey'!B394)"),"Chitra Chandrasekaran")</f>
        <v>Chitra Chandrasekaran</v>
      </c>
      <c r="M385" s="62" t="str">
        <f>IFERROR(__xludf.DUMMYFUNCTION("QUERY('Volunteer Survey'!E394)"),"cchandrasekaran@txwes.edu")</f>
        <v>cchandrasekaran@txwes.edu</v>
      </c>
      <c r="N385" s="62" t="str">
        <f>IFERROR(__xludf.DUMMYFUNCTION("QUERY('Volunteer Survey'!F394)"),"Biology Professor")</f>
        <v>Biology Professor</v>
      </c>
      <c r="O385" s="60" t="str">
        <f>IFERROR(__xludf.DUMMYFUNCTION("QUERY('Volunteer Survey'!H394)"),"Comprehensive")</f>
        <v>Comprehensive</v>
      </c>
      <c r="P385" s="62" t="str">
        <f>IFERROR(__xludf.DUMMYFUNCTION("QUERY('Volunteer Survey'!I394)"),"Gene-Disease Validity")</f>
        <v>Gene-Disease Validity</v>
      </c>
      <c r="Q385" s="66" t="str">
        <f>IFERROR(__xludf.DUMMYFUNCTION("QUERY('Volunteer Survey'!J394)"),"Variant Pathogenicity")</f>
        <v>Variant Pathogenicity</v>
      </c>
      <c r="R385" s="62" t="str">
        <f>IFERROR(__xludf.DUMMYFUNCTION("QUERY('Volunteer Survey'!K394)"),"Somatic Cancer")</f>
        <v>Somatic Cancer</v>
      </c>
      <c r="S385" s="62" t="str">
        <f>IFERROR(__xludf.DUMMYFUNCTION("QUERY('Volunteer Survey'!L394)"),"Dosage Sensitivity")</f>
        <v>Dosage Sensitivity</v>
      </c>
      <c r="T385" s="62" t="str">
        <f>IFERROR(__xludf.DUMMYFUNCTION("QUERY('Volunteer Survey'!M394)"),"Clinical Actionability")</f>
        <v>Clinical Actionability</v>
      </c>
      <c r="U385" s="74" t="str">
        <f>IFERROR(__xludf.DUMMYFUNCTION("QUERY('Volunteer Survey'!N394)"),"I do not have any previous experience with the activities mentioned above.")</f>
        <v>I do not have any previous experience with the activities mentioned above.</v>
      </c>
      <c r="V385" s="62" t="str">
        <f>IFERROR(__xludf.DUMMYFUNCTION("QUERY('Volunteer Survey'!O394)"),"Possibly")</f>
        <v>Possibly</v>
      </c>
      <c r="W385" s="75" t="str">
        <f>IFERROR(__xludf.DUMMYFUNCTION("QUERY('Volunteer Survey'!P394)"),"")</f>
        <v/>
      </c>
      <c r="X385" s="74" t="str">
        <f>IFERROR(__xludf.DUMMYFUNCTION("QUERY('Volunteer Survey'!R394)"),"")</f>
        <v/>
      </c>
      <c r="Y385" s="61"/>
      <c r="Z385" s="62"/>
      <c r="AA385" s="62"/>
      <c r="AB385" s="62"/>
      <c r="AC385" s="62"/>
      <c r="AD385" s="62"/>
      <c r="AE385" s="62"/>
      <c r="AF385" s="62"/>
      <c r="AG385" s="62"/>
      <c r="AH385" s="62"/>
      <c r="AI385" s="62"/>
      <c r="AJ385" s="62"/>
      <c r="AK385" s="62"/>
      <c r="AL385" s="62"/>
      <c r="AM385" s="62"/>
      <c r="AN385" s="62"/>
      <c r="AO385" s="62"/>
    </row>
    <row r="386">
      <c r="A386" s="59">
        <f>IFERROR(__xludf.DUMMYFUNCTION("QUERY('Volunteer Survey'!A395)"),43852.752405405095)</f>
        <v>43852.75241</v>
      </c>
      <c r="B386" s="60" t="s">
        <v>340</v>
      </c>
      <c r="C386" s="61"/>
      <c r="D386" s="62"/>
      <c r="E386" s="62"/>
      <c r="F386" s="60" t="s">
        <v>182</v>
      </c>
      <c r="G386" s="60" t="s">
        <v>301</v>
      </c>
      <c r="H386" s="61"/>
      <c r="I386" s="61"/>
      <c r="J386" s="62"/>
      <c r="K386" s="62"/>
      <c r="L386" s="62" t="str">
        <f>IFERROR(__xludf.DUMMYFUNCTION("QUERY('Volunteer Survey'!B395)"),"Silke Waap")</f>
        <v>Silke Waap</v>
      </c>
      <c r="M386" s="62" t="str">
        <f>IFERROR(__xludf.DUMMYFUNCTION("QUERY('Volunteer Survey'!E395)"),"silkewaap@gmail.com")</f>
        <v>silkewaap@gmail.com</v>
      </c>
      <c r="N386" s="62" t="str">
        <f>IFERROR(__xludf.DUMMYFUNCTION("QUERY('Volunteer Survey'!F395)"),"Scientific Researcher")</f>
        <v>Scientific Researcher</v>
      </c>
      <c r="O386" s="60" t="str">
        <f>IFERROR(__xludf.DUMMYFUNCTION("QUERY('Volunteer Survey'!H395)"),"Comprehensive")</f>
        <v>Comprehensive</v>
      </c>
      <c r="P386" s="62" t="str">
        <f>IFERROR(__xludf.DUMMYFUNCTION("QUERY('Volunteer Survey'!I395)"),"Gene-Disease Validity")</f>
        <v>Gene-Disease Validity</v>
      </c>
      <c r="Q386" s="66" t="str">
        <f>IFERROR(__xludf.DUMMYFUNCTION("QUERY('Volunteer Survey'!J395)"),"Variant Pathogenicity")</f>
        <v>Variant Pathogenicity</v>
      </c>
      <c r="R386" s="62" t="str">
        <f>IFERROR(__xludf.DUMMYFUNCTION("QUERY('Volunteer Survey'!K395)"),"")</f>
        <v/>
      </c>
      <c r="S386" s="62" t="str">
        <f>IFERROR(__xludf.DUMMYFUNCTION("QUERY('Volunteer Survey'!L395)"),"")</f>
        <v/>
      </c>
      <c r="T386" s="62" t="str">
        <f>IFERROR(__xludf.DUMMYFUNCTION("QUERY('Volunteer Survey'!M395)"),"")</f>
        <v/>
      </c>
      <c r="U386" s="74" t="str">
        <f>IFERROR(__xludf.DUMMYFUNCTION("QUERY('Volunteer Survey'!N395)"),"My scientific research expertise has been on evolutionary processes, involving gene variation (SNPs) and laboratory next generation sequencing techniques and bioinformatic analyses of genetic barcodes. ")</f>
        <v>My scientific research expertise has been on evolutionary processes, involving gene variation (SNPs) and laboratory next generation sequencing techniques and bioinformatic analyses of genetic barcodes. </v>
      </c>
      <c r="V386" s="62" t="str">
        <f>IFERROR(__xludf.DUMMYFUNCTION("QUERY('Volunteer Survey'!O395)"),"Yes")</f>
        <v>Yes</v>
      </c>
      <c r="W386" s="75" t="str">
        <f>IFERROR(__xludf.DUMMYFUNCTION("QUERY('Volunteer Survey'!P395)"),"")</f>
        <v/>
      </c>
      <c r="X386" s="74" t="str">
        <f>IFERROR(__xludf.DUMMYFUNCTION("QUERY('Volunteer Survey'!R395)"),"Yes- I am willing to volunteer with any available ClinGen group")</f>
        <v>Yes- I am willing to volunteer with any available ClinGen group</v>
      </c>
      <c r="Y386" s="61"/>
      <c r="Z386" s="62"/>
      <c r="AA386" s="62"/>
      <c r="AB386" s="62"/>
      <c r="AC386" s="62"/>
      <c r="AD386" s="62"/>
      <c r="AE386" s="62"/>
      <c r="AF386" s="62"/>
      <c r="AG386" s="62"/>
      <c r="AH386" s="62"/>
      <c r="AI386" s="62"/>
      <c r="AJ386" s="62"/>
      <c r="AK386" s="62"/>
      <c r="AL386" s="62"/>
      <c r="AM386" s="62"/>
      <c r="AN386" s="62"/>
      <c r="AO386" s="62"/>
    </row>
    <row r="387">
      <c r="A387" s="59">
        <f>IFERROR(__xludf.DUMMYFUNCTION("QUERY('Volunteer Survey'!A396)"),43853.67358460648)</f>
        <v>43853.67358</v>
      </c>
      <c r="B387" s="60" t="s">
        <v>340</v>
      </c>
      <c r="C387" s="61"/>
      <c r="D387" s="62"/>
      <c r="E387" s="62"/>
      <c r="F387" s="60" t="s">
        <v>182</v>
      </c>
      <c r="G387" s="60" t="s">
        <v>301</v>
      </c>
      <c r="H387" s="61"/>
      <c r="I387" s="61"/>
      <c r="J387" s="62"/>
      <c r="K387" s="62"/>
      <c r="L387" s="62" t="str">
        <f>IFERROR(__xludf.DUMMYFUNCTION("QUERY('Volunteer Survey'!B396)"),"Emilie Hulse")</f>
        <v>Emilie Hulse</v>
      </c>
      <c r="M387" s="62" t="str">
        <f>IFERROR(__xludf.DUMMYFUNCTION("QUERY('Volunteer Survey'!E396)"),"ehulse@genedx.com")</f>
        <v>ehulse@genedx.com</v>
      </c>
      <c r="N387" s="62" t="str">
        <f>IFERROR(__xludf.DUMMYFUNCTION("QUERY('Volunteer Survey'!F396)"),"Genetic Counseling Assistant")</f>
        <v>Genetic Counseling Assistant</v>
      </c>
      <c r="O387" s="60" t="str">
        <f>IFERROR(__xludf.DUMMYFUNCTION("QUERY('Volunteer Survey'!H396)"),"Comprehensive")</f>
        <v>Comprehensive</v>
      </c>
      <c r="P387" s="62" t="str">
        <f>IFERROR(__xludf.DUMMYFUNCTION("QUERY('Volunteer Survey'!I396)"),"Gene-Disease Validity")</f>
        <v>Gene-Disease Validity</v>
      </c>
      <c r="Q387" s="66" t="str">
        <f>IFERROR(__xludf.DUMMYFUNCTION("QUERY('Volunteer Survey'!J396)"),"Clinical Actionability")</f>
        <v>Clinical Actionability</v>
      </c>
      <c r="R387" s="62" t="str">
        <f>IFERROR(__xludf.DUMMYFUNCTION("QUERY('Volunteer Survey'!K396)"),"Variant Pathogenicity")</f>
        <v>Variant Pathogenicity</v>
      </c>
      <c r="S387" s="62" t="str">
        <f>IFERROR(__xludf.DUMMYFUNCTION("QUERY('Volunteer Survey'!L396)"),"Somatic Cancer")</f>
        <v>Somatic Cancer</v>
      </c>
      <c r="T387" s="62" t="str">
        <f>IFERROR(__xludf.DUMMYFUNCTION("QUERY('Volunteer Survey'!M396)"),"Dosage Sensitivity")</f>
        <v>Dosage Sensitivity</v>
      </c>
      <c r="U387" s="74" t="str">
        <f>IFERROR(__xludf.DUMMYFUNCTION("QUERY('Volunteer Survey'!N396)"),"No")</f>
        <v>No</v>
      </c>
      <c r="V387" s="62" t="str">
        <f>IFERROR(__xludf.DUMMYFUNCTION("QUERY('Volunteer Survey'!O396)"),"Possibly")</f>
        <v>Possibly</v>
      </c>
      <c r="W387" s="75" t="str">
        <f>IFERROR(__xludf.DUMMYFUNCTION("QUERY('Volunteer Survey'!P396)"),"no preference")</f>
        <v>no preference</v>
      </c>
      <c r="X387" s="74" t="str">
        <f>IFERROR(__xludf.DUMMYFUNCTION("QUERY('Volunteer Survey'!R396)"),"Yes- I am willing to volunteer with any available ClinGen group")</f>
        <v>Yes- I am willing to volunteer with any available ClinGen group</v>
      </c>
      <c r="Y387" s="61"/>
      <c r="Z387" s="62"/>
      <c r="AA387" s="62"/>
      <c r="AB387" s="62"/>
      <c r="AC387" s="62"/>
      <c r="AD387" s="62"/>
      <c r="AE387" s="62"/>
      <c r="AF387" s="62"/>
      <c r="AG387" s="62"/>
      <c r="AH387" s="62"/>
      <c r="AI387" s="62"/>
      <c r="AJ387" s="62"/>
      <c r="AK387" s="62"/>
      <c r="AL387" s="62"/>
      <c r="AM387" s="62"/>
      <c r="AN387" s="62"/>
      <c r="AO387" s="62"/>
    </row>
    <row r="388">
      <c r="A388" s="59">
        <f>IFERROR(__xludf.DUMMYFUNCTION("QUERY('Volunteer Survey'!A397)"),43855.67079949074)</f>
        <v>43855.6708</v>
      </c>
      <c r="B388" s="60" t="s">
        <v>340</v>
      </c>
      <c r="C388" s="61"/>
      <c r="D388" s="62"/>
      <c r="E388" s="62"/>
      <c r="F388" s="60" t="s">
        <v>182</v>
      </c>
      <c r="G388" s="60" t="s">
        <v>301</v>
      </c>
      <c r="H388" s="61"/>
      <c r="I388" s="61"/>
      <c r="J388" s="62"/>
      <c r="K388" s="62"/>
      <c r="L388" s="62" t="str">
        <f>IFERROR(__xludf.DUMMYFUNCTION("QUERY('Volunteer Survey'!B397)"),"Stephen Wicks ")</f>
        <v>Stephen Wicks </v>
      </c>
      <c r="M388" s="62" t="str">
        <f>IFERROR(__xludf.DUMMYFUNCTION("QUERY('Volunteer Survey'!E397)"),"stephenwicks1@gmail.com")</f>
        <v>stephenwicks1@gmail.com</v>
      </c>
      <c r="N388" s="62" t="str">
        <f>IFERROR(__xludf.DUMMYFUNCTION("QUERY('Volunteer Survey'!F397)"),"Post Doc/Resident/Fellow (MD and/or PhD)")</f>
        <v>Post Doc/Resident/Fellow (MD and/or PhD)</v>
      </c>
      <c r="O388" s="60" t="str">
        <f>IFERROR(__xludf.DUMMYFUNCTION("QUERY('Volunteer Survey'!H397)"),"Comprehensive")</f>
        <v>Comprehensive</v>
      </c>
      <c r="P388" s="62" t="str">
        <f>IFERROR(__xludf.DUMMYFUNCTION("QUERY('Volunteer Survey'!I397)"),"Somatic Cancer")</f>
        <v>Somatic Cancer</v>
      </c>
      <c r="Q388" s="66" t="str">
        <f>IFERROR(__xludf.DUMMYFUNCTION("QUERY('Volunteer Survey'!J397)"),"Variant Pathogenicity")</f>
        <v>Variant Pathogenicity</v>
      </c>
      <c r="R388" s="62" t="str">
        <f>IFERROR(__xludf.DUMMYFUNCTION("QUERY('Volunteer Survey'!K397)"),"Dosage Sensitivity")</f>
        <v>Dosage Sensitivity</v>
      </c>
      <c r="S388" s="62" t="str">
        <f>IFERROR(__xludf.DUMMYFUNCTION("QUERY('Volunteer Survey'!L397)"),"Clinical Actionability")</f>
        <v>Clinical Actionability</v>
      </c>
      <c r="T388" s="62" t="str">
        <f>IFERROR(__xludf.DUMMYFUNCTION("QUERY('Volunteer Survey'!M397)"),"Gene-Disease Validity")</f>
        <v>Gene-Disease Validity</v>
      </c>
      <c r="U388" s="74" t="str">
        <f>IFERROR(__xludf.DUMMYFUNCTION("QUERY('Volunteer Survey'!N397)"),"Have been signing out both hematological and solid tumor cancer clinical cases from adult and pediatric populations.")</f>
        <v>Have been signing out both hematological and solid tumor cancer clinical cases from adult and pediatric populations.</v>
      </c>
      <c r="V388" s="62" t="str">
        <f>IFERROR(__xludf.DUMMYFUNCTION("QUERY('Volunteer Survey'!O397)"),"Yes")</f>
        <v>Yes</v>
      </c>
      <c r="W388" s="75" t="str">
        <f>IFERROR(__xludf.DUMMYFUNCTION("QUERY('Volunteer Survey'!P397)"),"Somatic Cancer WG / Hereditary Cancer Panel")</f>
        <v>Somatic Cancer WG / Hereditary Cancer Panel</v>
      </c>
      <c r="X388" s="74" t="str">
        <f>IFERROR(__xludf.DUMMYFUNCTION("QUERY('Volunteer Survey'!R397)"),"Yes- I am willing to volunteer with any available ClinGen group")</f>
        <v>Yes- I am willing to volunteer with any available ClinGen group</v>
      </c>
      <c r="Y388" s="61"/>
      <c r="Z388" s="62"/>
      <c r="AA388" s="62"/>
      <c r="AB388" s="62"/>
      <c r="AC388" s="62"/>
      <c r="AD388" s="62"/>
      <c r="AE388" s="62"/>
      <c r="AF388" s="62"/>
      <c r="AG388" s="62"/>
      <c r="AH388" s="62"/>
      <c r="AI388" s="62"/>
      <c r="AJ388" s="62"/>
      <c r="AK388" s="62"/>
      <c r="AL388" s="62"/>
      <c r="AM388" s="62"/>
      <c r="AN388" s="62"/>
      <c r="AO388" s="62"/>
    </row>
    <row r="389">
      <c r="A389" s="59">
        <f>IFERROR(__xludf.DUMMYFUNCTION("QUERY('Volunteer Survey'!A398)"),43855.81422399305)</f>
        <v>43855.81422</v>
      </c>
      <c r="B389" s="60" t="s">
        <v>340</v>
      </c>
      <c r="C389" s="61"/>
      <c r="D389" s="62"/>
      <c r="E389" s="62"/>
      <c r="F389" s="60" t="s">
        <v>182</v>
      </c>
      <c r="G389" s="60" t="s">
        <v>301</v>
      </c>
      <c r="H389" s="61"/>
      <c r="I389" s="61"/>
      <c r="J389" s="62"/>
      <c r="K389" s="62"/>
      <c r="L389" s="62" t="str">
        <f>IFERROR(__xludf.DUMMYFUNCTION("QUERY('Volunteer Survey'!B398)"),"Saurav Guha")</f>
        <v>Saurav Guha</v>
      </c>
      <c r="M389" s="62" t="str">
        <f>IFERROR(__xludf.DUMMYFUNCTION("QUERY('Volunteer Survey'!E398)"),"sauravguha@gmail.com")</f>
        <v>sauravguha@gmail.com</v>
      </c>
      <c r="N389" s="62" t="str">
        <f>IFERROR(__xludf.DUMMYFUNCTION("QUERY('Volunteer Survey'!F398)"),"Clinical laboratory geneticist")</f>
        <v>Clinical laboratory geneticist</v>
      </c>
      <c r="O389" s="60" t="str">
        <f>IFERROR(__xludf.DUMMYFUNCTION("QUERY('Volunteer Survey'!H398)"),"Baseline")</f>
        <v>Baseline</v>
      </c>
      <c r="P389" s="62" t="str">
        <f>IFERROR(__xludf.DUMMYFUNCTION("QUERY('Volunteer Survey'!I398)"),"Variant Pathogenicity")</f>
        <v>Variant Pathogenicity</v>
      </c>
      <c r="Q389" s="66" t="str">
        <f>IFERROR(__xludf.DUMMYFUNCTION("QUERY('Volunteer Survey'!J398)"),"Gene-Disease Validity")</f>
        <v>Gene-Disease Validity</v>
      </c>
      <c r="R389" s="62" t="str">
        <f>IFERROR(__xludf.DUMMYFUNCTION("QUERY('Volunteer Survey'!K398)"),"Clinical Actionability")</f>
        <v>Clinical Actionability</v>
      </c>
      <c r="S389" s="62" t="str">
        <f>IFERROR(__xludf.DUMMYFUNCTION("QUERY('Volunteer Survey'!L398)"),"Dosage Sensitivity")</f>
        <v>Dosage Sensitivity</v>
      </c>
      <c r="T389" s="62" t="str">
        <f>IFERROR(__xludf.DUMMYFUNCTION("QUERY('Volunteer Survey'!M398)"),"")</f>
        <v/>
      </c>
      <c r="U389" s="74" t="str">
        <f>IFERROR(__xludf.DUMMYFUNCTION("QUERY('Volunteer Survey'!N398)"),"Yes, I do regularly classify and report genetic variants. ")</f>
        <v>Yes, I do regularly classify and report genetic variants. </v>
      </c>
      <c r="V389" s="62" t="str">
        <f>IFERROR(__xludf.DUMMYFUNCTION("QUERY('Volunteer Survey'!O398)"),"Yes")</f>
        <v>Yes</v>
      </c>
      <c r="W389" s="75" t="str">
        <f>IFERROR(__xludf.DUMMYFUNCTION("QUERY('Volunteer Survey'!P398)"),"Neurodevelopmental Disorders CDWG")</f>
        <v>Neurodevelopmental Disorders CDWG</v>
      </c>
      <c r="X389" s="74" t="str">
        <f>IFERROR(__xludf.DUMMYFUNCTION("QUERY('Volunteer Survey'!R398)"),"Maybe -- please contact me with other options, and I will decide based on what is available")</f>
        <v>Maybe -- please contact me with other options, and I will decide based on what is available</v>
      </c>
      <c r="Y389" s="61"/>
      <c r="Z389" s="62"/>
      <c r="AA389" s="62"/>
      <c r="AB389" s="62"/>
      <c r="AC389" s="62"/>
      <c r="AD389" s="62"/>
      <c r="AE389" s="62"/>
      <c r="AF389" s="62"/>
      <c r="AG389" s="62"/>
      <c r="AH389" s="62"/>
      <c r="AI389" s="62"/>
      <c r="AJ389" s="62"/>
      <c r="AK389" s="62"/>
      <c r="AL389" s="62"/>
      <c r="AM389" s="62"/>
      <c r="AN389" s="62"/>
      <c r="AO389" s="62"/>
    </row>
    <row r="390">
      <c r="A390" s="59">
        <f>IFERROR(__xludf.DUMMYFUNCTION("QUERY('Volunteer Survey'!A399)"),43856.76751327546)</f>
        <v>43856.76751</v>
      </c>
      <c r="B390" s="60" t="s">
        <v>340</v>
      </c>
      <c r="C390" s="61"/>
      <c r="D390" s="62"/>
      <c r="E390" s="62"/>
      <c r="F390" s="60" t="s">
        <v>182</v>
      </c>
      <c r="G390" s="60" t="s">
        <v>301</v>
      </c>
      <c r="H390" s="61"/>
      <c r="I390" s="61"/>
      <c r="J390" s="62"/>
      <c r="K390" s="62"/>
      <c r="L390" s="62" t="str">
        <f>IFERROR(__xludf.DUMMYFUNCTION("QUERY('Volunteer Survey'!B399)"),"Hannah Lilligren")</f>
        <v>Hannah Lilligren</v>
      </c>
      <c r="M390" s="62" t="str">
        <f>IFERROR(__xludf.DUMMYFUNCTION("QUERY('Volunteer Survey'!E399)"),"hannah.lilligren@gmail.com")</f>
        <v>hannah.lilligren@gmail.com</v>
      </c>
      <c r="N390" s="62" t="str">
        <f>IFERROR(__xludf.DUMMYFUNCTION("QUERY('Volunteer Survey'!F399)"),"Graduate Student")</f>
        <v>Graduate Student</v>
      </c>
      <c r="O390" s="60" t="str">
        <f>IFERROR(__xludf.DUMMYFUNCTION("QUERY('Volunteer Survey'!H399)"),"Baseline")</f>
        <v>Baseline</v>
      </c>
      <c r="P390" s="62" t="str">
        <f>IFERROR(__xludf.DUMMYFUNCTION("QUERY('Volunteer Survey'!I399)"),"Variant Pathogenicity")</f>
        <v>Variant Pathogenicity</v>
      </c>
      <c r="Q390" s="66" t="str">
        <f>IFERROR(__xludf.DUMMYFUNCTION("QUERY('Volunteer Survey'!J399)"),"Clinical Actionability")</f>
        <v>Clinical Actionability</v>
      </c>
      <c r="R390" s="62" t="str">
        <f>IFERROR(__xludf.DUMMYFUNCTION("QUERY('Volunteer Survey'!K399)"),"Gene-Disease Validity")</f>
        <v>Gene-Disease Validity</v>
      </c>
      <c r="S390" s="62" t="str">
        <f>IFERROR(__xludf.DUMMYFUNCTION("QUERY('Volunteer Survey'!L399)"),"Dosage Sensitivity")</f>
        <v>Dosage Sensitivity</v>
      </c>
      <c r="T390" s="62" t="str">
        <f>IFERROR(__xludf.DUMMYFUNCTION("QUERY('Volunteer Survey'!M399)"),"Somatic Cancer")</f>
        <v>Somatic Cancer</v>
      </c>
      <c r="U390" s="74" t="str">
        <f>IFERROR(__xludf.DUMMYFUNCTION("QUERY('Volunteer Survey'!N399)"),"")</f>
        <v/>
      </c>
      <c r="V390" s="62" t="str">
        <f>IFERROR(__xludf.DUMMYFUNCTION("QUERY('Volunteer Survey'!O399)"),"Possibly")</f>
        <v>Possibly</v>
      </c>
      <c r="W390" s="75" t="str">
        <f>IFERROR(__xludf.DUMMYFUNCTION("QUERY('Volunteer Survey'!P399)"),"")</f>
        <v/>
      </c>
      <c r="X390" s="74" t="str">
        <f>IFERROR(__xludf.DUMMYFUNCTION("QUERY('Volunteer Survey'!R399)"),"Yes- I am willing to volunteer with any available ClinGen group")</f>
        <v>Yes- I am willing to volunteer with any available ClinGen group</v>
      </c>
      <c r="Y390" s="61"/>
      <c r="Z390" s="62"/>
      <c r="AA390" s="62"/>
      <c r="AB390" s="62"/>
      <c r="AC390" s="62"/>
      <c r="AD390" s="62"/>
      <c r="AE390" s="62"/>
      <c r="AF390" s="62"/>
      <c r="AG390" s="62"/>
      <c r="AH390" s="62"/>
      <c r="AI390" s="62"/>
      <c r="AJ390" s="62"/>
      <c r="AK390" s="62"/>
      <c r="AL390" s="62"/>
      <c r="AM390" s="62"/>
      <c r="AN390" s="62"/>
      <c r="AO390" s="62"/>
    </row>
    <row r="391">
      <c r="A391" s="59">
        <f>IFERROR(__xludf.DUMMYFUNCTION("QUERY('Volunteer Survey'!A400)"),43859.26483828704)</f>
        <v>43859.26484</v>
      </c>
      <c r="B391" s="60" t="s">
        <v>275</v>
      </c>
      <c r="C391" s="61"/>
      <c r="D391" s="85">
        <v>43859.0</v>
      </c>
      <c r="E391" s="60" t="s">
        <v>277</v>
      </c>
      <c r="F391" s="60" t="s">
        <v>277</v>
      </c>
      <c r="G391" s="60" t="s">
        <v>288</v>
      </c>
      <c r="H391" s="61"/>
      <c r="I391" s="61"/>
      <c r="J391" s="62"/>
      <c r="K391" s="62"/>
      <c r="L391" s="62" t="str">
        <f>IFERROR(__xludf.DUMMYFUNCTION("QUERY('Volunteer Survey'!B400)"),"Saja El Yaacoub")</f>
        <v>Saja El Yaacoub</v>
      </c>
      <c r="M391" s="62" t="str">
        <f>IFERROR(__xludf.DUMMYFUNCTION("QUERY('Volunteer Survey'!E400)"),"saja.alyaacoub@live.com")</f>
        <v>saja.alyaacoub@live.com</v>
      </c>
      <c r="N391" s="62" t="str">
        <f>IFERROR(__xludf.DUMMYFUNCTION("QUERY('Volunteer Survey'!F400)"),"Graduate Student")</f>
        <v>Graduate Student</v>
      </c>
      <c r="O391" s="60" t="str">
        <f>IFERROR(__xludf.DUMMYFUNCTION("QUERY('Volunteer Survey'!H400)"),"Comprehensive")</f>
        <v>Comprehensive</v>
      </c>
      <c r="P391" s="62" t="str">
        <f>IFERROR(__xludf.DUMMYFUNCTION("QUERY('Volunteer Survey'!I400)"),"Gene-Disease Validity")</f>
        <v>Gene-Disease Validity</v>
      </c>
      <c r="Q391" s="66" t="str">
        <f>IFERROR(__xludf.DUMMYFUNCTION("QUERY('Volunteer Survey'!J400)"),"Variant Pathogenicity")</f>
        <v>Variant Pathogenicity</v>
      </c>
      <c r="R391" s="62" t="str">
        <f>IFERROR(__xludf.DUMMYFUNCTION("QUERY('Volunteer Survey'!K400)"),"Somatic Cancer")</f>
        <v>Somatic Cancer</v>
      </c>
      <c r="S391" s="62" t="str">
        <f>IFERROR(__xludf.DUMMYFUNCTION("QUERY('Volunteer Survey'!L400)"),"Dosage Sensitivity")</f>
        <v>Dosage Sensitivity</v>
      </c>
      <c r="T391" s="62" t="str">
        <f>IFERROR(__xludf.DUMMYFUNCTION("QUERY('Volunteer Survey'!M400)"),"Clinical Actionability")</f>
        <v>Clinical Actionability</v>
      </c>
      <c r="U391" s="74" t="str">
        <f>IFERROR(__xludf.DUMMYFUNCTION("QUERY('Volunteer Survey'!N400)"),"")</f>
        <v/>
      </c>
      <c r="V391" s="62" t="str">
        <f>IFERROR(__xludf.DUMMYFUNCTION("QUERY('Volunteer Survey'!O400)"),"Possibly")</f>
        <v>Possibly</v>
      </c>
      <c r="W391" s="75" t="str">
        <f>IFERROR(__xludf.DUMMYFUNCTION("QUERY('Volunteer Survey'!P400)"),"DICER1, Colorectal Cancer, or inhereted retinal diseases")</f>
        <v>DICER1, Colorectal Cancer, or inhereted retinal diseases</v>
      </c>
      <c r="X391" s="74" t="str">
        <f>IFERROR(__xludf.DUMMYFUNCTION("QUERY('Volunteer Survey'!R400)"),"Yes- I am willing to volunteer with any available ClinGen group")</f>
        <v>Yes- I am willing to volunteer with any available ClinGen group</v>
      </c>
      <c r="Y391" s="61"/>
      <c r="Z391" s="62"/>
      <c r="AA391" s="62"/>
      <c r="AB391" s="62"/>
      <c r="AC391" s="62"/>
      <c r="AD391" s="62"/>
      <c r="AE391" s="62"/>
      <c r="AF391" s="62"/>
      <c r="AG391" s="62"/>
      <c r="AH391" s="62"/>
      <c r="AI391" s="62"/>
      <c r="AJ391" s="62"/>
      <c r="AK391" s="62"/>
      <c r="AL391" s="62"/>
      <c r="AM391" s="62"/>
      <c r="AN391" s="62"/>
      <c r="AO391" s="62"/>
    </row>
    <row r="392">
      <c r="A392" s="59">
        <f>IFERROR(__xludf.DUMMYFUNCTION("QUERY('Volunteer Survey'!A401)"),43860.45192450231)</f>
        <v>43860.45192</v>
      </c>
      <c r="B392" s="60" t="s">
        <v>340</v>
      </c>
      <c r="C392" s="61"/>
      <c r="D392" s="62"/>
      <c r="E392" s="62"/>
      <c r="F392" s="60" t="s">
        <v>182</v>
      </c>
      <c r="G392" s="60" t="s">
        <v>301</v>
      </c>
      <c r="H392" s="61"/>
      <c r="I392" s="61"/>
      <c r="J392" s="62"/>
      <c r="K392" s="62"/>
      <c r="L392" s="62" t="str">
        <f>IFERROR(__xludf.DUMMYFUNCTION("QUERY('Volunteer Survey'!B401)"),"Raiana Barbosa")</f>
        <v>Raiana Barbosa</v>
      </c>
      <c r="M392" s="62" t="str">
        <f>IFERROR(__xludf.DUMMYFUNCTION("QUERY('Volunteer Survey'!E401)"),"rapa_andrade@hotmail.com")</f>
        <v>rapa_andrade@hotmail.com</v>
      </c>
      <c r="N392" s="62" t="str">
        <f>IFERROR(__xludf.DUMMYFUNCTION("QUERY('Volunteer Survey'!F401)"),"Post Doc/Resident/Fellow (MD and/or PhD)")</f>
        <v>Post Doc/Resident/Fellow (MD and/or PhD)</v>
      </c>
      <c r="O392" s="60" t="str">
        <f>IFERROR(__xludf.DUMMYFUNCTION("QUERY('Volunteer Survey'!H401)"),"Comprehensive")</f>
        <v>Comprehensive</v>
      </c>
      <c r="P392" s="62" t="str">
        <f>IFERROR(__xludf.DUMMYFUNCTION("QUERY('Volunteer Survey'!I401)"),"Variant Pathogenicity")</f>
        <v>Variant Pathogenicity</v>
      </c>
      <c r="Q392" s="66" t="str">
        <f>IFERROR(__xludf.DUMMYFUNCTION("QUERY('Volunteer Survey'!J401)"),"Gene-Disease Validity")</f>
        <v>Gene-Disease Validity</v>
      </c>
      <c r="R392" s="62" t="str">
        <f>IFERROR(__xludf.DUMMYFUNCTION("QUERY('Volunteer Survey'!K401)"),"Clinical Actionability")</f>
        <v>Clinical Actionability</v>
      </c>
      <c r="S392" s="62" t="str">
        <f>IFERROR(__xludf.DUMMYFUNCTION("QUERY('Volunteer Survey'!L401)"),"")</f>
        <v/>
      </c>
      <c r="T392" s="62" t="str">
        <f>IFERROR(__xludf.DUMMYFUNCTION("QUERY('Volunteer Survey'!M401)"),"")</f>
        <v/>
      </c>
      <c r="U392" s="74" t="str">
        <f>IFERROR(__xludf.DUMMYFUNCTION("QUERY('Volunteer Survey'!N401)"),"No, I don't.")</f>
        <v>No, I don't.</v>
      </c>
      <c r="V392" s="62" t="str">
        <f>IFERROR(__xludf.DUMMYFUNCTION("QUERY('Volunteer Survey'!O401)"),"Possibly")</f>
        <v>Possibly</v>
      </c>
      <c r="W392" s="75" t="str">
        <f>IFERROR(__xludf.DUMMYFUNCTION("QUERY('Volunteer Survey'!P401)"),"Yes, I am interested in Familial Hypercholesterolemia and FBN1 panels.")</f>
        <v>Yes, I am interested in Familial Hypercholesterolemia and FBN1 panels.</v>
      </c>
      <c r="X392" s="74" t="str">
        <f>IFERROR(__xludf.DUMMYFUNCTION("QUERY('Volunteer Survey'!R401)"),"Maybe -- please contact me with other options, and I will decide based on what is available")</f>
        <v>Maybe -- please contact me with other options, and I will decide based on what is available</v>
      </c>
      <c r="Y392" s="61"/>
      <c r="Z392" s="62"/>
      <c r="AA392" s="62"/>
      <c r="AB392" s="62"/>
      <c r="AC392" s="62"/>
      <c r="AD392" s="62"/>
      <c r="AE392" s="62"/>
      <c r="AF392" s="62"/>
      <c r="AG392" s="62"/>
      <c r="AH392" s="62"/>
      <c r="AI392" s="62"/>
      <c r="AJ392" s="62"/>
      <c r="AK392" s="62"/>
      <c r="AL392" s="62"/>
      <c r="AM392" s="62"/>
      <c r="AN392" s="62"/>
      <c r="AO392" s="62"/>
    </row>
    <row r="393">
      <c r="A393" s="59">
        <f>IFERROR(__xludf.DUMMYFUNCTION("QUERY('Volunteer Survey'!A402)"),43861.46703011574)</f>
        <v>43861.46703</v>
      </c>
      <c r="B393" s="60" t="s">
        <v>340</v>
      </c>
      <c r="C393" s="61"/>
      <c r="D393" s="62"/>
      <c r="E393" s="62"/>
      <c r="F393" s="60" t="s">
        <v>182</v>
      </c>
      <c r="G393" s="60" t="s">
        <v>301</v>
      </c>
      <c r="H393" s="61"/>
      <c r="I393" s="61"/>
      <c r="J393" s="62"/>
      <c r="K393" s="62"/>
      <c r="L393" s="62" t="str">
        <f>IFERROR(__xludf.DUMMYFUNCTION("QUERY('Volunteer Survey'!B402)"),"Sarada Gandhi Kolli")</f>
        <v>Sarada Gandhi Kolli</v>
      </c>
      <c r="M393" s="62" t="str">
        <f>IFERROR(__xludf.DUMMYFUNCTION("QUERY('Volunteer Survey'!E402)"),"saradagandhikolli@mater.ie")</f>
        <v>saradagandhikolli@mater.ie</v>
      </c>
      <c r="N393" s="62" t="str">
        <f>IFERROR(__xludf.DUMMYFUNCTION("QUERY('Volunteer Survey'!F402)"),"Variant Analyst/Scientist - Academic")</f>
        <v>Variant Analyst/Scientist - Academic</v>
      </c>
      <c r="O393" s="60" t="str">
        <f>IFERROR(__xludf.DUMMYFUNCTION("QUERY('Volunteer Survey'!H402)"),"Comprehensive")</f>
        <v>Comprehensive</v>
      </c>
      <c r="P393" s="62" t="str">
        <f>IFERROR(__xludf.DUMMYFUNCTION("QUERY('Volunteer Survey'!I402)"),"Variant Pathogenicity")</f>
        <v>Variant Pathogenicity</v>
      </c>
      <c r="Q393" s="66" t="str">
        <f>IFERROR(__xludf.DUMMYFUNCTION("QUERY('Volunteer Survey'!J402)"),"Gene-Disease Validity")</f>
        <v>Gene-Disease Validity</v>
      </c>
      <c r="R393" s="62" t="str">
        <f>IFERROR(__xludf.DUMMYFUNCTION("QUERY('Volunteer Survey'!K402)"),"")</f>
        <v/>
      </c>
      <c r="S393" s="62" t="str">
        <f>IFERROR(__xludf.DUMMYFUNCTION("QUERY('Volunteer Survey'!L402)"),"")</f>
        <v/>
      </c>
      <c r="T393" s="62" t="str">
        <f>IFERROR(__xludf.DUMMYFUNCTION("QUERY('Volunteer Survey'!M402)"),"")</f>
        <v/>
      </c>
      <c r="U393" s="74" t="str">
        <f>IFERROR(__xludf.DUMMYFUNCTION("QUERY('Volunteer Survey'!N402)"),"Our lab is currently working on classification of pathogenic variants. We are focusing on cardiac variants for now but plan on expanding the departments in the future.")</f>
        <v>Our lab is currently working on classification of pathogenic variants. We are focusing on cardiac variants for now but plan on expanding the departments in the future.</v>
      </c>
      <c r="V393" s="62" t="str">
        <f>IFERROR(__xludf.DUMMYFUNCTION("QUERY('Volunteer Survey'!O402)"),"No")</f>
        <v>No</v>
      </c>
      <c r="W393" s="75" t="str">
        <f>IFERROR(__xludf.DUMMYFUNCTION("QUERY('Volunteer Survey'!P402)"),"")</f>
        <v/>
      </c>
      <c r="X393" s="74" t="str">
        <f>IFERROR(__xludf.DUMMYFUNCTION("QUERY('Volunteer Survey'!R402)"),"No - I am only interested in the group(s) I previously indicated")</f>
        <v>No - I am only interested in the group(s) I previously indicated</v>
      </c>
      <c r="Y393" s="61"/>
      <c r="Z393" s="62"/>
      <c r="AA393" s="62"/>
      <c r="AB393" s="62"/>
      <c r="AC393" s="62"/>
      <c r="AD393" s="62"/>
      <c r="AE393" s="62"/>
      <c r="AF393" s="62"/>
      <c r="AG393" s="62"/>
      <c r="AH393" s="62"/>
      <c r="AI393" s="62"/>
      <c r="AJ393" s="62"/>
      <c r="AK393" s="62"/>
      <c r="AL393" s="62"/>
      <c r="AM393" s="62"/>
      <c r="AN393" s="62"/>
      <c r="AO393" s="62"/>
    </row>
    <row r="394">
      <c r="A394" s="59">
        <f>IFERROR(__xludf.DUMMYFUNCTION("QUERY('Volunteer Survey'!A403)"),43861.726854016204)</f>
        <v>43861.72685</v>
      </c>
      <c r="B394" s="60" t="s">
        <v>340</v>
      </c>
      <c r="C394" s="61"/>
      <c r="D394" s="62"/>
      <c r="E394" s="62"/>
      <c r="F394" s="60" t="s">
        <v>182</v>
      </c>
      <c r="G394" s="60" t="s">
        <v>301</v>
      </c>
      <c r="H394" s="61"/>
      <c r="I394" s="61"/>
      <c r="J394" s="62"/>
      <c r="K394" s="62"/>
      <c r="L394" s="62" t="str">
        <f>IFERROR(__xludf.DUMMYFUNCTION("QUERY('Volunteer Survey'!B403)"),"Eah Keomanee")</f>
        <v>Eah Keomanee</v>
      </c>
      <c r="M394" s="62" t="str">
        <f>IFERROR(__xludf.DUMMYFUNCTION("QUERY('Volunteer Survey'!E403)"),"ekeomanee19@students.kgi.edu")</f>
        <v>ekeomanee19@students.kgi.edu</v>
      </c>
      <c r="N394" s="62" t="str">
        <f>IFERROR(__xludf.DUMMYFUNCTION("QUERY('Volunteer Survey'!F403)"),"Graduate Student")</f>
        <v>Graduate Student</v>
      </c>
      <c r="O394" s="60" t="str">
        <f>IFERROR(__xludf.DUMMYFUNCTION("QUERY('Volunteer Survey'!H403)"),"Comprehensive")</f>
        <v>Comprehensive</v>
      </c>
      <c r="P394" s="62" t="str">
        <f>IFERROR(__xludf.DUMMYFUNCTION("QUERY('Volunteer Survey'!I403)"),"Gene-Disease Validity")</f>
        <v>Gene-Disease Validity</v>
      </c>
      <c r="Q394" s="66" t="str">
        <f>IFERROR(__xludf.DUMMYFUNCTION("QUERY('Volunteer Survey'!J403)"),"Variant Pathogenicity")</f>
        <v>Variant Pathogenicity</v>
      </c>
      <c r="R394" s="62" t="str">
        <f>IFERROR(__xludf.DUMMYFUNCTION("QUERY('Volunteer Survey'!K403)"),"Somatic Cancer")</f>
        <v>Somatic Cancer</v>
      </c>
      <c r="S394" s="62" t="str">
        <f>IFERROR(__xludf.DUMMYFUNCTION("QUERY('Volunteer Survey'!L403)"),"Dosage Sensitivity")</f>
        <v>Dosage Sensitivity</v>
      </c>
      <c r="T394" s="62" t="str">
        <f>IFERROR(__xludf.DUMMYFUNCTION("QUERY('Volunteer Survey'!M403)"),"Clinical Actionability")</f>
        <v>Clinical Actionability</v>
      </c>
      <c r="U394" s="74" t="str">
        <f>IFERROR(__xludf.DUMMYFUNCTION("QUERY('Volunteer Survey'!N403)"),"")</f>
        <v/>
      </c>
      <c r="V394" s="62" t="str">
        <f>IFERROR(__xludf.DUMMYFUNCTION("QUERY('Volunteer Survey'!O403)"),"Yes")</f>
        <v>Yes</v>
      </c>
      <c r="W394" s="75" t="str">
        <f>IFERROR(__xludf.DUMMYFUNCTION("QUERY('Volunteer Survey'!P403)"),"")</f>
        <v/>
      </c>
      <c r="X394" s="74" t="str">
        <f>IFERROR(__xludf.DUMMYFUNCTION("QUERY('Volunteer Survey'!R403)"),"Yes- I am willing to volunteer with any available ClinGen group")</f>
        <v>Yes- I am willing to volunteer with any available ClinGen group</v>
      </c>
      <c r="Y394" s="61"/>
      <c r="Z394" s="62"/>
      <c r="AA394" s="62"/>
      <c r="AB394" s="62"/>
      <c r="AC394" s="62"/>
      <c r="AD394" s="62"/>
      <c r="AE394" s="62"/>
      <c r="AF394" s="62"/>
      <c r="AG394" s="62"/>
      <c r="AH394" s="62"/>
      <c r="AI394" s="62"/>
      <c r="AJ394" s="62"/>
      <c r="AK394" s="62"/>
      <c r="AL394" s="62"/>
      <c r="AM394" s="62"/>
      <c r="AN394" s="62"/>
      <c r="AO394" s="62"/>
    </row>
    <row r="395">
      <c r="A395" s="59">
        <f>IFERROR(__xludf.DUMMYFUNCTION("QUERY('Volunteer Survey'!A404)"),43864.262984016204)</f>
        <v>43864.26298</v>
      </c>
      <c r="B395" s="60" t="s">
        <v>340</v>
      </c>
      <c r="C395" s="61"/>
      <c r="D395" s="62"/>
      <c r="E395" s="62"/>
      <c r="F395" s="60" t="s">
        <v>182</v>
      </c>
      <c r="G395" s="60" t="s">
        <v>301</v>
      </c>
      <c r="H395" s="61"/>
      <c r="I395" s="61"/>
      <c r="J395" s="62"/>
      <c r="K395" s="62"/>
      <c r="L395" s="62" t="str">
        <f>IFERROR(__xludf.DUMMYFUNCTION("QUERY('Volunteer Survey'!B404)"),"Tiago Fernando Chaves")</f>
        <v>Tiago Fernando Chaves</v>
      </c>
      <c r="M395" s="62" t="str">
        <f>IFERROR(__xludf.DUMMYFUNCTION("QUERY('Volunteer Survey'!E404)"),"tiagochavo@msn.com")</f>
        <v>tiagochavo@msn.com</v>
      </c>
      <c r="N395" s="62" t="str">
        <f>IFERROR(__xludf.DUMMYFUNCTION("QUERY('Volunteer Survey'!F404)"),"Scientific Researcher")</f>
        <v>Scientific Researcher</v>
      </c>
      <c r="O395" s="60" t="str">
        <f>IFERROR(__xludf.DUMMYFUNCTION("QUERY('Volunteer Survey'!H404)"),"Baseline")</f>
        <v>Baseline</v>
      </c>
      <c r="P395" s="62" t="str">
        <f>IFERROR(__xludf.DUMMYFUNCTION("QUERY('Volunteer Survey'!I404)"),"Variant Pathogenicity")</f>
        <v>Variant Pathogenicity</v>
      </c>
      <c r="Q395" s="66" t="str">
        <f>IFERROR(__xludf.DUMMYFUNCTION("QUERY('Volunteer Survey'!J404)"),"Dosage Sensitivity")</f>
        <v>Dosage Sensitivity</v>
      </c>
      <c r="R395" s="62" t="str">
        <f>IFERROR(__xludf.DUMMYFUNCTION("QUERY('Volunteer Survey'!K404)"),"Gene-Disease Validity")</f>
        <v>Gene-Disease Validity</v>
      </c>
      <c r="S395" s="62" t="str">
        <f>IFERROR(__xludf.DUMMYFUNCTION("QUERY('Volunteer Survey'!L404)"),"")</f>
        <v/>
      </c>
      <c r="T395" s="62" t="str">
        <f>IFERROR(__xludf.DUMMYFUNCTION("QUERY('Volunteer Survey'!M404)"),"")</f>
        <v/>
      </c>
      <c r="U395" s="74" t="str">
        <f>IFERROR(__xludf.DUMMYFUNCTION("QUERY('Volunteer Survey'!N404)"),"No curatorial experience")</f>
        <v>No curatorial experience</v>
      </c>
      <c r="V395" s="62" t="str">
        <f>IFERROR(__xludf.DUMMYFUNCTION("QUERY('Volunteer Survey'!O404)"),"Yes")</f>
        <v>Yes</v>
      </c>
      <c r="W395" s="75" t="str">
        <f>IFERROR(__xludf.DUMMYFUNCTION("QUERY('Volunteer Survey'!P404)"),"Dosage-Recurrent Regions and Dosage- Neurodevelopmental")</f>
        <v>Dosage-Recurrent Regions and Dosage- Neurodevelopmental</v>
      </c>
      <c r="X395" s="74" t="str">
        <f>IFERROR(__xludf.DUMMYFUNCTION("QUERY('Volunteer Survey'!R404)"),"Yes- I am willing to volunteer with any available ClinGen group")</f>
        <v>Yes- I am willing to volunteer with any available ClinGen group</v>
      </c>
      <c r="Y395" s="61"/>
      <c r="Z395" s="62"/>
      <c r="AA395" s="62"/>
      <c r="AB395" s="62"/>
      <c r="AC395" s="62"/>
      <c r="AD395" s="62"/>
      <c r="AE395" s="62"/>
      <c r="AF395" s="62"/>
      <c r="AG395" s="62"/>
      <c r="AH395" s="62"/>
      <c r="AI395" s="62"/>
      <c r="AJ395" s="62"/>
      <c r="AK395" s="62"/>
      <c r="AL395" s="62"/>
      <c r="AM395" s="62"/>
      <c r="AN395" s="62"/>
      <c r="AO395" s="62"/>
    </row>
    <row r="396">
      <c r="A396" s="59">
        <f>IFERROR(__xludf.DUMMYFUNCTION("QUERY('Volunteer Survey'!A405)"),43865.95675535879)</f>
        <v>43865.95676</v>
      </c>
      <c r="B396" s="60" t="s">
        <v>340</v>
      </c>
      <c r="C396" s="61"/>
      <c r="D396" s="62"/>
      <c r="E396" s="62"/>
      <c r="F396" s="60" t="s">
        <v>182</v>
      </c>
      <c r="G396" s="60" t="s">
        <v>301</v>
      </c>
      <c r="H396" s="61"/>
      <c r="I396" s="61"/>
      <c r="J396" s="62"/>
      <c r="K396" s="62"/>
      <c r="L396" s="62" t="str">
        <f>IFERROR(__xludf.DUMMYFUNCTION("QUERY('Volunteer Survey'!B405)"),"Sara Pajouhanfar")</f>
        <v>Sara Pajouhanfar</v>
      </c>
      <c r="M396" s="62" t="str">
        <f>IFERROR(__xludf.DUMMYFUNCTION("QUERY('Volunteer Survey'!E405)"),"sara.pajouhanfar@gmail.com")</f>
        <v>sara.pajouhanfar@gmail.com</v>
      </c>
      <c r="N396" s="62" t="str">
        <f>IFERROR(__xludf.DUMMYFUNCTION("QUERY('Volunteer Survey'!F405)"),"Resercher")</f>
        <v>Resercher</v>
      </c>
      <c r="O396" s="60" t="str">
        <f>IFERROR(__xludf.DUMMYFUNCTION("QUERY('Volunteer Survey'!H405)"),"Comprehensive")</f>
        <v>Comprehensive</v>
      </c>
      <c r="P396" s="62" t="str">
        <f>IFERROR(__xludf.DUMMYFUNCTION("QUERY('Volunteer Survey'!I405)"),"Clinical Actionability")</f>
        <v>Clinical Actionability</v>
      </c>
      <c r="Q396" s="66" t="str">
        <f>IFERROR(__xludf.DUMMYFUNCTION("QUERY('Volunteer Survey'!J405)"),"Gene-Disease Validity, Variant Pathogenicity, Dosage Sensitivity, Somatic Cancer")</f>
        <v>Gene-Disease Validity, Variant Pathogenicity, Dosage Sensitivity, Somatic Cancer</v>
      </c>
      <c r="R396" s="62" t="str">
        <f>IFERROR(__xludf.DUMMYFUNCTION("QUERY('Volunteer Survey'!K405)"),"")</f>
        <v/>
      </c>
      <c r="S396" s="62" t="str">
        <f>IFERROR(__xludf.DUMMYFUNCTION("QUERY('Volunteer Survey'!L405)"),"")</f>
        <v/>
      </c>
      <c r="T396" s="62" t="str">
        <f>IFERROR(__xludf.DUMMYFUNCTION("QUERY('Volunteer Survey'!M405)"),"")</f>
        <v/>
      </c>
      <c r="U396" s="74" t="str">
        <f>IFERROR(__xludf.DUMMYFUNCTION("QUERY('Volunteer Survey'!N405)"),"")</f>
        <v/>
      </c>
      <c r="V396" s="62" t="str">
        <f>IFERROR(__xludf.DUMMYFUNCTION("QUERY('Volunteer Survey'!O405)"),"Possibly")</f>
        <v>Possibly</v>
      </c>
      <c r="W396" s="75" t="str">
        <f>IFERROR(__xludf.DUMMYFUNCTION("QUERY('Volunteer Survey'!P405)"),"Pediatrics.")</f>
        <v>Pediatrics.</v>
      </c>
      <c r="X396" s="74" t="str">
        <f>IFERROR(__xludf.DUMMYFUNCTION("QUERY('Volunteer Survey'!R405)"),"Yes- I am willing to volunteer with any available ClinGen group")</f>
        <v>Yes- I am willing to volunteer with any available ClinGen group</v>
      </c>
      <c r="Y396" s="61"/>
      <c r="Z396" s="62"/>
      <c r="AA396" s="62"/>
      <c r="AB396" s="62"/>
      <c r="AC396" s="62"/>
      <c r="AD396" s="62"/>
      <c r="AE396" s="62"/>
      <c r="AF396" s="62"/>
      <c r="AG396" s="62"/>
      <c r="AH396" s="62"/>
      <c r="AI396" s="62"/>
      <c r="AJ396" s="62"/>
      <c r="AK396" s="62"/>
      <c r="AL396" s="62"/>
      <c r="AM396" s="62"/>
      <c r="AN396" s="62"/>
      <c r="AO396" s="62"/>
    </row>
    <row r="397">
      <c r="A397" s="59">
        <f>IFERROR(__xludf.DUMMYFUNCTION("QUERY('Volunteer Survey'!A406)"),43866.44147280093)</f>
        <v>43866.44147</v>
      </c>
      <c r="B397" s="60" t="s">
        <v>340</v>
      </c>
      <c r="C397" s="61"/>
      <c r="D397" s="62"/>
      <c r="E397" s="62"/>
      <c r="F397" s="60" t="s">
        <v>182</v>
      </c>
      <c r="G397" s="60" t="s">
        <v>301</v>
      </c>
      <c r="H397" s="61"/>
      <c r="I397" s="61"/>
      <c r="J397" s="62"/>
      <c r="K397" s="62"/>
      <c r="L397" s="62" t="str">
        <f>IFERROR(__xludf.DUMMYFUNCTION("QUERY('Volunteer Survey'!B406)"),"Adele fairclough")</f>
        <v>Adele fairclough</v>
      </c>
      <c r="M397" s="62" t="str">
        <f>IFERROR(__xludf.DUMMYFUNCTION("QUERY('Volunteer Survey'!E406)"),"Adele.fairclough@mft.nhs.uk")</f>
        <v>Adele.fairclough@mft.nhs.uk</v>
      </c>
      <c r="N397" s="62" t="str">
        <f>IFERROR(__xludf.DUMMYFUNCTION("QUERY('Volunteer Survey'!F406)"),"Clinical laboratory geneticist")</f>
        <v>Clinical laboratory geneticist</v>
      </c>
      <c r="O397" s="60" t="str">
        <f>IFERROR(__xludf.DUMMYFUNCTION("QUERY('Volunteer Survey'!H406)"),"Comprehensive")</f>
        <v>Comprehensive</v>
      </c>
      <c r="P397" s="62" t="str">
        <f>IFERROR(__xludf.DUMMYFUNCTION("QUERY('Volunteer Survey'!I406)"),"Dosage Sensitivity")</f>
        <v>Dosage Sensitivity</v>
      </c>
      <c r="Q397" s="66" t="str">
        <f>IFERROR(__xludf.DUMMYFUNCTION("QUERY('Volunteer Survey'!J406)"),"")</f>
        <v/>
      </c>
      <c r="R397" s="62" t="str">
        <f>IFERROR(__xludf.DUMMYFUNCTION("QUERY('Volunteer Survey'!K406)"),"")</f>
        <v/>
      </c>
      <c r="S397" s="62" t="str">
        <f>IFERROR(__xludf.DUMMYFUNCTION("QUERY('Volunteer Survey'!L406)"),"")</f>
        <v/>
      </c>
      <c r="T397" s="62" t="str">
        <f>IFERROR(__xludf.DUMMYFUNCTION("QUERY('Volunteer Survey'!M406)"),"")</f>
        <v/>
      </c>
      <c r="U397" s="74" t="str">
        <f>IFERROR(__xludf.DUMMYFUNCTION("QUERY('Volunteer Survey'!N406)"),"20 years in cytogenetics - with 8 years working on microarray CNV interpretation and 3 years SNV interpretation and reporting experience ")</f>
        <v>20 years in cytogenetics - with 8 years working on microarray CNV interpretation and 3 years SNV interpretation and reporting experience </v>
      </c>
      <c r="V397" s="62" t="str">
        <f>IFERROR(__xludf.DUMMYFUNCTION("QUERY('Volunteer Survey'!O406)"),"Possibly")</f>
        <v>Possibly</v>
      </c>
      <c r="W397" s="75" t="str">
        <f>IFERROR(__xludf.DUMMYFUNCTION("QUERY('Volunteer Survey'!P406)"),"dosage")</f>
        <v>dosage</v>
      </c>
      <c r="X397" s="74" t="str">
        <f>IFERROR(__xludf.DUMMYFUNCTION("QUERY('Volunteer Survey'!R406)"),"Maybe -- please contact me with other options, and I will decide based on what is available")</f>
        <v>Maybe -- please contact me with other options, and I will decide based on what is available</v>
      </c>
      <c r="Y397" s="61"/>
      <c r="Z397" s="62"/>
      <c r="AA397" s="62"/>
      <c r="AB397" s="62"/>
      <c r="AC397" s="62"/>
      <c r="AD397" s="62"/>
      <c r="AE397" s="62"/>
      <c r="AF397" s="62"/>
      <c r="AG397" s="62"/>
      <c r="AH397" s="62"/>
      <c r="AI397" s="62"/>
      <c r="AJ397" s="62"/>
      <c r="AK397" s="62"/>
      <c r="AL397" s="62"/>
      <c r="AM397" s="62"/>
      <c r="AN397" s="62"/>
      <c r="AO397" s="62"/>
    </row>
    <row r="398">
      <c r="A398" s="59">
        <f>IFERROR(__xludf.DUMMYFUNCTION("QUERY('Volunteer Survey'!A407)"),43866.64748186342)</f>
        <v>43866.64748</v>
      </c>
      <c r="B398" s="60" t="s">
        <v>340</v>
      </c>
      <c r="C398" s="61"/>
      <c r="D398" s="62"/>
      <c r="E398" s="62"/>
      <c r="F398" s="60" t="s">
        <v>182</v>
      </c>
      <c r="G398" s="60" t="s">
        <v>301</v>
      </c>
      <c r="H398" s="61"/>
      <c r="I398" s="61"/>
      <c r="J398" s="62"/>
      <c r="K398" s="62"/>
      <c r="L398" s="62" t="str">
        <f>IFERROR(__xludf.DUMMYFUNCTION("QUERY('Volunteer Survey'!B407)"),"Michelle Mah")</f>
        <v>Michelle Mah</v>
      </c>
      <c r="M398" s="62" t="str">
        <f>IFERROR(__xludf.DUMMYFUNCTION("QUERY('Volunteer Survey'!E407)"),"michelle.j.mah@gmail.com")</f>
        <v>michelle.j.mah@gmail.com</v>
      </c>
      <c r="N398" s="62" t="str">
        <f>IFERROR(__xludf.DUMMYFUNCTION("QUERY('Volunteer Survey'!F407)"),"Genetics Technologist")</f>
        <v>Genetics Technologist</v>
      </c>
      <c r="O398" s="60" t="str">
        <f>IFERROR(__xludf.DUMMYFUNCTION("QUERY('Volunteer Survey'!H407)"),"Baseline")</f>
        <v>Baseline</v>
      </c>
      <c r="P398" s="62" t="str">
        <f>IFERROR(__xludf.DUMMYFUNCTION("QUERY('Volunteer Survey'!I407)"),"Variant Pathogenicity")</f>
        <v>Variant Pathogenicity</v>
      </c>
      <c r="Q398" s="66" t="str">
        <f>IFERROR(__xludf.DUMMYFUNCTION("QUERY('Volunteer Survey'!J407)"),"Clinical Actionability")</f>
        <v>Clinical Actionability</v>
      </c>
      <c r="R398" s="62" t="str">
        <f>IFERROR(__xludf.DUMMYFUNCTION("QUERY('Volunteer Survey'!K407)"),"Gene-Disease Validity")</f>
        <v>Gene-Disease Validity</v>
      </c>
      <c r="S398" s="62" t="str">
        <f>IFERROR(__xludf.DUMMYFUNCTION("QUERY('Volunteer Survey'!L407)"),"")</f>
        <v/>
      </c>
      <c r="T398" s="62" t="str">
        <f>IFERROR(__xludf.DUMMYFUNCTION("QUERY('Volunteer Survey'!M407)"),"")</f>
        <v/>
      </c>
      <c r="U398" s="74" t="str">
        <f>IFERROR(__xludf.DUMMYFUNCTION("QUERY('Volunteer Survey'!N407)"),"")</f>
        <v/>
      </c>
      <c r="V398" s="62" t="str">
        <f>IFERROR(__xludf.DUMMYFUNCTION("QUERY('Volunteer Survey'!O407)"),"Possibly")</f>
        <v>Possibly</v>
      </c>
      <c r="W398" s="75" t="str">
        <f>IFERROR(__xludf.DUMMYFUNCTION("QUERY('Volunteer Survey'!P407)"),"")</f>
        <v/>
      </c>
      <c r="X398" s="74" t="str">
        <f>IFERROR(__xludf.DUMMYFUNCTION("QUERY('Volunteer Survey'!R407)"),"Yes- I am willing to volunteer with any available ClinGen group")</f>
        <v>Yes- I am willing to volunteer with any available ClinGen group</v>
      </c>
      <c r="Y398" s="61"/>
      <c r="Z398" s="62"/>
      <c r="AA398" s="62"/>
      <c r="AB398" s="62"/>
      <c r="AC398" s="62"/>
      <c r="AD398" s="62"/>
      <c r="AE398" s="62"/>
      <c r="AF398" s="62"/>
      <c r="AG398" s="62"/>
      <c r="AH398" s="62"/>
      <c r="AI398" s="62"/>
      <c r="AJ398" s="62"/>
      <c r="AK398" s="62"/>
      <c r="AL398" s="62"/>
      <c r="AM398" s="62"/>
      <c r="AN398" s="62"/>
      <c r="AO398" s="62"/>
    </row>
    <row r="399">
      <c r="A399" s="59">
        <f>IFERROR(__xludf.DUMMYFUNCTION("QUERY('Volunteer Survey'!A408)"),43867.47342606482)</f>
        <v>43867.47343</v>
      </c>
      <c r="B399" s="60" t="s">
        <v>340</v>
      </c>
      <c r="C399" s="61"/>
      <c r="D399" s="62"/>
      <c r="E399" s="62"/>
      <c r="F399" s="60" t="s">
        <v>182</v>
      </c>
      <c r="G399" s="60" t="s">
        <v>301</v>
      </c>
      <c r="H399" s="61"/>
      <c r="I399" s="61"/>
      <c r="J399" s="62"/>
      <c r="K399" s="62"/>
      <c r="L399" s="62" t="str">
        <f>IFERROR(__xludf.DUMMYFUNCTION("QUERY('Volunteer Survey'!B408)"),"Eric Bend")</f>
        <v>Eric Bend</v>
      </c>
      <c r="M399" s="62" t="str">
        <f>IFERROR(__xludf.DUMMYFUNCTION("QUERY('Volunteer Survey'!E408)"),"eric.bend@preventiongenetics.com")</f>
        <v>eric.bend@preventiongenetics.com</v>
      </c>
      <c r="N399" s="62" t="str">
        <f>IFERROR(__xludf.DUMMYFUNCTION("QUERY('Volunteer Survey'!F408)"),"Clinical laboratory geneticist")</f>
        <v>Clinical laboratory geneticist</v>
      </c>
      <c r="O399" s="60" t="str">
        <f>IFERROR(__xludf.DUMMYFUNCTION("QUERY('Volunteer Survey'!H408)"),"Comprehensive")</f>
        <v>Comprehensive</v>
      </c>
      <c r="P399" s="62" t="str">
        <f>IFERROR(__xludf.DUMMYFUNCTION("QUERY('Volunteer Survey'!I408)"),"Gene-Disease Validity")</f>
        <v>Gene-Disease Validity</v>
      </c>
      <c r="Q399" s="66" t="str">
        <f>IFERROR(__xludf.DUMMYFUNCTION("QUERY('Volunteer Survey'!J408)"),"Variant Pathogenicity")</f>
        <v>Variant Pathogenicity</v>
      </c>
      <c r="R399" s="62" t="str">
        <f>IFERROR(__xludf.DUMMYFUNCTION("QUERY('Volunteer Survey'!K408)"),"Clinical Actionability")</f>
        <v>Clinical Actionability</v>
      </c>
      <c r="S399" s="62" t="str">
        <f>IFERROR(__xludf.DUMMYFUNCTION("QUERY('Volunteer Survey'!L408)"),"Dosage Sensitivity")</f>
        <v>Dosage Sensitivity</v>
      </c>
      <c r="T399" s="62" t="str">
        <f>IFERROR(__xludf.DUMMYFUNCTION("QUERY('Volunteer Survey'!M408)"),"")</f>
        <v/>
      </c>
      <c r="U399" s="74" t="str">
        <f>IFERROR(__xludf.DUMMYFUNCTION("QUERY('Volunteer Survey'!N408)"),"I serve as a Clinical Laboratory Director in a diagnostic genetics lab. I routinely interpret variants and evaluate genes for inclusion/exclusion on NGS panels. ")</f>
        <v>I serve as a Clinical Laboratory Director in a diagnostic genetics lab. I routinely interpret variants and evaluate genes for inclusion/exclusion on NGS panels. </v>
      </c>
      <c r="V399" s="62" t="str">
        <f>IFERROR(__xludf.DUMMYFUNCTION("QUERY('Volunteer Survey'!O408)"),"Possibly")</f>
        <v>Possibly</v>
      </c>
      <c r="W399" s="75" t="str">
        <f>IFERROR(__xludf.DUMMYFUNCTION("QUERY('Volunteer Survey'!P408)"),"Intellectual Disability and Autism")</f>
        <v>Intellectual Disability and Autism</v>
      </c>
      <c r="X399" s="74" t="str">
        <f>IFERROR(__xludf.DUMMYFUNCTION("QUERY('Volunteer Survey'!R408)"),"Maybe -- please contact me with other options, and I will decide based on what is available")</f>
        <v>Maybe -- please contact me with other options, and I will decide based on what is available</v>
      </c>
      <c r="Y399" s="61"/>
      <c r="Z399" s="62"/>
      <c r="AA399" s="62"/>
      <c r="AB399" s="62"/>
      <c r="AC399" s="62"/>
      <c r="AD399" s="62"/>
      <c r="AE399" s="62"/>
      <c r="AF399" s="62"/>
      <c r="AG399" s="62"/>
      <c r="AH399" s="62"/>
      <c r="AI399" s="62"/>
      <c r="AJ399" s="62"/>
      <c r="AK399" s="62"/>
      <c r="AL399" s="62"/>
      <c r="AM399" s="62"/>
      <c r="AN399" s="62"/>
      <c r="AO399" s="62"/>
    </row>
    <row r="400">
      <c r="A400" s="59">
        <f>IFERROR(__xludf.DUMMYFUNCTION("QUERY('Volunteer Survey'!A409)"),43872.95169854166)</f>
        <v>43872.9517</v>
      </c>
      <c r="B400" s="60" t="s">
        <v>340</v>
      </c>
      <c r="C400" s="61"/>
      <c r="D400" s="62"/>
      <c r="E400" s="62"/>
      <c r="F400" s="60" t="s">
        <v>182</v>
      </c>
      <c r="G400" s="60" t="s">
        <v>301</v>
      </c>
      <c r="H400" s="61"/>
      <c r="I400" s="61"/>
      <c r="J400" s="62"/>
      <c r="K400" s="62"/>
      <c r="L400" s="62" t="str">
        <f>IFERROR(__xludf.DUMMYFUNCTION("QUERY('Volunteer Survey'!B409)"),"Reza Semiromi Davoodi")</f>
        <v>Reza Semiromi Davoodi</v>
      </c>
      <c r="M400" s="62" t="str">
        <f>IFERROR(__xludf.DUMMYFUNCTION("QUERY('Volunteer Survey'!E409)"),"davoodi_semiromi@yahoo.com")</f>
        <v>davoodi_semiromi@yahoo.com</v>
      </c>
      <c r="N400" s="62" t="str">
        <f>IFERROR(__xludf.DUMMYFUNCTION("QUERY('Volunteer Survey'!F409)"),"Clinical laboratory geneticist")</f>
        <v>Clinical laboratory geneticist</v>
      </c>
      <c r="O400" s="60" t="str">
        <f>IFERROR(__xludf.DUMMYFUNCTION("QUERY('Volunteer Survey'!H409)"),"Comprehensive")</f>
        <v>Comprehensive</v>
      </c>
      <c r="P400" s="62" t="str">
        <f>IFERROR(__xludf.DUMMYFUNCTION("QUERY('Volunteer Survey'!I409)"),"Variant Pathogenicity")</f>
        <v>Variant Pathogenicity</v>
      </c>
      <c r="Q400" s="66" t="str">
        <f>IFERROR(__xludf.DUMMYFUNCTION("QUERY('Volunteer Survey'!J409)"),"Somatic Cancer")</f>
        <v>Somatic Cancer</v>
      </c>
      <c r="R400" s="62" t="str">
        <f>IFERROR(__xludf.DUMMYFUNCTION("QUERY('Volunteer Survey'!K409)"),"Clinical Actionability")</f>
        <v>Clinical Actionability</v>
      </c>
      <c r="S400" s="62" t="str">
        <f>IFERROR(__xludf.DUMMYFUNCTION("QUERY('Volunteer Survey'!L409)"),"Dosage Sensitivity")</f>
        <v>Dosage Sensitivity</v>
      </c>
      <c r="T400" s="62" t="str">
        <f>IFERROR(__xludf.DUMMYFUNCTION("QUERY('Volunteer Survey'!M409)"),"Gene-Disease Validity")</f>
        <v>Gene-Disease Validity</v>
      </c>
      <c r="U400" s="74" t="str">
        <f>IFERROR(__xludf.DUMMYFUNCTION("QUERY('Volunteer Survey'!N409)"),"I have several years of experience in direct DNA/RNA sequencing and have more than 50 hits in the GenBank and published 24 peer-reviewed papers.")</f>
        <v>I have several years of experience in direct DNA/RNA sequencing and have more than 50 hits in the GenBank and published 24 peer-reviewed papers.</v>
      </c>
      <c r="V400" s="62" t="str">
        <f>IFERROR(__xludf.DUMMYFUNCTION("QUERY('Volunteer Survey'!O409)"),"Possibly")</f>
        <v>Possibly</v>
      </c>
      <c r="W400" s="75" t="str">
        <f>IFERROR(__xludf.DUMMYFUNCTION("QUERY('Volunteer Survey'!P409)"),"Yes")</f>
        <v>Yes</v>
      </c>
      <c r="X400" s="74" t="str">
        <f>IFERROR(__xludf.DUMMYFUNCTION("QUERY('Volunteer Survey'!R409)"),"Maybe -- please contact me with other options, and I will decide based on what is available")</f>
        <v>Maybe -- please contact me with other options, and I will decide based on what is available</v>
      </c>
      <c r="Y400" s="61"/>
      <c r="Z400" s="62"/>
      <c r="AA400" s="62"/>
      <c r="AB400" s="62"/>
      <c r="AC400" s="62"/>
      <c r="AD400" s="62"/>
      <c r="AE400" s="62"/>
      <c r="AF400" s="62"/>
      <c r="AG400" s="62"/>
      <c r="AH400" s="62"/>
      <c r="AI400" s="62"/>
      <c r="AJ400" s="62"/>
      <c r="AK400" s="62"/>
      <c r="AL400" s="62"/>
      <c r="AM400" s="62"/>
      <c r="AN400" s="62"/>
      <c r="AO400" s="62"/>
    </row>
    <row r="401">
      <c r="A401" s="62" t="str">
        <f>IFERROR(__xludf.DUMMYFUNCTION("QUERY('Volunteer Survey'!A410)"),"")</f>
        <v/>
      </c>
      <c r="B401" s="60" t="s">
        <v>340</v>
      </c>
      <c r="C401" s="61"/>
      <c r="D401" s="62"/>
      <c r="E401" s="62"/>
      <c r="F401" s="62" t="b">
        <v>0</v>
      </c>
      <c r="G401" s="62"/>
      <c r="H401" s="61"/>
      <c r="I401" s="61"/>
      <c r="J401" s="62"/>
      <c r="K401" s="62"/>
      <c r="L401" s="62" t="str">
        <f>IFERROR(__xludf.DUMMYFUNCTION("QUERY('Volunteer Survey'!B410)"),"")</f>
        <v/>
      </c>
      <c r="M401" s="62" t="str">
        <f>IFERROR(__xludf.DUMMYFUNCTION("QUERY('Volunteer Survey'!E800)"),"")</f>
        <v/>
      </c>
      <c r="N401" s="62" t="str">
        <f>IFERROR(__xludf.DUMMYFUNCTION("QUERY('Volunteer Survey'!F800)"),"")</f>
        <v/>
      </c>
      <c r="O401" s="60" t="str">
        <f>IFERROR(__xludf.DUMMYFUNCTION("QUERY('Volunteer Survey'!H800)"),"")</f>
        <v/>
      </c>
      <c r="P401" s="62" t="str">
        <f>IFERROR(__xludf.DUMMYFUNCTION("QUERY('Volunteer Survey'!I410)"),"")</f>
        <v/>
      </c>
      <c r="Q401" s="66" t="str">
        <f>IFERROR(__xludf.DUMMYFUNCTION("QUERY('Volunteer Survey'!J410)"),"")</f>
        <v/>
      </c>
      <c r="R401" s="62" t="str">
        <f>IFERROR(__xludf.DUMMYFUNCTION("QUERY('Volunteer Survey'!K410)"),"")</f>
        <v/>
      </c>
      <c r="S401" s="62" t="str">
        <f>IFERROR(__xludf.DUMMYFUNCTION("QUERY('Volunteer Survey'!L410)"),"")</f>
        <v/>
      </c>
      <c r="T401" s="62" t="str">
        <f>IFERROR(__xludf.DUMMYFUNCTION("QUERY('Volunteer Survey'!M410)"),"")</f>
        <v/>
      </c>
      <c r="U401" s="74" t="str">
        <f>IFERROR(__xludf.DUMMYFUNCTION("QUERY('Volunteer Survey'!N410)"),"")</f>
        <v/>
      </c>
      <c r="V401" s="62" t="str">
        <f>IFERROR(__xludf.DUMMYFUNCTION("QUERY('Volunteer Survey'!O410)"),"")</f>
        <v/>
      </c>
      <c r="W401" s="75" t="str">
        <f>IFERROR(__xludf.DUMMYFUNCTION("QUERY('Volunteer Survey'!P410)"),"")</f>
        <v/>
      </c>
      <c r="X401" s="74" t="str">
        <f>IFERROR(__xludf.DUMMYFUNCTION("QUERY('Volunteer Survey'!R410)"),"")</f>
        <v/>
      </c>
      <c r="Y401" s="61"/>
      <c r="Z401" s="62"/>
      <c r="AA401" s="62"/>
      <c r="AB401" s="62"/>
      <c r="AC401" s="62"/>
      <c r="AD401" s="62"/>
      <c r="AE401" s="62"/>
      <c r="AF401" s="62"/>
      <c r="AG401" s="62"/>
      <c r="AH401" s="62"/>
      <c r="AI401" s="62"/>
      <c r="AJ401" s="62"/>
      <c r="AK401" s="62"/>
      <c r="AL401" s="62"/>
      <c r="AM401" s="62"/>
      <c r="AN401" s="62"/>
      <c r="AO401" s="62"/>
    </row>
    <row r="402">
      <c r="A402" s="62" t="str">
        <f>IFERROR(__xludf.DUMMYFUNCTION("QUERY('Volunteer Survey'!A411)"),"")</f>
        <v/>
      </c>
      <c r="B402" s="60" t="s">
        <v>340</v>
      </c>
      <c r="C402" s="61"/>
      <c r="D402" s="62"/>
      <c r="E402" s="62"/>
      <c r="F402" s="62" t="b">
        <v>0</v>
      </c>
      <c r="G402" s="62"/>
      <c r="H402" s="61"/>
      <c r="I402" s="61"/>
      <c r="J402" s="62"/>
      <c r="K402" s="62"/>
      <c r="L402" s="62" t="str">
        <f>IFERROR(__xludf.DUMMYFUNCTION("QUERY('Volunteer Survey'!B411)"),"")</f>
        <v/>
      </c>
      <c r="M402" s="62" t="str">
        <f>IFERROR(__xludf.DUMMYFUNCTION("QUERY('Volunteer Survey'!E801)"),"")</f>
        <v/>
      </c>
      <c r="N402" s="62" t="str">
        <f>IFERROR(__xludf.DUMMYFUNCTION("QUERY('Volunteer Survey'!F801)"),"")</f>
        <v/>
      </c>
      <c r="O402" s="60" t="str">
        <f>IFERROR(__xludf.DUMMYFUNCTION("QUERY('Volunteer Survey'!H801)"),"")</f>
        <v/>
      </c>
      <c r="P402" s="62" t="str">
        <f>IFERROR(__xludf.DUMMYFUNCTION("QUERY('Volunteer Survey'!I801)"),"")</f>
        <v/>
      </c>
      <c r="Q402" s="66" t="str">
        <f>IFERROR(__xludf.DUMMYFUNCTION("QUERY('Volunteer Survey'!J411)"),"")</f>
        <v/>
      </c>
      <c r="R402" s="62" t="str">
        <f>IFERROR(__xludf.DUMMYFUNCTION("QUERY('Volunteer Survey'!K801)"),"")</f>
        <v/>
      </c>
      <c r="S402" s="62" t="str">
        <f>IFERROR(__xludf.DUMMYFUNCTION("QUERY('Volunteer Survey'!L801)"),"")</f>
        <v/>
      </c>
      <c r="T402" s="62" t="str">
        <f>IFERROR(__xludf.DUMMYFUNCTION("QUERY('Volunteer Survey'!M411)"),"")</f>
        <v/>
      </c>
      <c r="U402" s="74" t="str">
        <f>IFERROR(__xludf.DUMMYFUNCTION("QUERY('Volunteer Survey'!N413)"),"")</f>
        <v/>
      </c>
      <c r="V402" s="62" t="str">
        <f>IFERROR(__xludf.DUMMYFUNCTION("QUERY('Volunteer Survey'!O411)"),"")</f>
        <v/>
      </c>
      <c r="W402" s="75" t="str">
        <f>IFERROR(__xludf.DUMMYFUNCTION("QUERY('Volunteer Survey'!P411)"),"")</f>
        <v/>
      </c>
      <c r="X402" s="74" t="str">
        <f>IFERROR(__xludf.DUMMYFUNCTION("QUERY('Volunteer Survey'!R411)"),"")</f>
        <v/>
      </c>
      <c r="Y402" s="61"/>
      <c r="Z402" s="62"/>
      <c r="AA402" s="62"/>
      <c r="AB402" s="62"/>
      <c r="AC402" s="62"/>
      <c r="AD402" s="62"/>
      <c r="AE402" s="62"/>
      <c r="AF402" s="62"/>
      <c r="AG402" s="62"/>
      <c r="AH402" s="62"/>
      <c r="AI402" s="62"/>
      <c r="AJ402" s="62"/>
      <c r="AK402" s="62"/>
      <c r="AL402" s="62"/>
      <c r="AM402" s="62"/>
      <c r="AN402" s="62"/>
      <c r="AO402" s="62"/>
    </row>
    <row r="403">
      <c r="A403" s="62" t="str">
        <f>IFERROR(__xludf.DUMMYFUNCTION("QUERY('Volunteer Survey'!A412)"),"")</f>
        <v/>
      </c>
      <c r="B403" s="60" t="s">
        <v>340</v>
      </c>
      <c r="C403" s="61"/>
      <c r="D403" s="62"/>
      <c r="E403" s="62"/>
      <c r="F403" s="62" t="b">
        <v>0</v>
      </c>
      <c r="G403" s="62"/>
      <c r="H403" s="61"/>
      <c r="I403" s="61"/>
      <c r="J403" s="62"/>
      <c r="K403" s="62"/>
      <c r="L403" s="62" t="str">
        <f>IFERROR(__xludf.DUMMYFUNCTION("QUERY('Volunteer Survey'!B412)"),"")</f>
        <v/>
      </c>
      <c r="M403" s="62" t="str">
        <f>IFERROR(__xludf.DUMMYFUNCTION("QUERY('Volunteer Survey'!E802)"),"")</f>
        <v/>
      </c>
      <c r="N403" s="62" t="str">
        <f>IFERROR(__xludf.DUMMYFUNCTION("QUERY('Volunteer Survey'!F802)"),"")</f>
        <v/>
      </c>
      <c r="O403" s="60" t="str">
        <f>IFERROR(__xludf.DUMMYFUNCTION("QUERY('Volunteer Survey'!H802)"),"")</f>
        <v/>
      </c>
      <c r="P403" s="62" t="str">
        <f>IFERROR(__xludf.DUMMYFUNCTION("QUERY('Volunteer Survey'!I802)"),"")</f>
        <v/>
      </c>
      <c r="Q403" s="66" t="str">
        <f>IFERROR(__xludf.DUMMYFUNCTION("QUERY('Volunteer Survey'!J802)"),"")</f>
        <v/>
      </c>
      <c r="R403" s="62" t="str">
        <f>IFERROR(__xludf.DUMMYFUNCTION("QUERY('Volunteer Survey'!K802)"),"")</f>
        <v/>
      </c>
      <c r="S403" s="62" t="str">
        <f>IFERROR(__xludf.DUMMYFUNCTION("QUERY('Volunteer Survey'!L802)"),"")</f>
        <v/>
      </c>
      <c r="T403" s="62" t="str">
        <f>IFERROR(__xludf.DUMMYFUNCTION("QUERY('Volunteer Survey'!M414)"),"")</f>
        <v/>
      </c>
      <c r="U403" s="74" t="str">
        <f>IFERROR(__xludf.DUMMYFUNCTION("QUERY('Volunteer Survey'!N802)"),"")</f>
        <v/>
      </c>
      <c r="V403" s="62" t="str">
        <f>IFERROR(__xludf.DUMMYFUNCTION("QUERY('Volunteer Survey'!O802)"),"")</f>
        <v/>
      </c>
      <c r="W403" s="75" t="str">
        <f>IFERROR(__xludf.DUMMYFUNCTION("QUERY('Volunteer Survey'!P412)"),"")</f>
        <v/>
      </c>
      <c r="X403" s="74" t="str">
        <f>IFERROR(__xludf.DUMMYFUNCTION("QUERY('Volunteer Survey'!R412)"),"")</f>
        <v/>
      </c>
      <c r="Y403" s="61"/>
      <c r="Z403" s="62"/>
      <c r="AA403" s="62"/>
      <c r="AB403" s="62"/>
      <c r="AC403" s="62"/>
      <c r="AD403" s="62"/>
      <c r="AE403" s="62"/>
      <c r="AF403" s="62"/>
      <c r="AG403" s="62"/>
      <c r="AH403" s="62"/>
      <c r="AI403" s="62"/>
      <c r="AJ403" s="62"/>
      <c r="AK403" s="62"/>
      <c r="AL403" s="62"/>
      <c r="AM403" s="62"/>
      <c r="AN403" s="62"/>
      <c r="AO403" s="62"/>
    </row>
    <row r="404">
      <c r="A404" s="62" t="str">
        <f>IFERROR(__xludf.DUMMYFUNCTION("QUERY('Volunteer Survey'!A413)"),"")</f>
        <v/>
      </c>
      <c r="B404" s="60" t="s">
        <v>340</v>
      </c>
      <c r="C404" s="61"/>
      <c r="D404" s="62"/>
      <c r="E404" s="62"/>
      <c r="F404" s="62" t="b">
        <v>0</v>
      </c>
      <c r="G404" s="62"/>
      <c r="H404" s="61"/>
      <c r="I404" s="61"/>
      <c r="J404" s="62"/>
      <c r="K404" s="62"/>
      <c r="L404" s="62" t="str">
        <f>IFERROR(__xludf.DUMMYFUNCTION("QUERY('Volunteer Survey'!B413)"),"")</f>
        <v/>
      </c>
      <c r="M404" s="62" t="str">
        <f>IFERROR(__xludf.DUMMYFUNCTION("QUERY('Volunteer Survey'!E803)"),"")</f>
        <v/>
      </c>
      <c r="N404" s="62" t="str">
        <f>IFERROR(__xludf.DUMMYFUNCTION("QUERY('Volunteer Survey'!F803)"),"")</f>
        <v/>
      </c>
      <c r="O404" s="60" t="str">
        <f>IFERROR(__xludf.DUMMYFUNCTION("QUERY('Volunteer Survey'!H803)"),"")</f>
        <v/>
      </c>
      <c r="P404" s="62" t="str">
        <f>IFERROR(__xludf.DUMMYFUNCTION("QUERY('Volunteer Survey'!I803)"),"")</f>
        <v/>
      </c>
      <c r="Q404" s="66" t="str">
        <f>IFERROR(__xludf.DUMMYFUNCTION("QUERY('Volunteer Survey'!J803)"),"")</f>
        <v/>
      </c>
      <c r="R404" s="62" t="str">
        <f>IFERROR(__xludf.DUMMYFUNCTION("QUERY('Volunteer Survey'!K803)"),"")</f>
        <v/>
      </c>
      <c r="S404" s="62" t="str">
        <f>IFERROR(__xludf.DUMMYFUNCTION("QUERY('Volunteer Survey'!L803)"),"")</f>
        <v/>
      </c>
      <c r="T404" s="62" t="str">
        <f>IFERROR(__xludf.DUMMYFUNCTION("QUERY('Volunteer Survey'!M415)"),"")</f>
        <v/>
      </c>
      <c r="U404" s="74" t="str">
        <f>IFERROR(__xludf.DUMMYFUNCTION("QUERY('Volunteer Survey'!N803)"),"")</f>
        <v/>
      </c>
      <c r="V404" s="62" t="str">
        <f>IFERROR(__xludf.DUMMYFUNCTION("QUERY('Volunteer Survey'!O803)"),"")</f>
        <v/>
      </c>
      <c r="W404" s="75" t="str">
        <f>IFERROR(__xludf.DUMMYFUNCTION("QUERY('Volunteer Survey'!P413)"),"")</f>
        <v/>
      </c>
      <c r="X404" s="74" t="str">
        <f>IFERROR(__xludf.DUMMYFUNCTION("QUERY('Volunteer Survey'!R413)"),"")</f>
        <v/>
      </c>
      <c r="Y404" s="61"/>
      <c r="Z404" s="62"/>
      <c r="AA404" s="62"/>
      <c r="AB404" s="62"/>
      <c r="AC404" s="62"/>
      <c r="AD404" s="62"/>
      <c r="AE404" s="62"/>
      <c r="AF404" s="62"/>
      <c r="AG404" s="62"/>
      <c r="AH404" s="62"/>
      <c r="AI404" s="62"/>
      <c r="AJ404" s="62"/>
      <c r="AK404" s="62"/>
      <c r="AL404" s="62"/>
      <c r="AM404" s="62"/>
      <c r="AN404" s="62"/>
      <c r="AO404" s="62"/>
    </row>
    <row r="405">
      <c r="A405" s="62" t="str">
        <f>IFERROR(__xludf.DUMMYFUNCTION("QUERY('Volunteer Survey'!A414)"),"")</f>
        <v/>
      </c>
      <c r="B405" s="60" t="s">
        <v>340</v>
      </c>
      <c r="C405" s="61"/>
      <c r="D405" s="62"/>
      <c r="E405" s="62"/>
      <c r="F405" s="62" t="b">
        <v>0</v>
      </c>
      <c r="G405" s="62"/>
      <c r="H405" s="61"/>
      <c r="I405" s="61"/>
      <c r="J405" s="62"/>
      <c r="K405" s="62"/>
      <c r="L405" s="62" t="str">
        <f>IFERROR(__xludf.DUMMYFUNCTION("QUERY('Volunteer Survey'!B414)"),"")</f>
        <v/>
      </c>
      <c r="M405" s="62" t="str">
        <f>IFERROR(__xludf.DUMMYFUNCTION("QUERY('Volunteer Survey'!E804)"),"")</f>
        <v/>
      </c>
      <c r="N405" s="62" t="str">
        <f>IFERROR(__xludf.DUMMYFUNCTION("QUERY('Volunteer Survey'!F804)"),"")</f>
        <v/>
      </c>
      <c r="O405" s="60" t="str">
        <f>IFERROR(__xludf.DUMMYFUNCTION("QUERY('Volunteer Survey'!H804)"),"")</f>
        <v/>
      </c>
      <c r="P405" s="62" t="str">
        <f>IFERROR(__xludf.DUMMYFUNCTION("QUERY('Volunteer Survey'!I804)"),"")</f>
        <v/>
      </c>
      <c r="Q405" s="66" t="str">
        <f>IFERROR(__xludf.DUMMYFUNCTION("QUERY('Volunteer Survey'!J804)"),"")</f>
        <v/>
      </c>
      <c r="R405" s="62" t="str">
        <f>IFERROR(__xludf.DUMMYFUNCTION("QUERY('Volunteer Survey'!K804)"),"")</f>
        <v/>
      </c>
      <c r="S405" s="62" t="str">
        <f>IFERROR(__xludf.DUMMYFUNCTION("QUERY('Volunteer Survey'!L804)"),"")</f>
        <v/>
      </c>
      <c r="T405" s="62" t="str">
        <f>IFERROR(__xludf.DUMMYFUNCTION("QUERY('Volunteer Survey'!M416)"),"")</f>
        <v/>
      </c>
      <c r="U405" s="74" t="str">
        <f>IFERROR(__xludf.DUMMYFUNCTION("QUERY('Volunteer Survey'!N804)"),"")</f>
        <v/>
      </c>
      <c r="V405" s="62" t="str">
        <f>IFERROR(__xludf.DUMMYFUNCTION("QUERY('Volunteer Survey'!O804)"),"")</f>
        <v/>
      </c>
      <c r="W405" s="75" t="str">
        <f>IFERROR(__xludf.DUMMYFUNCTION("QUERY('Volunteer Survey'!P804)"),"")</f>
        <v/>
      </c>
      <c r="X405" s="74" t="str">
        <f>IFERROR(__xludf.DUMMYFUNCTION("QUERY('Volunteer Survey'!R804)"),"")</f>
        <v/>
      </c>
      <c r="Y405" s="61"/>
      <c r="Z405" s="62"/>
      <c r="AA405" s="62"/>
      <c r="AB405" s="62"/>
      <c r="AC405" s="62"/>
      <c r="AD405" s="62"/>
      <c r="AE405" s="62"/>
      <c r="AF405" s="62"/>
      <c r="AG405" s="62"/>
      <c r="AH405" s="62"/>
      <c r="AI405" s="62"/>
      <c r="AJ405" s="62"/>
      <c r="AK405" s="62"/>
      <c r="AL405" s="62"/>
      <c r="AM405" s="62"/>
      <c r="AN405" s="62"/>
      <c r="AO405" s="62"/>
    </row>
    <row r="406">
      <c r="A406" s="62" t="str">
        <f>IFERROR(__xludf.DUMMYFUNCTION("QUERY('Volunteer Survey'!A415)"),"")</f>
        <v/>
      </c>
      <c r="B406" s="60" t="s">
        <v>340</v>
      </c>
      <c r="C406" s="61"/>
      <c r="D406" s="62"/>
      <c r="E406" s="62"/>
      <c r="F406" s="62" t="b">
        <v>0</v>
      </c>
      <c r="G406" s="62"/>
      <c r="H406" s="61"/>
      <c r="I406" s="61"/>
      <c r="J406" s="62"/>
      <c r="K406" s="62"/>
      <c r="L406" s="62" t="str">
        <f>IFERROR(__xludf.DUMMYFUNCTION("QUERY('Volunteer Survey'!B415)"),"")</f>
        <v/>
      </c>
      <c r="M406" s="62" t="str">
        <f>IFERROR(__xludf.DUMMYFUNCTION("QUERY('Volunteer Survey'!E805)"),"")</f>
        <v/>
      </c>
      <c r="N406" s="62" t="str">
        <f>IFERROR(__xludf.DUMMYFUNCTION("QUERY('Volunteer Survey'!F805)"),"")</f>
        <v/>
      </c>
      <c r="O406" s="60" t="str">
        <f>IFERROR(__xludf.DUMMYFUNCTION("QUERY('Volunteer Survey'!H805)"),"")</f>
        <v/>
      </c>
      <c r="P406" s="62" t="str">
        <f>IFERROR(__xludf.DUMMYFUNCTION("QUERY('Volunteer Survey'!I805)"),"")</f>
        <v/>
      </c>
      <c r="Q406" s="66" t="str">
        <f>IFERROR(__xludf.DUMMYFUNCTION("QUERY('Volunteer Survey'!J805)"),"")</f>
        <v/>
      </c>
      <c r="R406" s="62" t="str">
        <f>IFERROR(__xludf.DUMMYFUNCTION("QUERY('Volunteer Survey'!K805)"),"")</f>
        <v/>
      </c>
      <c r="S406" s="62" t="str">
        <f>IFERROR(__xludf.DUMMYFUNCTION("QUERY('Volunteer Survey'!L805)"),"")</f>
        <v/>
      </c>
      <c r="T406" s="62" t="str">
        <f>IFERROR(__xludf.DUMMYFUNCTION("QUERY('Volunteer Survey'!M805)"),"")</f>
        <v/>
      </c>
      <c r="U406" s="74" t="str">
        <f>IFERROR(__xludf.DUMMYFUNCTION("QUERY('Volunteer Survey'!N805)"),"")</f>
        <v/>
      </c>
      <c r="V406" s="62" t="str">
        <f>IFERROR(__xludf.DUMMYFUNCTION("QUERY('Volunteer Survey'!O805)"),"")</f>
        <v/>
      </c>
      <c r="W406" s="75" t="str">
        <f>IFERROR(__xludf.DUMMYFUNCTION("QUERY('Volunteer Survey'!P805)"),"")</f>
        <v/>
      </c>
      <c r="X406" s="74" t="str">
        <f>IFERROR(__xludf.DUMMYFUNCTION("QUERY('Volunteer Survey'!R805)"),"")</f>
        <v/>
      </c>
      <c r="Y406" s="61"/>
      <c r="Z406" s="62"/>
      <c r="AA406" s="62"/>
      <c r="AB406" s="62"/>
      <c r="AC406" s="62"/>
      <c r="AD406" s="62"/>
      <c r="AE406" s="62"/>
      <c r="AF406" s="62"/>
      <c r="AG406" s="62"/>
      <c r="AH406" s="62"/>
      <c r="AI406" s="62"/>
      <c r="AJ406" s="62"/>
      <c r="AK406" s="62"/>
      <c r="AL406" s="62"/>
      <c r="AM406" s="62"/>
      <c r="AN406" s="62"/>
      <c r="AO406" s="62"/>
    </row>
    <row r="407">
      <c r="A407" s="62" t="str">
        <f>IFERROR(__xludf.DUMMYFUNCTION("QUERY('Volunteer Survey'!A416)"),"")</f>
        <v/>
      </c>
      <c r="B407" s="60" t="s">
        <v>340</v>
      </c>
      <c r="C407" s="61"/>
      <c r="D407" s="62"/>
      <c r="E407" s="62"/>
      <c r="F407" s="62" t="b">
        <v>0</v>
      </c>
      <c r="G407" s="62"/>
      <c r="H407" s="61"/>
      <c r="I407" s="61"/>
      <c r="J407" s="62"/>
      <c r="K407" s="62"/>
      <c r="L407" s="62" t="str">
        <f>IFERROR(__xludf.DUMMYFUNCTION("QUERY('Volunteer Survey'!B416)"),"")</f>
        <v/>
      </c>
      <c r="M407" s="62" t="str">
        <f>IFERROR(__xludf.DUMMYFUNCTION("QUERY('Volunteer Survey'!E806)"),"")</f>
        <v/>
      </c>
      <c r="N407" s="62" t="str">
        <f>IFERROR(__xludf.DUMMYFUNCTION("QUERY('Volunteer Survey'!F806)"),"")</f>
        <v/>
      </c>
      <c r="O407" s="60" t="str">
        <f>IFERROR(__xludf.DUMMYFUNCTION("QUERY('Volunteer Survey'!H806)"),"")</f>
        <v/>
      </c>
      <c r="P407" s="62" t="str">
        <f>IFERROR(__xludf.DUMMYFUNCTION("QUERY('Volunteer Survey'!I806)"),"")</f>
        <v/>
      </c>
      <c r="Q407" s="66" t="str">
        <f>IFERROR(__xludf.DUMMYFUNCTION("QUERY('Volunteer Survey'!J806)"),"")</f>
        <v/>
      </c>
      <c r="R407" s="62" t="str">
        <f>IFERROR(__xludf.DUMMYFUNCTION("QUERY('Volunteer Survey'!K806)"),"")</f>
        <v/>
      </c>
      <c r="S407" s="62" t="str">
        <f>IFERROR(__xludf.DUMMYFUNCTION("QUERY('Volunteer Survey'!L806)"),"")</f>
        <v/>
      </c>
      <c r="T407" s="62" t="str">
        <f>IFERROR(__xludf.DUMMYFUNCTION("QUERY('Volunteer Survey'!M806)"),"")</f>
        <v/>
      </c>
      <c r="U407" s="74" t="str">
        <f>IFERROR(__xludf.DUMMYFUNCTION("QUERY('Volunteer Survey'!N806)"),"")</f>
        <v/>
      </c>
      <c r="V407" s="62" t="str">
        <f>IFERROR(__xludf.DUMMYFUNCTION("QUERY('Volunteer Survey'!O806)"),"")</f>
        <v/>
      </c>
      <c r="W407" s="75" t="str">
        <f>IFERROR(__xludf.DUMMYFUNCTION("QUERY('Volunteer Survey'!P806)"),"")</f>
        <v/>
      </c>
      <c r="X407" s="74" t="str">
        <f>IFERROR(__xludf.DUMMYFUNCTION("QUERY('Volunteer Survey'!R806)"),"")</f>
        <v/>
      </c>
      <c r="Y407" s="61"/>
      <c r="Z407" s="62"/>
      <c r="AA407" s="62"/>
      <c r="AB407" s="62"/>
      <c r="AC407" s="62"/>
      <c r="AD407" s="62"/>
      <c r="AE407" s="62"/>
      <c r="AF407" s="62"/>
      <c r="AG407" s="62"/>
      <c r="AH407" s="62"/>
      <c r="AI407" s="62"/>
      <c r="AJ407" s="62"/>
      <c r="AK407" s="62"/>
      <c r="AL407" s="62"/>
      <c r="AM407" s="62"/>
      <c r="AN407" s="62"/>
      <c r="AO407" s="62"/>
    </row>
    <row r="408">
      <c r="A408" s="62" t="str">
        <f>IFERROR(__xludf.DUMMYFUNCTION("QUERY('Volunteer Survey'!A417)"),"")</f>
        <v/>
      </c>
      <c r="B408" s="60" t="s">
        <v>340</v>
      </c>
      <c r="C408" s="61"/>
      <c r="D408" s="62"/>
      <c r="E408" s="62"/>
      <c r="F408" s="62" t="b">
        <v>0</v>
      </c>
      <c r="G408" s="62"/>
      <c r="H408" s="61"/>
      <c r="I408" s="61"/>
      <c r="J408" s="62"/>
      <c r="K408" s="62"/>
      <c r="L408" s="62" t="str">
        <f>IFERROR(__xludf.DUMMYFUNCTION("QUERY('Volunteer Survey'!B807)"),"")</f>
        <v/>
      </c>
      <c r="M408" s="62" t="str">
        <f>IFERROR(__xludf.DUMMYFUNCTION("QUERY('Volunteer Survey'!E807)"),"")</f>
        <v/>
      </c>
      <c r="N408" s="62" t="str">
        <f>IFERROR(__xludf.DUMMYFUNCTION("QUERY('Volunteer Survey'!F807)"),"")</f>
        <v/>
      </c>
      <c r="O408" s="60" t="str">
        <f>IFERROR(__xludf.DUMMYFUNCTION("QUERY('Volunteer Survey'!H807)"),"")</f>
        <v/>
      </c>
      <c r="P408" s="62" t="str">
        <f>IFERROR(__xludf.DUMMYFUNCTION("QUERY('Volunteer Survey'!I807)"),"")</f>
        <v/>
      </c>
      <c r="Q408" s="66" t="str">
        <f>IFERROR(__xludf.DUMMYFUNCTION("QUERY('Volunteer Survey'!J807)"),"")</f>
        <v/>
      </c>
      <c r="R408" s="62" t="str">
        <f>IFERROR(__xludf.DUMMYFUNCTION("QUERY('Volunteer Survey'!K807)"),"")</f>
        <v/>
      </c>
      <c r="S408" s="62" t="str">
        <f>IFERROR(__xludf.DUMMYFUNCTION("QUERY('Volunteer Survey'!L807)"),"")</f>
        <v/>
      </c>
      <c r="T408" s="62" t="str">
        <f>IFERROR(__xludf.DUMMYFUNCTION("QUERY('Volunteer Survey'!M807)"),"")</f>
        <v/>
      </c>
      <c r="U408" s="74" t="str">
        <f>IFERROR(__xludf.DUMMYFUNCTION("QUERY('Volunteer Survey'!N807)"),"")</f>
        <v/>
      </c>
      <c r="V408" s="62" t="str">
        <f>IFERROR(__xludf.DUMMYFUNCTION("QUERY('Volunteer Survey'!O807)"),"")</f>
        <v/>
      </c>
      <c r="W408" s="75" t="str">
        <f>IFERROR(__xludf.DUMMYFUNCTION("QUERY('Volunteer Survey'!P807)"),"")</f>
        <v/>
      </c>
      <c r="X408" s="74" t="str">
        <f>IFERROR(__xludf.DUMMYFUNCTION("QUERY('Volunteer Survey'!R807)"),"")</f>
        <v/>
      </c>
      <c r="Y408" s="61"/>
      <c r="Z408" s="62"/>
      <c r="AA408" s="62"/>
      <c r="AB408" s="62"/>
      <c r="AC408" s="62"/>
      <c r="AD408" s="62"/>
      <c r="AE408" s="62"/>
      <c r="AF408" s="62"/>
      <c r="AG408" s="62"/>
      <c r="AH408" s="62"/>
      <c r="AI408" s="62"/>
      <c r="AJ408" s="62"/>
      <c r="AK408" s="62"/>
      <c r="AL408" s="62"/>
      <c r="AM408" s="62"/>
      <c r="AN408" s="62"/>
      <c r="AO408" s="62"/>
    </row>
    <row r="409">
      <c r="A409" s="62" t="str">
        <f>IFERROR(__xludf.DUMMYFUNCTION("QUERY('Volunteer Survey'!A808)"),"")</f>
        <v/>
      </c>
      <c r="B409" s="60" t="s">
        <v>340</v>
      </c>
      <c r="C409" s="61"/>
      <c r="D409" s="62"/>
      <c r="E409" s="62"/>
      <c r="F409" s="62" t="b">
        <v>0</v>
      </c>
      <c r="G409" s="62"/>
      <c r="H409" s="61"/>
      <c r="I409" s="61"/>
      <c r="J409" s="62"/>
      <c r="K409" s="62"/>
      <c r="L409" s="62" t="str">
        <f>IFERROR(__xludf.DUMMYFUNCTION("QUERY('Volunteer Survey'!B808)"),"")</f>
        <v/>
      </c>
      <c r="M409" s="62" t="str">
        <f>IFERROR(__xludf.DUMMYFUNCTION("QUERY('Volunteer Survey'!E808)"),"")</f>
        <v/>
      </c>
      <c r="N409" s="62" t="str">
        <f>IFERROR(__xludf.DUMMYFUNCTION("QUERY('Volunteer Survey'!F808)"),"")</f>
        <v/>
      </c>
      <c r="O409" s="60" t="str">
        <f>IFERROR(__xludf.DUMMYFUNCTION("QUERY('Volunteer Survey'!H808)"),"")</f>
        <v/>
      </c>
      <c r="P409" s="62" t="str">
        <f>IFERROR(__xludf.DUMMYFUNCTION("QUERY('Volunteer Survey'!I808)"),"")</f>
        <v/>
      </c>
      <c r="Q409" s="66" t="str">
        <f>IFERROR(__xludf.DUMMYFUNCTION("QUERY('Volunteer Survey'!J808)"),"")</f>
        <v/>
      </c>
      <c r="R409" s="62" t="str">
        <f>IFERROR(__xludf.DUMMYFUNCTION("QUERY('Volunteer Survey'!K808)"),"")</f>
        <v/>
      </c>
      <c r="S409" s="62" t="str">
        <f>IFERROR(__xludf.DUMMYFUNCTION("QUERY('Volunteer Survey'!L808)"),"")</f>
        <v/>
      </c>
      <c r="T409" s="62" t="str">
        <f>IFERROR(__xludf.DUMMYFUNCTION("QUERY('Volunteer Survey'!M808)"),"")</f>
        <v/>
      </c>
      <c r="U409" s="74" t="str">
        <f>IFERROR(__xludf.DUMMYFUNCTION("QUERY('Volunteer Survey'!N808)"),"")</f>
        <v/>
      </c>
      <c r="V409" s="62" t="str">
        <f>IFERROR(__xludf.DUMMYFUNCTION("QUERY('Volunteer Survey'!O808)"),"")</f>
        <v/>
      </c>
      <c r="W409" s="75" t="str">
        <f>IFERROR(__xludf.DUMMYFUNCTION("QUERY('Volunteer Survey'!P808)"),"")</f>
        <v/>
      </c>
      <c r="X409" s="74" t="str">
        <f>IFERROR(__xludf.DUMMYFUNCTION("QUERY('Volunteer Survey'!R808)"),"")</f>
        <v/>
      </c>
      <c r="Y409" s="61"/>
      <c r="Z409" s="62"/>
      <c r="AA409" s="62"/>
      <c r="AB409" s="62"/>
      <c r="AC409" s="62"/>
      <c r="AD409" s="62"/>
      <c r="AE409" s="62"/>
      <c r="AF409" s="62"/>
      <c r="AG409" s="62"/>
      <c r="AH409" s="62"/>
      <c r="AI409" s="62"/>
      <c r="AJ409" s="62"/>
      <c r="AK409" s="62"/>
      <c r="AL409" s="62"/>
      <c r="AM409" s="62"/>
      <c r="AN409" s="62"/>
      <c r="AO409" s="62"/>
    </row>
    <row r="410">
      <c r="A410" s="62" t="str">
        <f>IFERROR(__xludf.DUMMYFUNCTION("QUERY('Volunteer Survey'!A809)"),"")</f>
        <v/>
      </c>
      <c r="B410" s="60" t="s">
        <v>340</v>
      </c>
      <c r="C410" s="61"/>
      <c r="D410" s="62"/>
      <c r="E410" s="62"/>
      <c r="F410" s="62" t="b">
        <v>0</v>
      </c>
      <c r="G410" s="62"/>
      <c r="H410" s="61"/>
      <c r="I410" s="61"/>
      <c r="J410" s="62"/>
      <c r="K410" s="62"/>
      <c r="L410" s="62" t="str">
        <f>IFERROR(__xludf.DUMMYFUNCTION("QUERY('Volunteer Survey'!B809)"),"")</f>
        <v/>
      </c>
      <c r="M410" s="62" t="str">
        <f>IFERROR(__xludf.DUMMYFUNCTION("QUERY('Volunteer Survey'!E809)"),"")</f>
        <v/>
      </c>
      <c r="N410" s="62" t="str">
        <f>IFERROR(__xludf.DUMMYFUNCTION("QUERY('Volunteer Survey'!F809)"),"")</f>
        <v/>
      </c>
      <c r="O410" s="60" t="str">
        <f>IFERROR(__xludf.DUMMYFUNCTION("QUERY('Volunteer Survey'!H809)"),"")</f>
        <v/>
      </c>
      <c r="P410" s="62" t="str">
        <f>IFERROR(__xludf.DUMMYFUNCTION("QUERY('Volunteer Survey'!I809)"),"")</f>
        <v/>
      </c>
      <c r="Q410" s="66" t="str">
        <f>IFERROR(__xludf.DUMMYFUNCTION("QUERY('Volunteer Survey'!J809)"),"")</f>
        <v/>
      </c>
      <c r="R410" s="62" t="str">
        <f>IFERROR(__xludf.DUMMYFUNCTION("QUERY('Volunteer Survey'!K809)"),"")</f>
        <v/>
      </c>
      <c r="S410" s="62" t="str">
        <f>IFERROR(__xludf.DUMMYFUNCTION("QUERY('Volunteer Survey'!L809)"),"")</f>
        <v/>
      </c>
      <c r="T410" s="62" t="str">
        <f>IFERROR(__xludf.DUMMYFUNCTION("QUERY('Volunteer Survey'!M809)"),"")</f>
        <v/>
      </c>
      <c r="U410" s="74" t="str">
        <f>IFERROR(__xludf.DUMMYFUNCTION("QUERY('Volunteer Survey'!N809)"),"")</f>
        <v/>
      </c>
      <c r="V410" s="62" t="str">
        <f>IFERROR(__xludf.DUMMYFUNCTION("QUERY('Volunteer Survey'!O809)"),"")</f>
        <v/>
      </c>
      <c r="W410" s="75" t="str">
        <f>IFERROR(__xludf.DUMMYFUNCTION("QUERY('Volunteer Survey'!P809)"),"")</f>
        <v/>
      </c>
      <c r="X410" s="74" t="str">
        <f>IFERROR(__xludf.DUMMYFUNCTION("QUERY('Volunteer Survey'!R809)"),"")</f>
        <v/>
      </c>
      <c r="Y410" s="61"/>
      <c r="Z410" s="62"/>
      <c r="AA410" s="62"/>
      <c r="AB410" s="62"/>
      <c r="AC410" s="62"/>
      <c r="AD410" s="62"/>
      <c r="AE410" s="62"/>
      <c r="AF410" s="62"/>
      <c r="AG410" s="62"/>
      <c r="AH410" s="62"/>
      <c r="AI410" s="62"/>
      <c r="AJ410" s="62"/>
      <c r="AK410" s="62"/>
      <c r="AL410" s="62"/>
      <c r="AM410" s="62"/>
      <c r="AN410" s="62"/>
      <c r="AO410" s="62"/>
    </row>
    <row r="411">
      <c r="A411" s="62" t="str">
        <f>IFERROR(__xludf.DUMMYFUNCTION("QUERY('Volunteer Survey'!A810)"),"")</f>
        <v/>
      </c>
      <c r="B411" s="60" t="s">
        <v>340</v>
      </c>
      <c r="C411" s="61"/>
      <c r="D411" s="62"/>
      <c r="E411" s="62"/>
      <c r="F411" s="62" t="b">
        <v>0</v>
      </c>
      <c r="G411" s="62"/>
      <c r="H411" s="61"/>
      <c r="I411" s="61"/>
      <c r="J411" s="62"/>
      <c r="K411" s="62"/>
      <c r="L411" s="62" t="str">
        <f>IFERROR(__xludf.DUMMYFUNCTION("QUERY('Volunteer Survey'!B810)"),"")</f>
        <v/>
      </c>
      <c r="M411" s="62" t="str">
        <f>IFERROR(__xludf.DUMMYFUNCTION("QUERY('Volunteer Survey'!E810)"),"")</f>
        <v/>
      </c>
      <c r="N411" s="62" t="str">
        <f>IFERROR(__xludf.DUMMYFUNCTION("QUERY('Volunteer Survey'!F810)"),"")</f>
        <v/>
      </c>
      <c r="O411" s="60" t="str">
        <f>IFERROR(__xludf.DUMMYFUNCTION("QUERY('Volunteer Survey'!H810)"),"")</f>
        <v/>
      </c>
      <c r="P411" s="62" t="str">
        <f>IFERROR(__xludf.DUMMYFUNCTION("QUERY('Volunteer Survey'!I810)"),"")</f>
        <v/>
      </c>
      <c r="Q411" s="66" t="str">
        <f>IFERROR(__xludf.DUMMYFUNCTION("QUERY('Volunteer Survey'!J810)"),"")</f>
        <v/>
      </c>
      <c r="R411" s="62" t="str">
        <f>IFERROR(__xludf.DUMMYFUNCTION("QUERY('Volunteer Survey'!K810)"),"")</f>
        <v/>
      </c>
      <c r="S411" s="62" t="str">
        <f>IFERROR(__xludf.DUMMYFUNCTION("QUERY('Volunteer Survey'!L810)"),"")</f>
        <v/>
      </c>
      <c r="T411" s="62" t="str">
        <f>IFERROR(__xludf.DUMMYFUNCTION("QUERY('Volunteer Survey'!M810)"),"")</f>
        <v/>
      </c>
      <c r="U411" s="74" t="str">
        <f>IFERROR(__xludf.DUMMYFUNCTION("QUERY('Volunteer Survey'!N810)"),"")</f>
        <v/>
      </c>
      <c r="V411" s="62" t="str">
        <f>IFERROR(__xludf.DUMMYFUNCTION("QUERY('Volunteer Survey'!O810)"),"")</f>
        <v/>
      </c>
      <c r="W411" s="75" t="str">
        <f>IFERROR(__xludf.DUMMYFUNCTION("QUERY('Volunteer Survey'!P810)"),"")</f>
        <v/>
      </c>
      <c r="X411" s="74" t="str">
        <f>IFERROR(__xludf.DUMMYFUNCTION("QUERY('Volunteer Survey'!R810)"),"")</f>
        <v/>
      </c>
      <c r="Y411" s="61"/>
      <c r="Z411" s="62"/>
      <c r="AA411" s="62"/>
      <c r="AB411" s="62"/>
      <c r="AC411" s="62"/>
      <c r="AD411" s="62"/>
      <c r="AE411" s="62"/>
      <c r="AF411" s="62"/>
      <c r="AG411" s="62"/>
      <c r="AH411" s="62"/>
      <c r="AI411" s="62"/>
      <c r="AJ411" s="62"/>
      <c r="AK411" s="62"/>
      <c r="AL411" s="62"/>
      <c r="AM411" s="62"/>
      <c r="AN411" s="62"/>
      <c r="AO411" s="62"/>
    </row>
    <row r="412">
      <c r="A412" s="62" t="str">
        <f>IFERROR(__xludf.DUMMYFUNCTION("QUERY('Volunteer Survey'!A811)"),"")</f>
        <v/>
      </c>
      <c r="B412" s="60" t="s">
        <v>340</v>
      </c>
      <c r="C412" s="61"/>
      <c r="D412" s="62"/>
      <c r="E412" s="62"/>
      <c r="F412" s="62" t="b">
        <v>0</v>
      </c>
      <c r="G412" s="62"/>
      <c r="H412" s="61"/>
      <c r="I412" s="61"/>
      <c r="J412" s="62"/>
      <c r="K412" s="62"/>
      <c r="L412" s="62" t="str">
        <f>IFERROR(__xludf.DUMMYFUNCTION("QUERY('Volunteer Survey'!B811)"),"")</f>
        <v/>
      </c>
      <c r="M412" s="62" t="str">
        <f>IFERROR(__xludf.DUMMYFUNCTION("QUERY('Volunteer Survey'!E811)"),"")</f>
        <v/>
      </c>
      <c r="N412" s="62" t="str">
        <f>IFERROR(__xludf.DUMMYFUNCTION("QUERY('Volunteer Survey'!F811)"),"")</f>
        <v/>
      </c>
      <c r="O412" s="60" t="str">
        <f>IFERROR(__xludf.DUMMYFUNCTION("QUERY('Volunteer Survey'!H811)"),"")</f>
        <v/>
      </c>
      <c r="P412" s="62" t="str">
        <f>IFERROR(__xludf.DUMMYFUNCTION("QUERY('Volunteer Survey'!I811)"),"")</f>
        <v/>
      </c>
      <c r="Q412" s="66" t="str">
        <f>IFERROR(__xludf.DUMMYFUNCTION("QUERY('Volunteer Survey'!J811)"),"")</f>
        <v/>
      </c>
      <c r="R412" s="62" t="str">
        <f>IFERROR(__xludf.DUMMYFUNCTION("QUERY('Volunteer Survey'!K811)"),"")</f>
        <v/>
      </c>
      <c r="S412" s="62" t="str">
        <f>IFERROR(__xludf.DUMMYFUNCTION("QUERY('Volunteer Survey'!L811)"),"")</f>
        <v/>
      </c>
      <c r="T412" s="62" t="str">
        <f>IFERROR(__xludf.DUMMYFUNCTION("QUERY('Volunteer Survey'!M811)"),"")</f>
        <v/>
      </c>
      <c r="U412" s="74" t="str">
        <f>IFERROR(__xludf.DUMMYFUNCTION("QUERY('Volunteer Survey'!N811)"),"")</f>
        <v/>
      </c>
      <c r="V412" s="62" t="str">
        <f>IFERROR(__xludf.DUMMYFUNCTION("QUERY('Volunteer Survey'!O811)"),"")</f>
        <v/>
      </c>
      <c r="W412" s="75" t="str">
        <f>IFERROR(__xludf.DUMMYFUNCTION("QUERY('Volunteer Survey'!P811)"),"")</f>
        <v/>
      </c>
      <c r="X412" s="74" t="str">
        <f>IFERROR(__xludf.DUMMYFUNCTION("QUERY('Volunteer Survey'!R811)"),"")</f>
        <v/>
      </c>
      <c r="Y412" s="61"/>
      <c r="Z412" s="62"/>
      <c r="AA412" s="62"/>
      <c r="AB412" s="62"/>
      <c r="AC412" s="62"/>
      <c r="AD412" s="62"/>
      <c r="AE412" s="62"/>
      <c r="AF412" s="62"/>
      <c r="AG412" s="62"/>
      <c r="AH412" s="62"/>
      <c r="AI412" s="62"/>
      <c r="AJ412" s="62"/>
      <c r="AK412" s="62"/>
      <c r="AL412" s="62"/>
      <c r="AM412" s="62"/>
      <c r="AN412" s="62"/>
      <c r="AO412" s="62"/>
    </row>
    <row r="413">
      <c r="A413" s="62" t="str">
        <f>IFERROR(__xludf.DUMMYFUNCTION("QUERY('Volunteer Survey'!A812)"),"")</f>
        <v/>
      </c>
      <c r="B413" s="60" t="s">
        <v>340</v>
      </c>
      <c r="C413" s="61"/>
      <c r="D413" s="62"/>
      <c r="E413" s="62"/>
      <c r="F413" s="62" t="b">
        <v>0</v>
      </c>
      <c r="G413" s="62"/>
      <c r="H413" s="61"/>
      <c r="I413" s="61"/>
      <c r="J413" s="62"/>
      <c r="K413" s="62"/>
      <c r="L413" s="62" t="str">
        <f>IFERROR(__xludf.DUMMYFUNCTION("QUERY('Volunteer Survey'!B812)"),"")</f>
        <v/>
      </c>
      <c r="M413" s="62" t="str">
        <f>IFERROR(__xludf.DUMMYFUNCTION("QUERY('Volunteer Survey'!E812)"),"")</f>
        <v/>
      </c>
      <c r="N413" s="62" t="str">
        <f>IFERROR(__xludf.DUMMYFUNCTION("QUERY('Volunteer Survey'!F812)"),"")</f>
        <v/>
      </c>
      <c r="O413" s="60" t="str">
        <f>IFERROR(__xludf.DUMMYFUNCTION("QUERY('Volunteer Survey'!H812)"),"")</f>
        <v/>
      </c>
      <c r="P413" s="62" t="str">
        <f>IFERROR(__xludf.DUMMYFUNCTION("QUERY('Volunteer Survey'!I812)"),"")</f>
        <v/>
      </c>
      <c r="Q413" s="66" t="str">
        <f>IFERROR(__xludf.DUMMYFUNCTION("QUERY('Volunteer Survey'!J812)"),"")</f>
        <v/>
      </c>
      <c r="R413" s="62" t="str">
        <f>IFERROR(__xludf.DUMMYFUNCTION("QUERY('Volunteer Survey'!K812)"),"")</f>
        <v/>
      </c>
      <c r="S413" s="62" t="str">
        <f>IFERROR(__xludf.DUMMYFUNCTION("QUERY('Volunteer Survey'!L812)"),"")</f>
        <v/>
      </c>
      <c r="T413" s="62" t="str">
        <f>IFERROR(__xludf.DUMMYFUNCTION("QUERY('Volunteer Survey'!M812)"),"")</f>
        <v/>
      </c>
      <c r="U413" s="74" t="str">
        <f>IFERROR(__xludf.DUMMYFUNCTION("QUERY('Volunteer Survey'!N812)"),"")</f>
        <v/>
      </c>
      <c r="V413" s="62" t="str">
        <f>IFERROR(__xludf.DUMMYFUNCTION("QUERY('Volunteer Survey'!O812)"),"")</f>
        <v/>
      </c>
      <c r="W413" s="75" t="str">
        <f>IFERROR(__xludf.DUMMYFUNCTION("QUERY('Volunteer Survey'!P812)"),"")</f>
        <v/>
      </c>
      <c r="X413" s="74" t="str">
        <f>IFERROR(__xludf.DUMMYFUNCTION("QUERY('Volunteer Survey'!R812)"),"")</f>
        <v/>
      </c>
      <c r="Y413" s="61"/>
      <c r="Z413" s="62"/>
      <c r="AA413" s="62"/>
      <c r="AB413" s="62"/>
      <c r="AC413" s="62"/>
      <c r="AD413" s="62"/>
      <c r="AE413" s="62"/>
      <c r="AF413" s="62"/>
      <c r="AG413" s="62"/>
      <c r="AH413" s="62"/>
      <c r="AI413" s="62"/>
      <c r="AJ413" s="62"/>
      <c r="AK413" s="62"/>
      <c r="AL413" s="62"/>
      <c r="AM413" s="62"/>
      <c r="AN413" s="62"/>
      <c r="AO413" s="62"/>
    </row>
    <row r="414">
      <c r="A414" s="62" t="str">
        <f>IFERROR(__xludf.DUMMYFUNCTION("QUERY('Volunteer Survey'!A813)"),"")</f>
        <v/>
      </c>
      <c r="B414" s="60" t="s">
        <v>340</v>
      </c>
      <c r="C414" s="61"/>
      <c r="D414" s="62"/>
      <c r="E414" s="62"/>
      <c r="F414" s="62" t="b">
        <v>0</v>
      </c>
      <c r="G414" s="62"/>
      <c r="H414" s="61"/>
      <c r="I414" s="61"/>
      <c r="J414" s="62"/>
      <c r="K414" s="62"/>
      <c r="L414" s="62" t="str">
        <f>IFERROR(__xludf.DUMMYFUNCTION("QUERY('Volunteer Survey'!B813)"),"")</f>
        <v/>
      </c>
      <c r="M414" s="62" t="str">
        <f>IFERROR(__xludf.DUMMYFUNCTION("QUERY('Volunteer Survey'!E813)"),"")</f>
        <v/>
      </c>
      <c r="N414" s="62" t="str">
        <f>IFERROR(__xludf.DUMMYFUNCTION("QUERY('Volunteer Survey'!F813)"),"")</f>
        <v/>
      </c>
      <c r="O414" s="60" t="str">
        <f>IFERROR(__xludf.DUMMYFUNCTION("QUERY('Volunteer Survey'!H813)"),"")</f>
        <v/>
      </c>
      <c r="P414" s="62" t="str">
        <f>IFERROR(__xludf.DUMMYFUNCTION("QUERY('Volunteer Survey'!I813)"),"")</f>
        <v/>
      </c>
      <c r="Q414" s="66" t="str">
        <f>IFERROR(__xludf.DUMMYFUNCTION("QUERY('Volunteer Survey'!J813)"),"")</f>
        <v/>
      </c>
      <c r="R414" s="62" t="str">
        <f>IFERROR(__xludf.DUMMYFUNCTION("QUERY('Volunteer Survey'!K813)"),"")</f>
        <v/>
      </c>
      <c r="S414" s="62" t="str">
        <f>IFERROR(__xludf.DUMMYFUNCTION("QUERY('Volunteer Survey'!L813)"),"")</f>
        <v/>
      </c>
      <c r="T414" s="62" t="str">
        <f>IFERROR(__xludf.DUMMYFUNCTION("QUERY('Volunteer Survey'!M813)"),"")</f>
        <v/>
      </c>
      <c r="U414" s="74" t="str">
        <f>IFERROR(__xludf.DUMMYFUNCTION("QUERY('Volunteer Survey'!N813)"),"")</f>
        <v/>
      </c>
      <c r="V414" s="62" t="str">
        <f>IFERROR(__xludf.DUMMYFUNCTION("QUERY('Volunteer Survey'!O813)"),"")</f>
        <v/>
      </c>
      <c r="W414" s="75" t="str">
        <f>IFERROR(__xludf.DUMMYFUNCTION("QUERY('Volunteer Survey'!P813)"),"")</f>
        <v/>
      </c>
      <c r="X414" s="74" t="str">
        <f>IFERROR(__xludf.DUMMYFUNCTION("QUERY('Volunteer Survey'!R813)"),"")</f>
        <v/>
      </c>
      <c r="Y414" s="61"/>
      <c r="Z414" s="62"/>
      <c r="AA414" s="62"/>
      <c r="AB414" s="62"/>
      <c r="AC414" s="62"/>
      <c r="AD414" s="62"/>
      <c r="AE414" s="62"/>
      <c r="AF414" s="62"/>
      <c r="AG414" s="62"/>
      <c r="AH414" s="62"/>
      <c r="AI414" s="62"/>
      <c r="AJ414" s="62"/>
      <c r="AK414" s="62"/>
      <c r="AL414" s="62"/>
      <c r="AM414" s="62"/>
      <c r="AN414" s="62"/>
      <c r="AO414" s="62"/>
    </row>
    <row r="415">
      <c r="A415" s="62" t="str">
        <f>IFERROR(__xludf.DUMMYFUNCTION("QUERY('Volunteer Survey'!A814)"),"")</f>
        <v/>
      </c>
      <c r="B415" s="60" t="s">
        <v>340</v>
      </c>
      <c r="C415" s="61"/>
      <c r="D415" s="62"/>
      <c r="E415" s="62"/>
      <c r="F415" s="62" t="b">
        <v>0</v>
      </c>
      <c r="G415" s="62"/>
      <c r="H415" s="61"/>
      <c r="I415" s="61"/>
      <c r="J415" s="62"/>
      <c r="K415" s="62"/>
      <c r="L415" s="62" t="str">
        <f>IFERROR(__xludf.DUMMYFUNCTION("QUERY('Volunteer Survey'!B814)"),"")</f>
        <v/>
      </c>
      <c r="M415" s="62" t="str">
        <f>IFERROR(__xludf.DUMMYFUNCTION("QUERY('Volunteer Survey'!E814)"),"")</f>
        <v/>
      </c>
      <c r="N415" s="62" t="str">
        <f>IFERROR(__xludf.DUMMYFUNCTION("QUERY('Volunteer Survey'!F814)"),"")</f>
        <v/>
      </c>
      <c r="O415" s="60" t="str">
        <f>IFERROR(__xludf.DUMMYFUNCTION("QUERY('Volunteer Survey'!H814)"),"")</f>
        <v/>
      </c>
      <c r="P415" s="62" t="str">
        <f>IFERROR(__xludf.DUMMYFUNCTION("QUERY('Volunteer Survey'!I814)"),"")</f>
        <v/>
      </c>
      <c r="Q415" s="66" t="str">
        <f>IFERROR(__xludf.DUMMYFUNCTION("QUERY('Volunteer Survey'!J814)"),"")</f>
        <v/>
      </c>
      <c r="R415" s="62" t="str">
        <f>IFERROR(__xludf.DUMMYFUNCTION("QUERY('Volunteer Survey'!K814)"),"")</f>
        <v/>
      </c>
      <c r="S415" s="62" t="str">
        <f>IFERROR(__xludf.DUMMYFUNCTION("QUERY('Volunteer Survey'!L814)"),"")</f>
        <v/>
      </c>
      <c r="T415" s="62" t="str">
        <f>IFERROR(__xludf.DUMMYFUNCTION("QUERY('Volunteer Survey'!M814)"),"")</f>
        <v/>
      </c>
      <c r="U415" s="74" t="str">
        <f>IFERROR(__xludf.DUMMYFUNCTION("QUERY('Volunteer Survey'!N814)"),"")</f>
        <v/>
      </c>
      <c r="V415" s="62" t="str">
        <f>IFERROR(__xludf.DUMMYFUNCTION("QUERY('Volunteer Survey'!O814)"),"")</f>
        <v/>
      </c>
      <c r="W415" s="75" t="str">
        <f>IFERROR(__xludf.DUMMYFUNCTION("QUERY('Volunteer Survey'!P814)"),"")</f>
        <v/>
      </c>
      <c r="X415" s="74" t="str">
        <f>IFERROR(__xludf.DUMMYFUNCTION("QUERY('Volunteer Survey'!R814)"),"")</f>
        <v/>
      </c>
      <c r="Y415" s="61"/>
      <c r="Z415" s="62"/>
      <c r="AA415" s="62"/>
      <c r="AB415" s="62"/>
      <c r="AC415" s="62"/>
      <c r="AD415" s="62"/>
      <c r="AE415" s="62"/>
      <c r="AF415" s="62"/>
      <c r="AG415" s="62"/>
      <c r="AH415" s="62"/>
      <c r="AI415" s="62"/>
      <c r="AJ415" s="62"/>
      <c r="AK415" s="62"/>
      <c r="AL415" s="62"/>
      <c r="AM415" s="62"/>
      <c r="AN415" s="62"/>
      <c r="AO415" s="62"/>
    </row>
    <row r="416">
      <c r="A416" s="62" t="str">
        <f>IFERROR(__xludf.DUMMYFUNCTION("QUERY('Volunteer Survey'!A815)"),"")</f>
        <v/>
      </c>
      <c r="B416" s="60" t="s">
        <v>340</v>
      </c>
      <c r="C416" s="61"/>
      <c r="D416" s="62"/>
      <c r="E416" s="62"/>
      <c r="F416" s="62" t="b">
        <v>0</v>
      </c>
      <c r="G416" s="62"/>
      <c r="H416" s="61"/>
      <c r="I416" s="61"/>
      <c r="J416" s="62"/>
      <c r="K416" s="62"/>
      <c r="L416" s="62" t="str">
        <f>IFERROR(__xludf.DUMMYFUNCTION("QUERY('Volunteer Survey'!B815)"),"")</f>
        <v/>
      </c>
      <c r="M416" s="62" t="str">
        <f>IFERROR(__xludf.DUMMYFUNCTION("QUERY('Volunteer Survey'!E815)"),"")</f>
        <v/>
      </c>
      <c r="N416" s="62" t="str">
        <f>IFERROR(__xludf.DUMMYFUNCTION("QUERY('Volunteer Survey'!F815)"),"")</f>
        <v/>
      </c>
      <c r="O416" s="60" t="str">
        <f>IFERROR(__xludf.DUMMYFUNCTION("QUERY('Volunteer Survey'!H815)"),"")</f>
        <v/>
      </c>
      <c r="P416" s="62" t="str">
        <f>IFERROR(__xludf.DUMMYFUNCTION("QUERY('Volunteer Survey'!I815)"),"")</f>
        <v/>
      </c>
      <c r="Q416" s="66" t="str">
        <f>IFERROR(__xludf.DUMMYFUNCTION("QUERY('Volunteer Survey'!J815)"),"")</f>
        <v/>
      </c>
      <c r="R416" s="62" t="str">
        <f>IFERROR(__xludf.DUMMYFUNCTION("QUERY('Volunteer Survey'!K815)"),"")</f>
        <v/>
      </c>
      <c r="S416" s="62" t="str">
        <f>IFERROR(__xludf.DUMMYFUNCTION("QUERY('Volunteer Survey'!L815)"),"")</f>
        <v/>
      </c>
      <c r="T416" s="62" t="str">
        <f>IFERROR(__xludf.DUMMYFUNCTION("QUERY('Volunteer Survey'!M815)"),"")</f>
        <v/>
      </c>
      <c r="U416" s="74" t="str">
        <f>IFERROR(__xludf.DUMMYFUNCTION("QUERY('Volunteer Survey'!N815)"),"")</f>
        <v/>
      </c>
      <c r="V416" s="62" t="str">
        <f>IFERROR(__xludf.DUMMYFUNCTION("QUERY('Volunteer Survey'!O815)"),"")</f>
        <v/>
      </c>
      <c r="W416" s="75" t="str">
        <f>IFERROR(__xludf.DUMMYFUNCTION("QUERY('Volunteer Survey'!P815)"),"")</f>
        <v/>
      </c>
      <c r="X416" s="74" t="str">
        <f>IFERROR(__xludf.DUMMYFUNCTION("QUERY('Volunteer Survey'!R815)"),"")</f>
        <v/>
      </c>
      <c r="Y416" s="61"/>
      <c r="Z416" s="62"/>
      <c r="AA416" s="62"/>
      <c r="AB416" s="62"/>
      <c r="AC416" s="62"/>
      <c r="AD416" s="62"/>
      <c r="AE416" s="62"/>
      <c r="AF416" s="62"/>
      <c r="AG416" s="62"/>
      <c r="AH416" s="62"/>
      <c r="AI416" s="62"/>
      <c r="AJ416" s="62"/>
      <c r="AK416" s="62"/>
      <c r="AL416" s="62"/>
      <c r="AM416" s="62"/>
      <c r="AN416" s="62"/>
      <c r="AO416" s="62"/>
    </row>
    <row r="417">
      <c r="A417" s="62" t="str">
        <f>IFERROR(__xludf.DUMMYFUNCTION("QUERY('Volunteer Survey'!A816)"),"")</f>
        <v/>
      </c>
      <c r="B417" s="60" t="s">
        <v>340</v>
      </c>
      <c r="C417" s="61"/>
      <c r="D417" s="62"/>
      <c r="E417" s="62"/>
      <c r="F417" s="62" t="b">
        <v>0</v>
      </c>
      <c r="G417" s="62"/>
      <c r="H417" s="61"/>
      <c r="I417" s="61"/>
      <c r="J417" s="62"/>
      <c r="K417" s="62"/>
      <c r="L417" s="62" t="str">
        <f>IFERROR(__xludf.DUMMYFUNCTION("QUERY('Volunteer Survey'!B816)"),"")</f>
        <v/>
      </c>
      <c r="M417" s="62" t="str">
        <f>IFERROR(__xludf.DUMMYFUNCTION("QUERY('Volunteer Survey'!E816)"),"")</f>
        <v/>
      </c>
      <c r="N417" s="62" t="str">
        <f>IFERROR(__xludf.DUMMYFUNCTION("QUERY('Volunteer Survey'!F816)"),"")</f>
        <v/>
      </c>
      <c r="O417" s="60" t="str">
        <f>IFERROR(__xludf.DUMMYFUNCTION("QUERY('Volunteer Survey'!H816)"),"")</f>
        <v/>
      </c>
      <c r="P417" s="62" t="str">
        <f>IFERROR(__xludf.DUMMYFUNCTION("QUERY('Volunteer Survey'!I816)"),"")</f>
        <v/>
      </c>
      <c r="Q417" s="66" t="str">
        <f>IFERROR(__xludf.DUMMYFUNCTION("QUERY('Volunteer Survey'!J816)"),"")</f>
        <v/>
      </c>
      <c r="R417" s="62" t="str">
        <f>IFERROR(__xludf.DUMMYFUNCTION("QUERY('Volunteer Survey'!K816)"),"")</f>
        <v/>
      </c>
      <c r="S417" s="62" t="str">
        <f>IFERROR(__xludf.DUMMYFUNCTION("QUERY('Volunteer Survey'!L816)"),"")</f>
        <v/>
      </c>
      <c r="T417" s="62" t="str">
        <f>IFERROR(__xludf.DUMMYFUNCTION("QUERY('Volunteer Survey'!M816)"),"")</f>
        <v/>
      </c>
      <c r="U417" s="74" t="str">
        <f>IFERROR(__xludf.DUMMYFUNCTION("QUERY('Volunteer Survey'!N816)"),"")</f>
        <v/>
      </c>
      <c r="V417" s="62" t="str">
        <f>IFERROR(__xludf.DUMMYFUNCTION("QUERY('Volunteer Survey'!O816)"),"")</f>
        <v/>
      </c>
      <c r="W417" s="75" t="str">
        <f>IFERROR(__xludf.DUMMYFUNCTION("QUERY('Volunteer Survey'!P816)"),"")</f>
        <v/>
      </c>
      <c r="X417" s="74" t="str">
        <f>IFERROR(__xludf.DUMMYFUNCTION("QUERY('Volunteer Survey'!R816)"),"")</f>
        <v/>
      </c>
      <c r="Y417" s="61"/>
      <c r="Z417" s="62"/>
      <c r="AA417" s="62"/>
      <c r="AB417" s="62"/>
      <c r="AC417" s="62"/>
      <c r="AD417" s="62"/>
      <c r="AE417" s="62"/>
      <c r="AF417" s="62"/>
      <c r="AG417" s="62"/>
      <c r="AH417" s="62"/>
      <c r="AI417" s="62"/>
      <c r="AJ417" s="62"/>
      <c r="AK417" s="62"/>
      <c r="AL417" s="62"/>
      <c r="AM417" s="62"/>
      <c r="AN417" s="62"/>
      <c r="AO417" s="62"/>
    </row>
    <row r="418">
      <c r="A418" s="62" t="str">
        <f>IFERROR(__xludf.DUMMYFUNCTION("QUERY('Volunteer Survey'!A817)"),"")</f>
        <v/>
      </c>
      <c r="B418" s="60" t="s">
        <v>340</v>
      </c>
      <c r="C418" s="61"/>
      <c r="D418" s="62"/>
      <c r="E418" s="62"/>
      <c r="F418" s="62" t="b">
        <v>0</v>
      </c>
      <c r="G418" s="62"/>
      <c r="H418" s="61"/>
      <c r="I418" s="61"/>
      <c r="J418" s="62"/>
      <c r="K418" s="62"/>
      <c r="L418" s="62" t="str">
        <f>IFERROR(__xludf.DUMMYFUNCTION("QUERY('Volunteer Survey'!B817)"),"")</f>
        <v/>
      </c>
      <c r="M418" s="62" t="str">
        <f>IFERROR(__xludf.DUMMYFUNCTION("QUERY('Volunteer Survey'!E817)"),"")</f>
        <v/>
      </c>
      <c r="N418" s="62" t="str">
        <f>IFERROR(__xludf.DUMMYFUNCTION("QUERY('Volunteer Survey'!F817)"),"")</f>
        <v/>
      </c>
      <c r="O418" s="60" t="str">
        <f>IFERROR(__xludf.DUMMYFUNCTION("QUERY('Volunteer Survey'!H817)"),"")</f>
        <v/>
      </c>
      <c r="P418" s="62" t="str">
        <f>IFERROR(__xludf.DUMMYFUNCTION("QUERY('Volunteer Survey'!I817)"),"")</f>
        <v/>
      </c>
      <c r="Q418" s="66" t="str">
        <f>IFERROR(__xludf.DUMMYFUNCTION("QUERY('Volunteer Survey'!J817)"),"")</f>
        <v/>
      </c>
      <c r="R418" s="62" t="str">
        <f>IFERROR(__xludf.DUMMYFUNCTION("QUERY('Volunteer Survey'!K817)"),"")</f>
        <v/>
      </c>
      <c r="S418" s="62" t="str">
        <f>IFERROR(__xludf.DUMMYFUNCTION("QUERY('Volunteer Survey'!L817)"),"")</f>
        <v/>
      </c>
      <c r="T418" s="62" t="str">
        <f>IFERROR(__xludf.DUMMYFUNCTION("QUERY('Volunteer Survey'!M817)"),"")</f>
        <v/>
      </c>
      <c r="U418" s="74" t="str">
        <f>IFERROR(__xludf.DUMMYFUNCTION("QUERY('Volunteer Survey'!N817)"),"")</f>
        <v/>
      </c>
      <c r="V418" s="62" t="str">
        <f>IFERROR(__xludf.DUMMYFUNCTION("QUERY('Volunteer Survey'!O817)"),"")</f>
        <v/>
      </c>
      <c r="W418" s="75" t="str">
        <f>IFERROR(__xludf.DUMMYFUNCTION("QUERY('Volunteer Survey'!P817)"),"")</f>
        <v/>
      </c>
      <c r="X418" s="74" t="str">
        <f>IFERROR(__xludf.DUMMYFUNCTION("QUERY('Volunteer Survey'!R817)"),"")</f>
        <v/>
      </c>
      <c r="Y418" s="61"/>
      <c r="Z418" s="62"/>
      <c r="AA418" s="62"/>
      <c r="AB418" s="62"/>
      <c r="AC418" s="62"/>
      <c r="AD418" s="62"/>
      <c r="AE418" s="62"/>
      <c r="AF418" s="62"/>
      <c r="AG418" s="62"/>
      <c r="AH418" s="62"/>
      <c r="AI418" s="62"/>
      <c r="AJ418" s="62"/>
      <c r="AK418" s="62"/>
      <c r="AL418" s="62"/>
      <c r="AM418" s="62"/>
      <c r="AN418" s="62"/>
      <c r="AO418" s="62"/>
    </row>
    <row r="419">
      <c r="A419" s="62" t="str">
        <f>IFERROR(__xludf.DUMMYFUNCTION("QUERY('Volunteer Survey'!A818)"),"")</f>
        <v/>
      </c>
      <c r="B419" s="60" t="s">
        <v>340</v>
      </c>
      <c r="C419" s="61"/>
      <c r="D419" s="62"/>
      <c r="E419" s="62"/>
      <c r="F419" s="62" t="b">
        <v>0</v>
      </c>
      <c r="G419" s="62"/>
      <c r="H419" s="61"/>
      <c r="I419" s="61"/>
      <c r="J419" s="62"/>
      <c r="K419" s="62"/>
      <c r="L419" s="62" t="str">
        <f>IFERROR(__xludf.DUMMYFUNCTION("QUERY('Volunteer Survey'!B818)"),"")</f>
        <v/>
      </c>
      <c r="M419" s="62" t="str">
        <f>IFERROR(__xludf.DUMMYFUNCTION("QUERY('Volunteer Survey'!E818)"),"")</f>
        <v/>
      </c>
      <c r="N419" s="62" t="str">
        <f>IFERROR(__xludf.DUMMYFUNCTION("QUERY('Volunteer Survey'!F818)"),"")</f>
        <v/>
      </c>
      <c r="O419" s="60" t="str">
        <f>IFERROR(__xludf.DUMMYFUNCTION("QUERY('Volunteer Survey'!H818)"),"")</f>
        <v/>
      </c>
      <c r="P419" s="62" t="str">
        <f>IFERROR(__xludf.DUMMYFUNCTION("QUERY('Volunteer Survey'!I818)"),"")</f>
        <v/>
      </c>
      <c r="Q419" s="66" t="str">
        <f>IFERROR(__xludf.DUMMYFUNCTION("QUERY('Volunteer Survey'!J818)"),"")</f>
        <v/>
      </c>
      <c r="R419" s="62" t="str">
        <f>IFERROR(__xludf.DUMMYFUNCTION("QUERY('Volunteer Survey'!K818)"),"")</f>
        <v/>
      </c>
      <c r="S419" s="62" t="str">
        <f>IFERROR(__xludf.DUMMYFUNCTION("QUERY('Volunteer Survey'!L818)"),"")</f>
        <v/>
      </c>
      <c r="T419" s="62" t="str">
        <f>IFERROR(__xludf.DUMMYFUNCTION("QUERY('Volunteer Survey'!M818)"),"")</f>
        <v/>
      </c>
      <c r="U419" s="74" t="str">
        <f>IFERROR(__xludf.DUMMYFUNCTION("QUERY('Volunteer Survey'!N818)"),"")</f>
        <v/>
      </c>
      <c r="V419" s="62" t="str">
        <f>IFERROR(__xludf.DUMMYFUNCTION("QUERY('Volunteer Survey'!O818)"),"")</f>
        <v/>
      </c>
      <c r="W419" s="75" t="str">
        <f>IFERROR(__xludf.DUMMYFUNCTION("QUERY('Volunteer Survey'!P818)"),"")</f>
        <v/>
      </c>
      <c r="X419" s="74" t="str">
        <f>IFERROR(__xludf.DUMMYFUNCTION("QUERY('Volunteer Survey'!R818)"),"")</f>
        <v/>
      </c>
      <c r="Y419" s="61"/>
      <c r="Z419" s="62"/>
      <c r="AA419" s="62"/>
      <c r="AB419" s="62"/>
      <c r="AC419" s="62"/>
      <c r="AD419" s="62"/>
      <c r="AE419" s="62"/>
      <c r="AF419" s="62"/>
      <c r="AG419" s="62"/>
      <c r="AH419" s="62"/>
      <c r="AI419" s="62"/>
      <c r="AJ419" s="62"/>
      <c r="AK419" s="62"/>
      <c r="AL419" s="62"/>
      <c r="AM419" s="62"/>
      <c r="AN419" s="62"/>
      <c r="AO419" s="62"/>
    </row>
    <row r="420">
      <c r="A420" s="62" t="str">
        <f>IFERROR(__xludf.DUMMYFUNCTION("QUERY('Volunteer Survey'!A819)"),"")</f>
        <v/>
      </c>
      <c r="B420" s="60" t="s">
        <v>340</v>
      </c>
      <c r="C420" s="61"/>
      <c r="D420" s="62"/>
      <c r="E420" s="62"/>
      <c r="F420" s="62" t="b">
        <v>0</v>
      </c>
      <c r="G420" s="62"/>
      <c r="H420" s="61"/>
      <c r="I420" s="61"/>
      <c r="J420" s="62"/>
      <c r="K420" s="62"/>
      <c r="L420" s="62" t="str">
        <f>IFERROR(__xludf.DUMMYFUNCTION("QUERY('Volunteer Survey'!B819)"),"")</f>
        <v/>
      </c>
      <c r="M420" s="62" t="str">
        <f>IFERROR(__xludf.DUMMYFUNCTION("QUERY('Volunteer Survey'!E819)"),"")</f>
        <v/>
      </c>
      <c r="N420" s="62" t="str">
        <f>IFERROR(__xludf.DUMMYFUNCTION("QUERY('Volunteer Survey'!F819)"),"")</f>
        <v/>
      </c>
      <c r="O420" s="60" t="str">
        <f>IFERROR(__xludf.DUMMYFUNCTION("QUERY('Volunteer Survey'!H819)"),"")</f>
        <v/>
      </c>
      <c r="P420" s="62" t="str">
        <f>IFERROR(__xludf.DUMMYFUNCTION("QUERY('Volunteer Survey'!I819)"),"")</f>
        <v/>
      </c>
      <c r="Q420" s="66" t="str">
        <f>IFERROR(__xludf.DUMMYFUNCTION("QUERY('Volunteer Survey'!J819)"),"")</f>
        <v/>
      </c>
      <c r="R420" s="62" t="str">
        <f>IFERROR(__xludf.DUMMYFUNCTION("QUERY('Volunteer Survey'!K819)"),"")</f>
        <v/>
      </c>
      <c r="S420" s="62" t="str">
        <f>IFERROR(__xludf.DUMMYFUNCTION("QUERY('Volunteer Survey'!L819)"),"")</f>
        <v/>
      </c>
      <c r="T420" s="62" t="str">
        <f>IFERROR(__xludf.DUMMYFUNCTION("QUERY('Volunteer Survey'!M819)"),"")</f>
        <v/>
      </c>
      <c r="U420" s="74" t="str">
        <f>IFERROR(__xludf.DUMMYFUNCTION("QUERY('Volunteer Survey'!N819)"),"")</f>
        <v/>
      </c>
      <c r="V420" s="62" t="str">
        <f>IFERROR(__xludf.DUMMYFUNCTION("QUERY('Volunteer Survey'!O819)"),"")</f>
        <v/>
      </c>
      <c r="W420" s="75" t="str">
        <f>IFERROR(__xludf.DUMMYFUNCTION("QUERY('Volunteer Survey'!P819)"),"")</f>
        <v/>
      </c>
      <c r="X420" s="74" t="str">
        <f>IFERROR(__xludf.DUMMYFUNCTION("QUERY('Volunteer Survey'!R819)"),"")</f>
        <v/>
      </c>
      <c r="Y420" s="61"/>
      <c r="Z420" s="62"/>
      <c r="AA420" s="62"/>
      <c r="AB420" s="62"/>
      <c r="AC420" s="62"/>
      <c r="AD420" s="62"/>
      <c r="AE420" s="62"/>
      <c r="AF420" s="62"/>
      <c r="AG420" s="62"/>
      <c r="AH420" s="62"/>
      <c r="AI420" s="62"/>
      <c r="AJ420" s="62"/>
      <c r="AK420" s="62"/>
      <c r="AL420" s="62"/>
      <c r="AM420" s="62"/>
      <c r="AN420" s="62"/>
      <c r="AO420" s="62"/>
    </row>
    <row r="421">
      <c r="A421" s="62" t="str">
        <f>IFERROR(__xludf.DUMMYFUNCTION("QUERY('Volunteer Survey'!A820)"),"")</f>
        <v/>
      </c>
      <c r="B421" s="60" t="s">
        <v>340</v>
      </c>
      <c r="C421" s="61"/>
      <c r="D421" s="62"/>
      <c r="E421" s="62"/>
      <c r="F421" s="62" t="b">
        <v>0</v>
      </c>
      <c r="G421" s="62"/>
      <c r="H421" s="61"/>
      <c r="I421" s="61"/>
      <c r="J421" s="62"/>
      <c r="K421" s="62"/>
      <c r="L421" s="62" t="str">
        <f>IFERROR(__xludf.DUMMYFUNCTION("QUERY('Volunteer Survey'!B820)"),"")</f>
        <v/>
      </c>
      <c r="M421" s="62" t="str">
        <f>IFERROR(__xludf.DUMMYFUNCTION("QUERY('Volunteer Survey'!E820)"),"")</f>
        <v/>
      </c>
      <c r="N421" s="62" t="str">
        <f>IFERROR(__xludf.DUMMYFUNCTION("QUERY('Volunteer Survey'!F820)"),"")</f>
        <v/>
      </c>
      <c r="O421" s="60" t="str">
        <f>IFERROR(__xludf.DUMMYFUNCTION("QUERY('Volunteer Survey'!H820)"),"")</f>
        <v/>
      </c>
      <c r="P421" s="62" t="str">
        <f>IFERROR(__xludf.DUMMYFUNCTION("QUERY('Volunteer Survey'!I820)"),"")</f>
        <v/>
      </c>
      <c r="Q421" s="66" t="str">
        <f>IFERROR(__xludf.DUMMYFUNCTION("QUERY('Volunteer Survey'!J820)"),"")</f>
        <v/>
      </c>
      <c r="R421" s="62" t="str">
        <f>IFERROR(__xludf.DUMMYFUNCTION("QUERY('Volunteer Survey'!K820)"),"")</f>
        <v/>
      </c>
      <c r="S421" s="62" t="str">
        <f>IFERROR(__xludf.DUMMYFUNCTION("QUERY('Volunteer Survey'!L820)"),"")</f>
        <v/>
      </c>
      <c r="T421" s="62" t="str">
        <f>IFERROR(__xludf.DUMMYFUNCTION("QUERY('Volunteer Survey'!M820)"),"")</f>
        <v/>
      </c>
      <c r="U421" s="74" t="str">
        <f>IFERROR(__xludf.DUMMYFUNCTION("QUERY('Volunteer Survey'!N820)"),"")</f>
        <v/>
      </c>
      <c r="V421" s="62" t="str">
        <f>IFERROR(__xludf.DUMMYFUNCTION("QUERY('Volunteer Survey'!O820)"),"")</f>
        <v/>
      </c>
      <c r="W421" s="75" t="str">
        <f>IFERROR(__xludf.DUMMYFUNCTION("QUERY('Volunteer Survey'!P820)"),"")</f>
        <v/>
      </c>
      <c r="X421" s="74" t="str">
        <f>IFERROR(__xludf.DUMMYFUNCTION("QUERY('Volunteer Survey'!R820)"),"")</f>
        <v/>
      </c>
      <c r="Y421" s="61"/>
      <c r="Z421" s="62"/>
      <c r="AA421" s="62"/>
      <c r="AB421" s="62"/>
      <c r="AC421" s="62"/>
      <c r="AD421" s="62"/>
      <c r="AE421" s="62"/>
      <c r="AF421" s="62"/>
      <c r="AG421" s="62"/>
      <c r="AH421" s="62"/>
      <c r="AI421" s="62"/>
      <c r="AJ421" s="62"/>
      <c r="AK421" s="62"/>
      <c r="AL421" s="62"/>
      <c r="AM421" s="62"/>
      <c r="AN421" s="62"/>
      <c r="AO421" s="62"/>
    </row>
    <row r="422">
      <c r="A422" s="62" t="str">
        <f>IFERROR(__xludf.DUMMYFUNCTION("QUERY('Volunteer Survey'!A821)"),"")</f>
        <v/>
      </c>
      <c r="B422" s="60" t="s">
        <v>340</v>
      </c>
      <c r="C422" s="61"/>
      <c r="D422" s="62"/>
      <c r="E422" s="62"/>
      <c r="F422" s="62" t="b">
        <v>0</v>
      </c>
      <c r="G422" s="62"/>
      <c r="H422" s="61"/>
      <c r="I422" s="61"/>
      <c r="J422" s="62"/>
      <c r="K422" s="62"/>
      <c r="L422" s="62" t="str">
        <f>IFERROR(__xludf.DUMMYFUNCTION("QUERY('Volunteer Survey'!B821)"),"")</f>
        <v/>
      </c>
      <c r="M422" s="62" t="str">
        <f>IFERROR(__xludf.DUMMYFUNCTION("QUERY('Volunteer Survey'!E821)"),"")</f>
        <v/>
      </c>
      <c r="N422" s="62" t="str">
        <f>IFERROR(__xludf.DUMMYFUNCTION("QUERY('Volunteer Survey'!F821)"),"")</f>
        <v/>
      </c>
      <c r="O422" s="60" t="str">
        <f>IFERROR(__xludf.DUMMYFUNCTION("QUERY('Volunteer Survey'!H821)"),"")</f>
        <v/>
      </c>
      <c r="P422" s="62" t="str">
        <f>IFERROR(__xludf.DUMMYFUNCTION("QUERY('Volunteer Survey'!I821)"),"")</f>
        <v/>
      </c>
      <c r="Q422" s="66" t="str">
        <f>IFERROR(__xludf.DUMMYFUNCTION("QUERY('Volunteer Survey'!J821)"),"")</f>
        <v/>
      </c>
      <c r="R422" s="62" t="str">
        <f>IFERROR(__xludf.DUMMYFUNCTION("QUERY('Volunteer Survey'!K821)"),"")</f>
        <v/>
      </c>
      <c r="S422" s="62" t="str">
        <f>IFERROR(__xludf.DUMMYFUNCTION("QUERY('Volunteer Survey'!L821)"),"")</f>
        <v/>
      </c>
      <c r="T422" s="62" t="str">
        <f>IFERROR(__xludf.DUMMYFUNCTION("QUERY('Volunteer Survey'!M821)"),"")</f>
        <v/>
      </c>
      <c r="U422" s="74" t="str">
        <f>IFERROR(__xludf.DUMMYFUNCTION("QUERY('Volunteer Survey'!N821)"),"")</f>
        <v/>
      </c>
      <c r="V422" s="62" t="str">
        <f>IFERROR(__xludf.DUMMYFUNCTION("QUERY('Volunteer Survey'!O821)"),"")</f>
        <v/>
      </c>
      <c r="W422" s="75" t="str">
        <f>IFERROR(__xludf.DUMMYFUNCTION("QUERY('Volunteer Survey'!P821)"),"")</f>
        <v/>
      </c>
      <c r="X422" s="74" t="str">
        <f>IFERROR(__xludf.DUMMYFUNCTION("QUERY('Volunteer Survey'!R821)"),"")</f>
        <v/>
      </c>
      <c r="Y422" s="61"/>
      <c r="Z422" s="62"/>
      <c r="AA422" s="62"/>
      <c r="AB422" s="62"/>
      <c r="AC422" s="62"/>
      <c r="AD422" s="62"/>
      <c r="AE422" s="62"/>
      <c r="AF422" s="62"/>
      <c r="AG422" s="62"/>
      <c r="AH422" s="62"/>
      <c r="AI422" s="62"/>
      <c r="AJ422" s="62"/>
      <c r="AK422" s="62"/>
      <c r="AL422" s="62"/>
      <c r="AM422" s="62"/>
      <c r="AN422" s="62"/>
      <c r="AO422" s="62"/>
    </row>
    <row r="423">
      <c r="A423" s="62" t="str">
        <f>IFERROR(__xludf.DUMMYFUNCTION("QUERY('Volunteer Survey'!A822)"),"")</f>
        <v/>
      </c>
      <c r="B423" s="60" t="s">
        <v>340</v>
      </c>
      <c r="C423" s="61"/>
      <c r="D423" s="62"/>
      <c r="E423" s="62"/>
      <c r="F423" s="62" t="b">
        <v>0</v>
      </c>
      <c r="G423" s="62"/>
      <c r="H423" s="61"/>
      <c r="I423" s="61"/>
      <c r="J423" s="62"/>
      <c r="K423" s="62"/>
      <c r="L423" s="62" t="str">
        <f>IFERROR(__xludf.DUMMYFUNCTION("QUERY('Volunteer Survey'!B822)"),"")</f>
        <v/>
      </c>
      <c r="M423" s="62" t="str">
        <f>IFERROR(__xludf.DUMMYFUNCTION("QUERY('Volunteer Survey'!E822)"),"")</f>
        <v/>
      </c>
      <c r="N423" s="62" t="str">
        <f>IFERROR(__xludf.DUMMYFUNCTION("QUERY('Volunteer Survey'!F822)"),"")</f>
        <v/>
      </c>
      <c r="O423" s="60" t="str">
        <f>IFERROR(__xludf.DUMMYFUNCTION("QUERY('Volunteer Survey'!H822)"),"")</f>
        <v/>
      </c>
      <c r="P423" s="62" t="str">
        <f>IFERROR(__xludf.DUMMYFUNCTION("QUERY('Volunteer Survey'!I822)"),"")</f>
        <v/>
      </c>
      <c r="Q423" s="66" t="str">
        <f>IFERROR(__xludf.DUMMYFUNCTION("QUERY('Volunteer Survey'!J822)"),"")</f>
        <v/>
      </c>
      <c r="R423" s="62" t="str">
        <f>IFERROR(__xludf.DUMMYFUNCTION("QUERY('Volunteer Survey'!K822)"),"")</f>
        <v/>
      </c>
      <c r="S423" s="62" t="str">
        <f>IFERROR(__xludf.DUMMYFUNCTION("QUERY('Volunteer Survey'!L822)"),"")</f>
        <v/>
      </c>
      <c r="T423" s="62" t="str">
        <f>IFERROR(__xludf.DUMMYFUNCTION("QUERY('Volunteer Survey'!M822)"),"")</f>
        <v/>
      </c>
      <c r="U423" s="74" t="str">
        <f>IFERROR(__xludf.DUMMYFUNCTION("QUERY('Volunteer Survey'!N822)"),"")</f>
        <v/>
      </c>
      <c r="V423" s="62" t="str">
        <f>IFERROR(__xludf.DUMMYFUNCTION("QUERY('Volunteer Survey'!O822)"),"")</f>
        <v/>
      </c>
      <c r="W423" s="75" t="str">
        <f>IFERROR(__xludf.DUMMYFUNCTION("QUERY('Volunteer Survey'!P822)"),"")</f>
        <v/>
      </c>
      <c r="X423" s="74" t="str">
        <f>IFERROR(__xludf.DUMMYFUNCTION("QUERY('Volunteer Survey'!R822)"),"")</f>
        <v/>
      </c>
      <c r="Y423" s="61"/>
      <c r="Z423" s="62"/>
      <c r="AA423" s="62"/>
      <c r="AB423" s="62"/>
      <c r="AC423" s="62"/>
      <c r="AD423" s="62"/>
      <c r="AE423" s="62"/>
      <c r="AF423" s="62"/>
      <c r="AG423" s="62"/>
      <c r="AH423" s="62"/>
      <c r="AI423" s="62"/>
      <c r="AJ423" s="62"/>
      <c r="AK423" s="62"/>
      <c r="AL423" s="62"/>
      <c r="AM423" s="62"/>
      <c r="AN423" s="62"/>
      <c r="AO423" s="62"/>
    </row>
    <row r="424">
      <c r="A424" s="62" t="str">
        <f>IFERROR(__xludf.DUMMYFUNCTION("QUERY('Volunteer Survey'!A823)"),"")</f>
        <v/>
      </c>
      <c r="B424" s="60" t="s">
        <v>340</v>
      </c>
      <c r="C424" s="61"/>
      <c r="D424" s="62"/>
      <c r="E424" s="62"/>
      <c r="F424" s="62" t="b">
        <v>0</v>
      </c>
      <c r="G424" s="62"/>
      <c r="H424" s="61"/>
      <c r="I424" s="61"/>
      <c r="J424" s="62"/>
      <c r="K424" s="62"/>
      <c r="L424" s="62" t="str">
        <f>IFERROR(__xludf.DUMMYFUNCTION("QUERY('Volunteer Survey'!B823)"),"")</f>
        <v/>
      </c>
      <c r="M424" s="62" t="str">
        <f>IFERROR(__xludf.DUMMYFUNCTION("QUERY('Volunteer Survey'!E823)"),"")</f>
        <v/>
      </c>
      <c r="N424" s="62" t="str">
        <f>IFERROR(__xludf.DUMMYFUNCTION("QUERY('Volunteer Survey'!F823)"),"")</f>
        <v/>
      </c>
      <c r="O424" s="60" t="str">
        <f>IFERROR(__xludf.DUMMYFUNCTION("QUERY('Volunteer Survey'!H823)"),"")</f>
        <v/>
      </c>
      <c r="P424" s="62" t="str">
        <f>IFERROR(__xludf.DUMMYFUNCTION("QUERY('Volunteer Survey'!I823)"),"")</f>
        <v/>
      </c>
      <c r="Q424" s="66" t="str">
        <f>IFERROR(__xludf.DUMMYFUNCTION("QUERY('Volunteer Survey'!J823)"),"")</f>
        <v/>
      </c>
      <c r="R424" s="62" t="str">
        <f>IFERROR(__xludf.DUMMYFUNCTION("QUERY('Volunteer Survey'!K823)"),"")</f>
        <v/>
      </c>
      <c r="S424" s="62" t="str">
        <f>IFERROR(__xludf.DUMMYFUNCTION("QUERY('Volunteer Survey'!L823)"),"")</f>
        <v/>
      </c>
      <c r="T424" s="62" t="str">
        <f>IFERROR(__xludf.DUMMYFUNCTION("QUERY('Volunteer Survey'!M823)"),"")</f>
        <v/>
      </c>
      <c r="U424" s="74" t="str">
        <f>IFERROR(__xludf.DUMMYFUNCTION("QUERY('Volunteer Survey'!N823)"),"")</f>
        <v/>
      </c>
      <c r="V424" s="62" t="str">
        <f>IFERROR(__xludf.DUMMYFUNCTION("QUERY('Volunteer Survey'!O823)"),"")</f>
        <v/>
      </c>
      <c r="W424" s="75" t="str">
        <f>IFERROR(__xludf.DUMMYFUNCTION("QUERY('Volunteer Survey'!P823)"),"")</f>
        <v/>
      </c>
      <c r="X424" s="74" t="str">
        <f>IFERROR(__xludf.DUMMYFUNCTION("QUERY('Volunteer Survey'!R823)"),"")</f>
        <v/>
      </c>
      <c r="Y424" s="61"/>
      <c r="Z424" s="62"/>
      <c r="AA424" s="62"/>
      <c r="AB424" s="62"/>
      <c r="AC424" s="62"/>
      <c r="AD424" s="62"/>
      <c r="AE424" s="62"/>
      <c r="AF424" s="62"/>
      <c r="AG424" s="62"/>
      <c r="AH424" s="62"/>
      <c r="AI424" s="62"/>
      <c r="AJ424" s="62"/>
      <c r="AK424" s="62"/>
      <c r="AL424" s="62"/>
      <c r="AM424" s="62"/>
      <c r="AN424" s="62"/>
      <c r="AO424" s="62"/>
    </row>
    <row r="425">
      <c r="A425" s="62" t="str">
        <f>IFERROR(__xludf.DUMMYFUNCTION("QUERY('Volunteer Survey'!A824)"),"")</f>
        <v/>
      </c>
      <c r="B425" s="60" t="s">
        <v>340</v>
      </c>
      <c r="C425" s="61"/>
      <c r="D425" s="62"/>
      <c r="E425" s="62"/>
      <c r="F425" s="62" t="b">
        <v>0</v>
      </c>
      <c r="G425" s="62"/>
      <c r="H425" s="61"/>
      <c r="I425" s="61"/>
      <c r="J425" s="62"/>
      <c r="K425" s="62"/>
      <c r="L425" s="62" t="str">
        <f>IFERROR(__xludf.DUMMYFUNCTION("QUERY('Volunteer Survey'!B824)"),"")</f>
        <v/>
      </c>
      <c r="M425" s="62" t="str">
        <f>IFERROR(__xludf.DUMMYFUNCTION("QUERY('Volunteer Survey'!E824)"),"")</f>
        <v/>
      </c>
      <c r="N425" s="62" t="str">
        <f>IFERROR(__xludf.DUMMYFUNCTION("QUERY('Volunteer Survey'!F824)"),"")</f>
        <v/>
      </c>
      <c r="O425" s="60" t="str">
        <f>IFERROR(__xludf.DUMMYFUNCTION("QUERY('Volunteer Survey'!H824)"),"")</f>
        <v/>
      </c>
      <c r="P425" s="62" t="str">
        <f>IFERROR(__xludf.DUMMYFUNCTION("QUERY('Volunteer Survey'!I824)"),"")</f>
        <v/>
      </c>
      <c r="Q425" s="66" t="str">
        <f>IFERROR(__xludf.DUMMYFUNCTION("QUERY('Volunteer Survey'!J824)"),"")</f>
        <v/>
      </c>
      <c r="R425" s="62" t="str">
        <f>IFERROR(__xludf.DUMMYFUNCTION("QUERY('Volunteer Survey'!K824)"),"")</f>
        <v/>
      </c>
      <c r="S425" s="62" t="str">
        <f>IFERROR(__xludf.DUMMYFUNCTION("QUERY('Volunteer Survey'!L824)"),"")</f>
        <v/>
      </c>
      <c r="T425" s="62" t="str">
        <f>IFERROR(__xludf.DUMMYFUNCTION("QUERY('Volunteer Survey'!M824)"),"")</f>
        <v/>
      </c>
      <c r="U425" s="74" t="str">
        <f>IFERROR(__xludf.DUMMYFUNCTION("QUERY('Volunteer Survey'!N824)"),"")</f>
        <v/>
      </c>
      <c r="V425" s="62" t="str">
        <f>IFERROR(__xludf.DUMMYFUNCTION("QUERY('Volunteer Survey'!O824)"),"")</f>
        <v/>
      </c>
      <c r="W425" s="75" t="str">
        <f>IFERROR(__xludf.DUMMYFUNCTION("QUERY('Volunteer Survey'!P824)"),"")</f>
        <v/>
      </c>
      <c r="X425" s="74" t="str">
        <f>IFERROR(__xludf.DUMMYFUNCTION("QUERY('Volunteer Survey'!R824)"),"")</f>
        <v/>
      </c>
      <c r="Y425" s="61"/>
      <c r="Z425" s="62"/>
      <c r="AA425" s="62"/>
      <c r="AB425" s="62"/>
      <c r="AC425" s="62"/>
      <c r="AD425" s="62"/>
      <c r="AE425" s="62"/>
      <c r="AF425" s="62"/>
      <c r="AG425" s="62"/>
      <c r="AH425" s="62"/>
      <c r="AI425" s="62"/>
      <c r="AJ425" s="62"/>
      <c r="AK425" s="62"/>
      <c r="AL425" s="62"/>
      <c r="AM425" s="62"/>
      <c r="AN425" s="62"/>
      <c r="AO425" s="62"/>
    </row>
    <row r="426">
      <c r="A426" s="62" t="str">
        <f>IFERROR(__xludf.DUMMYFUNCTION("QUERY('Volunteer Survey'!A825)"),"")</f>
        <v/>
      </c>
      <c r="B426" s="60" t="s">
        <v>340</v>
      </c>
      <c r="C426" s="61"/>
      <c r="D426" s="62"/>
      <c r="E426" s="62"/>
      <c r="F426" s="62" t="b">
        <v>0</v>
      </c>
      <c r="G426" s="62"/>
      <c r="H426" s="61"/>
      <c r="I426" s="61"/>
      <c r="J426" s="62"/>
      <c r="K426" s="62"/>
      <c r="L426" s="62" t="str">
        <f>IFERROR(__xludf.DUMMYFUNCTION("QUERY('Volunteer Survey'!B825)"),"")</f>
        <v/>
      </c>
      <c r="M426" s="62" t="str">
        <f>IFERROR(__xludf.DUMMYFUNCTION("QUERY('Volunteer Survey'!E825)"),"")</f>
        <v/>
      </c>
      <c r="N426" s="62" t="str">
        <f>IFERROR(__xludf.DUMMYFUNCTION("QUERY('Volunteer Survey'!F825)"),"")</f>
        <v/>
      </c>
      <c r="O426" s="60" t="str">
        <f>IFERROR(__xludf.DUMMYFUNCTION("QUERY('Volunteer Survey'!H825)"),"")</f>
        <v/>
      </c>
      <c r="P426" s="62" t="str">
        <f>IFERROR(__xludf.DUMMYFUNCTION("QUERY('Volunteer Survey'!I825)"),"")</f>
        <v/>
      </c>
      <c r="Q426" s="66" t="str">
        <f>IFERROR(__xludf.DUMMYFUNCTION("QUERY('Volunteer Survey'!J825)"),"")</f>
        <v/>
      </c>
      <c r="R426" s="62" t="str">
        <f>IFERROR(__xludf.DUMMYFUNCTION("QUERY('Volunteer Survey'!K825)"),"")</f>
        <v/>
      </c>
      <c r="S426" s="62" t="str">
        <f>IFERROR(__xludf.DUMMYFUNCTION("QUERY('Volunteer Survey'!L825)"),"")</f>
        <v/>
      </c>
      <c r="T426" s="62" t="str">
        <f>IFERROR(__xludf.DUMMYFUNCTION("QUERY('Volunteer Survey'!M825)"),"")</f>
        <v/>
      </c>
      <c r="U426" s="74" t="str">
        <f>IFERROR(__xludf.DUMMYFUNCTION("QUERY('Volunteer Survey'!N825)"),"")</f>
        <v/>
      </c>
      <c r="V426" s="62" t="str">
        <f>IFERROR(__xludf.DUMMYFUNCTION("QUERY('Volunteer Survey'!O825)"),"")</f>
        <v/>
      </c>
      <c r="W426" s="75" t="str">
        <f>IFERROR(__xludf.DUMMYFUNCTION("QUERY('Volunteer Survey'!P825)"),"")</f>
        <v/>
      </c>
      <c r="X426" s="74" t="str">
        <f>IFERROR(__xludf.DUMMYFUNCTION("QUERY('Volunteer Survey'!R825)"),"")</f>
        <v/>
      </c>
      <c r="Y426" s="61"/>
      <c r="Z426" s="62"/>
      <c r="AA426" s="62"/>
      <c r="AB426" s="62"/>
      <c r="AC426" s="62"/>
      <c r="AD426" s="62"/>
      <c r="AE426" s="62"/>
      <c r="AF426" s="62"/>
      <c r="AG426" s="62"/>
      <c r="AH426" s="62"/>
      <c r="AI426" s="62"/>
      <c r="AJ426" s="62"/>
      <c r="AK426" s="62"/>
      <c r="AL426" s="62"/>
      <c r="AM426" s="62"/>
      <c r="AN426" s="62"/>
      <c r="AO426" s="62"/>
    </row>
    <row r="427">
      <c r="A427" s="62" t="str">
        <f>IFERROR(__xludf.DUMMYFUNCTION("QUERY('Volunteer Survey'!A826)"),"")</f>
        <v/>
      </c>
      <c r="B427" s="60" t="s">
        <v>340</v>
      </c>
      <c r="C427" s="61"/>
      <c r="D427" s="62"/>
      <c r="E427" s="62"/>
      <c r="F427" s="62" t="b">
        <v>0</v>
      </c>
      <c r="G427" s="62"/>
      <c r="H427" s="61"/>
      <c r="I427" s="61"/>
      <c r="J427" s="62"/>
      <c r="K427" s="62"/>
      <c r="L427" s="62" t="str">
        <f>IFERROR(__xludf.DUMMYFUNCTION("QUERY('Volunteer Survey'!B826)"),"")</f>
        <v/>
      </c>
      <c r="M427" s="62" t="str">
        <f>IFERROR(__xludf.DUMMYFUNCTION("QUERY('Volunteer Survey'!E826)"),"")</f>
        <v/>
      </c>
      <c r="N427" s="62" t="str">
        <f>IFERROR(__xludf.DUMMYFUNCTION("QUERY('Volunteer Survey'!F826)"),"")</f>
        <v/>
      </c>
      <c r="O427" s="60" t="str">
        <f>IFERROR(__xludf.DUMMYFUNCTION("QUERY('Volunteer Survey'!H826)"),"")</f>
        <v/>
      </c>
      <c r="P427" s="62" t="str">
        <f>IFERROR(__xludf.DUMMYFUNCTION("QUERY('Volunteer Survey'!I826)"),"")</f>
        <v/>
      </c>
      <c r="Q427" s="66" t="str">
        <f>IFERROR(__xludf.DUMMYFUNCTION("QUERY('Volunteer Survey'!J826)"),"")</f>
        <v/>
      </c>
      <c r="R427" s="62" t="str">
        <f>IFERROR(__xludf.DUMMYFUNCTION("QUERY('Volunteer Survey'!K826)"),"")</f>
        <v/>
      </c>
      <c r="S427" s="62" t="str">
        <f>IFERROR(__xludf.DUMMYFUNCTION("QUERY('Volunteer Survey'!L826)"),"")</f>
        <v/>
      </c>
      <c r="T427" s="62" t="str">
        <f>IFERROR(__xludf.DUMMYFUNCTION("QUERY('Volunteer Survey'!M826)"),"")</f>
        <v/>
      </c>
      <c r="U427" s="74" t="str">
        <f>IFERROR(__xludf.DUMMYFUNCTION("QUERY('Volunteer Survey'!N826)"),"")</f>
        <v/>
      </c>
      <c r="V427" s="62" t="str">
        <f>IFERROR(__xludf.DUMMYFUNCTION("QUERY('Volunteer Survey'!O826)"),"")</f>
        <v/>
      </c>
      <c r="W427" s="75" t="str">
        <f>IFERROR(__xludf.DUMMYFUNCTION("QUERY('Volunteer Survey'!P826)"),"")</f>
        <v/>
      </c>
      <c r="X427" s="74" t="str">
        <f>IFERROR(__xludf.DUMMYFUNCTION("QUERY('Volunteer Survey'!R826)"),"")</f>
        <v/>
      </c>
      <c r="Y427" s="61"/>
      <c r="Z427" s="62"/>
      <c r="AA427" s="62"/>
      <c r="AB427" s="62"/>
      <c r="AC427" s="62"/>
      <c r="AD427" s="62"/>
      <c r="AE427" s="62"/>
      <c r="AF427" s="62"/>
      <c r="AG427" s="62"/>
      <c r="AH427" s="62"/>
      <c r="AI427" s="62"/>
      <c r="AJ427" s="62"/>
      <c r="AK427" s="62"/>
      <c r="AL427" s="62"/>
      <c r="AM427" s="62"/>
      <c r="AN427" s="62"/>
      <c r="AO427" s="62"/>
    </row>
    <row r="428">
      <c r="A428" s="62" t="str">
        <f>IFERROR(__xludf.DUMMYFUNCTION("QUERY('Volunteer Survey'!A827)"),"")</f>
        <v/>
      </c>
      <c r="B428" s="60" t="s">
        <v>340</v>
      </c>
      <c r="C428" s="61"/>
      <c r="D428" s="62"/>
      <c r="E428" s="62"/>
      <c r="F428" s="62" t="b">
        <v>0</v>
      </c>
      <c r="G428" s="62"/>
      <c r="H428" s="61"/>
      <c r="I428" s="61"/>
      <c r="J428" s="62"/>
      <c r="K428" s="62"/>
      <c r="L428" s="62" t="str">
        <f>IFERROR(__xludf.DUMMYFUNCTION("QUERY('Volunteer Survey'!B827)"),"")</f>
        <v/>
      </c>
      <c r="M428" s="62" t="str">
        <f>IFERROR(__xludf.DUMMYFUNCTION("QUERY('Volunteer Survey'!E827)"),"")</f>
        <v/>
      </c>
      <c r="N428" s="62" t="str">
        <f>IFERROR(__xludf.DUMMYFUNCTION("QUERY('Volunteer Survey'!F827)"),"")</f>
        <v/>
      </c>
      <c r="O428" s="60" t="str">
        <f>IFERROR(__xludf.DUMMYFUNCTION("QUERY('Volunteer Survey'!H827)"),"")</f>
        <v/>
      </c>
      <c r="P428" s="62" t="str">
        <f>IFERROR(__xludf.DUMMYFUNCTION("QUERY('Volunteer Survey'!I827)"),"")</f>
        <v/>
      </c>
      <c r="Q428" s="66" t="str">
        <f>IFERROR(__xludf.DUMMYFUNCTION("QUERY('Volunteer Survey'!J827)"),"")</f>
        <v/>
      </c>
      <c r="R428" s="62" t="str">
        <f>IFERROR(__xludf.DUMMYFUNCTION("QUERY('Volunteer Survey'!K827)"),"")</f>
        <v/>
      </c>
      <c r="S428" s="62" t="str">
        <f>IFERROR(__xludf.DUMMYFUNCTION("QUERY('Volunteer Survey'!L827)"),"")</f>
        <v/>
      </c>
      <c r="T428" s="62" t="str">
        <f>IFERROR(__xludf.DUMMYFUNCTION("QUERY('Volunteer Survey'!M827)"),"")</f>
        <v/>
      </c>
      <c r="U428" s="74" t="str">
        <f>IFERROR(__xludf.DUMMYFUNCTION("QUERY('Volunteer Survey'!N827)"),"")</f>
        <v/>
      </c>
      <c r="V428" s="62" t="str">
        <f>IFERROR(__xludf.DUMMYFUNCTION("QUERY('Volunteer Survey'!O827)"),"")</f>
        <v/>
      </c>
      <c r="W428" s="75" t="str">
        <f>IFERROR(__xludf.DUMMYFUNCTION("QUERY('Volunteer Survey'!P827)"),"")</f>
        <v/>
      </c>
      <c r="X428" s="74" t="str">
        <f>IFERROR(__xludf.DUMMYFUNCTION("QUERY('Volunteer Survey'!R827)"),"")</f>
        <v/>
      </c>
      <c r="Y428" s="61"/>
      <c r="Z428" s="62"/>
      <c r="AA428" s="62"/>
      <c r="AB428" s="62"/>
      <c r="AC428" s="62"/>
      <c r="AD428" s="62"/>
      <c r="AE428" s="62"/>
      <c r="AF428" s="62"/>
      <c r="AG428" s="62"/>
      <c r="AH428" s="62"/>
      <c r="AI428" s="62"/>
      <c r="AJ428" s="62"/>
      <c r="AK428" s="62"/>
      <c r="AL428" s="62"/>
      <c r="AM428" s="62"/>
      <c r="AN428" s="62"/>
      <c r="AO428" s="62"/>
    </row>
    <row r="429">
      <c r="A429" s="62" t="str">
        <f>IFERROR(__xludf.DUMMYFUNCTION("QUERY('Volunteer Survey'!A828)"),"")</f>
        <v/>
      </c>
      <c r="B429" s="60" t="s">
        <v>340</v>
      </c>
      <c r="C429" s="61"/>
      <c r="D429" s="62"/>
      <c r="E429" s="62"/>
      <c r="F429" s="62" t="b">
        <v>0</v>
      </c>
      <c r="G429" s="62"/>
      <c r="H429" s="61"/>
      <c r="I429" s="61"/>
      <c r="J429" s="62"/>
      <c r="K429" s="62"/>
      <c r="L429" s="62" t="str">
        <f>IFERROR(__xludf.DUMMYFUNCTION("QUERY('Volunteer Survey'!B828)"),"")</f>
        <v/>
      </c>
      <c r="M429" s="62" t="str">
        <f>IFERROR(__xludf.DUMMYFUNCTION("QUERY('Volunteer Survey'!E828)"),"")</f>
        <v/>
      </c>
      <c r="N429" s="62" t="str">
        <f>IFERROR(__xludf.DUMMYFUNCTION("QUERY('Volunteer Survey'!F828)"),"")</f>
        <v/>
      </c>
      <c r="O429" s="60" t="str">
        <f>IFERROR(__xludf.DUMMYFUNCTION("QUERY('Volunteer Survey'!H828)"),"")</f>
        <v/>
      </c>
      <c r="P429" s="62" t="str">
        <f>IFERROR(__xludf.DUMMYFUNCTION("QUERY('Volunteer Survey'!I828)"),"")</f>
        <v/>
      </c>
      <c r="Q429" s="66" t="str">
        <f>IFERROR(__xludf.DUMMYFUNCTION("QUERY('Volunteer Survey'!J828)"),"")</f>
        <v/>
      </c>
      <c r="R429" s="62" t="str">
        <f>IFERROR(__xludf.DUMMYFUNCTION("QUERY('Volunteer Survey'!K828)"),"")</f>
        <v/>
      </c>
      <c r="S429" s="62" t="str">
        <f>IFERROR(__xludf.DUMMYFUNCTION("QUERY('Volunteer Survey'!L828)"),"")</f>
        <v/>
      </c>
      <c r="T429" s="62" t="str">
        <f>IFERROR(__xludf.DUMMYFUNCTION("QUERY('Volunteer Survey'!M828)"),"")</f>
        <v/>
      </c>
      <c r="U429" s="74" t="str">
        <f>IFERROR(__xludf.DUMMYFUNCTION("QUERY('Volunteer Survey'!N828)"),"")</f>
        <v/>
      </c>
      <c r="V429" s="62" t="str">
        <f>IFERROR(__xludf.DUMMYFUNCTION("QUERY('Volunteer Survey'!O828)"),"")</f>
        <v/>
      </c>
      <c r="W429" s="75" t="str">
        <f>IFERROR(__xludf.DUMMYFUNCTION("QUERY('Volunteer Survey'!P828)"),"")</f>
        <v/>
      </c>
      <c r="X429" s="74" t="str">
        <f>IFERROR(__xludf.DUMMYFUNCTION("QUERY('Volunteer Survey'!R828)"),"")</f>
        <v/>
      </c>
      <c r="Y429" s="61"/>
      <c r="Z429" s="62"/>
      <c r="AA429" s="62"/>
      <c r="AB429" s="62"/>
      <c r="AC429" s="62"/>
      <c r="AD429" s="62"/>
      <c r="AE429" s="62"/>
      <c r="AF429" s="62"/>
      <c r="AG429" s="62"/>
      <c r="AH429" s="62"/>
      <c r="AI429" s="62"/>
      <c r="AJ429" s="62"/>
      <c r="AK429" s="62"/>
      <c r="AL429" s="62"/>
      <c r="AM429" s="62"/>
      <c r="AN429" s="62"/>
      <c r="AO429" s="62"/>
    </row>
    <row r="430">
      <c r="A430" s="62" t="str">
        <f>IFERROR(__xludf.DUMMYFUNCTION("QUERY('Volunteer Survey'!A829)"),"")</f>
        <v/>
      </c>
      <c r="B430" s="60" t="s">
        <v>340</v>
      </c>
      <c r="C430" s="61"/>
      <c r="D430" s="62"/>
      <c r="E430" s="62"/>
      <c r="F430" s="62" t="b">
        <v>0</v>
      </c>
      <c r="G430" s="62"/>
      <c r="H430" s="61"/>
      <c r="I430" s="61"/>
      <c r="J430" s="62"/>
      <c r="K430" s="62"/>
      <c r="L430" s="62" t="str">
        <f>IFERROR(__xludf.DUMMYFUNCTION("QUERY('Volunteer Survey'!B829)"),"")</f>
        <v/>
      </c>
      <c r="M430" s="62" t="str">
        <f>IFERROR(__xludf.DUMMYFUNCTION("QUERY('Volunteer Survey'!E829)"),"")</f>
        <v/>
      </c>
      <c r="N430" s="62" t="str">
        <f>IFERROR(__xludf.DUMMYFUNCTION("QUERY('Volunteer Survey'!F829)"),"")</f>
        <v/>
      </c>
      <c r="O430" s="60" t="str">
        <f>IFERROR(__xludf.DUMMYFUNCTION("QUERY('Volunteer Survey'!H829)"),"")</f>
        <v/>
      </c>
      <c r="P430" s="62" t="str">
        <f>IFERROR(__xludf.DUMMYFUNCTION("QUERY('Volunteer Survey'!I829)"),"")</f>
        <v/>
      </c>
      <c r="Q430" s="66" t="str">
        <f>IFERROR(__xludf.DUMMYFUNCTION("QUERY('Volunteer Survey'!J829)"),"")</f>
        <v/>
      </c>
      <c r="R430" s="62" t="str">
        <f>IFERROR(__xludf.DUMMYFUNCTION("QUERY('Volunteer Survey'!K829)"),"")</f>
        <v/>
      </c>
      <c r="S430" s="62" t="str">
        <f>IFERROR(__xludf.DUMMYFUNCTION("QUERY('Volunteer Survey'!L829)"),"")</f>
        <v/>
      </c>
      <c r="T430" s="62" t="str">
        <f>IFERROR(__xludf.DUMMYFUNCTION("QUERY('Volunteer Survey'!M829)"),"")</f>
        <v/>
      </c>
      <c r="U430" s="74" t="str">
        <f>IFERROR(__xludf.DUMMYFUNCTION("QUERY('Volunteer Survey'!N829)"),"")</f>
        <v/>
      </c>
      <c r="V430" s="62" t="str">
        <f>IFERROR(__xludf.DUMMYFUNCTION("QUERY('Volunteer Survey'!O829)"),"")</f>
        <v/>
      </c>
      <c r="W430" s="75" t="str">
        <f>IFERROR(__xludf.DUMMYFUNCTION("QUERY('Volunteer Survey'!P829)"),"")</f>
        <v/>
      </c>
      <c r="X430" s="74" t="str">
        <f>IFERROR(__xludf.DUMMYFUNCTION("QUERY('Volunteer Survey'!R829)"),"")</f>
        <v/>
      </c>
      <c r="Y430" s="61"/>
      <c r="Z430" s="62"/>
      <c r="AA430" s="62"/>
      <c r="AB430" s="62"/>
      <c r="AC430" s="62"/>
      <c r="AD430" s="62"/>
      <c r="AE430" s="62"/>
      <c r="AF430" s="62"/>
      <c r="AG430" s="62"/>
      <c r="AH430" s="62"/>
      <c r="AI430" s="62"/>
      <c r="AJ430" s="62"/>
      <c r="AK430" s="62"/>
      <c r="AL430" s="62"/>
      <c r="AM430" s="62"/>
      <c r="AN430" s="62"/>
      <c r="AO430" s="62"/>
    </row>
    <row r="431">
      <c r="A431" s="62" t="str">
        <f>IFERROR(__xludf.DUMMYFUNCTION("QUERY('Volunteer Survey'!A830)"),"")</f>
        <v/>
      </c>
      <c r="B431" s="60" t="s">
        <v>340</v>
      </c>
      <c r="C431" s="61"/>
      <c r="D431" s="62"/>
      <c r="E431" s="62"/>
      <c r="F431" s="62" t="b">
        <v>0</v>
      </c>
      <c r="G431" s="62"/>
      <c r="H431" s="61"/>
      <c r="I431" s="61"/>
      <c r="J431" s="62"/>
      <c r="K431" s="62"/>
      <c r="L431" s="62" t="str">
        <f>IFERROR(__xludf.DUMMYFUNCTION("QUERY('Volunteer Survey'!B830)"),"")</f>
        <v/>
      </c>
      <c r="M431" s="62" t="str">
        <f>IFERROR(__xludf.DUMMYFUNCTION("QUERY('Volunteer Survey'!E830)"),"")</f>
        <v/>
      </c>
      <c r="N431" s="62" t="str">
        <f>IFERROR(__xludf.DUMMYFUNCTION("QUERY('Volunteer Survey'!F830)"),"")</f>
        <v/>
      </c>
      <c r="O431" s="60" t="str">
        <f>IFERROR(__xludf.DUMMYFUNCTION("QUERY('Volunteer Survey'!H830)"),"")</f>
        <v/>
      </c>
      <c r="P431" s="62" t="str">
        <f>IFERROR(__xludf.DUMMYFUNCTION("QUERY('Volunteer Survey'!I830)"),"")</f>
        <v/>
      </c>
      <c r="Q431" s="66" t="str">
        <f>IFERROR(__xludf.DUMMYFUNCTION("QUERY('Volunteer Survey'!J830)"),"")</f>
        <v/>
      </c>
      <c r="R431" s="62" t="str">
        <f>IFERROR(__xludf.DUMMYFUNCTION("QUERY('Volunteer Survey'!K830)"),"")</f>
        <v/>
      </c>
      <c r="S431" s="62" t="str">
        <f>IFERROR(__xludf.DUMMYFUNCTION("QUERY('Volunteer Survey'!L830)"),"")</f>
        <v/>
      </c>
      <c r="T431" s="62" t="str">
        <f>IFERROR(__xludf.DUMMYFUNCTION("QUERY('Volunteer Survey'!M830)"),"")</f>
        <v/>
      </c>
      <c r="U431" s="74" t="str">
        <f>IFERROR(__xludf.DUMMYFUNCTION("QUERY('Volunteer Survey'!N830)"),"")</f>
        <v/>
      </c>
      <c r="V431" s="62" t="str">
        <f>IFERROR(__xludf.DUMMYFUNCTION("QUERY('Volunteer Survey'!O830)"),"")</f>
        <v/>
      </c>
      <c r="W431" s="75" t="str">
        <f>IFERROR(__xludf.DUMMYFUNCTION("QUERY('Volunteer Survey'!P830)"),"")</f>
        <v/>
      </c>
      <c r="X431" s="74" t="str">
        <f>IFERROR(__xludf.DUMMYFUNCTION("QUERY('Volunteer Survey'!R830)"),"")</f>
        <v/>
      </c>
      <c r="Y431" s="61"/>
      <c r="Z431" s="62"/>
      <c r="AA431" s="62"/>
      <c r="AB431" s="62"/>
      <c r="AC431" s="62"/>
      <c r="AD431" s="62"/>
      <c r="AE431" s="62"/>
      <c r="AF431" s="62"/>
      <c r="AG431" s="62"/>
      <c r="AH431" s="62"/>
      <c r="AI431" s="62"/>
      <c r="AJ431" s="62"/>
      <c r="AK431" s="62"/>
      <c r="AL431" s="62"/>
      <c r="AM431" s="62"/>
      <c r="AN431" s="62"/>
      <c r="AO431" s="62"/>
    </row>
    <row r="432">
      <c r="A432" s="62" t="str">
        <f>IFERROR(__xludf.DUMMYFUNCTION("QUERY('Volunteer Survey'!A831)"),"")</f>
        <v/>
      </c>
      <c r="B432" s="60" t="s">
        <v>340</v>
      </c>
      <c r="C432" s="61"/>
      <c r="D432" s="62"/>
      <c r="E432" s="62"/>
      <c r="F432" s="62" t="b">
        <v>0</v>
      </c>
      <c r="G432" s="62"/>
      <c r="H432" s="61"/>
      <c r="I432" s="61"/>
      <c r="J432" s="62"/>
      <c r="K432" s="62"/>
      <c r="L432" s="62" t="str">
        <f>IFERROR(__xludf.DUMMYFUNCTION("QUERY('Volunteer Survey'!B831)"),"")</f>
        <v/>
      </c>
      <c r="M432" s="62" t="str">
        <f>IFERROR(__xludf.DUMMYFUNCTION("QUERY('Volunteer Survey'!E831)"),"")</f>
        <v/>
      </c>
      <c r="N432" s="62" t="str">
        <f>IFERROR(__xludf.DUMMYFUNCTION("QUERY('Volunteer Survey'!F831)"),"")</f>
        <v/>
      </c>
      <c r="O432" s="60" t="str">
        <f>IFERROR(__xludf.DUMMYFUNCTION("QUERY('Volunteer Survey'!H831)"),"")</f>
        <v/>
      </c>
      <c r="P432" s="62" t="str">
        <f>IFERROR(__xludf.DUMMYFUNCTION("QUERY('Volunteer Survey'!I831)"),"")</f>
        <v/>
      </c>
      <c r="Q432" s="66" t="str">
        <f>IFERROR(__xludf.DUMMYFUNCTION("QUERY('Volunteer Survey'!J831)"),"")</f>
        <v/>
      </c>
      <c r="R432" s="62" t="str">
        <f>IFERROR(__xludf.DUMMYFUNCTION("QUERY('Volunteer Survey'!K831)"),"")</f>
        <v/>
      </c>
      <c r="S432" s="62" t="str">
        <f>IFERROR(__xludf.DUMMYFUNCTION("QUERY('Volunteer Survey'!L831)"),"")</f>
        <v/>
      </c>
      <c r="T432" s="62" t="str">
        <f>IFERROR(__xludf.DUMMYFUNCTION("QUERY('Volunteer Survey'!M831)"),"")</f>
        <v/>
      </c>
      <c r="U432" s="74" t="str">
        <f>IFERROR(__xludf.DUMMYFUNCTION("QUERY('Volunteer Survey'!N831)"),"")</f>
        <v/>
      </c>
      <c r="V432" s="62" t="str">
        <f>IFERROR(__xludf.DUMMYFUNCTION("QUERY('Volunteer Survey'!O831)"),"")</f>
        <v/>
      </c>
      <c r="W432" s="75" t="str">
        <f>IFERROR(__xludf.DUMMYFUNCTION("QUERY('Volunteer Survey'!P831)"),"")</f>
        <v/>
      </c>
      <c r="X432" s="74" t="str">
        <f>IFERROR(__xludf.DUMMYFUNCTION("QUERY('Volunteer Survey'!R831)"),"")</f>
        <v/>
      </c>
      <c r="Y432" s="61"/>
      <c r="Z432" s="62"/>
      <c r="AA432" s="62"/>
      <c r="AB432" s="62"/>
      <c r="AC432" s="62"/>
      <c r="AD432" s="62"/>
      <c r="AE432" s="62"/>
      <c r="AF432" s="62"/>
      <c r="AG432" s="62"/>
      <c r="AH432" s="62"/>
      <c r="AI432" s="62"/>
      <c r="AJ432" s="62"/>
      <c r="AK432" s="62"/>
      <c r="AL432" s="62"/>
      <c r="AM432" s="62"/>
      <c r="AN432" s="62"/>
      <c r="AO432" s="62"/>
    </row>
    <row r="433">
      <c r="A433" s="62" t="str">
        <f>IFERROR(__xludf.DUMMYFUNCTION("QUERY('Volunteer Survey'!A832)"),"")</f>
        <v/>
      </c>
      <c r="B433" s="60" t="s">
        <v>340</v>
      </c>
      <c r="C433" s="61"/>
      <c r="D433" s="62"/>
      <c r="E433" s="62"/>
      <c r="F433" s="62" t="b">
        <v>0</v>
      </c>
      <c r="G433" s="62"/>
      <c r="H433" s="61"/>
      <c r="I433" s="61"/>
      <c r="J433" s="62"/>
      <c r="K433" s="62"/>
      <c r="L433" s="62" t="str">
        <f>IFERROR(__xludf.DUMMYFUNCTION("QUERY('Volunteer Survey'!B832)"),"")</f>
        <v/>
      </c>
      <c r="M433" s="62" t="str">
        <f>IFERROR(__xludf.DUMMYFUNCTION("QUERY('Volunteer Survey'!E832)"),"")</f>
        <v/>
      </c>
      <c r="N433" s="62" t="str">
        <f>IFERROR(__xludf.DUMMYFUNCTION("QUERY('Volunteer Survey'!F832)"),"")</f>
        <v/>
      </c>
      <c r="O433" s="60" t="str">
        <f>IFERROR(__xludf.DUMMYFUNCTION("QUERY('Volunteer Survey'!H832)"),"")</f>
        <v/>
      </c>
      <c r="P433" s="62" t="str">
        <f>IFERROR(__xludf.DUMMYFUNCTION("QUERY('Volunteer Survey'!I832)"),"")</f>
        <v/>
      </c>
      <c r="Q433" s="66" t="str">
        <f>IFERROR(__xludf.DUMMYFUNCTION("QUERY('Volunteer Survey'!J832)"),"")</f>
        <v/>
      </c>
      <c r="R433" s="62" t="str">
        <f>IFERROR(__xludf.DUMMYFUNCTION("QUERY('Volunteer Survey'!K832)"),"")</f>
        <v/>
      </c>
      <c r="S433" s="62" t="str">
        <f>IFERROR(__xludf.DUMMYFUNCTION("QUERY('Volunteer Survey'!L832)"),"")</f>
        <v/>
      </c>
      <c r="T433" s="62" t="str">
        <f>IFERROR(__xludf.DUMMYFUNCTION("QUERY('Volunteer Survey'!M832)"),"")</f>
        <v/>
      </c>
      <c r="U433" s="74" t="str">
        <f>IFERROR(__xludf.DUMMYFUNCTION("QUERY('Volunteer Survey'!N832)"),"")</f>
        <v/>
      </c>
      <c r="V433" s="62" t="str">
        <f>IFERROR(__xludf.DUMMYFUNCTION("QUERY('Volunteer Survey'!O832)"),"")</f>
        <v/>
      </c>
      <c r="W433" s="75" t="str">
        <f>IFERROR(__xludf.DUMMYFUNCTION("QUERY('Volunteer Survey'!P832)"),"")</f>
        <v/>
      </c>
      <c r="X433" s="74" t="str">
        <f>IFERROR(__xludf.DUMMYFUNCTION("QUERY('Volunteer Survey'!R832)"),"")</f>
        <v/>
      </c>
      <c r="Y433" s="61"/>
      <c r="Z433" s="62"/>
      <c r="AA433" s="62"/>
      <c r="AB433" s="62"/>
      <c r="AC433" s="62"/>
      <c r="AD433" s="62"/>
      <c r="AE433" s="62"/>
      <c r="AF433" s="62"/>
      <c r="AG433" s="62"/>
      <c r="AH433" s="62"/>
      <c r="AI433" s="62"/>
      <c r="AJ433" s="62"/>
      <c r="AK433" s="62"/>
      <c r="AL433" s="62"/>
      <c r="AM433" s="62"/>
      <c r="AN433" s="62"/>
      <c r="AO433" s="62"/>
    </row>
    <row r="434">
      <c r="A434" s="62" t="str">
        <f>IFERROR(__xludf.DUMMYFUNCTION("QUERY('Volunteer Survey'!A833)"),"")</f>
        <v/>
      </c>
      <c r="B434" s="60" t="s">
        <v>340</v>
      </c>
      <c r="C434" s="61"/>
      <c r="D434" s="62"/>
      <c r="E434" s="62"/>
      <c r="F434" s="62" t="b">
        <v>0</v>
      </c>
      <c r="G434" s="62"/>
      <c r="H434" s="61"/>
      <c r="I434" s="61"/>
      <c r="J434" s="62"/>
      <c r="K434" s="62"/>
      <c r="L434" s="62" t="str">
        <f>IFERROR(__xludf.DUMMYFUNCTION("QUERY('Volunteer Survey'!B833)"),"")</f>
        <v/>
      </c>
      <c r="M434" s="62" t="str">
        <f>IFERROR(__xludf.DUMMYFUNCTION("QUERY('Volunteer Survey'!E833)"),"")</f>
        <v/>
      </c>
      <c r="N434" s="62" t="str">
        <f>IFERROR(__xludf.DUMMYFUNCTION("QUERY('Volunteer Survey'!F833)"),"")</f>
        <v/>
      </c>
      <c r="O434" s="60" t="str">
        <f>IFERROR(__xludf.DUMMYFUNCTION("QUERY('Volunteer Survey'!H833)"),"")</f>
        <v/>
      </c>
      <c r="P434" s="62" t="str">
        <f>IFERROR(__xludf.DUMMYFUNCTION("QUERY('Volunteer Survey'!I833)"),"")</f>
        <v/>
      </c>
      <c r="Q434" s="66" t="str">
        <f>IFERROR(__xludf.DUMMYFUNCTION("QUERY('Volunteer Survey'!J833)"),"")</f>
        <v/>
      </c>
      <c r="R434" s="62" t="str">
        <f>IFERROR(__xludf.DUMMYFUNCTION("QUERY('Volunteer Survey'!K833)"),"")</f>
        <v/>
      </c>
      <c r="S434" s="62" t="str">
        <f>IFERROR(__xludf.DUMMYFUNCTION("QUERY('Volunteer Survey'!L833)"),"")</f>
        <v/>
      </c>
      <c r="T434" s="62" t="str">
        <f>IFERROR(__xludf.DUMMYFUNCTION("QUERY('Volunteer Survey'!M833)"),"")</f>
        <v/>
      </c>
      <c r="U434" s="74" t="str">
        <f>IFERROR(__xludf.DUMMYFUNCTION("QUERY('Volunteer Survey'!N833)"),"")</f>
        <v/>
      </c>
      <c r="V434" s="62" t="str">
        <f>IFERROR(__xludf.DUMMYFUNCTION("QUERY('Volunteer Survey'!O833)"),"")</f>
        <v/>
      </c>
      <c r="W434" s="75" t="str">
        <f>IFERROR(__xludf.DUMMYFUNCTION("QUERY('Volunteer Survey'!P833)"),"")</f>
        <v/>
      </c>
      <c r="X434" s="74" t="str">
        <f>IFERROR(__xludf.DUMMYFUNCTION("QUERY('Volunteer Survey'!R833)"),"")</f>
        <v/>
      </c>
      <c r="Y434" s="61"/>
      <c r="Z434" s="62"/>
      <c r="AA434" s="62"/>
      <c r="AB434" s="62"/>
      <c r="AC434" s="62"/>
      <c r="AD434" s="62"/>
      <c r="AE434" s="62"/>
      <c r="AF434" s="62"/>
      <c r="AG434" s="62"/>
      <c r="AH434" s="62"/>
      <c r="AI434" s="62"/>
      <c r="AJ434" s="62"/>
      <c r="AK434" s="62"/>
      <c r="AL434" s="62"/>
      <c r="AM434" s="62"/>
      <c r="AN434" s="62"/>
      <c r="AO434" s="62"/>
    </row>
    <row r="435">
      <c r="A435" s="62" t="str">
        <f>IFERROR(__xludf.DUMMYFUNCTION("QUERY('Volunteer Survey'!A834)"),"")</f>
        <v/>
      </c>
      <c r="B435" s="60" t="s">
        <v>340</v>
      </c>
      <c r="C435" s="61"/>
      <c r="D435" s="62"/>
      <c r="E435" s="62"/>
      <c r="F435" s="62" t="b">
        <v>0</v>
      </c>
      <c r="G435" s="62"/>
      <c r="H435" s="61"/>
      <c r="I435" s="61"/>
      <c r="J435" s="62"/>
      <c r="K435" s="62"/>
      <c r="L435" s="62" t="str">
        <f>IFERROR(__xludf.DUMMYFUNCTION("QUERY('Volunteer Survey'!B834)"),"")</f>
        <v/>
      </c>
      <c r="M435" s="62" t="str">
        <f>IFERROR(__xludf.DUMMYFUNCTION("QUERY('Volunteer Survey'!E834)"),"")</f>
        <v/>
      </c>
      <c r="N435" s="62" t="str">
        <f>IFERROR(__xludf.DUMMYFUNCTION("QUERY('Volunteer Survey'!F834)"),"")</f>
        <v/>
      </c>
      <c r="O435" s="60" t="str">
        <f>IFERROR(__xludf.DUMMYFUNCTION("QUERY('Volunteer Survey'!H834)"),"")</f>
        <v/>
      </c>
      <c r="P435" s="62" t="str">
        <f>IFERROR(__xludf.DUMMYFUNCTION("QUERY('Volunteer Survey'!I834)"),"")</f>
        <v/>
      </c>
      <c r="Q435" s="66" t="str">
        <f>IFERROR(__xludf.DUMMYFUNCTION("QUERY('Volunteer Survey'!J834)"),"")</f>
        <v/>
      </c>
      <c r="R435" s="62" t="str">
        <f>IFERROR(__xludf.DUMMYFUNCTION("QUERY('Volunteer Survey'!K834)"),"")</f>
        <v/>
      </c>
      <c r="S435" s="62" t="str">
        <f>IFERROR(__xludf.DUMMYFUNCTION("QUERY('Volunteer Survey'!L834)"),"")</f>
        <v/>
      </c>
      <c r="T435" s="62" t="str">
        <f>IFERROR(__xludf.DUMMYFUNCTION("QUERY('Volunteer Survey'!M834)"),"")</f>
        <v/>
      </c>
      <c r="U435" s="74" t="str">
        <f>IFERROR(__xludf.DUMMYFUNCTION("QUERY('Volunteer Survey'!N834)"),"")</f>
        <v/>
      </c>
      <c r="V435" s="62" t="str">
        <f>IFERROR(__xludf.DUMMYFUNCTION("QUERY('Volunteer Survey'!O834)"),"")</f>
        <v/>
      </c>
      <c r="W435" s="75" t="str">
        <f>IFERROR(__xludf.DUMMYFUNCTION("QUERY('Volunteer Survey'!P834)"),"")</f>
        <v/>
      </c>
      <c r="X435" s="74" t="str">
        <f>IFERROR(__xludf.DUMMYFUNCTION("QUERY('Volunteer Survey'!R834)"),"")</f>
        <v/>
      </c>
      <c r="Y435" s="61"/>
      <c r="Z435" s="62"/>
      <c r="AA435" s="62"/>
      <c r="AB435" s="62"/>
      <c r="AC435" s="62"/>
      <c r="AD435" s="62"/>
      <c r="AE435" s="62"/>
      <c r="AF435" s="62"/>
      <c r="AG435" s="62"/>
      <c r="AH435" s="62"/>
      <c r="AI435" s="62"/>
      <c r="AJ435" s="62"/>
      <c r="AK435" s="62"/>
      <c r="AL435" s="62"/>
      <c r="AM435" s="62"/>
      <c r="AN435" s="62"/>
      <c r="AO435" s="62"/>
    </row>
    <row r="436">
      <c r="A436" s="62" t="str">
        <f>IFERROR(__xludf.DUMMYFUNCTION("QUERY('Volunteer Survey'!A835)"),"")</f>
        <v/>
      </c>
      <c r="B436" s="60" t="s">
        <v>340</v>
      </c>
      <c r="C436" s="61"/>
      <c r="D436" s="62"/>
      <c r="E436" s="62"/>
      <c r="F436" s="62" t="b">
        <v>0</v>
      </c>
      <c r="G436" s="62"/>
      <c r="H436" s="61"/>
      <c r="I436" s="61"/>
      <c r="J436" s="62"/>
      <c r="K436" s="62"/>
      <c r="L436" s="62" t="str">
        <f>IFERROR(__xludf.DUMMYFUNCTION("QUERY('Volunteer Survey'!B835)"),"")</f>
        <v/>
      </c>
      <c r="M436" s="62" t="str">
        <f>IFERROR(__xludf.DUMMYFUNCTION("QUERY('Volunteer Survey'!E835)"),"")</f>
        <v/>
      </c>
      <c r="N436" s="62" t="str">
        <f>IFERROR(__xludf.DUMMYFUNCTION("QUERY('Volunteer Survey'!F835)"),"")</f>
        <v/>
      </c>
      <c r="O436" s="60" t="str">
        <f>IFERROR(__xludf.DUMMYFUNCTION("QUERY('Volunteer Survey'!H835)"),"")</f>
        <v/>
      </c>
      <c r="P436" s="62" t="str">
        <f>IFERROR(__xludf.DUMMYFUNCTION("QUERY('Volunteer Survey'!I835)"),"")</f>
        <v/>
      </c>
      <c r="Q436" s="66" t="str">
        <f>IFERROR(__xludf.DUMMYFUNCTION("QUERY('Volunteer Survey'!J835)"),"")</f>
        <v/>
      </c>
      <c r="R436" s="62" t="str">
        <f>IFERROR(__xludf.DUMMYFUNCTION("QUERY('Volunteer Survey'!K835)"),"")</f>
        <v/>
      </c>
      <c r="S436" s="62" t="str">
        <f>IFERROR(__xludf.DUMMYFUNCTION("QUERY('Volunteer Survey'!L835)"),"")</f>
        <v/>
      </c>
      <c r="T436" s="62" t="str">
        <f>IFERROR(__xludf.DUMMYFUNCTION("QUERY('Volunteer Survey'!M835)"),"")</f>
        <v/>
      </c>
      <c r="U436" s="74" t="str">
        <f>IFERROR(__xludf.DUMMYFUNCTION("QUERY('Volunteer Survey'!N835)"),"")</f>
        <v/>
      </c>
      <c r="V436" s="62" t="str">
        <f>IFERROR(__xludf.DUMMYFUNCTION("QUERY('Volunteer Survey'!O835)"),"")</f>
        <v/>
      </c>
      <c r="W436" s="75" t="str">
        <f>IFERROR(__xludf.DUMMYFUNCTION("QUERY('Volunteer Survey'!P835)"),"")</f>
        <v/>
      </c>
      <c r="X436" s="74" t="str">
        <f>IFERROR(__xludf.DUMMYFUNCTION("QUERY('Volunteer Survey'!R835)"),"")</f>
        <v/>
      </c>
      <c r="Y436" s="61"/>
      <c r="Z436" s="62"/>
      <c r="AA436" s="62"/>
      <c r="AB436" s="62"/>
      <c r="AC436" s="62"/>
      <c r="AD436" s="62"/>
      <c r="AE436" s="62"/>
      <c r="AF436" s="62"/>
      <c r="AG436" s="62"/>
      <c r="AH436" s="62"/>
      <c r="AI436" s="62"/>
      <c r="AJ436" s="62"/>
      <c r="AK436" s="62"/>
      <c r="AL436" s="62"/>
      <c r="AM436" s="62"/>
      <c r="AN436" s="62"/>
      <c r="AO436" s="62"/>
    </row>
    <row r="437">
      <c r="A437" s="62" t="str">
        <f>IFERROR(__xludf.DUMMYFUNCTION("QUERY('Volunteer Survey'!A836)"),"")</f>
        <v/>
      </c>
      <c r="B437" s="60" t="s">
        <v>340</v>
      </c>
      <c r="C437" s="61"/>
      <c r="D437" s="62"/>
      <c r="E437" s="62"/>
      <c r="F437" s="62" t="b">
        <v>0</v>
      </c>
      <c r="G437" s="62"/>
      <c r="H437" s="61"/>
      <c r="I437" s="61"/>
      <c r="J437" s="62"/>
      <c r="K437" s="62"/>
      <c r="L437" s="62" t="str">
        <f>IFERROR(__xludf.DUMMYFUNCTION("QUERY('Volunteer Survey'!B836)"),"")</f>
        <v/>
      </c>
      <c r="M437" s="62" t="str">
        <f>IFERROR(__xludf.DUMMYFUNCTION("QUERY('Volunteer Survey'!E836)"),"")</f>
        <v/>
      </c>
      <c r="N437" s="62" t="str">
        <f>IFERROR(__xludf.DUMMYFUNCTION("QUERY('Volunteer Survey'!F836)"),"")</f>
        <v/>
      </c>
      <c r="O437" s="60" t="str">
        <f>IFERROR(__xludf.DUMMYFUNCTION("QUERY('Volunteer Survey'!H836)"),"")</f>
        <v/>
      </c>
      <c r="P437" s="62" t="str">
        <f>IFERROR(__xludf.DUMMYFUNCTION("QUERY('Volunteer Survey'!I836)"),"")</f>
        <v/>
      </c>
      <c r="Q437" s="66" t="str">
        <f>IFERROR(__xludf.DUMMYFUNCTION("QUERY('Volunteer Survey'!J836)"),"")</f>
        <v/>
      </c>
      <c r="R437" s="62" t="str">
        <f>IFERROR(__xludf.DUMMYFUNCTION("QUERY('Volunteer Survey'!K836)"),"")</f>
        <v/>
      </c>
      <c r="S437" s="62" t="str">
        <f>IFERROR(__xludf.DUMMYFUNCTION("QUERY('Volunteer Survey'!L836)"),"")</f>
        <v/>
      </c>
      <c r="T437" s="62" t="str">
        <f>'Volunteer Survey'!M852</f>
        <v/>
      </c>
      <c r="U437" s="74" t="str">
        <f>IFERROR(__xludf.DUMMYFUNCTION("QUERY('Volunteer Survey'!N836)"),"")</f>
        <v/>
      </c>
      <c r="V437" s="62" t="str">
        <f>IFERROR(__xludf.DUMMYFUNCTION("QUERY('Volunteer Survey'!O836)"),"")</f>
        <v/>
      </c>
      <c r="W437" s="75" t="str">
        <f>IFERROR(__xludf.DUMMYFUNCTION("QUERY('Volunteer Survey'!P836)"),"")</f>
        <v/>
      </c>
      <c r="X437" s="74" t="str">
        <f>IFERROR(__xludf.DUMMYFUNCTION("QUERY('Volunteer Survey'!R836)"),"")</f>
        <v/>
      </c>
      <c r="Y437" s="61"/>
      <c r="Z437" s="62"/>
      <c r="AA437" s="62"/>
      <c r="AB437" s="62"/>
      <c r="AC437" s="62"/>
      <c r="AD437" s="62"/>
      <c r="AE437" s="62"/>
      <c r="AF437" s="62"/>
      <c r="AG437" s="62"/>
      <c r="AH437" s="62"/>
      <c r="AI437" s="62"/>
      <c r="AJ437" s="62"/>
      <c r="AK437" s="62"/>
      <c r="AL437" s="62"/>
      <c r="AM437" s="62"/>
      <c r="AN437" s="62"/>
      <c r="AO437" s="62"/>
    </row>
    <row r="438">
      <c r="A438" s="62" t="str">
        <f>IFERROR(__xludf.DUMMYFUNCTION("QUERY('Volunteer Survey'!A837)"),"")</f>
        <v/>
      </c>
      <c r="B438" s="60" t="s">
        <v>340</v>
      </c>
      <c r="C438" s="61"/>
      <c r="D438" s="62"/>
      <c r="E438" s="62"/>
      <c r="F438" s="62" t="b">
        <v>0</v>
      </c>
      <c r="G438" s="62"/>
      <c r="H438" s="61"/>
      <c r="I438" s="61"/>
      <c r="J438" s="62"/>
      <c r="K438" s="62"/>
      <c r="L438" s="62" t="str">
        <f>IFERROR(__xludf.DUMMYFUNCTION("QUERY('Volunteer Survey'!B837)"),"")</f>
        <v/>
      </c>
      <c r="M438" s="62" t="str">
        <f>IFERROR(__xludf.DUMMYFUNCTION("QUERY('Volunteer Survey'!E837)"),"")</f>
        <v/>
      </c>
      <c r="N438" s="62" t="str">
        <f>IFERROR(__xludf.DUMMYFUNCTION("QUERY('Volunteer Survey'!F837)"),"")</f>
        <v/>
      </c>
      <c r="O438" s="60" t="str">
        <f>'Volunteer Survey'!H854</f>
        <v/>
      </c>
      <c r="P438" s="62" t="str">
        <f>IFERROR(__xludf.DUMMYFUNCTION("QUERY('Volunteer Survey'!I837)"),"")</f>
        <v/>
      </c>
      <c r="Q438" s="66" t="str">
        <f>IFERROR(__xludf.DUMMYFUNCTION("QUERY('Volunteer Survey'!J837)"),"")</f>
        <v/>
      </c>
      <c r="R438" s="62" t="str">
        <f>IFERROR(__xludf.DUMMYFUNCTION("QUERY('Volunteer Survey'!K837)"),"")</f>
        <v/>
      </c>
      <c r="S438" s="62" t="str">
        <f>IFERROR(__xludf.DUMMYFUNCTION("QUERY('Volunteer Survey'!L837)"),"")</f>
        <v/>
      </c>
      <c r="T438" s="62" t="str">
        <f>'Volunteer Survey'!M853</f>
        <v/>
      </c>
      <c r="U438" s="74" t="str">
        <f>IFERROR(__xludf.DUMMYFUNCTION("QUERY('Volunteer Survey'!N837)"),"")</f>
        <v/>
      </c>
      <c r="V438" s="62" t="str">
        <f>'Volunteer Survey'!O853</f>
        <v/>
      </c>
      <c r="W438" s="75" t="str">
        <f>IFERROR(__xludf.DUMMYFUNCTION("QUERY('Volunteer Survey'!P837)"),"")</f>
        <v/>
      </c>
      <c r="X438" s="74" t="str">
        <f>IFERROR(__xludf.DUMMYFUNCTION("QUERY('Volunteer Survey'!R837)"),"")</f>
        <v/>
      </c>
      <c r="Y438" s="61"/>
      <c r="Z438" s="62"/>
      <c r="AA438" s="62"/>
      <c r="AB438" s="62"/>
      <c r="AC438" s="62"/>
      <c r="AD438" s="62"/>
      <c r="AE438" s="62"/>
      <c r="AF438" s="62"/>
      <c r="AG438" s="62"/>
      <c r="AH438" s="62"/>
      <c r="AI438" s="62"/>
      <c r="AJ438" s="62"/>
      <c r="AK438" s="62"/>
      <c r="AL438" s="62"/>
      <c r="AM438" s="62"/>
      <c r="AN438" s="62"/>
      <c r="AO438" s="62"/>
    </row>
    <row r="439">
      <c r="A439" s="62" t="str">
        <f>IFERROR(__xludf.DUMMYFUNCTION("QUERY('Volunteer Survey'!A838)"),"")</f>
        <v/>
      </c>
      <c r="B439" s="60" t="s">
        <v>340</v>
      </c>
      <c r="C439" s="61"/>
      <c r="D439" s="62"/>
      <c r="E439" s="62"/>
      <c r="F439" s="62" t="b">
        <v>0</v>
      </c>
      <c r="G439" s="62"/>
      <c r="H439" s="61"/>
      <c r="I439" s="61"/>
      <c r="J439" s="62"/>
      <c r="K439" s="62"/>
      <c r="L439" s="62" t="str">
        <f>IFERROR(__xludf.DUMMYFUNCTION("QUERY('Volunteer Survey'!B838)"),"")</f>
        <v/>
      </c>
      <c r="M439" s="62" t="str">
        <f>IFERROR(__xludf.DUMMYFUNCTION("QUERY('Volunteer Survey'!E838)"),"")</f>
        <v/>
      </c>
      <c r="N439" s="62" t="str">
        <f>IFERROR(__xludf.DUMMYFUNCTION("QUERY('Volunteer Survey'!F838)"),"")</f>
        <v/>
      </c>
      <c r="O439" s="60" t="str">
        <f>'Volunteer Survey'!H855</f>
        <v/>
      </c>
      <c r="P439" s="62" t="str">
        <f>IFERROR(__xludf.DUMMYFUNCTION("QUERY('Volunteer Survey'!I838)"),"")</f>
        <v/>
      </c>
      <c r="Q439" s="66" t="str">
        <f>IFERROR(__xludf.DUMMYFUNCTION("QUERY('Volunteer Survey'!J838)"),"")</f>
        <v/>
      </c>
      <c r="R439" s="62" t="str">
        <f>IFERROR(__xludf.DUMMYFUNCTION("QUERY('Volunteer Survey'!K838)"),"")</f>
        <v/>
      </c>
      <c r="S439" s="62" t="str">
        <f>IFERROR(__xludf.DUMMYFUNCTION("QUERY('Volunteer Survey'!L838)"),"")</f>
        <v/>
      </c>
      <c r="T439" s="62" t="str">
        <f>'Volunteer Survey'!M854</f>
        <v/>
      </c>
      <c r="U439" s="74" t="str">
        <f>IFERROR(__xludf.DUMMYFUNCTION("QUERY('Volunteer Survey'!N838)"),"")</f>
        <v/>
      </c>
      <c r="V439" s="62" t="str">
        <f>'Volunteer Survey'!O854</f>
        <v/>
      </c>
      <c r="W439" s="75" t="str">
        <f>IFERROR(__xludf.DUMMYFUNCTION("QUERY('Volunteer Survey'!P838)"),"")</f>
        <v/>
      </c>
      <c r="X439" s="74" t="str">
        <f>IFERROR(__xludf.DUMMYFUNCTION("QUERY('Volunteer Survey'!R838)"),"")</f>
        <v/>
      </c>
      <c r="Y439" s="61"/>
      <c r="Z439" s="62"/>
      <c r="AA439" s="62"/>
      <c r="AB439" s="62"/>
      <c r="AC439" s="62"/>
      <c r="AD439" s="62"/>
      <c r="AE439" s="62"/>
      <c r="AF439" s="62"/>
      <c r="AG439" s="62"/>
      <c r="AH439" s="62"/>
      <c r="AI439" s="62"/>
      <c r="AJ439" s="62"/>
      <c r="AK439" s="62"/>
      <c r="AL439" s="62"/>
      <c r="AM439" s="62"/>
      <c r="AN439" s="62"/>
      <c r="AO439" s="62"/>
    </row>
    <row r="440">
      <c r="A440" s="62" t="str">
        <f>IFERROR(__xludf.DUMMYFUNCTION("QUERY('Volunteer Survey'!A839)"),"")</f>
        <v/>
      </c>
      <c r="B440" s="60" t="s">
        <v>340</v>
      </c>
      <c r="C440" s="61"/>
      <c r="D440" s="62"/>
      <c r="E440" s="62"/>
      <c r="F440" s="62" t="b">
        <v>0</v>
      </c>
      <c r="G440" s="62"/>
      <c r="H440" s="61"/>
      <c r="I440" s="61"/>
      <c r="J440" s="62"/>
      <c r="K440" s="62"/>
      <c r="L440" s="62" t="str">
        <f>IFERROR(__xludf.DUMMYFUNCTION("QUERY('Volunteer Survey'!B839)"),"")</f>
        <v/>
      </c>
      <c r="M440" s="62" t="str">
        <f>IFERROR(__xludf.DUMMYFUNCTION("QUERY('Volunteer Survey'!E839)"),"")</f>
        <v/>
      </c>
      <c r="N440" s="62" t="str">
        <f>IFERROR(__xludf.DUMMYFUNCTION("QUERY('Volunteer Survey'!F839)"),"")</f>
        <v/>
      </c>
      <c r="O440" s="60" t="str">
        <f>'Volunteer Survey'!H856</f>
        <v/>
      </c>
      <c r="P440" s="62" t="str">
        <f>IFERROR(__xludf.DUMMYFUNCTION("QUERY('Volunteer Survey'!I839)"),"")</f>
        <v/>
      </c>
      <c r="Q440" s="66" t="str">
        <f>IFERROR(__xludf.DUMMYFUNCTION("QUERY('Volunteer Survey'!J839)"),"")</f>
        <v/>
      </c>
      <c r="R440" s="62" t="str">
        <f>IFERROR(__xludf.DUMMYFUNCTION("QUERY('Volunteer Survey'!K839)"),"")</f>
        <v/>
      </c>
      <c r="S440" s="62" t="str">
        <f>IFERROR(__xludf.DUMMYFUNCTION("QUERY('Volunteer Survey'!L839)"),"")</f>
        <v/>
      </c>
      <c r="T440" s="62" t="str">
        <f>'Volunteer Survey'!M855</f>
        <v/>
      </c>
      <c r="U440" s="74" t="str">
        <f>IFERROR(__xludf.DUMMYFUNCTION("QUERY('Volunteer Survey'!N839)"),"")</f>
        <v/>
      </c>
      <c r="V440" s="62" t="str">
        <f>'Volunteer Survey'!O855</f>
        <v/>
      </c>
      <c r="W440" s="75" t="str">
        <f>IFERROR(__xludf.DUMMYFUNCTION("QUERY('Volunteer Survey'!P839)"),"")</f>
        <v/>
      </c>
      <c r="X440" s="74" t="str">
        <f>IFERROR(__xludf.DUMMYFUNCTION("QUERY('Volunteer Survey'!R839)"),"")</f>
        <v/>
      </c>
      <c r="Y440" s="61"/>
      <c r="Z440" s="62"/>
      <c r="AA440" s="62"/>
      <c r="AB440" s="62"/>
      <c r="AC440" s="62"/>
      <c r="AD440" s="62"/>
      <c r="AE440" s="62"/>
      <c r="AF440" s="62"/>
      <c r="AG440" s="62"/>
      <c r="AH440" s="62"/>
      <c r="AI440" s="62"/>
      <c r="AJ440" s="62"/>
      <c r="AK440" s="62"/>
      <c r="AL440" s="62"/>
      <c r="AM440" s="62"/>
      <c r="AN440" s="62"/>
      <c r="AO440" s="62"/>
    </row>
    <row r="441">
      <c r="A441" s="62" t="str">
        <f>IFERROR(__xludf.DUMMYFUNCTION("QUERY('Volunteer Survey'!A840)"),"")</f>
        <v/>
      </c>
      <c r="B441" s="60" t="s">
        <v>340</v>
      </c>
      <c r="C441" s="61"/>
      <c r="D441" s="62"/>
      <c r="E441" s="62"/>
      <c r="F441" s="62" t="b">
        <v>0</v>
      </c>
      <c r="G441" s="62"/>
      <c r="H441" s="61"/>
      <c r="I441" s="61"/>
      <c r="J441" s="62"/>
      <c r="K441" s="62"/>
      <c r="L441" s="62" t="str">
        <f>IFERROR(__xludf.DUMMYFUNCTION("QUERY('Volunteer Survey'!B840)"),"")</f>
        <v/>
      </c>
      <c r="M441" s="62" t="str">
        <f>IFERROR(__xludf.DUMMYFUNCTION("QUERY('Volunteer Survey'!E840)"),"")</f>
        <v/>
      </c>
      <c r="N441" s="62" t="str">
        <f>IFERROR(__xludf.DUMMYFUNCTION("QUERY('Volunteer Survey'!F840)"),"")</f>
        <v/>
      </c>
      <c r="O441" s="60" t="str">
        <f>'Volunteer Survey'!H857</f>
        <v/>
      </c>
      <c r="P441" s="62" t="str">
        <f>IFERROR(__xludf.DUMMYFUNCTION("QUERY('Volunteer Survey'!I840)"),"")</f>
        <v/>
      </c>
      <c r="Q441" s="66" t="str">
        <f>IFERROR(__xludf.DUMMYFUNCTION("QUERY('Volunteer Survey'!J840)"),"")</f>
        <v/>
      </c>
      <c r="R441" s="62" t="str">
        <f>IFERROR(__xludf.DUMMYFUNCTION("QUERY('Volunteer Survey'!K840)"),"")</f>
        <v/>
      </c>
      <c r="S441" s="62" t="str">
        <f>IFERROR(__xludf.DUMMYFUNCTION("QUERY('Volunteer Survey'!L840)"),"")</f>
        <v/>
      </c>
      <c r="T441" s="62" t="str">
        <f>'Volunteer Survey'!M856</f>
        <v/>
      </c>
      <c r="U441" s="74" t="str">
        <f>IFERROR(__xludf.DUMMYFUNCTION("QUERY('Volunteer Survey'!N840)"),"")</f>
        <v/>
      </c>
      <c r="V441" s="62" t="str">
        <f>'Volunteer Survey'!O856</f>
        <v/>
      </c>
      <c r="W441" s="75" t="str">
        <f>IFERROR(__xludf.DUMMYFUNCTION("QUERY('Volunteer Survey'!P840)"),"")</f>
        <v/>
      </c>
      <c r="X441" s="74" t="str">
        <f>IFERROR(__xludf.DUMMYFUNCTION("QUERY('Volunteer Survey'!R840)"),"")</f>
        <v/>
      </c>
      <c r="Y441" s="61"/>
      <c r="Z441" s="62"/>
      <c r="AA441" s="62"/>
      <c r="AB441" s="62"/>
      <c r="AC441" s="62"/>
      <c r="AD441" s="62"/>
      <c r="AE441" s="62"/>
      <c r="AF441" s="62"/>
      <c r="AG441" s="62"/>
      <c r="AH441" s="62"/>
      <c r="AI441" s="62"/>
      <c r="AJ441" s="62"/>
      <c r="AK441" s="62"/>
      <c r="AL441" s="62"/>
      <c r="AM441" s="62"/>
      <c r="AN441" s="62"/>
      <c r="AO441" s="62"/>
    </row>
    <row r="442">
      <c r="A442" s="62" t="str">
        <f>IFERROR(__xludf.DUMMYFUNCTION("QUERY('Volunteer Survey'!A841)"),"")</f>
        <v/>
      </c>
      <c r="B442" s="60" t="s">
        <v>340</v>
      </c>
      <c r="C442" s="61"/>
      <c r="D442" s="62"/>
      <c r="E442" s="62"/>
      <c r="F442" s="62" t="b">
        <v>0</v>
      </c>
      <c r="G442" s="62"/>
      <c r="H442" s="61"/>
      <c r="I442" s="61"/>
      <c r="J442" s="62"/>
      <c r="K442" s="62"/>
      <c r="L442" s="62" t="str">
        <f>IFERROR(__xludf.DUMMYFUNCTION("QUERY('Volunteer Survey'!B841)"),"")</f>
        <v/>
      </c>
      <c r="M442" s="62" t="str">
        <f>IFERROR(__xludf.DUMMYFUNCTION("QUERY('Volunteer Survey'!E841)"),"")</f>
        <v/>
      </c>
      <c r="N442" s="62" t="str">
        <f>IFERROR(__xludf.DUMMYFUNCTION("QUERY('Volunteer Survey'!F841)"),"")</f>
        <v/>
      </c>
      <c r="O442" s="60" t="str">
        <f>'Volunteer Survey'!H858</f>
        <v/>
      </c>
      <c r="P442" s="62" t="str">
        <f>IFERROR(__xludf.DUMMYFUNCTION("QUERY('Volunteer Survey'!I841)"),"")</f>
        <v/>
      </c>
      <c r="Q442" s="66" t="str">
        <f>IFERROR(__xludf.DUMMYFUNCTION("QUERY('Volunteer Survey'!J841)"),"")</f>
        <v/>
      </c>
      <c r="R442" s="62" t="str">
        <f>IFERROR(__xludf.DUMMYFUNCTION("QUERY('Volunteer Survey'!K841)"),"")</f>
        <v/>
      </c>
      <c r="S442" s="62" t="str">
        <f>IFERROR(__xludf.DUMMYFUNCTION("QUERY('Volunteer Survey'!L841)"),"")</f>
        <v/>
      </c>
      <c r="T442" s="62" t="str">
        <f>'Volunteer Survey'!M857</f>
        <v/>
      </c>
      <c r="U442" s="74" t="str">
        <f>IFERROR(__xludf.DUMMYFUNCTION("QUERY('Volunteer Survey'!N841)"),"")</f>
        <v/>
      </c>
      <c r="V442" s="62" t="str">
        <f>'Volunteer Survey'!O857</f>
        <v/>
      </c>
      <c r="W442" s="75" t="str">
        <f>IFERROR(__xludf.DUMMYFUNCTION("QUERY('Volunteer Survey'!P841)"),"")</f>
        <v/>
      </c>
      <c r="X442" s="74" t="str">
        <f>IFERROR(__xludf.DUMMYFUNCTION("QUERY('Volunteer Survey'!R841)"),"")</f>
        <v/>
      </c>
      <c r="Y442" s="61"/>
      <c r="Z442" s="62"/>
      <c r="AA442" s="62"/>
      <c r="AB442" s="62"/>
      <c r="AC442" s="62"/>
      <c r="AD442" s="62"/>
      <c r="AE442" s="62"/>
      <c r="AF442" s="62"/>
      <c r="AG442" s="62"/>
      <c r="AH442" s="62"/>
      <c r="AI442" s="62"/>
      <c r="AJ442" s="62"/>
      <c r="AK442" s="62"/>
      <c r="AL442" s="62"/>
      <c r="AM442" s="62"/>
      <c r="AN442" s="62"/>
      <c r="AO442" s="62"/>
    </row>
    <row r="443">
      <c r="A443" s="62" t="str">
        <f>IFERROR(__xludf.DUMMYFUNCTION("QUERY('Volunteer Survey'!A842)"),"")</f>
        <v/>
      </c>
      <c r="B443" s="60" t="s">
        <v>340</v>
      </c>
      <c r="C443" s="61"/>
      <c r="D443" s="62"/>
      <c r="E443" s="62"/>
      <c r="F443" s="62" t="b">
        <v>0</v>
      </c>
      <c r="G443" s="62"/>
      <c r="H443" s="61"/>
      <c r="I443" s="61"/>
      <c r="J443" s="62"/>
      <c r="K443" s="62"/>
      <c r="L443" s="62" t="str">
        <f>IFERROR(__xludf.DUMMYFUNCTION("QUERY('Volunteer Survey'!B842)"),"")</f>
        <v/>
      </c>
      <c r="M443" s="62" t="str">
        <f>IFERROR(__xludf.DUMMYFUNCTION("QUERY('Volunteer Survey'!E842)"),"")</f>
        <v/>
      </c>
      <c r="N443" s="62" t="str">
        <f>IFERROR(__xludf.DUMMYFUNCTION("QUERY('Volunteer Survey'!F842)"),"")</f>
        <v/>
      </c>
      <c r="O443" s="60" t="str">
        <f>'Volunteer Survey'!H859</f>
        <v/>
      </c>
      <c r="P443" s="62" t="str">
        <f>IFERROR(__xludf.DUMMYFUNCTION("QUERY('Volunteer Survey'!I842)"),"")</f>
        <v/>
      </c>
      <c r="Q443" s="66" t="str">
        <f>IFERROR(__xludf.DUMMYFUNCTION("QUERY('Volunteer Survey'!J842)"),"")</f>
        <v/>
      </c>
      <c r="R443" s="62" t="str">
        <f>IFERROR(__xludf.DUMMYFUNCTION("QUERY('Volunteer Survey'!K842)"),"")</f>
        <v/>
      </c>
      <c r="S443" s="62" t="str">
        <f>IFERROR(__xludf.DUMMYFUNCTION("QUERY('Volunteer Survey'!L842)"),"")</f>
        <v/>
      </c>
      <c r="T443" s="62" t="str">
        <f>'Volunteer Survey'!M858</f>
        <v/>
      </c>
      <c r="U443" s="74" t="str">
        <f>IFERROR(__xludf.DUMMYFUNCTION("QUERY('Volunteer Survey'!N842)"),"")</f>
        <v/>
      </c>
      <c r="V443" s="62" t="str">
        <f>'Volunteer Survey'!O858</f>
        <v/>
      </c>
      <c r="W443" s="75" t="str">
        <f>IFERROR(__xludf.DUMMYFUNCTION("QUERY('Volunteer Survey'!P842)"),"")</f>
        <v/>
      </c>
      <c r="X443" s="74" t="str">
        <f>IFERROR(__xludf.DUMMYFUNCTION("QUERY('Volunteer Survey'!R842)"),"")</f>
        <v/>
      </c>
      <c r="Y443" s="61"/>
      <c r="Z443" s="62"/>
      <c r="AA443" s="62"/>
      <c r="AB443" s="62"/>
      <c r="AC443" s="62"/>
      <c r="AD443" s="62"/>
      <c r="AE443" s="62"/>
      <c r="AF443" s="62"/>
      <c r="AG443" s="62"/>
      <c r="AH443" s="62"/>
      <c r="AI443" s="62"/>
      <c r="AJ443" s="62"/>
      <c r="AK443" s="62"/>
      <c r="AL443" s="62"/>
      <c r="AM443" s="62"/>
      <c r="AN443" s="62"/>
      <c r="AO443" s="62"/>
    </row>
    <row r="444">
      <c r="A444" s="62" t="str">
        <f>IFERROR(__xludf.DUMMYFUNCTION("QUERY('Volunteer Survey'!A843)"),"")</f>
        <v/>
      </c>
      <c r="B444" s="60" t="s">
        <v>340</v>
      </c>
      <c r="C444" s="61"/>
      <c r="D444" s="62"/>
      <c r="E444" s="62"/>
      <c r="F444" s="62" t="b">
        <v>0</v>
      </c>
      <c r="G444" s="62"/>
      <c r="H444" s="61"/>
      <c r="I444" s="61"/>
      <c r="J444" s="62"/>
      <c r="K444" s="62"/>
      <c r="L444" s="62" t="str">
        <f>IFERROR(__xludf.DUMMYFUNCTION("QUERY('Volunteer Survey'!B843)"),"")</f>
        <v/>
      </c>
      <c r="M444" s="62" t="str">
        <f>IFERROR(__xludf.DUMMYFUNCTION("QUERY('Volunteer Survey'!E843)"),"")</f>
        <v/>
      </c>
      <c r="N444" s="62" t="str">
        <f>IFERROR(__xludf.DUMMYFUNCTION("QUERY('Volunteer Survey'!F843)"),"")</f>
        <v/>
      </c>
      <c r="O444" s="60" t="str">
        <f>'Volunteer Survey'!H860</f>
        <v/>
      </c>
      <c r="P444" s="62" t="str">
        <f>IFERROR(__xludf.DUMMYFUNCTION("QUERY('Volunteer Survey'!I843)"),"")</f>
        <v/>
      </c>
      <c r="Q444" s="66" t="str">
        <f>IFERROR(__xludf.DUMMYFUNCTION("QUERY('Volunteer Survey'!J843)"),"")</f>
        <v/>
      </c>
      <c r="R444" s="62" t="str">
        <f>IFERROR(__xludf.DUMMYFUNCTION("QUERY('Volunteer Survey'!K843)"),"")</f>
        <v/>
      </c>
      <c r="S444" s="62" t="str">
        <f>IFERROR(__xludf.DUMMYFUNCTION("QUERY('Volunteer Survey'!L843)"),"")</f>
        <v/>
      </c>
      <c r="T444" s="62" t="str">
        <f>'Volunteer Survey'!M859</f>
        <v/>
      </c>
      <c r="U444" s="74" t="str">
        <f>IFERROR(__xludf.DUMMYFUNCTION("QUERY('Volunteer Survey'!N843)"),"")</f>
        <v/>
      </c>
      <c r="V444" s="62" t="str">
        <f>'Volunteer Survey'!O859</f>
        <v/>
      </c>
      <c r="W444" s="75" t="str">
        <f>IFERROR(__xludf.DUMMYFUNCTION("QUERY('Volunteer Survey'!P843)"),"")</f>
        <v/>
      </c>
      <c r="X444" s="74" t="str">
        <f>IFERROR(__xludf.DUMMYFUNCTION("QUERY('Volunteer Survey'!R843)"),"")</f>
        <v/>
      </c>
      <c r="Y444" s="61"/>
      <c r="Z444" s="62"/>
      <c r="AA444" s="62"/>
      <c r="AB444" s="62"/>
      <c r="AC444" s="62"/>
      <c r="AD444" s="62"/>
      <c r="AE444" s="62"/>
      <c r="AF444" s="62"/>
      <c r="AG444" s="62"/>
      <c r="AH444" s="62"/>
      <c r="AI444" s="62"/>
      <c r="AJ444" s="62"/>
      <c r="AK444" s="62"/>
      <c r="AL444" s="62"/>
      <c r="AM444" s="62"/>
      <c r="AN444" s="62"/>
      <c r="AO444" s="62"/>
    </row>
    <row r="445">
      <c r="A445" s="62" t="str">
        <f>IFERROR(__xludf.DUMMYFUNCTION("QUERY('Volunteer Survey'!A844)"),"")</f>
        <v/>
      </c>
      <c r="B445" s="60" t="s">
        <v>340</v>
      </c>
      <c r="C445" s="61"/>
      <c r="D445" s="62"/>
      <c r="E445" s="62"/>
      <c r="F445" s="62" t="b">
        <v>0</v>
      </c>
      <c r="G445" s="62"/>
      <c r="H445" s="61"/>
      <c r="I445" s="61"/>
      <c r="J445" s="62"/>
      <c r="K445" s="62"/>
      <c r="L445" s="62" t="str">
        <f>IFERROR(__xludf.DUMMYFUNCTION("QUERY('Volunteer Survey'!B844)"),"")</f>
        <v/>
      </c>
      <c r="M445" s="62" t="str">
        <f>IFERROR(__xludf.DUMMYFUNCTION("QUERY('Volunteer Survey'!E844)"),"")</f>
        <v/>
      </c>
      <c r="N445" s="62" t="str">
        <f>'Volunteer Survey'!F860</f>
        <v/>
      </c>
      <c r="O445" s="60" t="str">
        <f>'Volunteer Survey'!H861</f>
        <v/>
      </c>
      <c r="P445" s="62" t="str">
        <f>IFERROR(__xludf.DUMMYFUNCTION("QUERY('Volunteer Survey'!I844)"),"")</f>
        <v/>
      </c>
      <c r="Q445" s="66" t="str">
        <f>IFERROR(__xludf.DUMMYFUNCTION("QUERY('Volunteer Survey'!J844)"),"")</f>
        <v/>
      </c>
      <c r="R445" s="62" t="str">
        <f>IFERROR(__xludf.DUMMYFUNCTION("QUERY('Volunteer Survey'!K844)"),"")</f>
        <v/>
      </c>
      <c r="S445" s="62" t="str">
        <f>IFERROR(__xludf.DUMMYFUNCTION("QUERY('Volunteer Survey'!L844)"),"")</f>
        <v/>
      </c>
      <c r="T445" s="62" t="str">
        <f>'Volunteer Survey'!M860</f>
        <v/>
      </c>
      <c r="U445" s="74" t="str">
        <f>IFERROR(__xludf.DUMMYFUNCTION("QUERY('Volunteer Survey'!N844)"),"")</f>
        <v/>
      </c>
      <c r="V445" s="62" t="str">
        <f>'Volunteer Survey'!O860</f>
        <v/>
      </c>
      <c r="W445" s="75" t="str">
        <f>IFERROR(__xludf.DUMMYFUNCTION("QUERY('Volunteer Survey'!P844)"),"")</f>
        <v/>
      </c>
      <c r="X445" s="74" t="str">
        <f>IFERROR(__xludf.DUMMYFUNCTION("QUERY('Volunteer Survey'!R844)"),"")</f>
        <v/>
      </c>
      <c r="Y445" s="61"/>
      <c r="Z445" s="62"/>
      <c r="AA445" s="62"/>
      <c r="AB445" s="62"/>
      <c r="AC445" s="62"/>
      <c r="AD445" s="62"/>
      <c r="AE445" s="62"/>
      <c r="AF445" s="62"/>
      <c r="AG445" s="62"/>
      <c r="AH445" s="62"/>
      <c r="AI445" s="62"/>
      <c r="AJ445" s="62"/>
      <c r="AK445" s="62"/>
      <c r="AL445" s="62"/>
      <c r="AM445" s="62"/>
      <c r="AN445" s="62"/>
      <c r="AO445" s="62"/>
    </row>
    <row r="446">
      <c r="A446" s="62" t="str">
        <f>IFERROR(__xludf.DUMMYFUNCTION("QUERY('Volunteer Survey'!A845)"),"")</f>
        <v/>
      </c>
      <c r="B446" s="60" t="s">
        <v>340</v>
      </c>
      <c r="C446" s="61"/>
      <c r="D446" s="62"/>
      <c r="E446" s="62"/>
      <c r="F446" s="62" t="b">
        <v>0</v>
      </c>
      <c r="G446" s="62"/>
      <c r="H446" s="61"/>
      <c r="I446" s="61"/>
      <c r="J446" s="62"/>
      <c r="K446" s="62"/>
      <c r="L446" s="62" t="str">
        <f>IFERROR(__xludf.DUMMYFUNCTION("QUERY('Volunteer Survey'!B845)"),"")</f>
        <v/>
      </c>
      <c r="M446" s="62" t="str">
        <f>IFERROR(__xludf.DUMMYFUNCTION("QUERY('Volunteer Survey'!E845)"),"")</f>
        <v/>
      </c>
      <c r="N446" s="62" t="str">
        <f>'Volunteer Survey'!F861</f>
        <v/>
      </c>
      <c r="O446" s="60" t="str">
        <f>'Volunteer Survey'!H862</f>
        <v/>
      </c>
      <c r="P446" s="62" t="str">
        <f>IFERROR(__xludf.DUMMYFUNCTION("QUERY('Volunteer Survey'!I845)"),"")</f>
        <v/>
      </c>
      <c r="Q446" s="66" t="str">
        <f>IFERROR(__xludf.DUMMYFUNCTION("QUERY('Volunteer Survey'!J845)"),"")</f>
        <v/>
      </c>
      <c r="R446" s="62" t="str">
        <f>IFERROR(__xludf.DUMMYFUNCTION("QUERY('Volunteer Survey'!K845)"),"")</f>
        <v/>
      </c>
      <c r="S446" s="62" t="str">
        <f>IFERROR(__xludf.DUMMYFUNCTION("QUERY('Volunteer Survey'!L845)"),"")</f>
        <v/>
      </c>
      <c r="T446" s="62" t="str">
        <f>'Volunteer Survey'!M861</f>
        <v/>
      </c>
      <c r="U446" s="74" t="str">
        <f>IFERROR(__xludf.DUMMYFUNCTION("QUERY('Volunteer Survey'!N845)"),"")</f>
        <v/>
      </c>
      <c r="V446" s="62" t="str">
        <f>'Volunteer Survey'!O861</f>
        <v/>
      </c>
      <c r="W446" s="75" t="str">
        <f>IFERROR(__xludf.DUMMYFUNCTION("QUERY('Volunteer Survey'!P845)"),"")</f>
        <v/>
      </c>
      <c r="X446" s="74" t="str">
        <f>IFERROR(__xludf.DUMMYFUNCTION("QUERY('Volunteer Survey'!R845)"),"")</f>
        <v/>
      </c>
      <c r="Y446" s="61"/>
      <c r="Z446" s="62"/>
      <c r="AA446" s="62"/>
      <c r="AB446" s="62"/>
      <c r="AC446" s="62"/>
      <c r="AD446" s="62"/>
      <c r="AE446" s="62"/>
      <c r="AF446" s="62"/>
      <c r="AG446" s="62"/>
      <c r="AH446" s="62"/>
      <c r="AI446" s="62"/>
      <c r="AJ446" s="62"/>
      <c r="AK446" s="62"/>
      <c r="AL446" s="62"/>
      <c r="AM446" s="62"/>
      <c r="AN446" s="62"/>
      <c r="AO446" s="62"/>
    </row>
    <row r="447">
      <c r="A447" s="62" t="str">
        <f>IFERROR(__xludf.DUMMYFUNCTION("QUERY('Volunteer Survey'!A846)"),"")</f>
        <v/>
      </c>
      <c r="B447" s="60" t="s">
        <v>340</v>
      </c>
      <c r="C447" s="61"/>
      <c r="D447" s="62"/>
      <c r="E447" s="62"/>
      <c r="F447" s="62" t="b">
        <v>0</v>
      </c>
      <c r="G447" s="62"/>
      <c r="H447" s="61"/>
      <c r="I447" s="61"/>
      <c r="J447" s="62"/>
      <c r="K447" s="62"/>
      <c r="L447" s="62" t="str">
        <f>IFERROR(__xludf.DUMMYFUNCTION("QUERY('Volunteer Survey'!B846)"),"")</f>
        <v/>
      </c>
      <c r="M447" s="62" t="str">
        <f>IFERROR(__xludf.DUMMYFUNCTION("QUERY('Volunteer Survey'!E846)"),"")</f>
        <v/>
      </c>
      <c r="N447" s="62" t="str">
        <f>'Volunteer Survey'!F862</f>
        <v/>
      </c>
      <c r="O447" s="60" t="str">
        <f>'Volunteer Survey'!H863</f>
        <v/>
      </c>
      <c r="P447" s="62" t="str">
        <f>IFERROR(__xludf.DUMMYFUNCTION("QUERY('Volunteer Survey'!I846)"),"")</f>
        <v/>
      </c>
      <c r="Q447" s="66" t="str">
        <f>IFERROR(__xludf.DUMMYFUNCTION("QUERY('Volunteer Survey'!J846)"),"")</f>
        <v/>
      </c>
      <c r="R447" s="62" t="str">
        <f>IFERROR(__xludf.DUMMYFUNCTION("QUERY('Volunteer Survey'!K846)"),"")</f>
        <v/>
      </c>
      <c r="S447" s="62" t="str">
        <f>IFERROR(__xludf.DUMMYFUNCTION("QUERY('Volunteer Survey'!L846)"),"")</f>
        <v/>
      </c>
      <c r="T447" s="62" t="str">
        <f>'Volunteer Survey'!M862</f>
        <v/>
      </c>
      <c r="U447" s="74" t="str">
        <f>IFERROR(__xludf.DUMMYFUNCTION("QUERY('Volunteer Survey'!N846)"),"")</f>
        <v/>
      </c>
      <c r="V447" s="62" t="str">
        <f>'Volunteer Survey'!O862</f>
        <v/>
      </c>
      <c r="W447" s="75" t="str">
        <f>IFERROR(__xludf.DUMMYFUNCTION("QUERY('Volunteer Survey'!P846)"),"")</f>
        <v/>
      </c>
      <c r="X447" s="74" t="str">
        <f>IFERROR(__xludf.DUMMYFUNCTION("QUERY('Volunteer Survey'!R846)"),"")</f>
        <v/>
      </c>
      <c r="Y447" s="61"/>
      <c r="Z447" s="62"/>
      <c r="AA447" s="62"/>
      <c r="AB447" s="62"/>
      <c r="AC447" s="62"/>
      <c r="AD447" s="62"/>
      <c r="AE447" s="62"/>
      <c r="AF447" s="62"/>
      <c r="AG447" s="62"/>
      <c r="AH447" s="62"/>
      <c r="AI447" s="62"/>
      <c r="AJ447" s="62"/>
      <c r="AK447" s="62"/>
      <c r="AL447" s="62"/>
      <c r="AM447" s="62"/>
      <c r="AN447" s="62"/>
      <c r="AO447" s="62"/>
    </row>
    <row r="448">
      <c r="A448" s="62" t="str">
        <f>IFERROR(__xludf.DUMMYFUNCTION("QUERY('Volunteer Survey'!A847)"),"")</f>
        <v/>
      </c>
      <c r="B448" s="60" t="s">
        <v>340</v>
      </c>
      <c r="C448" s="61"/>
      <c r="D448" s="62"/>
      <c r="E448" s="62"/>
      <c r="F448" s="62" t="b">
        <v>0</v>
      </c>
      <c r="G448" s="62"/>
      <c r="H448" s="61"/>
      <c r="I448" s="61"/>
      <c r="J448" s="62"/>
      <c r="K448" s="62"/>
      <c r="L448" s="62" t="str">
        <f>IFERROR(__xludf.DUMMYFUNCTION("QUERY('Volunteer Survey'!B847)"),"")</f>
        <v/>
      </c>
      <c r="M448" s="62" t="str">
        <f>IFERROR(__xludf.DUMMYFUNCTION("QUERY('Volunteer Survey'!E847)"),"")</f>
        <v/>
      </c>
      <c r="N448" s="62" t="str">
        <f>'Volunteer Survey'!F863</f>
        <v/>
      </c>
      <c r="O448" s="60" t="str">
        <f>'Volunteer Survey'!H864</f>
        <v/>
      </c>
      <c r="P448" s="62" t="str">
        <f>IFERROR(__xludf.DUMMYFUNCTION("QUERY('Volunteer Survey'!I847)"),"")</f>
        <v/>
      </c>
      <c r="Q448" s="66" t="str">
        <f>IFERROR(__xludf.DUMMYFUNCTION("QUERY('Volunteer Survey'!J847)"),"")</f>
        <v/>
      </c>
      <c r="R448" s="62" t="str">
        <f>IFERROR(__xludf.DUMMYFUNCTION("QUERY('Volunteer Survey'!K847)"),"")</f>
        <v/>
      </c>
      <c r="S448" s="62" t="str">
        <f>IFERROR(__xludf.DUMMYFUNCTION("QUERY('Volunteer Survey'!L847)"),"")</f>
        <v/>
      </c>
      <c r="T448" s="62" t="str">
        <f>'Volunteer Survey'!M863</f>
        <v/>
      </c>
      <c r="U448" s="74" t="str">
        <f>IFERROR(__xludf.DUMMYFUNCTION("QUERY('Volunteer Survey'!N847)"),"")</f>
        <v/>
      </c>
      <c r="V448" s="62" t="str">
        <f>'Volunteer Survey'!O863</f>
        <v/>
      </c>
      <c r="W448" s="75" t="str">
        <f>IFERROR(__xludf.DUMMYFUNCTION("QUERY('Volunteer Survey'!P847)"),"")</f>
        <v/>
      </c>
      <c r="X448" s="74" t="str">
        <f>IFERROR(__xludf.DUMMYFUNCTION("QUERY('Volunteer Survey'!R847)"),"")</f>
        <v/>
      </c>
      <c r="Y448" s="61"/>
      <c r="Z448" s="62"/>
      <c r="AA448" s="62"/>
      <c r="AB448" s="62"/>
      <c r="AC448" s="62"/>
      <c r="AD448" s="62"/>
      <c r="AE448" s="62"/>
      <c r="AF448" s="62"/>
      <c r="AG448" s="62"/>
      <c r="AH448" s="62"/>
      <c r="AI448" s="62"/>
      <c r="AJ448" s="62"/>
      <c r="AK448" s="62"/>
      <c r="AL448" s="62"/>
      <c r="AM448" s="62"/>
      <c r="AN448" s="62"/>
      <c r="AO448" s="62"/>
    </row>
    <row r="449">
      <c r="A449" s="62" t="str">
        <f>IFERROR(__xludf.DUMMYFUNCTION("QUERY('Volunteer Survey'!A848)"),"")</f>
        <v/>
      </c>
      <c r="B449" s="60" t="s">
        <v>340</v>
      </c>
      <c r="C449" s="61"/>
      <c r="D449" s="62"/>
      <c r="E449" s="62"/>
      <c r="F449" s="62" t="b">
        <v>0</v>
      </c>
      <c r="G449" s="62"/>
      <c r="H449" s="61"/>
      <c r="I449" s="61"/>
      <c r="J449" s="62"/>
      <c r="K449" s="62"/>
      <c r="L449" s="62" t="str">
        <f>IFERROR(__xludf.DUMMYFUNCTION("QUERY('Volunteer Survey'!B848)"),"")</f>
        <v/>
      </c>
      <c r="M449" s="62" t="str">
        <f>IFERROR(__xludf.DUMMYFUNCTION("QUERY('Volunteer Survey'!E848)"),"")</f>
        <v/>
      </c>
      <c r="N449" s="62" t="str">
        <f>'Volunteer Survey'!F864</f>
        <v/>
      </c>
      <c r="O449" s="60" t="str">
        <f>'Volunteer Survey'!H865</f>
        <v/>
      </c>
      <c r="P449" s="62" t="str">
        <f>IFERROR(__xludf.DUMMYFUNCTION("QUERY('Volunteer Survey'!I848)"),"")</f>
        <v/>
      </c>
      <c r="Q449" s="66" t="str">
        <f>IFERROR(__xludf.DUMMYFUNCTION("QUERY('Volunteer Survey'!J848)"),"")</f>
        <v/>
      </c>
      <c r="R449" s="62" t="str">
        <f>IFERROR(__xludf.DUMMYFUNCTION("QUERY('Volunteer Survey'!K848)"),"")</f>
        <v/>
      </c>
      <c r="S449" s="62" t="str">
        <f>IFERROR(__xludf.DUMMYFUNCTION("QUERY('Volunteer Survey'!L848)"),"")</f>
        <v/>
      </c>
      <c r="T449" s="62" t="str">
        <f>'Volunteer Survey'!M864</f>
        <v/>
      </c>
      <c r="U449" s="74" t="str">
        <f>IFERROR(__xludf.DUMMYFUNCTION("QUERY('Volunteer Survey'!N848)"),"")</f>
        <v/>
      </c>
      <c r="V449" s="62" t="str">
        <f>'Volunteer Survey'!O864</f>
        <v/>
      </c>
      <c r="W449" s="75" t="str">
        <f>IFERROR(__xludf.DUMMYFUNCTION("QUERY('Volunteer Survey'!P848)"),"")</f>
        <v/>
      </c>
      <c r="X449" s="74" t="str">
        <f>IFERROR(__xludf.DUMMYFUNCTION("QUERY('Volunteer Survey'!R848)"),"")</f>
        <v/>
      </c>
      <c r="Y449" s="61"/>
      <c r="Z449" s="62"/>
      <c r="AA449" s="62"/>
      <c r="AB449" s="62"/>
      <c r="AC449" s="62"/>
      <c r="AD449" s="62"/>
      <c r="AE449" s="62"/>
      <c r="AF449" s="62"/>
      <c r="AG449" s="62"/>
      <c r="AH449" s="62"/>
      <c r="AI449" s="62"/>
      <c r="AJ449" s="62"/>
      <c r="AK449" s="62"/>
      <c r="AL449" s="62"/>
      <c r="AM449" s="62"/>
      <c r="AN449" s="62"/>
      <c r="AO449" s="62"/>
    </row>
    <row r="450">
      <c r="A450" s="62" t="str">
        <f>IFERROR(__xludf.DUMMYFUNCTION("QUERY('Volunteer Survey'!A849)"),"")</f>
        <v/>
      </c>
      <c r="B450" s="60" t="s">
        <v>340</v>
      </c>
      <c r="C450" s="61"/>
      <c r="D450" s="62"/>
      <c r="E450" s="62"/>
      <c r="F450" s="62" t="b">
        <v>0</v>
      </c>
      <c r="G450" s="62"/>
      <c r="H450" s="61"/>
      <c r="I450" s="61"/>
      <c r="J450" s="62"/>
      <c r="K450" s="62"/>
      <c r="L450" s="62" t="str">
        <f>IFERROR(__xludf.DUMMYFUNCTION("QUERY('Volunteer Survey'!B849)"),"")</f>
        <v/>
      </c>
      <c r="M450" s="62" t="str">
        <f>IFERROR(__xludf.DUMMYFUNCTION("QUERY('Volunteer Survey'!E849)"),"")</f>
        <v/>
      </c>
      <c r="N450" s="62" t="str">
        <f>'Volunteer Survey'!F865</f>
        <v/>
      </c>
      <c r="O450" s="60" t="str">
        <f>'Volunteer Survey'!H866</f>
        <v/>
      </c>
      <c r="P450" s="62" t="str">
        <f>IFERROR(__xludf.DUMMYFUNCTION("QUERY('Volunteer Survey'!I849)"),"")</f>
        <v/>
      </c>
      <c r="Q450" s="66" t="str">
        <f>IFERROR(__xludf.DUMMYFUNCTION("QUERY('Volunteer Survey'!J849)"),"")</f>
        <v/>
      </c>
      <c r="R450" s="62" t="str">
        <f>IFERROR(__xludf.DUMMYFUNCTION("QUERY('Volunteer Survey'!K849)"),"")</f>
        <v/>
      </c>
      <c r="S450" s="62" t="str">
        <f>IFERROR(__xludf.DUMMYFUNCTION("QUERY('Volunteer Survey'!L849)"),"")</f>
        <v/>
      </c>
      <c r="T450" s="62" t="str">
        <f>'Volunteer Survey'!M865</f>
        <v/>
      </c>
      <c r="U450" s="74" t="str">
        <f>IFERROR(__xludf.DUMMYFUNCTION("QUERY('Volunteer Survey'!N849)"),"")</f>
        <v/>
      </c>
      <c r="V450" s="62" t="str">
        <f>'Volunteer Survey'!O865</f>
        <v/>
      </c>
      <c r="W450" s="75" t="str">
        <f>IFERROR(__xludf.DUMMYFUNCTION("QUERY('Volunteer Survey'!P849)"),"")</f>
        <v/>
      </c>
      <c r="X450" s="74" t="str">
        <f>IFERROR(__xludf.DUMMYFUNCTION("QUERY('Volunteer Survey'!R849)"),"")</f>
        <v/>
      </c>
      <c r="Y450" s="61"/>
      <c r="Z450" s="62"/>
      <c r="AA450" s="62"/>
      <c r="AB450" s="62"/>
      <c r="AC450" s="62"/>
      <c r="AD450" s="62"/>
      <c r="AE450" s="62"/>
      <c r="AF450" s="62"/>
      <c r="AG450" s="62"/>
      <c r="AH450" s="62"/>
      <c r="AI450" s="62"/>
      <c r="AJ450" s="62"/>
      <c r="AK450" s="62"/>
      <c r="AL450" s="62"/>
      <c r="AM450" s="62"/>
      <c r="AN450" s="62"/>
      <c r="AO450" s="62"/>
    </row>
    <row r="451">
      <c r="A451" s="62" t="str">
        <f>IFERROR(__xludf.DUMMYFUNCTION("QUERY('Volunteer Survey'!A850)"),"")</f>
        <v/>
      </c>
      <c r="B451" s="60" t="s">
        <v>340</v>
      </c>
      <c r="C451" s="61"/>
      <c r="D451" s="62"/>
      <c r="E451" s="62"/>
      <c r="F451" s="62" t="b">
        <v>0</v>
      </c>
      <c r="G451" s="62"/>
      <c r="H451" s="61"/>
      <c r="I451" s="61"/>
      <c r="J451" s="62"/>
      <c r="K451" s="62"/>
      <c r="L451" s="62" t="str">
        <f>IFERROR(__xludf.DUMMYFUNCTION("QUERY('Volunteer Survey'!B850)"),"")</f>
        <v/>
      </c>
      <c r="M451" s="62" t="str">
        <f>IFERROR(__xludf.DUMMYFUNCTION("QUERY('Volunteer Survey'!E850)"),"")</f>
        <v/>
      </c>
      <c r="N451" s="62" t="str">
        <f>'Volunteer Survey'!F866</f>
        <v/>
      </c>
      <c r="O451" s="60" t="str">
        <f>'Volunteer Survey'!H867</f>
        <v/>
      </c>
      <c r="P451" s="62" t="str">
        <f>IFERROR(__xludf.DUMMYFUNCTION("QUERY('Volunteer Survey'!I850)"),"")</f>
        <v/>
      </c>
      <c r="Q451" s="66" t="str">
        <f>IFERROR(__xludf.DUMMYFUNCTION("QUERY('Volunteer Survey'!J850)"),"")</f>
        <v/>
      </c>
      <c r="R451" s="62" t="str">
        <f>IFERROR(__xludf.DUMMYFUNCTION("QUERY('Volunteer Survey'!K850)"),"")</f>
        <v/>
      </c>
      <c r="S451" s="62" t="str">
        <f>IFERROR(__xludf.DUMMYFUNCTION("QUERY('Volunteer Survey'!L850)"),"")</f>
        <v/>
      </c>
      <c r="T451" s="62" t="str">
        <f>'Volunteer Survey'!M866</f>
        <v/>
      </c>
      <c r="U451" s="74" t="str">
        <f>IFERROR(__xludf.DUMMYFUNCTION("QUERY('Volunteer Survey'!N850)"),"")</f>
        <v/>
      </c>
      <c r="V451" s="62" t="str">
        <f>'Volunteer Survey'!O866</f>
        <v/>
      </c>
      <c r="W451" s="75" t="str">
        <f>IFERROR(__xludf.DUMMYFUNCTION("QUERY('Volunteer Survey'!P850)"),"")</f>
        <v/>
      </c>
      <c r="X451" s="74" t="str">
        <f>IFERROR(__xludf.DUMMYFUNCTION("QUERY('Volunteer Survey'!R850)"),"")</f>
        <v/>
      </c>
      <c r="Y451" s="61"/>
      <c r="Z451" s="62"/>
      <c r="AA451" s="62"/>
      <c r="AB451" s="62"/>
      <c r="AC451" s="62"/>
      <c r="AD451" s="62"/>
      <c r="AE451" s="62"/>
      <c r="AF451" s="62"/>
      <c r="AG451" s="62"/>
      <c r="AH451" s="62"/>
      <c r="AI451" s="62"/>
      <c r="AJ451" s="62"/>
      <c r="AK451" s="62"/>
      <c r="AL451" s="62"/>
      <c r="AM451" s="62"/>
      <c r="AN451" s="62"/>
      <c r="AO451" s="62"/>
    </row>
    <row r="452">
      <c r="A452" s="62" t="str">
        <f>IFERROR(__xludf.DUMMYFUNCTION("QUERY('Volunteer Survey'!A851)"),"")</f>
        <v/>
      </c>
      <c r="B452" s="60" t="s">
        <v>340</v>
      </c>
      <c r="C452" s="61"/>
      <c r="D452" s="62"/>
      <c r="E452" s="62"/>
      <c r="F452" s="62" t="b">
        <v>0</v>
      </c>
      <c r="G452" s="62"/>
      <c r="H452" s="61"/>
      <c r="I452" s="61"/>
      <c r="J452" s="62"/>
      <c r="K452" s="62"/>
      <c r="L452" s="62" t="str">
        <f>IFERROR(__xludf.DUMMYFUNCTION("QUERY('Volunteer Survey'!B851)"),"")</f>
        <v/>
      </c>
      <c r="M452" s="62" t="str">
        <f>IFERROR(__xludf.DUMMYFUNCTION("QUERY('Volunteer Survey'!E851)"),"")</f>
        <v/>
      </c>
      <c r="N452" s="62" t="str">
        <f>'Volunteer Survey'!F867</f>
        <v/>
      </c>
      <c r="O452" s="60" t="str">
        <f>'Volunteer Survey'!H868</f>
        <v/>
      </c>
      <c r="P452" s="62" t="str">
        <f>IFERROR(__xludf.DUMMYFUNCTION("QUERY('Volunteer Survey'!I851)"),"")</f>
        <v/>
      </c>
      <c r="Q452" s="66" t="str">
        <f>IFERROR(__xludf.DUMMYFUNCTION("QUERY('Volunteer Survey'!J851)"),"")</f>
        <v/>
      </c>
      <c r="R452" s="62" t="str">
        <f>IFERROR(__xludf.DUMMYFUNCTION("QUERY('Volunteer Survey'!K851)"),"")</f>
        <v/>
      </c>
      <c r="S452" s="62" t="str">
        <f>IFERROR(__xludf.DUMMYFUNCTION("QUERY('Volunteer Survey'!L851)"),"")</f>
        <v/>
      </c>
      <c r="T452" s="62" t="str">
        <f>'Volunteer Survey'!M867</f>
        <v/>
      </c>
      <c r="U452" s="74" t="str">
        <f>IFERROR(__xludf.DUMMYFUNCTION("QUERY('Volunteer Survey'!N851)"),"")</f>
        <v/>
      </c>
      <c r="V452" s="62" t="str">
        <f>'Volunteer Survey'!O867</f>
        <v/>
      </c>
      <c r="W452" s="75" t="str">
        <f>IFERROR(__xludf.DUMMYFUNCTION("QUERY('Volunteer Survey'!P851)"),"")</f>
        <v/>
      </c>
      <c r="X452" s="74" t="str">
        <f>IFERROR(__xludf.DUMMYFUNCTION("QUERY('Volunteer Survey'!R851)"),"")</f>
        <v/>
      </c>
      <c r="Y452" s="61"/>
      <c r="Z452" s="62"/>
      <c r="AA452" s="62"/>
      <c r="AB452" s="62"/>
      <c r="AC452" s="62"/>
      <c r="AD452" s="62"/>
      <c r="AE452" s="62"/>
      <c r="AF452" s="62"/>
      <c r="AG452" s="62"/>
      <c r="AH452" s="62"/>
      <c r="AI452" s="62"/>
      <c r="AJ452" s="62"/>
      <c r="AK452" s="62"/>
      <c r="AL452" s="62"/>
      <c r="AM452" s="62"/>
      <c r="AN452" s="62"/>
      <c r="AO452" s="62"/>
    </row>
    <row r="453">
      <c r="A453" s="62" t="str">
        <f>IFERROR(__xludf.DUMMYFUNCTION("QUERY('Volunteer Survey'!A852)"),"")</f>
        <v/>
      </c>
      <c r="B453" s="60" t="s">
        <v>340</v>
      </c>
      <c r="C453" s="61"/>
      <c r="D453" s="62"/>
      <c r="E453" s="62"/>
      <c r="F453" s="62" t="b">
        <v>0</v>
      </c>
      <c r="G453" s="62"/>
      <c r="H453" s="61"/>
      <c r="I453" s="61"/>
      <c r="J453" s="62"/>
      <c r="K453" s="62"/>
      <c r="L453" s="62" t="str">
        <f>IFERROR(__xludf.DUMMYFUNCTION("QUERY('Volunteer Survey'!B852)"),"")</f>
        <v/>
      </c>
      <c r="M453" s="62" t="str">
        <f>IFERROR(__xludf.DUMMYFUNCTION("QUERY('Volunteer Survey'!E852)"),"")</f>
        <v/>
      </c>
      <c r="N453" s="62" t="str">
        <f>'Volunteer Survey'!F868</f>
        <v/>
      </c>
      <c r="O453" s="60" t="str">
        <f>'Volunteer Survey'!H869</f>
        <v/>
      </c>
      <c r="P453" s="62" t="str">
        <f>IFERROR(__xludf.DUMMYFUNCTION("QUERY('Volunteer Survey'!I852)"),"")</f>
        <v/>
      </c>
      <c r="Q453" s="66" t="str">
        <f>IFERROR(__xludf.DUMMYFUNCTION("QUERY('Volunteer Survey'!J852)"),"")</f>
        <v/>
      </c>
      <c r="R453" s="62"/>
      <c r="S453" s="62" t="str">
        <f>IFERROR(__xludf.DUMMYFUNCTION("QUERY('Volunteer Survey'!L852)"),"")</f>
        <v/>
      </c>
      <c r="T453" s="62" t="str">
        <f>'Volunteer Survey'!M868</f>
        <v/>
      </c>
      <c r="U453" s="74"/>
      <c r="V453" s="62" t="str">
        <f>'Volunteer Survey'!O868</f>
        <v/>
      </c>
      <c r="W453" s="75" t="str">
        <f>IFERROR(__xludf.DUMMYFUNCTION("QUERY('Volunteer Survey'!P852)"),"")</f>
        <v/>
      </c>
      <c r="X453" s="74" t="str">
        <f>IFERROR(__xludf.DUMMYFUNCTION("QUERY('Volunteer Survey'!R852)"),"")</f>
        <v/>
      </c>
      <c r="Y453" s="61"/>
      <c r="Z453" s="62"/>
      <c r="AA453" s="62"/>
      <c r="AB453" s="62"/>
      <c r="AC453" s="62"/>
      <c r="AD453" s="62"/>
      <c r="AE453" s="62"/>
      <c r="AF453" s="62"/>
      <c r="AG453" s="62"/>
      <c r="AH453" s="62"/>
      <c r="AI453" s="62"/>
      <c r="AJ453" s="62"/>
      <c r="AK453" s="62"/>
      <c r="AL453" s="62"/>
      <c r="AM453" s="62"/>
      <c r="AN453" s="62"/>
      <c r="AO453" s="62"/>
    </row>
    <row r="454">
      <c r="A454" s="62" t="str">
        <f>IFERROR(__xludf.DUMMYFUNCTION("QUERY('Volunteer Survey'!A853)"),"")</f>
        <v/>
      </c>
      <c r="B454" s="60" t="s">
        <v>340</v>
      </c>
      <c r="C454" s="61"/>
      <c r="D454" s="62"/>
      <c r="E454" s="62"/>
      <c r="F454" s="62" t="b">
        <v>0</v>
      </c>
      <c r="G454" s="62"/>
      <c r="H454" s="61"/>
      <c r="I454" s="61"/>
      <c r="J454" s="62"/>
      <c r="K454" s="62"/>
      <c r="L454" s="62" t="str">
        <f>IFERROR(__xludf.DUMMYFUNCTION("QUERY('Volunteer Survey'!B853)"),"")</f>
        <v/>
      </c>
      <c r="M454" s="62" t="str">
        <f>IFERROR(__xludf.DUMMYFUNCTION("QUERY('Volunteer Survey'!E853)"),"")</f>
        <v/>
      </c>
      <c r="N454" s="62" t="str">
        <f>'Volunteer Survey'!F869</f>
        <v/>
      </c>
      <c r="O454" s="60" t="str">
        <f>'Volunteer Survey'!H870</f>
        <v/>
      </c>
      <c r="P454" s="62" t="str">
        <f>IFERROR(__xludf.DUMMYFUNCTION("QUERY('Volunteer Survey'!I853)"),"")</f>
        <v/>
      </c>
      <c r="Q454" s="66" t="str">
        <f>IFERROR(__xludf.DUMMYFUNCTION("QUERY('Volunteer Survey'!J853)"),"")</f>
        <v/>
      </c>
      <c r="R454" s="62"/>
      <c r="S454" s="62" t="str">
        <f>IFERROR(__xludf.DUMMYFUNCTION("QUERY('Volunteer Survey'!L853)"),"")</f>
        <v/>
      </c>
      <c r="T454" s="62" t="str">
        <f>'Volunteer Survey'!M869</f>
        <v/>
      </c>
      <c r="U454" s="74"/>
      <c r="V454" s="62" t="str">
        <f>'Volunteer Survey'!O869</f>
        <v/>
      </c>
      <c r="W454" s="75" t="str">
        <f>IFERROR(__xludf.DUMMYFUNCTION("QUERY('Volunteer Survey'!P853)"),"")</f>
        <v/>
      </c>
      <c r="X454" s="74" t="str">
        <f>IFERROR(__xludf.DUMMYFUNCTION("QUERY('Volunteer Survey'!R853)"),"")</f>
        <v/>
      </c>
      <c r="Y454" s="61"/>
      <c r="Z454" s="62"/>
      <c r="AA454" s="62"/>
      <c r="AB454" s="62"/>
      <c r="AC454" s="62"/>
      <c r="AD454" s="62"/>
      <c r="AE454" s="62"/>
      <c r="AF454" s="62"/>
      <c r="AG454" s="62"/>
      <c r="AH454" s="62"/>
      <c r="AI454" s="62"/>
      <c r="AJ454" s="62"/>
      <c r="AK454" s="62"/>
      <c r="AL454" s="62"/>
      <c r="AM454" s="62"/>
      <c r="AN454" s="62"/>
      <c r="AO454" s="62"/>
    </row>
    <row r="455">
      <c r="A455" s="62" t="str">
        <f>IFERROR(__xludf.DUMMYFUNCTION("QUERY('Volunteer Survey'!A854)"),"")</f>
        <v/>
      </c>
      <c r="B455" s="60" t="s">
        <v>340</v>
      </c>
      <c r="C455" s="61"/>
      <c r="D455" s="62"/>
      <c r="E455" s="62"/>
      <c r="F455" s="62" t="b">
        <v>0</v>
      </c>
      <c r="G455" s="62"/>
      <c r="H455" s="61"/>
      <c r="I455" s="61"/>
      <c r="J455" s="62"/>
      <c r="K455" s="62"/>
      <c r="L455" s="62" t="str">
        <f>'Volunteer Survey'!B870</f>
        <v/>
      </c>
      <c r="M455" s="62" t="str">
        <f>IFERROR(__xludf.DUMMYFUNCTION("QUERY('Volunteer Survey'!E854)"),"")</f>
        <v/>
      </c>
      <c r="N455" s="62" t="str">
        <f>'Volunteer Survey'!F870</f>
        <v/>
      </c>
      <c r="O455" s="60" t="str">
        <f>'Volunteer Survey'!H871</f>
        <v/>
      </c>
      <c r="P455" s="62" t="str">
        <f>IFERROR(__xludf.DUMMYFUNCTION("QUERY('Volunteer Survey'!I854)"),"")</f>
        <v/>
      </c>
      <c r="Q455" s="66" t="str">
        <f>IFERROR(__xludf.DUMMYFUNCTION("QUERY('Volunteer Survey'!J854)"),"")</f>
        <v/>
      </c>
      <c r="R455" s="62"/>
      <c r="S455" s="62" t="str">
        <f>IFERROR(__xludf.DUMMYFUNCTION("QUERY('Volunteer Survey'!L854)"),"")</f>
        <v/>
      </c>
      <c r="T455" s="62" t="str">
        <f>'Volunteer Survey'!M870</f>
        <v/>
      </c>
      <c r="U455" s="74"/>
      <c r="V455" s="62" t="str">
        <f>'Volunteer Survey'!O870</f>
        <v/>
      </c>
      <c r="W455" s="75" t="str">
        <f>IFERROR(__xludf.DUMMYFUNCTION("QUERY('Volunteer Survey'!P854)"),"")</f>
        <v/>
      </c>
      <c r="X455" s="74" t="str">
        <f>IFERROR(__xludf.DUMMYFUNCTION("QUERY('Volunteer Survey'!R854)"),"")</f>
        <v/>
      </c>
      <c r="Y455" s="61"/>
      <c r="Z455" s="62"/>
      <c r="AA455" s="62"/>
      <c r="AB455" s="62"/>
      <c r="AC455" s="62"/>
      <c r="AD455" s="62"/>
      <c r="AE455" s="62"/>
      <c r="AF455" s="62"/>
      <c r="AG455" s="62"/>
      <c r="AH455" s="62"/>
      <c r="AI455" s="62"/>
      <c r="AJ455" s="62"/>
      <c r="AK455" s="62"/>
      <c r="AL455" s="62"/>
      <c r="AM455" s="62"/>
      <c r="AN455" s="62"/>
      <c r="AO455" s="62"/>
    </row>
    <row r="456">
      <c r="A456" s="62" t="str">
        <f>'Volunteer Survey'!A871</f>
        <v/>
      </c>
      <c r="B456" s="60" t="s">
        <v>340</v>
      </c>
      <c r="C456" s="61"/>
      <c r="D456" s="62"/>
      <c r="E456" s="62"/>
      <c r="F456" s="62" t="b">
        <v>0</v>
      </c>
      <c r="G456" s="62"/>
      <c r="H456" s="61"/>
      <c r="I456" s="61"/>
      <c r="J456" s="62"/>
      <c r="K456" s="62"/>
      <c r="L456" s="62" t="str">
        <f>'Volunteer Survey'!B871</f>
        <v/>
      </c>
      <c r="M456" s="62" t="str">
        <f>IFERROR(__xludf.DUMMYFUNCTION("QUERY('Volunteer Survey'!E855)"),"")</f>
        <v/>
      </c>
      <c r="N456" s="62" t="str">
        <f>'Volunteer Survey'!F871</f>
        <v/>
      </c>
      <c r="O456" s="60" t="str">
        <f>'Volunteer Survey'!H872</f>
        <v/>
      </c>
      <c r="P456" s="62" t="str">
        <f>IFERROR(__xludf.DUMMYFUNCTION("QUERY('Volunteer Survey'!I855)"),"")</f>
        <v/>
      </c>
      <c r="Q456" s="66" t="str">
        <f>IFERROR(__xludf.DUMMYFUNCTION("QUERY('Volunteer Survey'!J855)"),"")</f>
        <v/>
      </c>
      <c r="R456" s="62"/>
      <c r="S456" s="62" t="str">
        <f>IFERROR(__xludf.DUMMYFUNCTION("QUERY('Volunteer Survey'!L855)"),"")</f>
        <v/>
      </c>
      <c r="T456" s="62" t="str">
        <f>'Volunteer Survey'!M871</f>
        <v/>
      </c>
      <c r="U456" s="74"/>
      <c r="V456" s="62" t="str">
        <f>'Volunteer Survey'!O871</f>
        <v/>
      </c>
      <c r="W456" s="75" t="str">
        <f>IFERROR(__xludf.DUMMYFUNCTION("QUERY('Volunteer Survey'!P855)"),"")</f>
        <v/>
      </c>
      <c r="X456" s="74" t="str">
        <f>IFERROR(__xludf.DUMMYFUNCTION("QUERY('Volunteer Survey'!R855)"),"")</f>
        <v/>
      </c>
      <c r="Y456" s="61"/>
      <c r="Z456" s="62"/>
      <c r="AA456" s="62"/>
      <c r="AB456" s="62"/>
      <c r="AC456" s="62"/>
      <c r="AD456" s="62"/>
      <c r="AE456" s="62"/>
      <c r="AF456" s="62"/>
      <c r="AG456" s="62"/>
      <c r="AH456" s="62"/>
      <c r="AI456" s="62"/>
      <c r="AJ456" s="62"/>
      <c r="AK456" s="62"/>
      <c r="AL456" s="62"/>
      <c r="AM456" s="62"/>
      <c r="AN456" s="62"/>
      <c r="AO456" s="62"/>
    </row>
    <row r="457">
      <c r="A457" s="62" t="str">
        <f>'Volunteer Survey'!A872</f>
        <v/>
      </c>
      <c r="B457" s="60" t="s">
        <v>340</v>
      </c>
      <c r="C457" s="61"/>
      <c r="D457" s="62"/>
      <c r="E457" s="62"/>
      <c r="F457" s="62" t="b">
        <v>0</v>
      </c>
      <c r="G457" s="62"/>
      <c r="H457" s="61"/>
      <c r="I457" s="61"/>
      <c r="J457" s="62"/>
      <c r="K457" s="62"/>
      <c r="L457" s="62" t="str">
        <f>'Volunteer Survey'!B872</f>
        <v/>
      </c>
      <c r="M457" s="62" t="str">
        <f>IFERROR(__xludf.DUMMYFUNCTION("QUERY('Volunteer Survey'!E856)"),"")</f>
        <v/>
      </c>
      <c r="N457" s="62" t="str">
        <f>'Volunteer Survey'!F872</f>
        <v/>
      </c>
      <c r="O457" s="60" t="str">
        <f>'Volunteer Survey'!H873</f>
        <v/>
      </c>
      <c r="P457" s="62" t="str">
        <f>IFERROR(__xludf.DUMMYFUNCTION("QUERY('Volunteer Survey'!I856)"),"")</f>
        <v/>
      </c>
      <c r="Q457" s="66" t="str">
        <f>IFERROR(__xludf.DUMMYFUNCTION("QUERY('Volunteer Survey'!J856)"),"")</f>
        <v/>
      </c>
      <c r="R457" s="62"/>
      <c r="S457" s="62" t="str">
        <f>IFERROR(__xludf.DUMMYFUNCTION("QUERY('Volunteer Survey'!L856)"),"")</f>
        <v/>
      </c>
      <c r="T457" s="62" t="str">
        <f>'Volunteer Survey'!M872</f>
        <v/>
      </c>
      <c r="U457" s="74"/>
      <c r="V457" s="62" t="str">
        <f>'Volunteer Survey'!O872</f>
        <v/>
      </c>
      <c r="W457" s="75" t="str">
        <f>IFERROR(__xludf.DUMMYFUNCTION("QUERY('Volunteer Survey'!P856)"),"")</f>
        <v/>
      </c>
      <c r="X457" s="74" t="str">
        <f>IFERROR(__xludf.DUMMYFUNCTION("QUERY('Volunteer Survey'!R856)"),"")</f>
        <v/>
      </c>
      <c r="Y457" s="61"/>
      <c r="Z457" s="62"/>
      <c r="AA457" s="62"/>
      <c r="AB457" s="62"/>
      <c r="AC457" s="62"/>
      <c r="AD457" s="62"/>
      <c r="AE457" s="62"/>
      <c r="AF457" s="62"/>
      <c r="AG457" s="62"/>
      <c r="AH457" s="62"/>
      <c r="AI457" s="62"/>
      <c r="AJ457" s="62"/>
      <c r="AK457" s="62"/>
      <c r="AL457" s="62"/>
      <c r="AM457" s="62"/>
      <c r="AN457" s="62"/>
      <c r="AO457" s="62"/>
    </row>
    <row r="458">
      <c r="A458" s="62" t="str">
        <f>'Volunteer Survey'!A873</f>
        <v/>
      </c>
      <c r="B458" s="60" t="s">
        <v>340</v>
      </c>
      <c r="C458" s="61"/>
      <c r="D458" s="62"/>
      <c r="E458" s="62"/>
      <c r="F458" s="62" t="b">
        <v>0</v>
      </c>
      <c r="G458" s="62"/>
      <c r="H458" s="61"/>
      <c r="I458" s="61"/>
      <c r="J458" s="62"/>
      <c r="K458" s="62"/>
      <c r="L458" s="62" t="str">
        <f>'Volunteer Survey'!B873</f>
        <v/>
      </c>
      <c r="M458" s="62" t="str">
        <f>IFERROR(__xludf.DUMMYFUNCTION("QUERY('Volunteer Survey'!E857)"),"")</f>
        <v/>
      </c>
      <c r="N458" s="62" t="str">
        <f>'Volunteer Survey'!F873</f>
        <v/>
      </c>
      <c r="O458" s="60" t="str">
        <f>'Volunteer Survey'!H874</f>
        <v/>
      </c>
      <c r="P458" s="62" t="str">
        <f>IFERROR(__xludf.DUMMYFUNCTION("QUERY('Volunteer Survey'!I857)"),"")</f>
        <v/>
      </c>
      <c r="Q458" s="66" t="str">
        <f>IFERROR(__xludf.DUMMYFUNCTION("QUERY('Volunteer Survey'!J857)"),"")</f>
        <v/>
      </c>
      <c r="R458" s="62"/>
      <c r="S458" s="62" t="str">
        <f>IFERROR(__xludf.DUMMYFUNCTION("QUERY('Volunteer Survey'!L857)"),"")</f>
        <v/>
      </c>
      <c r="T458" s="62" t="str">
        <f>'Volunteer Survey'!M873</f>
        <v/>
      </c>
      <c r="U458" s="74"/>
      <c r="V458" s="62" t="str">
        <f>'Volunteer Survey'!O873</f>
        <v/>
      </c>
      <c r="W458" s="75" t="str">
        <f>IFERROR(__xludf.DUMMYFUNCTION("QUERY('Volunteer Survey'!P857)"),"")</f>
        <v/>
      </c>
      <c r="X458" s="74" t="str">
        <f>IFERROR(__xludf.DUMMYFUNCTION("QUERY('Volunteer Survey'!R857)"),"")</f>
        <v/>
      </c>
      <c r="Y458" s="61"/>
      <c r="Z458" s="62"/>
      <c r="AA458" s="62"/>
      <c r="AB458" s="62"/>
      <c r="AC458" s="62"/>
      <c r="AD458" s="62"/>
      <c r="AE458" s="62"/>
      <c r="AF458" s="62"/>
      <c r="AG458" s="62"/>
      <c r="AH458" s="62"/>
      <c r="AI458" s="62"/>
      <c r="AJ458" s="62"/>
      <c r="AK458" s="62"/>
      <c r="AL458" s="62"/>
      <c r="AM458" s="62"/>
      <c r="AN458" s="62"/>
      <c r="AO458" s="62"/>
    </row>
    <row r="459">
      <c r="A459" s="62" t="str">
        <f>'Volunteer Survey'!A874</f>
        <v/>
      </c>
      <c r="B459" s="60" t="s">
        <v>340</v>
      </c>
      <c r="C459" s="61"/>
      <c r="D459" s="62"/>
      <c r="E459" s="62"/>
      <c r="F459" s="62" t="b">
        <v>0</v>
      </c>
      <c r="G459" s="62"/>
      <c r="H459" s="61"/>
      <c r="I459" s="61"/>
      <c r="J459" s="62"/>
      <c r="K459" s="62"/>
      <c r="L459" s="62" t="str">
        <f>'Volunteer Survey'!B874</f>
        <v/>
      </c>
      <c r="M459" s="62" t="str">
        <f>IFERROR(__xludf.DUMMYFUNCTION("QUERY('Volunteer Survey'!E858)"),"")</f>
        <v/>
      </c>
      <c r="N459" s="62" t="str">
        <f>'Volunteer Survey'!F874</f>
        <v/>
      </c>
      <c r="O459" s="60" t="str">
        <f>'Volunteer Survey'!H875</f>
        <v/>
      </c>
      <c r="P459" s="62" t="str">
        <f>IFERROR(__xludf.DUMMYFUNCTION("QUERY('Volunteer Survey'!I858)"),"")</f>
        <v/>
      </c>
      <c r="Q459" s="66" t="str">
        <f>IFERROR(__xludf.DUMMYFUNCTION("QUERY('Volunteer Survey'!J858)"),"")</f>
        <v/>
      </c>
      <c r="R459" s="62"/>
      <c r="S459" s="62" t="str">
        <f>IFERROR(__xludf.DUMMYFUNCTION("QUERY('Volunteer Survey'!L858)"),"")</f>
        <v/>
      </c>
      <c r="T459" s="62" t="str">
        <f>'Volunteer Survey'!M874</f>
        <v/>
      </c>
      <c r="U459" s="74"/>
      <c r="V459" s="62" t="str">
        <f>'Volunteer Survey'!O874</f>
        <v/>
      </c>
      <c r="W459" s="75" t="str">
        <f>IFERROR(__xludf.DUMMYFUNCTION("QUERY('Volunteer Survey'!P858)"),"")</f>
        <v/>
      </c>
      <c r="X459" s="74" t="str">
        <f>IFERROR(__xludf.DUMMYFUNCTION("QUERY('Volunteer Survey'!R858)"),"")</f>
        <v/>
      </c>
      <c r="Y459" s="61"/>
      <c r="Z459" s="62"/>
      <c r="AA459" s="62"/>
      <c r="AB459" s="62"/>
      <c r="AC459" s="62"/>
      <c r="AD459" s="62"/>
      <c r="AE459" s="62"/>
      <c r="AF459" s="62"/>
      <c r="AG459" s="62"/>
      <c r="AH459" s="62"/>
      <c r="AI459" s="62"/>
      <c r="AJ459" s="62"/>
      <c r="AK459" s="62"/>
      <c r="AL459" s="62"/>
      <c r="AM459" s="62"/>
      <c r="AN459" s="62"/>
      <c r="AO459" s="62"/>
    </row>
    <row r="460">
      <c r="A460" s="62" t="str">
        <f>'Volunteer Survey'!A875</f>
        <v/>
      </c>
      <c r="B460" s="60" t="s">
        <v>340</v>
      </c>
      <c r="C460" s="61"/>
      <c r="D460" s="62"/>
      <c r="E460" s="62"/>
      <c r="F460" s="62" t="b">
        <v>0</v>
      </c>
      <c r="G460" s="62"/>
      <c r="H460" s="61"/>
      <c r="I460" s="61"/>
      <c r="J460" s="62"/>
      <c r="K460" s="62"/>
      <c r="L460" s="62" t="str">
        <f>'Volunteer Survey'!B875</f>
        <v/>
      </c>
      <c r="M460" s="62" t="str">
        <f>IFERROR(__xludf.DUMMYFUNCTION("QUERY('Volunteer Survey'!E859)"),"")</f>
        <v/>
      </c>
      <c r="N460" s="62" t="str">
        <f>'Volunteer Survey'!F875</f>
        <v/>
      </c>
      <c r="O460" s="60" t="str">
        <f>'Volunteer Survey'!H876</f>
        <v/>
      </c>
      <c r="P460" s="62" t="str">
        <f>IFERROR(__xludf.DUMMYFUNCTION("QUERY('Volunteer Survey'!I859)"),"")</f>
        <v/>
      </c>
      <c r="Q460" s="66" t="str">
        <f>IFERROR(__xludf.DUMMYFUNCTION("QUERY('Volunteer Survey'!J859)"),"")</f>
        <v/>
      </c>
      <c r="R460" s="62"/>
      <c r="S460" s="62" t="str">
        <f>IFERROR(__xludf.DUMMYFUNCTION("QUERY('Volunteer Survey'!L859)"),"")</f>
        <v/>
      </c>
      <c r="T460" s="62" t="str">
        <f>'Volunteer Survey'!M875</f>
        <v/>
      </c>
      <c r="U460" s="74"/>
      <c r="V460" s="62" t="str">
        <f>'Volunteer Survey'!O875</f>
        <v/>
      </c>
      <c r="W460" s="75" t="str">
        <f>IFERROR(__xludf.DUMMYFUNCTION("QUERY('Volunteer Survey'!P859)"),"")</f>
        <v/>
      </c>
      <c r="X460" s="74" t="str">
        <f>IFERROR(__xludf.DUMMYFUNCTION("QUERY('Volunteer Survey'!R859)"),"")</f>
        <v/>
      </c>
      <c r="Y460" s="61"/>
      <c r="Z460" s="62"/>
      <c r="AA460" s="62"/>
      <c r="AB460" s="62"/>
      <c r="AC460" s="62"/>
      <c r="AD460" s="62"/>
      <c r="AE460" s="62"/>
      <c r="AF460" s="62"/>
      <c r="AG460" s="62"/>
      <c r="AH460" s="62"/>
      <c r="AI460" s="62"/>
      <c r="AJ460" s="62"/>
      <c r="AK460" s="62"/>
      <c r="AL460" s="62"/>
      <c r="AM460" s="62"/>
      <c r="AN460" s="62"/>
      <c r="AO460" s="62"/>
    </row>
    <row r="461">
      <c r="A461" s="62" t="str">
        <f>'Volunteer Survey'!A876</f>
        <v/>
      </c>
      <c r="B461" s="60" t="s">
        <v>340</v>
      </c>
      <c r="C461" s="61"/>
      <c r="D461" s="62"/>
      <c r="E461" s="62"/>
      <c r="F461" s="62" t="b">
        <v>0</v>
      </c>
      <c r="G461" s="62"/>
      <c r="H461" s="61"/>
      <c r="I461" s="61"/>
      <c r="J461" s="62"/>
      <c r="K461" s="62"/>
      <c r="L461" s="62" t="str">
        <f>'Volunteer Survey'!B876</f>
        <v/>
      </c>
      <c r="M461" s="62" t="str">
        <f>IFERROR(__xludf.DUMMYFUNCTION("QUERY('Volunteer Survey'!E860)"),"")</f>
        <v/>
      </c>
      <c r="N461" s="62" t="str">
        <f>'Volunteer Survey'!F877</f>
        <v/>
      </c>
      <c r="O461" s="60" t="str">
        <f>'Volunteer Survey'!H877</f>
        <v/>
      </c>
      <c r="P461" s="62"/>
      <c r="Q461" s="66" t="str">
        <f>IFERROR(__xludf.DUMMYFUNCTION("QUERY('Volunteer Survey'!J860)"),"")</f>
        <v/>
      </c>
      <c r="R461" s="62"/>
      <c r="S461" s="62" t="str">
        <f>IFERROR(__xludf.DUMMYFUNCTION("QUERY('Volunteer Survey'!L860)"),"")</f>
        <v/>
      </c>
      <c r="T461" s="62" t="str">
        <f>'Volunteer Survey'!M876</f>
        <v/>
      </c>
      <c r="U461" s="74"/>
      <c r="V461" s="62" t="str">
        <f>'Volunteer Survey'!O876</f>
        <v/>
      </c>
      <c r="W461" s="75" t="str">
        <f>IFERROR(__xludf.DUMMYFUNCTION("QUERY('Volunteer Survey'!P860)"),"")</f>
        <v/>
      </c>
      <c r="X461" s="74" t="str">
        <f>IFERROR(__xludf.DUMMYFUNCTION("QUERY('Volunteer Survey'!R860)"),"")</f>
        <v/>
      </c>
      <c r="Y461" s="61"/>
      <c r="Z461" s="62"/>
      <c r="AA461" s="62"/>
      <c r="AB461" s="62"/>
      <c r="AC461" s="62"/>
      <c r="AD461" s="62"/>
      <c r="AE461" s="62"/>
      <c r="AF461" s="62"/>
      <c r="AG461" s="62"/>
      <c r="AH461" s="62"/>
      <c r="AI461" s="62"/>
      <c r="AJ461" s="62"/>
      <c r="AK461" s="62"/>
      <c r="AL461" s="62"/>
      <c r="AM461" s="62"/>
      <c r="AN461" s="62"/>
      <c r="AO461" s="62"/>
    </row>
    <row r="462">
      <c r="A462" s="62" t="str">
        <f>'Volunteer Survey'!A877</f>
        <v/>
      </c>
      <c r="B462" s="60" t="s">
        <v>340</v>
      </c>
      <c r="C462" s="61"/>
      <c r="D462" s="62"/>
      <c r="E462" s="62"/>
      <c r="F462" s="62" t="b">
        <v>0</v>
      </c>
      <c r="G462" s="62"/>
      <c r="H462" s="61"/>
      <c r="I462" s="61"/>
      <c r="J462" s="62"/>
      <c r="K462" s="62"/>
      <c r="L462" s="62" t="str">
        <f>'Volunteer Survey'!B877</f>
        <v/>
      </c>
      <c r="M462" s="62" t="str">
        <f>IFERROR(__xludf.DUMMYFUNCTION("QUERY('Volunteer Survey'!E861)"),"")</f>
        <v/>
      </c>
      <c r="N462" s="62" t="str">
        <f>'Volunteer Survey'!F878</f>
        <v/>
      </c>
      <c r="O462" s="60" t="str">
        <f>'Volunteer Survey'!H878</f>
        <v/>
      </c>
      <c r="P462" s="62"/>
      <c r="Q462" s="66" t="str">
        <f>IFERROR(__xludf.DUMMYFUNCTION("QUERY('Volunteer Survey'!J861)"),"")</f>
        <v/>
      </c>
      <c r="R462" s="62"/>
      <c r="S462" s="62" t="str">
        <f>IFERROR(__xludf.DUMMYFUNCTION("QUERY('Volunteer Survey'!L861)"),"")</f>
        <v/>
      </c>
      <c r="T462" s="62" t="str">
        <f>'Volunteer Survey'!M877</f>
        <v/>
      </c>
      <c r="U462" s="74"/>
      <c r="V462" s="62" t="str">
        <f>'Volunteer Survey'!O877</f>
        <v/>
      </c>
      <c r="W462" s="75" t="str">
        <f>IFERROR(__xludf.DUMMYFUNCTION("QUERY('Volunteer Survey'!P861)"),"")</f>
        <v/>
      </c>
      <c r="X462" s="74" t="str">
        <f>IFERROR(__xludf.DUMMYFUNCTION("QUERY('Volunteer Survey'!R861)"),"")</f>
        <v/>
      </c>
      <c r="Y462" s="61"/>
      <c r="Z462" s="62"/>
      <c r="AA462" s="62"/>
      <c r="AB462" s="62"/>
      <c r="AC462" s="62"/>
      <c r="AD462" s="62"/>
      <c r="AE462" s="62"/>
      <c r="AF462" s="62"/>
      <c r="AG462" s="62"/>
      <c r="AH462" s="62"/>
      <c r="AI462" s="62"/>
      <c r="AJ462" s="62"/>
      <c r="AK462" s="62"/>
      <c r="AL462" s="62"/>
      <c r="AM462" s="62"/>
      <c r="AN462" s="62"/>
      <c r="AO462" s="62"/>
    </row>
    <row r="463">
      <c r="A463" s="62" t="str">
        <f>'Volunteer Survey'!A878</f>
        <v/>
      </c>
      <c r="B463" s="60" t="s">
        <v>340</v>
      </c>
      <c r="C463" s="61"/>
      <c r="D463" s="62"/>
      <c r="E463" s="62"/>
      <c r="F463" s="62" t="b">
        <v>0</v>
      </c>
      <c r="G463" s="62"/>
      <c r="H463" s="61"/>
      <c r="I463" s="61"/>
      <c r="J463" s="62"/>
      <c r="K463" s="62"/>
      <c r="L463" s="62" t="str">
        <f>'Volunteer Survey'!B878</f>
        <v/>
      </c>
      <c r="M463" s="62" t="str">
        <f>IFERROR(__xludf.DUMMYFUNCTION("QUERY('Volunteer Survey'!E862)"),"")</f>
        <v/>
      </c>
      <c r="N463" s="62" t="str">
        <f>'Volunteer Survey'!F879</f>
        <v/>
      </c>
      <c r="O463" s="60" t="str">
        <f>'Volunteer Survey'!H879</f>
        <v/>
      </c>
      <c r="P463" s="62"/>
      <c r="Q463" s="66" t="str">
        <f>IFERROR(__xludf.DUMMYFUNCTION("QUERY('Volunteer Survey'!J862)"),"")</f>
        <v/>
      </c>
      <c r="R463" s="62"/>
      <c r="S463" s="62" t="str">
        <f>IFERROR(__xludf.DUMMYFUNCTION("QUERY('Volunteer Survey'!L862)"),"")</f>
        <v/>
      </c>
      <c r="T463" s="62" t="str">
        <f>'Volunteer Survey'!M878</f>
        <v/>
      </c>
      <c r="U463" s="74"/>
      <c r="V463" s="62" t="str">
        <f>'Volunteer Survey'!O878</f>
        <v/>
      </c>
      <c r="W463" s="75" t="str">
        <f>IFERROR(__xludf.DUMMYFUNCTION("QUERY('Volunteer Survey'!P862)"),"")</f>
        <v/>
      </c>
      <c r="X463" s="74" t="str">
        <f>IFERROR(__xludf.DUMMYFUNCTION("QUERY('Volunteer Survey'!R862)"),"")</f>
        <v/>
      </c>
      <c r="Y463" s="61"/>
      <c r="Z463" s="62"/>
      <c r="AA463" s="62"/>
      <c r="AB463" s="62"/>
      <c r="AC463" s="62"/>
      <c r="AD463" s="62"/>
      <c r="AE463" s="62"/>
      <c r="AF463" s="62"/>
      <c r="AG463" s="62"/>
      <c r="AH463" s="62"/>
      <c r="AI463" s="62"/>
      <c r="AJ463" s="62"/>
      <c r="AK463" s="62"/>
      <c r="AL463" s="62"/>
      <c r="AM463" s="62"/>
      <c r="AN463" s="62"/>
      <c r="AO463" s="62"/>
    </row>
    <row r="464">
      <c r="A464" s="62" t="str">
        <f>'Volunteer Survey'!A879</f>
        <v/>
      </c>
      <c r="B464" s="60" t="s">
        <v>340</v>
      </c>
      <c r="C464" s="61"/>
      <c r="D464" s="62"/>
      <c r="E464" s="62"/>
      <c r="F464" s="62" t="b">
        <v>0</v>
      </c>
      <c r="G464" s="62"/>
      <c r="H464" s="61"/>
      <c r="I464" s="61"/>
      <c r="J464" s="62"/>
      <c r="K464" s="62"/>
      <c r="L464" s="62" t="str">
        <f>'Volunteer Survey'!B879</f>
        <v/>
      </c>
      <c r="M464" s="62" t="str">
        <f>IFERROR(__xludf.DUMMYFUNCTION("QUERY('Volunteer Survey'!E863)"),"")</f>
        <v/>
      </c>
      <c r="N464" s="62" t="str">
        <f>'Volunteer Survey'!F880</f>
        <v/>
      </c>
      <c r="O464" s="60" t="str">
        <f>'Volunteer Survey'!H880</f>
        <v/>
      </c>
      <c r="P464" s="62"/>
      <c r="Q464" s="66" t="str">
        <f>IFERROR(__xludf.DUMMYFUNCTION("QUERY('Volunteer Survey'!J863)"),"")</f>
        <v/>
      </c>
      <c r="R464" s="62"/>
      <c r="S464" s="62" t="str">
        <f>'Volunteer Survey'!L874</f>
        <v/>
      </c>
      <c r="T464" s="62" t="str">
        <f>'Volunteer Survey'!M879</f>
        <v/>
      </c>
      <c r="U464" s="74"/>
      <c r="V464" s="62" t="str">
        <f>'Volunteer Survey'!O879</f>
        <v/>
      </c>
      <c r="W464" s="75" t="str">
        <f>IFERROR(__xludf.DUMMYFUNCTION("QUERY('Volunteer Survey'!P863)"),"")</f>
        <v/>
      </c>
      <c r="X464" s="74" t="str">
        <f>IFERROR(__xludf.DUMMYFUNCTION("QUERY('Volunteer Survey'!R863)"),"")</f>
        <v/>
      </c>
      <c r="Y464" s="61"/>
      <c r="Z464" s="62"/>
      <c r="AA464" s="62"/>
      <c r="AB464" s="62"/>
      <c r="AC464" s="62"/>
      <c r="AD464" s="62"/>
      <c r="AE464" s="62"/>
      <c r="AF464" s="62"/>
      <c r="AG464" s="62"/>
      <c r="AH464" s="62"/>
      <c r="AI464" s="62"/>
      <c r="AJ464" s="62"/>
      <c r="AK464" s="62"/>
      <c r="AL464" s="62"/>
      <c r="AM464" s="62"/>
      <c r="AN464" s="62"/>
      <c r="AO464" s="62"/>
    </row>
    <row r="465">
      <c r="A465" s="62" t="str">
        <f>'Volunteer Survey'!A880</f>
        <v/>
      </c>
      <c r="B465" s="60" t="s">
        <v>340</v>
      </c>
      <c r="C465" s="61"/>
      <c r="D465" s="62"/>
      <c r="E465" s="62"/>
      <c r="F465" s="62" t="b">
        <v>0</v>
      </c>
      <c r="G465" s="62"/>
      <c r="H465" s="61"/>
      <c r="I465" s="61"/>
      <c r="J465" s="62"/>
      <c r="K465" s="62"/>
      <c r="L465" s="62" t="str">
        <f>'Volunteer Survey'!B880</f>
        <v/>
      </c>
      <c r="M465" s="62" t="str">
        <f>IFERROR(__xludf.DUMMYFUNCTION("QUERY('Volunteer Survey'!E864)"),"")</f>
        <v/>
      </c>
      <c r="N465" s="62" t="str">
        <f>'Volunteer Survey'!F881</f>
        <v/>
      </c>
      <c r="O465" s="60" t="str">
        <f>'Volunteer Survey'!H881</f>
        <v/>
      </c>
      <c r="P465" s="62"/>
      <c r="Q465" s="66" t="str">
        <f>IFERROR(__xludf.DUMMYFUNCTION("QUERY('Volunteer Survey'!J864)"),"")</f>
        <v/>
      </c>
      <c r="R465" s="62"/>
      <c r="S465" s="62" t="str">
        <f>'Volunteer Survey'!L875</f>
        <v/>
      </c>
      <c r="T465" s="62" t="str">
        <f>'Volunteer Survey'!M880</f>
        <v/>
      </c>
      <c r="U465" s="74"/>
      <c r="V465" s="62" t="str">
        <f>'Volunteer Survey'!O880</f>
        <v/>
      </c>
      <c r="W465" s="75" t="str">
        <f>IFERROR(__xludf.DUMMYFUNCTION("QUERY('Volunteer Survey'!P864)"),"")</f>
        <v/>
      </c>
      <c r="X465" s="74" t="str">
        <f>IFERROR(__xludf.DUMMYFUNCTION("QUERY('Volunteer Survey'!R864)"),"")</f>
        <v/>
      </c>
      <c r="Y465" s="61"/>
      <c r="Z465" s="62"/>
      <c r="AA465" s="62"/>
      <c r="AB465" s="62"/>
      <c r="AC465" s="62"/>
      <c r="AD465" s="62"/>
      <c r="AE465" s="62"/>
      <c r="AF465" s="62"/>
      <c r="AG465" s="62"/>
      <c r="AH465" s="62"/>
      <c r="AI465" s="62"/>
      <c r="AJ465" s="62"/>
      <c r="AK465" s="62"/>
      <c r="AL465" s="62"/>
      <c r="AM465" s="62"/>
      <c r="AN465" s="62"/>
      <c r="AO465" s="62"/>
    </row>
    <row r="466">
      <c r="A466" s="62" t="str">
        <f>'Volunteer Survey'!A881</f>
        <v/>
      </c>
      <c r="B466" s="60" t="s">
        <v>340</v>
      </c>
      <c r="C466" s="61"/>
      <c r="D466" s="62"/>
      <c r="E466" s="62"/>
      <c r="F466" s="62" t="b">
        <v>0</v>
      </c>
      <c r="G466" s="62"/>
      <c r="H466" s="61"/>
      <c r="I466" s="61"/>
      <c r="J466" s="62"/>
      <c r="K466" s="62"/>
      <c r="L466" s="62" t="str">
        <f>'Volunteer Survey'!B881</f>
        <v/>
      </c>
      <c r="M466" s="62" t="str">
        <f>IFERROR(__xludf.DUMMYFUNCTION("QUERY('Volunteer Survey'!E865)"),"")</f>
        <v/>
      </c>
      <c r="N466" s="62" t="str">
        <f>'Volunteer Survey'!F882</f>
        <v/>
      </c>
      <c r="O466" s="60" t="str">
        <f>'Volunteer Survey'!H882</f>
        <v/>
      </c>
      <c r="P466" s="62"/>
      <c r="Q466" s="66" t="str">
        <f>IFERROR(__xludf.DUMMYFUNCTION("QUERY('Volunteer Survey'!J865)"),"")</f>
        <v/>
      </c>
      <c r="R466" s="62"/>
      <c r="S466" s="62" t="str">
        <f>'Volunteer Survey'!L876</f>
        <v/>
      </c>
      <c r="T466" s="62" t="str">
        <f>'Volunteer Survey'!M881</f>
        <v/>
      </c>
      <c r="U466" s="74"/>
      <c r="V466" s="62" t="str">
        <f>'Volunteer Survey'!O881</f>
        <v/>
      </c>
      <c r="W466" s="75" t="str">
        <f>'Volunteer Survey'!P881</f>
        <v/>
      </c>
      <c r="X466" s="74" t="str">
        <f>IFERROR(__xludf.DUMMYFUNCTION("QUERY('Volunteer Survey'!R865)"),"")</f>
        <v/>
      </c>
      <c r="Y466" s="61"/>
      <c r="Z466" s="62"/>
      <c r="AA466" s="62"/>
      <c r="AB466" s="62"/>
      <c r="AC466" s="62"/>
      <c r="AD466" s="62"/>
      <c r="AE466" s="62"/>
      <c r="AF466" s="62"/>
      <c r="AG466" s="62"/>
      <c r="AH466" s="62"/>
      <c r="AI466" s="62"/>
      <c r="AJ466" s="62"/>
      <c r="AK466" s="62"/>
      <c r="AL466" s="62"/>
      <c r="AM466" s="62"/>
      <c r="AN466" s="62"/>
      <c r="AO466" s="62"/>
    </row>
    <row r="467">
      <c r="A467" s="62" t="str">
        <f>'Volunteer Survey'!A882</f>
        <v/>
      </c>
      <c r="B467" s="60" t="s">
        <v>340</v>
      </c>
      <c r="C467" s="61"/>
      <c r="D467" s="62"/>
      <c r="E467" s="62"/>
      <c r="F467" s="62" t="b">
        <v>0</v>
      </c>
      <c r="G467" s="62"/>
      <c r="H467" s="61"/>
      <c r="I467" s="61"/>
      <c r="J467" s="62"/>
      <c r="K467" s="62"/>
      <c r="L467" s="62" t="str">
        <f>'Volunteer Survey'!B882</f>
        <v/>
      </c>
      <c r="M467" s="62" t="str">
        <f>IFERROR(__xludf.DUMMYFUNCTION("QUERY('Volunteer Survey'!E866)"),"")</f>
        <v/>
      </c>
      <c r="N467" s="62" t="str">
        <f>'Volunteer Survey'!F883</f>
        <v/>
      </c>
      <c r="O467" s="60" t="str">
        <f>'Volunteer Survey'!H883</f>
        <v/>
      </c>
      <c r="P467" s="62"/>
      <c r="Q467" s="66" t="str">
        <f>IFERROR(__xludf.DUMMYFUNCTION("QUERY('Volunteer Survey'!J866)"),"")</f>
        <v/>
      </c>
      <c r="R467" s="62"/>
      <c r="S467" s="62" t="str">
        <f>'Volunteer Survey'!L877</f>
        <v/>
      </c>
      <c r="T467" s="62" t="str">
        <f>'Volunteer Survey'!M882</f>
        <v/>
      </c>
      <c r="U467" s="74"/>
      <c r="V467" s="62" t="str">
        <f>'Volunteer Survey'!O882</f>
        <v/>
      </c>
      <c r="W467" s="75" t="str">
        <f>'Volunteer Survey'!P882</f>
        <v/>
      </c>
      <c r="X467" s="74" t="str">
        <f>IFERROR(__xludf.DUMMYFUNCTION("QUERY('Volunteer Survey'!R866)"),"")</f>
        <v/>
      </c>
      <c r="Y467" s="61"/>
      <c r="Z467" s="62"/>
      <c r="AA467" s="62"/>
      <c r="AB467" s="62"/>
      <c r="AC467" s="62"/>
      <c r="AD467" s="62"/>
      <c r="AE467" s="62"/>
      <c r="AF467" s="62"/>
      <c r="AG467" s="62"/>
      <c r="AH467" s="62"/>
      <c r="AI467" s="62"/>
      <c r="AJ467" s="62"/>
      <c r="AK467" s="62"/>
      <c r="AL467" s="62"/>
      <c r="AM467" s="62"/>
      <c r="AN467" s="62"/>
      <c r="AO467" s="62"/>
    </row>
    <row r="468">
      <c r="A468" s="62" t="str">
        <f>'Volunteer Survey'!A883</f>
        <v/>
      </c>
      <c r="B468" s="60" t="s">
        <v>340</v>
      </c>
      <c r="C468" s="61"/>
      <c r="D468" s="62"/>
      <c r="E468" s="62"/>
      <c r="F468" s="62" t="b">
        <v>0</v>
      </c>
      <c r="G468" s="62"/>
      <c r="H468" s="61"/>
      <c r="I468" s="61"/>
      <c r="J468" s="62"/>
      <c r="K468" s="62"/>
      <c r="L468" s="62" t="str">
        <f>'Volunteer Survey'!B883</f>
        <v/>
      </c>
      <c r="M468" s="62" t="str">
        <f>IFERROR(__xludf.DUMMYFUNCTION("QUERY('Volunteer Survey'!E867)"),"")</f>
        <v/>
      </c>
      <c r="N468" s="62" t="str">
        <f>'Volunteer Survey'!F884</f>
        <v/>
      </c>
      <c r="O468" s="60" t="str">
        <f>'Volunteer Survey'!H884</f>
        <v/>
      </c>
      <c r="P468" s="62"/>
      <c r="Q468" s="66" t="str">
        <f>IFERROR(__xludf.DUMMYFUNCTION("QUERY('Volunteer Survey'!J867)"),"")</f>
        <v/>
      </c>
      <c r="R468" s="62"/>
      <c r="S468" s="62" t="str">
        <f>'Volunteer Survey'!L878</f>
        <v/>
      </c>
      <c r="T468" s="62" t="str">
        <f>'Volunteer Survey'!M883</f>
        <v/>
      </c>
      <c r="U468" s="74"/>
      <c r="V468" s="62" t="str">
        <f>'Volunteer Survey'!O883</f>
        <v/>
      </c>
      <c r="W468" s="75" t="str">
        <f>'Volunteer Survey'!P883</f>
        <v/>
      </c>
      <c r="X468" s="74" t="str">
        <f>IFERROR(__xludf.DUMMYFUNCTION("QUERY('Volunteer Survey'!R867)"),"")</f>
        <v/>
      </c>
      <c r="Y468" s="61"/>
      <c r="Z468" s="62"/>
      <c r="AA468" s="62"/>
      <c r="AB468" s="62"/>
      <c r="AC468" s="62"/>
      <c r="AD468" s="62"/>
      <c r="AE468" s="62"/>
      <c r="AF468" s="62"/>
      <c r="AG468" s="62"/>
      <c r="AH468" s="62"/>
      <c r="AI468" s="62"/>
      <c r="AJ468" s="62"/>
      <c r="AK468" s="62"/>
      <c r="AL468" s="62"/>
      <c r="AM468" s="62"/>
      <c r="AN468" s="62"/>
      <c r="AO468" s="62"/>
    </row>
    <row r="469">
      <c r="A469" s="62" t="str">
        <f>'Volunteer Survey'!A884</f>
        <v/>
      </c>
      <c r="B469" s="60" t="s">
        <v>340</v>
      </c>
      <c r="C469" s="61"/>
      <c r="D469" s="62"/>
      <c r="E469" s="62"/>
      <c r="F469" s="62" t="b">
        <v>0</v>
      </c>
      <c r="G469" s="62"/>
      <c r="H469" s="61"/>
      <c r="I469" s="61"/>
      <c r="J469" s="62"/>
      <c r="K469" s="62"/>
      <c r="L469" s="62" t="str">
        <f>'Volunteer Survey'!B884</f>
        <v/>
      </c>
      <c r="M469" s="62" t="str">
        <f>IFERROR(__xludf.DUMMYFUNCTION("QUERY('Volunteer Survey'!E868)"),"")</f>
        <v/>
      </c>
      <c r="N469" s="62" t="str">
        <f>'Volunteer Survey'!F885</f>
        <v/>
      </c>
      <c r="O469" s="60" t="str">
        <f>'Volunteer Survey'!H885</f>
        <v/>
      </c>
      <c r="P469" s="62"/>
      <c r="Q469" s="66" t="str">
        <f>IFERROR(__xludf.DUMMYFUNCTION("QUERY('Volunteer Survey'!J868)"),"")</f>
        <v/>
      </c>
      <c r="R469" s="62"/>
      <c r="S469" s="62" t="str">
        <f>'Volunteer Survey'!L879</f>
        <v/>
      </c>
      <c r="T469" s="62" t="str">
        <f>'Volunteer Survey'!M884</f>
        <v/>
      </c>
      <c r="U469" s="74"/>
      <c r="V469" s="62" t="str">
        <f>'Volunteer Survey'!O884</f>
        <v/>
      </c>
      <c r="W469" s="75" t="str">
        <f>'Volunteer Survey'!P884</f>
        <v/>
      </c>
      <c r="X469" s="74" t="str">
        <f>IFERROR(__xludf.DUMMYFUNCTION("QUERY('Volunteer Survey'!R868)"),"")</f>
        <v/>
      </c>
      <c r="Y469" s="61"/>
      <c r="Z469" s="62"/>
      <c r="AA469" s="62"/>
      <c r="AB469" s="62"/>
      <c r="AC469" s="62"/>
      <c r="AD469" s="62"/>
      <c r="AE469" s="62"/>
      <c r="AF469" s="62"/>
      <c r="AG469" s="62"/>
      <c r="AH469" s="62"/>
      <c r="AI469" s="62"/>
      <c r="AJ469" s="62"/>
      <c r="AK469" s="62"/>
      <c r="AL469" s="62"/>
      <c r="AM469" s="62"/>
      <c r="AN469" s="62"/>
      <c r="AO469" s="62"/>
    </row>
    <row r="470">
      <c r="A470" s="62" t="str">
        <f>'Volunteer Survey'!A885</f>
        <v/>
      </c>
      <c r="B470" s="60" t="s">
        <v>340</v>
      </c>
      <c r="C470" s="61"/>
      <c r="D470" s="62"/>
      <c r="E470" s="62"/>
      <c r="F470" s="62" t="b">
        <v>0</v>
      </c>
      <c r="G470" s="62"/>
      <c r="H470" s="61"/>
      <c r="I470" s="61"/>
      <c r="J470" s="62"/>
      <c r="K470" s="62"/>
      <c r="L470" s="62" t="str">
        <f>'Volunteer Survey'!B885</f>
        <v/>
      </c>
      <c r="M470" s="62" t="str">
        <f>IFERROR(__xludf.DUMMYFUNCTION("QUERY('Volunteer Survey'!E869)"),"")</f>
        <v/>
      </c>
      <c r="N470" s="62" t="str">
        <f>'Volunteer Survey'!F886</f>
        <v/>
      </c>
      <c r="O470" s="60" t="str">
        <f>'Volunteer Survey'!H886</f>
        <v/>
      </c>
      <c r="P470" s="62"/>
      <c r="Q470" s="66" t="str">
        <f>IFERROR(__xludf.DUMMYFUNCTION("QUERY('Volunteer Survey'!J869)"),"")</f>
        <v/>
      </c>
      <c r="R470" s="62"/>
      <c r="S470" s="62" t="str">
        <f>'Volunteer Survey'!L880</f>
        <v/>
      </c>
      <c r="T470" s="62" t="str">
        <f>'Volunteer Survey'!M885</f>
        <v/>
      </c>
      <c r="U470" s="74"/>
      <c r="V470" s="62" t="str">
        <f>'Volunteer Survey'!O885</f>
        <v/>
      </c>
      <c r="W470" s="75" t="str">
        <f>'Volunteer Survey'!P885</f>
        <v/>
      </c>
      <c r="X470" s="74" t="str">
        <f>IFERROR(__xludf.DUMMYFUNCTION("QUERY('Volunteer Survey'!R869)"),"")</f>
        <v/>
      </c>
      <c r="Y470" s="61"/>
      <c r="Z470" s="62"/>
      <c r="AA470" s="62"/>
      <c r="AB470" s="62"/>
      <c r="AC470" s="62"/>
      <c r="AD470" s="62"/>
      <c r="AE470" s="62"/>
      <c r="AF470" s="62"/>
      <c r="AG470" s="62"/>
      <c r="AH470" s="62"/>
      <c r="AI470" s="62"/>
      <c r="AJ470" s="62"/>
      <c r="AK470" s="62"/>
      <c r="AL470" s="62"/>
      <c r="AM470" s="62"/>
      <c r="AN470" s="62"/>
      <c r="AO470" s="62"/>
    </row>
    <row r="471">
      <c r="A471" s="62" t="str">
        <f>'Volunteer Survey'!A886</f>
        <v/>
      </c>
      <c r="B471" s="60" t="s">
        <v>340</v>
      </c>
      <c r="C471" s="61"/>
      <c r="D471" s="62"/>
      <c r="E471" s="62"/>
      <c r="F471" s="62" t="b">
        <v>0</v>
      </c>
      <c r="G471" s="62"/>
      <c r="H471" s="61"/>
      <c r="I471" s="61"/>
      <c r="J471" s="62"/>
      <c r="K471" s="62"/>
      <c r="L471" s="62" t="str">
        <f>'Volunteer Survey'!B886</f>
        <v/>
      </c>
      <c r="M471" s="62" t="str">
        <f>IFERROR(__xludf.DUMMYFUNCTION("QUERY('Volunteer Survey'!E870)"),"")</f>
        <v/>
      </c>
      <c r="N471" s="62" t="str">
        <f>'Volunteer Survey'!F887</f>
        <v/>
      </c>
      <c r="O471" s="60" t="str">
        <f>'Volunteer Survey'!H887</f>
        <v/>
      </c>
      <c r="P471" s="62"/>
      <c r="Q471" s="66" t="str">
        <f>IFERROR(__xludf.DUMMYFUNCTION("QUERY('Volunteer Survey'!J870)"),"")</f>
        <v/>
      </c>
      <c r="R471" s="62"/>
      <c r="S471" s="62" t="str">
        <f>'Volunteer Survey'!L881</f>
        <v/>
      </c>
      <c r="T471" s="62" t="str">
        <f>'Volunteer Survey'!M886</f>
        <v/>
      </c>
      <c r="U471" s="74"/>
      <c r="V471" s="62" t="str">
        <f>'Volunteer Survey'!O886</f>
        <v/>
      </c>
      <c r="W471" s="75" t="str">
        <f>'Volunteer Survey'!P886</f>
        <v/>
      </c>
      <c r="X471" s="74" t="str">
        <f>IFERROR(__xludf.DUMMYFUNCTION("QUERY('Volunteer Survey'!R870)"),"")</f>
        <v/>
      </c>
      <c r="Y471" s="61"/>
      <c r="Z471" s="62"/>
      <c r="AA471" s="62"/>
      <c r="AB471" s="62"/>
      <c r="AC471" s="62"/>
      <c r="AD471" s="62"/>
      <c r="AE471" s="62"/>
      <c r="AF471" s="62"/>
      <c r="AG471" s="62"/>
      <c r="AH471" s="62"/>
      <c r="AI471" s="62"/>
      <c r="AJ471" s="62"/>
      <c r="AK471" s="62"/>
      <c r="AL471" s="62"/>
      <c r="AM471" s="62"/>
      <c r="AN471" s="62"/>
      <c r="AO471" s="62"/>
    </row>
    <row r="472">
      <c r="A472" s="62" t="str">
        <f>'Volunteer Survey'!A887</f>
        <v/>
      </c>
      <c r="B472" s="60" t="s">
        <v>340</v>
      </c>
      <c r="C472" s="61"/>
      <c r="D472" s="62"/>
      <c r="E472" s="62"/>
      <c r="F472" s="62" t="b">
        <v>0</v>
      </c>
      <c r="G472" s="62"/>
      <c r="H472" s="61"/>
      <c r="I472" s="61"/>
      <c r="J472" s="62"/>
      <c r="K472" s="62"/>
      <c r="L472" s="62" t="str">
        <f>'Volunteer Survey'!B887</f>
        <v/>
      </c>
      <c r="M472" s="62" t="str">
        <f>IFERROR(__xludf.DUMMYFUNCTION("QUERY('Volunteer Survey'!E871)"),"")</f>
        <v/>
      </c>
      <c r="N472" s="62" t="str">
        <f>'Volunteer Survey'!F888</f>
        <v/>
      </c>
      <c r="O472" s="60" t="str">
        <f>'Volunteer Survey'!H888</f>
        <v/>
      </c>
      <c r="P472" s="62"/>
      <c r="Q472" s="66" t="str">
        <f>IFERROR(__xludf.DUMMYFUNCTION("QUERY('Volunteer Survey'!J871)"),"")</f>
        <v/>
      </c>
      <c r="R472" s="62"/>
      <c r="S472" s="62" t="str">
        <f>'Volunteer Survey'!L882</f>
        <v/>
      </c>
      <c r="T472" s="62" t="str">
        <f>'Volunteer Survey'!M887</f>
        <v/>
      </c>
      <c r="U472" s="74"/>
      <c r="V472" s="62" t="str">
        <f>'Volunteer Survey'!O887</f>
        <v/>
      </c>
      <c r="W472" s="75" t="str">
        <f>'Volunteer Survey'!P887</f>
        <v/>
      </c>
      <c r="X472" s="74" t="str">
        <f>IFERROR(__xludf.DUMMYFUNCTION("QUERY('Volunteer Survey'!R871)"),"")</f>
        <v/>
      </c>
      <c r="Y472" s="61"/>
      <c r="Z472" s="62"/>
      <c r="AA472" s="62"/>
      <c r="AB472" s="62"/>
      <c r="AC472" s="62"/>
      <c r="AD472" s="62"/>
      <c r="AE472" s="62"/>
      <c r="AF472" s="62"/>
      <c r="AG472" s="62"/>
      <c r="AH472" s="62"/>
      <c r="AI472" s="62"/>
      <c r="AJ472" s="62"/>
      <c r="AK472" s="62"/>
      <c r="AL472" s="62"/>
      <c r="AM472" s="62"/>
      <c r="AN472" s="62"/>
      <c r="AO472" s="62"/>
    </row>
    <row r="473">
      <c r="A473" s="62" t="str">
        <f>'Volunteer Survey'!A888</f>
        <v/>
      </c>
      <c r="B473" s="60" t="s">
        <v>340</v>
      </c>
      <c r="C473" s="61"/>
      <c r="D473" s="62"/>
      <c r="E473" s="62"/>
      <c r="F473" s="62" t="b">
        <v>0</v>
      </c>
      <c r="G473" s="62"/>
      <c r="H473" s="61"/>
      <c r="I473" s="61"/>
      <c r="J473" s="62"/>
      <c r="K473" s="62"/>
      <c r="L473" s="62" t="str">
        <f>'Volunteer Survey'!B888</f>
        <v/>
      </c>
      <c r="M473" s="62" t="str">
        <f>IFERROR(__xludf.DUMMYFUNCTION("QUERY('Volunteer Survey'!E872)"),"")</f>
        <v/>
      </c>
      <c r="N473" s="62" t="str">
        <f>'Volunteer Survey'!F889</f>
        <v/>
      </c>
      <c r="O473" s="60" t="str">
        <f>'Volunteer Survey'!H889</f>
        <v/>
      </c>
      <c r="P473" s="62"/>
      <c r="Q473" s="66" t="str">
        <f>IFERROR(__xludf.DUMMYFUNCTION("QUERY('Volunteer Survey'!J872)"),"")</f>
        <v/>
      </c>
      <c r="R473" s="62"/>
      <c r="S473" s="62" t="str">
        <f>'Volunteer Survey'!L883</f>
        <v/>
      </c>
      <c r="T473" s="62" t="str">
        <f>'Volunteer Survey'!M888</f>
        <v/>
      </c>
      <c r="U473" s="74"/>
      <c r="V473" s="62" t="str">
        <f>'Volunteer Survey'!O888</f>
        <v/>
      </c>
      <c r="W473" s="75" t="str">
        <f>'Volunteer Survey'!P888</f>
        <v/>
      </c>
      <c r="X473" s="74" t="str">
        <f>IFERROR(__xludf.DUMMYFUNCTION("QUERY('Volunteer Survey'!R872)"),"")</f>
        <v/>
      </c>
      <c r="Y473" s="61"/>
      <c r="Z473" s="62"/>
      <c r="AA473" s="62"/>
      <c r="AB473" s="62"/>
      <c r="AC473" s="62"/>
      <c r="AD473" s="62"/>
      <c r="AE473" s="62"/>
      <c r="AF473" s="62"/>
      <c r="AG473" s="62"/>
      <c r="AH473" s="62"/>
      <c r="AI473" s="62"/>
      <c r="AJ473" s="62"/>
      <c r="AK473" s="62"/>
      <c r="AL473" s="62"/>
      <c r="AM473" s="62"/>
      <c r="AN473" s="62"/>
      <c r="AO473" s="62"/>
    </row>
    <row r="474">
      <c r="A474" s="62" t="str">
        <f>'Volunteer Survey'!A889</f>
        <v/>
      </c>
      <c r="B474" s="60" t="s">
        <v>340</v>
      </c>
      <c r="C474" s="61"/>
      <c r="D474" s="62"/>
      <c r="E474" s="62"/>
      <c r="F474" s="62" t="b">
        <v>0</v>
      </c>
      <c r="G474" s="62"/>
      <c r="H474" s="61"/>
      <c r="I474" s="61"/>
      <c r="J474" s="62"/>
      <c r="K474" s="62"/>
      <c r="L474" s="62" t="str">
        <f>'Volunteer Survey'!B889</f>
        <v/>
      </c>
      <c r="M474" s="62" t="str">
        <f>IFERROR(__xludf.DUMMYFUNCTION("QUERY('Volunteer Survey'!E873)"),"")</f>
        <v/>
      </c>
      <c r="N474" s="62" t="str">
        <f>'Volunteer Survey'!F890</f>
        <v/>
      </c>
      <c r="O474" s="60" t="str">
        <f>'Volunteer Survey'!H890</f>
        <v/>
      </c>
      <c r="P474" s="62"/>
      <c r="Q474" s="66" t="str">
        <f>IFERROR(__xludf.DUMMYFUNCTION("QUERY('Volunteer Survey'!J873)"),"")</f>
        <v/>
      </c>
      <c r="R474" s="62"/>
      <c r="S474" s="62" t="str">
        <f>'Volunteer Survey'!L884</f>
        <v/>
      </c>
      <c r="T474" s="62" t="str">
        <f>'Volunteer Survey'!M889</f>
        <v/>
      </c>
      <c r="U474" s="74"/>
      <c r="V474" s="62" t="str">
        <f>'Volunteer Survey'!O889</f>
        <v/>
      </c>
      <c r="W474" s="75" t="str">
        <f>'Volunteer Survey'!P889</f>
        <v/>
      </c>
      <c r="X474" s="74" t="str">
        <f>IFERROR(__xludf.DUMMYFUNCTION("QUERY('Volunteer Survey'!R873)"),"")</f>
        <v/>
      </c>
      <c r="Y474" s="61"/>
      <c r="Z474" s="62"/>
      <c r="AA474" s="62"/>
      <c r="AB474" s="62"/>
      <c r="AC474" s="62"/>
      <c r="AD474" s="62"/>
      <c r="AE474" s="62"/>
      <c r="AF474" s="62"/>
      <c r="AG474" s="62"/>
      <c r="AH474" s="62"/>
      <c r="AI474" s="62"/>
      <c r="AJ474" s="62"/>
      <c r="AK474" s="62"/>
      <c r="AL474" s="62"/>
      <c r="AM474" s="62"/>
      <c r="AN474" s="62"/>
      <c r="AO474" s="62"/>
    </row>
    <row r="475">
      <c r="A475" s="62" t="str">
        <f>'Volunteer Survey'!A890</f>
        <v/>
      </c>
      <c r="B475" s="60" t="s">
        <v>340</v>
      </c>
      <c r="C475" s="61"/>
      <c r="D475" s="62"/>
      <c r="E475" s="62"/>
      <c r="F475" s="62" t="b">
        <v>0</v>
      </c>
      <c r="G475" s="62"/>
      <c r="H475" s="61"/>
      <c r="I475" s="61"/>
      <c r="J475" s="62"/>
      <c r="K475" s="62"/>
      <c r="L475" s="62" t="str">
        <f>'Volunteer Survey'!B890</f>
        <v/>
      </c>
      <c r="M475" s="62" t="str">
        <f>'Volunteer Survey'!E890</f>
        <v/>
      </c>
      <c r="N475" s="62" t="str">
        <f>'Volunteer Survey'!F891</f>
        <v/>
      </c>
      <c r="O475" s="60" t="str">
        <f>'Volunteer Survey'!H891</f>
        <v/>
      </c>
      <c r="P475" s="62"/>
      <c r="Q475" s="66" t="str">
        <f>IFERROR(__xludf.DUMMYFUNCTION("QUERY('Volunteer Survey'!J874)"),"")</f>
        <v/>
      </c>
      <c r="R475" s="62"/>
      <c r="S475" s="62" t="str">
        <f>'Volunteer Survey'!L885</f>
        <v/>
      </c>
      <c r="T475" s="62" t="str">
        <f>'Volunteer Survey'!M890</f>
        <v/>
      </c>
      <c r="U475" s="74"/>
      <c r="V475" s="62" t="str">
        <f>'Volunteer Survey'!O892</f>
        <v/>
      </c>
      <c r="W475" s="75" t="str">
        <f>'Volunteer Survey'!P890</f>
        <v/>
      </c>
      <c r="X475" s="74" t="str">
        <f>IFERROR(__xludf.DUMMYFUNCTION("QUERY('Volunteer Survey'!R874)"),"")</f>
        <v/>
      </c>
      <c r="Y475" s="61"/>
      <c r="Z475" s="62"/>
      <c r="AA475" s="62"/>
      <c r="AB475" s="62"/>
      <c r="AC475" s="62"/>
      <c r="AD475" s="62"/>
      <c r="AE475" s="62"/>
      <c r="AF475" s="62"/>
      <c r="AG475" s="62"/>
      <c r="AH475" s="62"/>
      <c r="AI475" s="62"/>
      <c r="AJ475" s="62"/>
      <c r="AK475" s="62"/>
      <c r="AL475" s="62"/>
      <c r="AM475" s="62"/>
      <c r="AN475" s="62"/>
      <c r="AO475" s="62"/>
    </row>
    <row r="476">
      <c r="A476" s="62" t="str">
        <f>'Volunteer Survey'!A891</f>
        <v/>
      </c>
      <c r="B476" s="60" t="s">
        <v>340</v>
      </c>
      <c r="C476" s="61"/>
      <c r="D476" s="62"/>
      <c r="E476" s="62"/>
      <c r="F476" s="62" t="b">
        <v>0</v>
      </c>
      <c r="G476" s="62"/>
      <c r="H476" s="61"/>
      <c r="I476" s="61"/>
      <c r="J476" s="62"/>
      <c r="K476" s="62"/>
      <c r="L476" s="62" t="str">
        <f>'Volunteer Survey'!B891</f>
        <v/>
      </c>
      <c r="M476" s="62" t="str">
        <f>'Volunteer Survey'!E891</f>
        <v/>
      </c>
      <c r="N476" s="62" t="str">
        <f>'Volunteer Survey'!F892</f>
        <v/>
      </c>
      <c r="O476" s="60" t="str">
        <f>'Volunteer Survey'!H892</f>
        <v/>
      </c>
      <c r="P476" s="62"/>
      <c r="Q476" s="66" t="str">
        <f>IFERROR(__xludf.DUMMYFUNCTION("QUERY('Volunteer Survey'!J875)"),"")</f>
        <v/>
      </c>
      <c r="R476" s="62"/>
      <c r="S476" s="62" t="str">
        <f>'Volunteer Survey'!L886</f>
        <v/>
      </c>
      <c r="T476" s="62" t="str">
        <f>'Volunteer Survey'!M891</f>
        <v/>
      </c>
      <c r="U476" s="74"/>
      <c r="V476" s="62" t="str">
        <f>'Volunteer Survey'!O893</f>
        <v/>
      </c>
      <c r="W476" s="75" t="str">
        <f>'Volunteer Survey'!P891</f>
        <v/>
      </c>
      <c r="X476" s="74" t="str">
        <f>'Volunteer Survey'!R892</f>
        <v/>
      </c>
      <c r="Y476" s="61"/>
      <c r="Z476" s="62"/>
      <c r="AA476" s="62"/>
      <c r="AB476" s="62"/>
      <c r="AC476" s="62"/>
      <c r="AD476" s="62"/>
      <c r="AE476" s="62"/>
      <c r="AF476" s="62"/>
      <c r="AG476" s="62"/>
      <c r="AH476" s="62"/>
      <c r="AI476" s="62"/>
      <c r="AJ476" s="62"/>
      <c r="AK476" s="62"/>
      <c r="AL476" s="62"/>
      <c r="AM476" s="62"/>
      <c r="AN476" s="62"/>
      <c r="AO476" s="62"/>
    </row>
    <row r="477">
      <c r="A477" s="62" t="str">
        <f>'Volunteer Survey'!A892</f>
        <v/>
      </c>
      <c r="B477" s="60" t="s">
        <v>340</v>
      </c>
      <c r="C477" s="61"/>
      <c r="D477" s="62"/>
      <c r="E477" s="62"/>
      <c r="F477" s="62" t="b">
        <v>0</v>
      </c>
      <c r="G477" s="62"/>
      <c r="H477" s="61"/>
      <c r="I477" s="61"/>
      <c r="J477" s="62"/>
      <c r="K477" s="62"/>
      <c r="L477" s="62" t="str">
        <f>'Volunteer Survey'!B892</f>
        <v/>
      </c>
      <c r="M477" s="62" t="str">
        <f>'Volunteer Survey'!E892</f>
        <v/>
      </c>
      <c r="N477" s="62" t="str">
        <f>'Volunteer Survey'!F893</f>
        <v/>
      </c>
      <c r="O477" s="60" t="str">
        <f>'Volunteer Survey'!H893</f>
        <v/>
      </c>
      <c r="P477" s="62"/>
      <c r="Q477" s="66" t="str">
        <f>IFERROR(__xludf.DUMMYFUNCTION("QUERY('Volunteer Survey'!J876)"),"")</f>
        <v/>
      </c>
      <c r="R477" s="62"/>
      <c r="S477" s="62" t="str">
        <f>'Volunteer Survey'!L887</f>
        <v/>
      </c>
      <c r="T477" s="62" t="str">
        <f>'Volunteer Survey'!M892</f>
        <v/>
      </c>
      <c r="U477" s="74"/>
      <c r="V477" s="62"/>
      <c r="W477" s="75" t="str">
        <f>'Volunteer Survey'!P892</f>
        <v/>
      </c>
      <c r="X477" s="74" t="str">
        <f>'Volunteer Survey'!R893</f>
        <v/>
      </c>
      <c r="Y477" s="61"/>
      <c r="Z477" s="62"/>
      <c r="AA477" s="62"/>
      <c r="AB477" s="62"/>
      <c r="AC477" s="62"/>
      <c r="AD477" s="62"/>
      <c r="AE477" s="62"/>
      <c r="AF477" s="62"/>
      <c r="AG477" s="62"/>
      <c r="AH477" s="62"/>
      <c r="AI477" s="62"/>
      <c r="AJ477" s="62"/>
      <c r="AK477" s="62"/>
      <c r="AL477" s="62"/>
      <c r="AM477" s="62"/>
      <c r="AN477" s="62"/>
      <c r="AO477" s="62"/>
    </row>
    <row r="478">
      <c r="A478" s="62" t="str">
        <f>'Volunteer Survey'!A893</f>
        <v/>
      </c>
      <c r="B478" s="60" t="s">
        <v>340</v>
      </c>
      <c r="C478" s="61"/>
      <c r="D478" s="62"/>
      <c r="E478" s="62"/>
      <c r="F478" s="62" t="b">
        <v>0</v>
      </c>
      <c r="G478" s="62"/>
      <c r="H478" s="61"/>
      <c r="I478" s="61"/>
      <c r="J478" s="62"/>
      <c r="K478" s="62"/>
      <c r="L478" s="62" t="str">
        <f>'Volunteer Survey'!B893</f>
        <v/>
      </c>
      <c r="M478" s="62" t="str">
        <f>'Volunteer Survey'!E893</f>
        <v/>
      </c>
      <c r="N478" s="62" t="str">
        <f>'Volunteer Survey'!F894</f>
        <v/>
      </c>
      <c r="O478" s="60" t="str">
        <f>'Volunteer Survey'!H894</f>
        <v/>
      </c>
      <c r="P478" s="62"/>
      <c r="Q478" s="66" t="str">
        <f>IFERROR(__xludf.DUMMYFUNCTION("QUERY('Volunteer Survey'!J877)"),"")</f>
        <v/>
      </c>
      <c r="R478" s="62"/>
      <c r="S478" s="62" t="str">
        <f>'Volunteer Survey'!L888</f>
        <v/>
      </c>
      <c r="T478" s="62" t="str">
        <f>'Volunteer Survey'!M893</f>
        <v/>
      </c>
      <c r="U478" s="74"/>
      <c r="V478" s="62"/>
      <c r="W478" s="75" t="str">
        <f>'Volunteer Survey'!P893</f>
        <v/>
      </c>
      <c r="X478" s="74" t="str">
        <f>'Volunteer Survey'!R894</f>
        <v/>
      </c>
      <c r="Y478" s="61"/>
      <c r="Z478" s="62"/>
      <c r="AA478" s="62"/>
      <c r="AB478" s="62"/>
      <c r="AC478" s="62"/>
      <c r="AD478" s="62"/>
      <c r="AE478" s="62"/>
      <c r="AF478" s="62"/>
      <c r="AG478" s="62"/>
      <c r="AH478" s="62"/>
      <c r="AI478" s="62"/>
      <c r="AJ478" s="62"/>
      <c r="AK478" s="62"/>
      <c r="AL478" s="62"/>
      <c r="AM478" s="62"/>
      <c r="AN478" s="62"/>
      <c r="AO478" s="62"/>
    </row>
    <row r="479">
      <c r="A479" s="62" t="str">
        <f>'Volunteer Survey'!A894</f>
        <v/>
      </c>
      <c r="B479" s="60" t="s">
        <v>340</v>
      </c>
      <c r="C479" s="61"/>
      <c r="D479" s="62"/>
      <c r="E479" s="62"/>
      <c r="F479" s="62" t="b">
        <v>0</v>
      </c>
      <c r="G479" s="62"/>
      <c r="H479" s="61"/>
      <c r="I479" s="61"/>
      <c r="J479" s="62"/>
      <c r="K479" s="62"/>
      <c r="L479" s="62" t="str">
        <f>'Volunteer Survey'!B894</f>
        <v/>
      </c>
      <c r="M479" s="62" t="str">
        <f>'Volunteer Survey'!E894</f>
        <v/>
      </c>
      <c r="N479" s="62" t="str">
        <f>'Volunteer Survey'!F895</f>
        <v/>
      </c>
      <c r="O479" s="60" t="str">
        <f>'Volunteer Survey'!H895</f>
        <v/>
      </c>
      <c r="P479" s="62"/>
      <c r="Q479" s="66" t="str">
        <f>IFERROR(__xludf.DUMMYFUNCTION("QUERY('Volunteer Survey'!J878)"),"")</f>
        <v/>
      </c>
      <c r="R479" s="62"/>
      <c r="S479" s="62" t="str">
        <f>'Volunteer Survey'!L889</f>
        <v/>
      </c>
      <c r="T479" s="62" t="str">
        <f>'Volunteer Survey'!M894</f>
        <v/>
      </c>
      <c r="U479" s="74"/>
      <c r="V479" s="62"/>
      <c r="W479" s="75" t="str">
        <f>'Volunteer Survey'!P894</f>
        <v/>
      </c>
      <c r="X479" s="74" t="str">
        <f>'Volunteer Survey'!R895</f>
        <v/>
      </c>
      <c r="Y479" s="61"/>
      <c r="Z479" s="62"/>
      <c r="AA479" s="62"/>
      <c r="AB479" s="62"/>
      <c r="AC479" s="62"/>
      <c r="AD479" s="62"/>
      <c r="AE479" s="62"/>
      <c r="AF479" s="62"/>
      <c r="AG479" s="62"/>
      <c r="AH479" s="62"/>
      <c r="AI479" s="62"/>
      <c r="AJ479" s="62"/>
      <c r="AK479" s="62"/>
      <c r="AL479" s="62"/>
      <c r="AM479" s="62"/>
      <c r="AN479" s="62"/>
      <c r="AO479" s="62"/>
    </row>
    <row r="480">
      <c r="A480" s="62" t="str">
        <f>'Volunteer Survey'!A895</f>
        <v/>
      </c>
      <c r="B480" s="60" t="s">
        <v>340</v>
      </c>
      <c r="C480" s="61"/>
      <c r="D480" s="62"/>
      <c r="E480" s="62"/>
      <c r="F480" s="62" t="b">
        <v>0</v>
      </c>
      <c r="G480" s="62"/>
      <c r="H480" s="61"/>
      <c r="I480" s="61"/>
      <c r="J480" s="62"/>
      <c r="K480" s="62"/>
      <c r="L480" s="62" t="str">
        <f>'Volunteer Survey'!B895</f>
        <v/>
      </c>
      <c r="M480" s="62" t="str">
        <f>'Volunteer Survey'!E895</f>
        <v/>
      </c>
      <c r="N480" s="62" t="str">
        <f>'Volunteer Survey'!F896</f>
        <v/>
      </c>
      <c r="O480" s="60" t="str">
        <f>'Volunteer Survey'!H896</f>
        <v/>
      </c>
      <c r="P480" s="62"/>
      <c r="Q480" s="66" t="str">
        <f>IFERROR(__xludf.DUMMYFUNCTION("QUERY('Volunteer Survey'!J879)"),"")</f>
        <v/>
      </c>
      <c r="R480" s="62"/>
      <c r="S480" s="62" t="str">
        <f>'Volunteer Survey'!L890</f>
        <v/>
      </c>
      <c r="T480" s="62" t="str">
        <f>'Volunteer Survey'!M895</f>
        <v/>
      </c>
      <c r="U480" s="74"/>
      <c r="V480" s="62"/>
      <c r="W480" s="75" t="str">
        <f>'Volunteer Survey'!P895</f>
        <v/>
      </c>
      <c r="X480" s="74" t="str">
        <f>'Volunteer Survey'!R896</f>
        <v/>
      </c>
      <c r="Y480" s="61"/>
      <c r="Z480" s="62"/>
      <c r="AA480" s="62"/>
      <c r="AB480" s="62"/>
      <c r="AC480" s="62"/>
      <c r="AD480" s="62"/>
      <c r="AE480" s="62"/>
      <c r="AF480" s="62"/>
      <c r="AG480" s="62"/>
      <c r="AH480" s="62"/>
      <c r="AI480" s="62"/>
      <c r="AJ480" s="62"/>
      <c r="AK480" s="62"/>
      <c r="AL480" s="62"/>
      <c r="AM480" s="62"/>
      <c r="AN480" s="62"/>
      <c r="AO480" s="62"/>
    </row>
    <row r="481">
      <c r="A481" s="62" t="str">
        <f>'Volunteer Survey'!A896</f>
        <v/>
      </c>
      <c r="B481" s="60" t="s">
        <v>340</v>
      </c>
      <c r="C481" s="61"/>
      <c r="D481" s="62"/>
      <c r="E481" s="62"/>
      <c r="F481" s="62" t="b">
        <v>0</v>
      </c>
      <c r="G481" s="62"/>
      <c r="H481" s="61"/>
      <c r="I481" s="61"/>
      <c r="J481" s="62"/>
      <c r="K481" s="62"/>
      <c r="L481" s="62" t="str">
        <f>'Volunteer Survey'!B896</f>
        <v/>
      </c>
      <c r="M481" s="62" t="str">
        <f>'Volunteer Survey'!E896</f>
        <v/>
      </c>
      <c r="N481" s="62" t="str">
        <f>'Volunteer Survey'!F897</f>
        <v/>
      </c>
      <c r="O481" s="60" t="str">
        <f>'Volunteer Survey'!H897</f>
        <v/>
      </c>
      <c r="P481" s="62"/>
      <c r="Q481" s="66" t="str">
        <f>IFERROR(__xludf.DUMMYFUNCTION("QUERY('Volunteer Survey'!J880)"),"")</f>
        <v/>
      </c>
      <c r="R481" s="62"/>
      <c r="S481" s="62" t="str">
        <f>'Volunteer Survey'!L891</f>
        <v/>
      </c>
      <c r="T481" s="62" t="str">
        <f>'Volunteer Survey'!M896</f>
        <v/>
      </c>
      <c r="U481" s="74"/>
      <c r="V481" s="62"/>
      <c r="W481" s="75" t="str">
        <f>'Volunteer Survey'!P896</f>
        <v/>
      </c>
      <c r="X481" s="74" t="str">
        <f>'Volunteer Survey'!R897</f>
        <v/>
      </c>
      <c r="Y481" s="61"/>
      <c r="Z481" s="62"/>
      <c r="AA481" s="62"/>
      <c r="AB481" s="62"/>
      <c r="AC481" s="62"/>
      <c r="AD481" s="62"/>
      <c r="AE481" s="62"/>
      <c r="AF481" s="62"/>
      <c r="AG481" s="62"/>
      <c r="AH481" s="62"/>
      <c r="AI481" s="62"/>
      <c r="AJ481" s="62"/>
      <c r="AK481" s="62"/>
      <c r="AL481" s="62"/>
      <c r="AM481" s="62"/>
      <c r="AN481" s="62"/>
      <c r="AO481" s="62"/>
    </row>
    <row r="482">
      <c r="A482" s="62" t="str">
        <f>'Volunteer Survey'!A897</f>
        <v/>
      </c>
      <c r="B482" s="60" t="s">
        <v>340</v>
      </c>
      <c r="C482" s="61"/>
      <c r="D482" s="62"/>
      <c r="E482" s="62"/>
      <c r="F482" s="62" t="b">
        <v>0</v>
      </c>
      <c r="G482" s="62"/>
      <c r="H482" s="61"/>
      <c r="I482" s="61"/>
      <c r="J482" s="62"/>
      <c r="K482" s="62"/>
      <c r="L482" s="62" t="str">
        <f>'Volunteer Survey'!B897</f>
        <v/>
      </c>
      <c r="M482" s="62" t="str">
        <f>'Volunteer Survey'!E897</f>
        <v/>
      </c>
      <c r="N482" s="62" t="str">
        <f>'Volunteer Survey'!F898</f>
        <v/>
      </c>
      <c r="O482" s="60" t="str">
        <f>'Volunteer Survey'!H898</f>
        <v/>
      </c>
      <c r="P482" s="62"/>
      <c r="Q482" s="66" t="str">
        <f>IFERROR(__xludf.DUMMYFUNCTION("QUERY('Volunteer Survey'!J881)"),"")</f>
        <v/>
      </c>
      <c r="R482" s="62"/>
      <c r="S482" s="62" t="str">
        <f>'Volunteer Survey'!L892</f>
        <v/>
      </c>
      <c r="T482" s="62" t="str">
        <f>'Volunteer Survey'!M897</f>
        <v/>
      </c>
      <c r="U482" s="74"/>
      <c r="V482" s="62"/>
      <c r="W482" s="75" t="str">
        <f>'Volunteer Survey'!P897</f>
        <v/>
      </c>
      <c r="X482" s="74" t="str">
        <f>'Volunteer Survey'!R898</f>
        <v/>
      </c>
      <c r="Y482" s="61"/>
      <c r="Z482" s="62"/>
      <c r="AA482" s="62"/>
      <c r="AB482" s="62"/>
      <c r="AC482" s="62"/>
      <c r="AD482" s="62"/>
      <c r="AE482" s="62"/>
      <c r="AF482" s="62"/>
      <c r="AG482" s="62"/>
      <c r="AH482" s="62"/>
      <c r="AI482" s="62"/>
      <c r="AJ482" s="62"/>
      <c r="AK482" s="62"/>
      <c r="AL482" s="62"/>
      <c r="AM482" s="62"/>
      <c r="AN482" s="62"/>
      <c r="AO482" s="62"/>
    </row>
    <row r="483">
      <c r="A483" s="62" t="str">
        <f>'Volunteer Survey'!A898</f>
        <v/>
      </c>
      <c r="B483" s="60" t="s">
        <v>340</v>
      </c>
      <c r="C483" s="61"/>
      <c r="D483" s="62"/>
      <c r="E483" s="62"/>
      <c r="F483" s="62" t="b">
        <v>0</v>
      </c>
      <c r="G483" s="62"/>
      <c r="H483" s="61"/>
      <c r="I483" s="61"/>
      <c r="J483" s="62"/>
      <c r="K483" s="62"/>
      <c r="L483" s="62" t="str">
        <f>'Volunteer Survey'!B898</f>
        <v/>
      </c>
      <c r="M483" s="62" t="str">
        <f>'Volunteer Survey'!E898</f>
        <v/>
      </c>
      <c r="N483" s="62" t="str">
        <f>'Volunteer Survey'!F899</f>
        <v/>
      </c>
      <c r="O483" s="60" t="str">
        <f>'Volunteer Survey'!H899</f>
        <v/>
      </c>
      <c r="P483" s="62"/>
      <c r="Q483" s="66" t="str">
        <f>IFERROR(__xludf.DUMMYFUNCTION("QUERY('Volunteer Survey'!J882)"),"")</f>
        <v/>
      </c>
      <c r="R483" s="62"/>
      <c r="S483" s="62" t="str">
        <f>'Volunteer Survey'!L893</f>
        <v/>
      </c>
      <c r="T483" s="62" t="str">
        <f>'Volunteer Survey'!M898</f>
        <v/>
      </c>
      <c r="U483" s="74"/>
      <c r="V483" s="62"/>
      <c r="W483" s="75" t="str">
        <f>'Volunteer Survey'!P898</f>
        <v/>
      </c>
      <c r="X483" s="74" t="str">
        <f>'Volunteer Survey'!R899</f>
        <v/>
      </c>
      <c r="Y483" s="61"/>
      <c r="Z483" s="62"/>
      <c r="AA483" s="62"/>
      <c r="AB483" s="62"/>
      <c r="AC483" s="62"/>
      <c r="AD483" s="62"/>
      <c r="AE483" s="62"/>
      <c r="AF483" s="62"/>
      <c r="AG483" s="62"/>
      <c r="AH483" s="62"/>
      <c r="AI483" s="62"/>
      <c r="AJ483" s="62"/>
      <c r="AK483" s="62"/>
      <c r="AL483" s="62"/>
      <c r="AM483" s="62"/>
      <c r="AN483" s="62"/>
      <c r="AO483" s="62"/>
    </row>
    <row r="484">
      <c r="A484" s="62" t="str">
        <f>'Volunteer Survey'!A899</f>
        <v/>
      </c>
      <c r="B484" s="60" t="s">
        <v>340</v>
      </c>
      <c r="C484" s="61"/>
      <c r="D484" s="62"/>
      <c r="E484" s="62"/>
      <c r="F484" s="62" t="b">
        <v>0</v>
      </c>
      <c r="G484" s="62"/>
      <c r="H484" s="61"/>
      <c r="I484" s="61"/>
      <c r="J484" s="62"/>
      <c r="K484" s="62"/>
      <c r="L484" s="62" t="str">
        <f>'Volunteer Survey'!B899</f>
        <v/>
      </c>
      <c r="M484" s="62" t="str">
        <f>'Volunteer Survey'!E899</f>
        <v/>
      </c>
      <c r="N484" s="62" t="str">
        <f>'Volunteer Survey'!F900</f>
        <v/>
      </c>
      <c r="O484" s="60" t="str">
        <f>'Volunteer Survey'!H900</f>
        <v/>
      </c>
      <c r="P484" s="62"/>
      <c r="Q484" s="66" t="str">
        <f>IFERROR(__xludf.DUMMYFUNCTION("QUERY('Volunteer Survey'!J883)"),"")</f>
        <v/>
      </c>
      <c r="R484" s="62"/>
      <c r="S484" s="62" t="str">
        <f>'Volunteer Survey'!L894</f>
        <v/>
      </c>
      <c r="T484" s="62" t="str">
        <f>'Volunteer Survey'!M899</f>
        <v/>
      </c>
      <c r="U484" s="74"/>
      <c r="V484" s="62"/>
      <c r="W484" s="75" t="str">
        <f>'Volunteer Survey'!P899</f>
        <v/>
      </c>
      <c r="X484" s="74" t="str">
        <f>'Volunteer Survey'!R900</f>
        <v/>
      </c>
      <c r="Y484" s="61"/>
      <c r="Z484" s="62"/>
      <c r="AA484" s="62"/>
      <c r="AB484" s="62"/>
      <c r="AC484" s="62"/>
      <c r="AD484" s="62"/>
      <c r="AE484" s="62"/>
      <c r="AF484" s="62"/>
      <c r="AG484" s="62"/>
      <c r="AH484" s="62"/>
      <c r="AI484" s="62"/>
      <c r="AJ484" s="62"/>
      <c r="AK484" s="62"/>
      <c r="AL484" s="62"/>
      <c r="AM484" s="62"/>
      <c r="AN484" s="62"/>
      <c r="AO484" s="62"/>
    </row>
    <row r="485">
      <c r="A485" s="62" t="str">
        <f>'Volunteer Survey'!A900</f>
        <v/>
      </c>
      <c r="B485" s="60" t="s">
        <v>340</v>
      </c>
      <c r="C485" s="61"/>
      <c r="D485" s="62"/>
      <c r="E485" s="62"/>
      <c r="F485" s="62" t="b">
        <v>0</v>
      </c>
      <c r="G485" s="62"/>
      <c r="H485" s="61"/>
      <c r="I485" s="61"/>
      <c r="J485" s="62"/>
      <c r="K485" s="62"/>
      <c r="L485" s="62" t="str">
        <f>'Volunteer Survey'!B900</f>
        <v/>
      </c>
      <c r="M485" s="62" t="str">
        <f>'Volunteer Survey'!E900</f>
        <v/>
      </c>
      <c r="N485" s="62" t="str">
        <f>'Volunteer Survey'!F901</f>
        <v/>
      </c>
      <c r="O485" s="60" t="str">
        <f>'Volunteer Survey'!H901</f>
        <v/>
      </c>
      <c r="P485" s="62"/>
      <c r="Q485" s="66" t="str">
        <f>IFERROR(__xludf.DUMMYFUNCTION("QUERY('Volunteer Survey'!J884)"),"")</f>
        <v/>
      </c>
      <c r="R485" s="62"/>
      <c r="S485" s="62" t="str">
        <f>'Volunteer Survey'!L895</f>
        <v/>
      </c>
      <c r="T485" s="62" t="str">
        <f>'Volunteer Survey'!M900</f>
        <v/>
      </c>
      <c r="U485" s="74"/>
      <c r="V485" s="62"/>
      <c r="W485" s="75" t="str">
        <f>'Volunteer Survey'!P900</f>
        <v/>
      </c>
      <c r="X485" s="74" t="str">
        <f>'Volunteer Survey'!R901</f>
        <v/>
      </c>
      <c r="Y485" s="61"/>
      <c r="Z485" s="62"/>
      <c r="AA485" s="62"/>
      <c r="AB485" s="62"/>
      <c r="AC485" s="62"/>
      <c r="AD485" s="62"/>
      <c r="AE485" s="62"/>
      <c r="AF485" s="62"/>
      <c r="AG485" s="62"/>
      <c r="AH485" s="62"/>
      <c r="AI485" s="62"/>
      <c r="AJ485" s="62"/>
      <c r="AK485" s="62"/>
      <c r="AL485" s="62"/>
      <c r="AM485" s="62"/>
      <c r="AN485" s="62"/>
      <c r="AO485" s="62"/>
    </row>
    <row r="486">
      <c r="A486" s="62" t="str">
        <f>'Volunteer Survey'!A901</f>
        <v/>
      </c>
      <c r="B486" s="60" t="s">
        <v>340</v>
      </c>
      <c r="C486" s="61"/>
      <c r="D486" s="62"/>
      <c r="E486" s="62"/>
      <c r="F486" s="62" t="b">
        <v>0</v>
      </c>
      <c r="G486" s="62"/>
      <c r="H486" s="61"/>
      <c r="I486" s="61"/>
      <c r="J486" s="62"/>
      <c r="K486" s="62"/>
      <c r="L486" s="62" t="str">
        <f>'Volunteer Survey'!B901</f>
        <v/>
      </c>
      <c r="M486" s="62" t="str">
        <f>'Volunteer Survey'!E901</f>
        <v/>
      </c>
      <c r="N486" s="62" t="str">
        <f>'Volunteer Survey'!F902</f>
        <v/>
      </c>
      <c r="O486" s="60" t="str">
        <f>'Volunteer Survey'!H902</f>
        <v/>
      </c>
      <c r="P486" s="62"/>
      <c r="Q486" s="66" t="str">
        <f>IFERROR(__xludf.DUMMYFUNCTION("QUERY('Volunteer Survey'!J885)"),"")</f>
        <v/>
      </c>
      <c r="R486" s="62"/>
      <c r="S486" s="62" t="str">
        <f>'Volunteer Survey'!L896</f>
        <v/>
      </c>
      <c r="T486" s="62" t="str">
        <f>'Volunteer Survey'!M901</f>
        <v/>
      </c>
      <c r="U486" s="74"/>
      <c r="V486" s="62"/>
      <c r="W486" s="75" t="str">
        <f>'Volunteer Survey'!P901</f>
        <v/>
      </c>
      <c r="X486" s="74" t="str">
        <f>'Volunteer Survey'!R902</f>
        <v/>
      </c>
      <c r="Y486" s="61"/>
      <c r="Z486" s="62"/>
      <c r="AA486" s="62"/>
      <c r="AB486" s="62"/>
      <c r="AC486" s="62"/>
      <c r="AD486" s="62"/>
      <c r="AE486" s="62"/>
      <c r="AF486" s="62"/>
      <c r="AG486" s="62"/>
      <c r="AH486" s="62"/>
      <c r="AI486" s="62"/>
      <c r="AJ486" s="62"/>
      <c r="AK486" s="62"/>
      <c r="AL486" s="62"/>
      <c r="AM486" s="62"/>
      <c r="AN486" s="62"/>
      <c r="AO486" s="62"/>
    </row>
    <row r="487">
      <c r="A487" s="62" t="str">
        <f>'Volunteer Survey'!A902</f>
        <v/>
      </c>
      <c r="B487" s="60" t="s">
        <v>340</v>
      </c>
      <c r="C487" s="61"/>
      <c r="D487" s="62"/>
      <c r="E487" s="62"/>
      <c r="F487" s="62" t="b">
        <v>0</v>
      </c>
      <c r="G487" s="62"/>
      <c r="H487" s="61"/>
      <c r="I487" s="61"/>
      <c r="J487" s="62"/>
      <c r="K487" s="62"/>
      <c r="L487" s="62" t="str">
        <f>'Volunteer Survey'!B902</f>
        <v/>
      </c>
      <c r="M487" s="62" t="str">
        <f>'Volunteer Survey'!E902</f>
        <v/>
      </c>
      <c r="N487" s="62" t="str">
        <f>'Volunteer Survey'!F903</f>
        <v/>
      </c>
      <c r="O487" s="60" t="str">
        <f>'Volunteer Survey'!H903</f>
        <v/>
      </c>
      <c r="P487" s="62"/>
      <c r="Q487" s="66" t="str">
        <f>IFERROR(__xludf.DUMMYFUNCTION("QUERY('Volunteer Survey'!J886)"),"")</f>
        <v/>
      </c>
      <c r="R487" s="62"/>
      <c r="S487" s="62" t="str">
        <f>'Volunteer Survey'!L897</f>
        <v/>
      </c>
      <c r="T487" s="62" t="str">
        <f>'Volunteer Survey'!M902</f>
        <v/>
      </c>
      <c r="U487" s="74"/>
      <c r="V487" s="62"/>
      <c r="W487" s="75" t="str">
        <f>'Volunteer Survey'!P902</f>
        <v/>
      </c>
      <c r="X487" s="74" t="str">
        <f>'Volunteer Survey'!R903</f>
        <v/>
      </c>
      <c r="Y487" s="61"/>
      <c r="Z487" s="62"/>
      <c r="AA487" s="62"/>
      <c r="AB487" s="62"/>
      <c r="AC487" s="62"/>
      <c r="AD487" s="62"/>
      <c r="AE487" s="62"/>
      <c r="AF487" s="62"/>
      <c r="AG487" s="62"/>
      <c r="AH487" s="62"/>
      <c r="AI487" s="62"/>
      <c r="AJ487" s="62"/>
      <c r="AK487" s="62"/>
      <c r="AL487" s="62"/>
      <c r="AM487" s="62"/>
      <c r="AN487" s="62"/>
      <c r="AO487" s="62"/>
    </row>
    <row r="488">
      <c r="A488" s="62" t="str">
        <f>'Volunteer Survey'!A903</f>
        <v/>
      </c>
      <c r="B488" s="60" t="s">
        <v>340</v>
      </c>
      <c r="C488" s="61"/>
      <c r="D488" s="62"/>
      <c r="E488" s="62"/>
      <c r="F488" s="62" t="b">
        <v>0</v>
      </c>
      <c r="G488" s="62"/>
      <c r="H488" s="61"/>
      <c r="I488" s="61"/>
      <c r="J488" s="62"/>
      <c r="K488" s="62"/>
      <c r="L488" s="62" t="str">
        <f>'Volunteer Survey'!B903</f>
        <v/>
      </c>
      <c r="M488" s="62" t="str">
        <f>'Volunteer Survey'!E903</f>
        <v/>
      </c>
      <c r="N488" s="62" t="str">
        <f>'Volunteer Survey'!F904</f>
        <v/>
      </c>
      <c r="O488" s="60" t="str">
        <f>'Volunteer Survey'!H904</f>
        <v/>
      </c>
      <c r="P488" s="62"/>
      <c r="Q488" s="66" t="str">
        <f>IFERROR(__xludf.DUMMYFUNCTION("QUERY('Volunteer Survey'!J887)"),"")</f>
        <v/>
      </c>
      <c r="R488" s="62"/>
      <c r="S488" s="62" t="str">
        <f>'Volunteer Survey'!L898</f>
        <v/>
      </c>
      <c r="T488" s="62" t="str">
        <f>'Volunteer Survey'!M903</f>
        <v/>
      </c>
      <c r="U488" s="74"/>
      <c r="V488" s="62"/>
      <c r="W488" s="75" t="str">
        <f>'Volunteer Survey'!P903</f>
        <v/>
      </c>
      <c r="X488" s="74" t="str">
        <f>'Volunteer Survey'!R904</f>
        <v/>
      </c>
      <c r="Y488" s="61"/>
      <c r="Z488" s="62"/>
      <c r="AA488" s="62"/>
      <c r="AB488" s="62"/>
      <c r="AC488" s="62"/>
      <c r="AD488" s="62"/>
      <c r="AE488" s="62"/>
      <c r="AF488" s="62"/>
      <c r="AG488" s="62"/>
      <c r="AH488" s="62"/>
      <c r="AI488" s="62"/>
      <c r="AJ488" s="62"/>
      <c r="AK488" s="62"/>
      <c r="AL488" s="62"/>
      <c r="AM488" s="62"/>
      <c r="AN488" s="62"/>
      <c r="AO488" s="62"/>
    </row>
    <row r="489">
      <c r="A489" s="62" t="str">
        <f>'Volunteer Survey'!A904</f>
        <v/>
      </c>
      <c r="B489" s="60" t="s">
        <v>340</v>
      </c>
      <c r="C489" s="61"/>
      <c r="D489" s="62"/>
      <c r="E489" s="62"/>
      <c r="F489" s="62" t="b">
        <v>0</v>
      </c>
      <c r="G489" s="62"/>
      <c r="H489" s="61"/>
      <c r="I489" s="61"/>
      <c r="J489" s="62"/>
      <c r="K489" s="62"/>
      <c r="L489" s="62" t="str">
        <f>'Volunteer Survey'!B904</f>
        <v/>
      </c>
      <c r="M489" s="62" t="str">
        <f>'Volunteer Survey'!E904</f>
        <v/>
      </c>
      <c r="N489" s="62" t="str">
        <f>'Volunteer Survey'!F905</f>
        <v/>
      </c>
      <c r="O489" s="60" t="str">
        <f>'Volunteer Survey'!H905</f>
        <v/>
      </c>
      <c r="P489" s="62"/>
      <c r="Q489" s="66" t="str">
        <f>IFERROR(__xludf.DUMMYFUNCTION("QUERY('Volunteer Survey'!J888)"),"")</f>
        <v/>
      </c>
      <c r="R489" s="62"/>
      <c r="S489" s="62" t="str">
        <f>'Volunteer Survey'!L899</f>
        <v/>
      </c>
      <c r="T489" s="62" t="str">
        <f>'Volunteer Survey'!M904</f>
        <v/>
      </c>
      <c r="U489" s="74"/>
      <c r="V489" s="62"/>
      <c r="W489" s="75" t="str">
        <f>'Volunteer Survey'!P904</f>
        <v/>
      </c>
      <c r="X489" s="74" t="str">
        <f>'Volunteer Survey'!R905</f>
        <v/>
      </c>
      <c r="Y489" s="61"/>
      <c r="Z489" s="62"/>
      <c r="AA489" s="62"/>
      <c r="AB489" s="62"/>
      <c r="AC489" s="62"/>
      <c r="AD489" s="62"/>
      <c r="AE489" s="62"/>
      <c r="AF489" s="62"/>
      <c r="AG489" s="62"/>
      <c r="AH489" s="62"/>
      <c r="AI489" s="62"/>
      <c r="AJ489" s="62"/>
      <c r="AK489" s="62"/>
      <c r="AL489" s="62"/>
      <c r="AM489" s="62"/>
      <c r="AN489" s="62"/>
      <c r="AO489" s="62"/>
    </row>
    <row r="490">
      <c r="A490" s="62" t="str">
        <f>'Volunteer Survey'!A905</f>
        <v/>
      </c>
      <c r="B490" s="60" t="s">
        <v>340</v>
      </c>
      <c r="C490" s="61"/>
      <c r="D490" s="62"/>
      <c r="E490" s="62"/>
      <c r="F490" s="62" t="b">
        <v>0</v>
      </c>
      <c r="G490" s="62"/>
      <c r="H490" s="61"/>
      <c r="I490" s="61"/>
      <c r="J490" s="62"/>
      <c r="K490" s="62"/>
      <c r="L490" s="62" t="str">
        <f>'Volunteer Survey'!B905</f>
        <v/>
      </c>
      <c r="M490" s="62" t="str">
        <f>'Volunteer Survey'!E905</f>
        <v/>
      </c>
      <c r="N490" s="62" t="str">
        <f>'Volunteer Survey'!F906</f>
        <v/>
      </c>
      <c r="O490" s="60" t="str">
        <f>'Volunteer Survey'!H906</f>
        <v/>
      </c>
      <c r="P490" s="62"/>
      <c r="Q490" s="66" t="str">
        <f>IFERROR(__xludf.DUMMYFUNCTION("QUERY('Volunteer Survey'!J889)"),"")</f>
        <v/>
      </c>
      <c r="R490" s="62"/>
      <c r="S490" s="62" t="str">
        <f>'Volunteer Survey'!L900</f>
        <v/>
      </c>
      <c r="T490" s="62" t="str">
        <f>'Volunteer Survey'!M905</f>
        <v/>
      </c>
      <c r="U490" s="74"/>
      <c r="V490" s="62"/>
      <c r="W490" s="75" t="str">
        <f>'Volunteer Survey'!P905</f>
        <v/>
      </c>
      <c r="X490" s="74" t="str">
        <f>'Volunteer Survey'!R906</f>
        <v/>
      </c>
      <c r="Y490" s="61"/>
      <c r="Z490" s="62"/>
      <c r="AA490" s="62"/>
      <c r="AB490" s="62"/>
      <c r="AC490" s="62"/>
      <c r="AD490" s="62"/>
      <c r="AE490" s="62"/>
      <c r="AF490" s="62"/>
      <c r="AG490" s="62"/>
      <c r="AH490" s="62"/>
      <c r="AI490" s="62"/>
      <c r="AJ490" s="62"/>
      <c r="AK490" s="62"/>
      <c r="AL490" s="62"/>
      <c r="AM490" s="62"/>
      <c r="AN490" s="62"/>
      <c r="AO490" s="62"/>
    </row>
    <row r="491">
      <c r="A491" s="62" t="str">
        <f>'Volunteer Survey'!A906</f>
        <v/>
      </c>
      <c r="B491" s="60" t="s">
        <v>340</v>
      </c>
      <c r="C491" s="61"/>
      <c r="D491" s="62"/>
      <c r="E491" s="62"/>
      <c r="F491" s="62" t="b">
        <v>0</v>
      </c>
      <c r="G491" s="62"/>
      <c r="H491" s="61"/>
      <c r="I491" s="61"/>
      <c r="J491" s="62"/>
      <c r="K491" s="62"/>
      <c r="L491" s="62" t="str">
        <f>'Volunteer Survey'!B906</f>
        <v/>
      </c>
      <c r="M491" s="62" t="str">
        <f>'Volunteer Survey'!E906</f>
        <v/>
      </c>
      <c r="N491" s="62" t="str">
        <f>'Volunteer Survey'!F907</f>
        <v/>
      </c>
      <c r="O491" s="60" t="str">
        <f>'Volunteer Survey'!H907</f>
        <v/>
      </c>
      <c r="P491" s="62"/>
      <c r="Q491" s="66" t="str">
        <f>IFERROR(__xludf.DUMMYFUNCTION("QUERY('Volunteer Survey'!J890)"),"")</f>
        <v/>
      </c>
      <c r="R491" s="62"/>
      <c r="S491" s="62" t="str">
        <f>'Volunteer Survey'!L901</f>
        <v/>
      </c>
      <c r="T491" s="62" t="str">
        <f>'Volunteer Survey'!M906</f>
        <v/>
      </c>
      <c r="U491" s="74"/>
      <c r="V491" s="62"/>
      <c r="W491" s="75" t="str">
        <f>'Volunteer Survey'!P906</f>
        <v/>
      </c>
      <c r="X491" s="74" t="str">
        <f>'Volunteer Survey'!R907</f>
        <v/>
      </c>
      <c r="Y491" s="61"/>
      <c r="Z491" s="62"/>
      <c r="AA491" s="62"/>
      <c r="AB491" s="62"/>
      <c r="AC491" s="62"/>
      <c r="AD491" s="62"/>
      <c r="AE491" s="62"/>
      <c r="AF491" s="62"/>
      <c r="AG491" s="62"/>
      <c r="AH491" s="62"/>
      <c r="AI491" s="62"/>
      <c r="AJ491" s="62"/>
      <c r="AK491" s="62"/>
      <c r="AL491" s="62"/>
      <c r="AM491" s="62"/>
      <c r="AN491" s="62"/>
      <c r="AO491" s="62"/>
    </row>
    <row r="492">
      <c r="A492" s="62" t="str">
        <f>'Volunteer Survey'!A907</f>
        <v/>
      </c>
      <c r="B492" s="60" t="s">
        <v>340</v>
      </c>
      <c r="C492" s="61"/>
      <c r="D492" s="62"/>
      <c r="E492" s="62"/>
      <c r="F492" s="62" t="b">
        <v>0</v>
      </c>
      <c r="G492" s="62"/>
      <c r="H492" s="61"/>
      <c r="I492" s="61"/>
      <c r="J492" s="62"/>
      <c r="K492" s="62"/>
      <c r="L492" s="62" t="str">
        <f>'Volunteer Survey'!B907</f>
        <v/>
      </c>
      <c r="M492" s="62" t="str">
        <f>'Volunteer Survey'!E907</f>
        <v/>
      </c>
      <c r="N492" s="62" t="str">
        <f>'Volunteer Survey'!F908</f>
        <v/>
      </c>
      <c r="O492" s="60" t="str">
        <f>'Volunteer Survey'!H908</f>
        <v/>
      </c>
      <c r="P492" s="62"/>
      <c r="Q492" s="66" t="str">
        <f>IFERROR(__xludf.DUMMYFUNCTION("QUERY('Volunteer Survey'!J891)"),"")</f>
        <v/>
      </c>
      <c r="R492" s="62"/>
      <c r="S492" s="62" t="str">
        <f>'Volunteer Survey'!L902</f>
        <v/>
      </c>
      <c r="T492" s="62" t="str">
        <f>'Volunteer Survey'!M907</f>
        <v/>
      </c>
      <c r="U492" s="74"/>
      <c r="V492" s="62"/>
      <c r="W492" s="75" t="str">
        <f>'Volunteer Survey'!P907</f>
        <v/>
      </c>
      <c r="X492" s="74" t="str">
        <f>'Volunteer Survey'!R908</f>
        <v/>
      </c>
      <c r="Y492" s="61"/>
      <c r="Z492" s="62"/>
      <c r="AA492" s="62"/>
      <c r="AB492" s="62"/>
      <c r="AC492" s="62"/>
      <c r="AD492" s="62"/>
      <c r="AE492" s="62"/>
      <c r="AF492" s="62"/>
      <c r="AG492" s="62"/>
      <c r="AH492" s="62"/>
      <c r="AI492" s="62"/>
      <c r="AJ492" s="62"/>
      <c r="AK492" s="62"/>
      <c r="AL492" s="62"/>
      <c r="AM492" s="62"/>
      <c r="AN492" s="62"/>
      <c r="AO492" s="62"/>
    </row>
    <row r="493">
      <c r="A493" s="62" t="str">
        <f>'Volunteer Survey'!A908</f>
        <v/>
      </c>
      <c r="B493" s="60" t="s">
        <v>340</v>
      </c>
      <c r="C493" s="61"/>
      <c r="D493" s="62"/>
      <c r="E493" s="62"/>
      <c r="F493" s="62" t="b">
        <v>0</v>
      </c>
      <c r="G493" s="62"/>
      <c r="H493" s="61"/>
      <c r="I493" s="61"/>
      <c r="J493" s="62"/>
      <c r="K493" s="62"/>
      <c r="L493" s="62" t="str">
        <f>'Volunteer Survey'!B908</f>
        <v/>
      </c>
      <c r="M493" s="62" t="str">
        <f>'Volunteer Survey'!E908</f>
        <v/>
      </c>
      <c r="N493" s="62" t="str">
        <f>'Volunteer Survey'!F909</f>
        <v/>
      </c>
      <c r="O493" s="60" t="str">
        <f>'Volunteer Survey'!H909</f>
        <v/>
      </c>
      <c r="P493" s="62"/>
      <c r="Q493" s="66" t="str">
        <f>IFERROR(__xludf.DUMMYFUNCTION("QUERY('Volunteer Survey'!J892)"),"")</f>
        <v/>
      </c>
      <c r="R493" s="62"/>
      <c r="S493" s="62" t="str">
        <f>'Volunteer Survey'!L903</f>
        <v/>
      </c>
      <c r="T493" s="62" t="str">
        <f>'Volunteer Survey'!M908</f>
        <v/>
      </c>
      <c r="U493" s="74"/>
      <c r="V493" s="62"/>
      <c r="W493" s="75" t="str">
        <f>'Volunteer Survey'!P908</f>
        <v/>
      </c>
      <c r="X493" s="74" t="str">
        <f>'Volunteer Survey'!R909</f>
        <v/>
      </c>
      <c r="Y493" s="61"/>
      <c r="Z493" s="62"/>
      <c r="AA493" s="62"/>
      <c r="AB493" s="62"/>
      <c r="AC493" s="62"/>
      <c r="AD493" s="62"/>
      <c r="AE493" s="62"/>
      <c r="AF493" s="62"/>
      <c r="AG493" s="62"/>
      <c r="AH493" s="62"/>
      <c r="AI493" s="62"/>
      <c r="AJ493" s="62"/>
      <c r="AK493" s="62"/>
      <c r="AL493" s="62"/>
      <c r="AM493" s="62"/>
      <c r="AN493" s="62"/>
      <c r="AO493" s="62"/>
    </row>
    <row r="494">
      <c r="A494" s="62" t="str">
        <f>'Volunteer Survey'!A909</f>
        <v/>
      </c>
      <c r="B494" s="60" t="s">
        <v>340</v>
      </c>
      <c r="C494" s="61"/>
      <c r="D494" s="62"/>
      <c r="E494" s="62"/>
      <c r="F494" s="62" t="b">
        <v>0</v>
      </c>
      <c r="G494" s="62"/>
      <c r="H494" s="61"/>
      <c r="I494" s="61"/>
      <c r="J494" s="62"/>
      <c r="K494" s="62"/>
      <c r="L494" s="62" t="str">
        <f>'Volunteer Survey'!B909</f>
        <v/>
      </c>
      <c r="M494" s="62" t="str">
        <f>'Volunteer Survey'!E909</f>
        <v/>
      </c>
      <c r="N494" s="62" t="str">
        <f>'Volunteer Survey'!F910</f>
        <v/>
      </c>
      <c r="O494" s="60" t="str">
        <f>'Volunteer Survey'!H910</f>
        <v/>
      </c>
      <c r="P494" s="62"/>
      <c r="Q494" s="66" t="str">
        <f>IFERROR(__xludf.DUMMYFUNCTION("QUERY('Volunteer Survey'!J893)"),"")</f>
        <v/>
      </c>
      <c r="R494" s="62"/>
      <c r="S494" s="62" t="str">
        <f>'Volunteer Survey'!L904</f>
        <v/>
      </c>
      <c r="T494" s="62" t="str">
        <f>'Volunteer Survey'!M909</f>
        <v/>
      </c>
      <c r="U494" s="74"/>
      <c r="V494" s="62"/>
      <c r="W494" s="75" t="str">
        <f>'Volunteer Survey'!P909</f>
        <v/>
      </c>
      <c r="X494" s="74" t="str">
        <f>'Volunteer Survey'!R910</f>
        <v/>
      </c>
      <c r="Y494" s="61"/>
      <c r="Z494" s="62"/>
      <c r="AA494" s="62"/>
      <c r="AB494" s="62"/>
      <c r="AC494" s="62"/>
      <c r="AD494" s="62"/>
      <c r="AE494" s="62"/>
      <c r="AF494" s="62"/>
      <c r="AG494" s="62"/>
      <c r="AH494" s="62"/>
      <c r="AI494" s="62"/>
      <c r="AJ494" s="62"/>
      <c r="AK494" s="62"/>
      <c r="AL494" s="62"/>
      <c r="AM494" s="62"/>
      <c r="AN494" s="62"/>
      <c r="AO494" s="62"/>
    </row>
    <row r="495">
      <c r="A495" s="62" t="str">
        <f>'Volunteer Survey'!A910</f>
        <v/>
      </c>
      <c r="B495" s="60" t="s">
        <v>340</v>
      </c>
      <c r="C495" s="61"/>
      <c r="D495" s="62"/>
      <c r="E495" s="62"/>
      <c r="F495" s="62" t="b">
        <v>0</v>
      </c>
      <c r="G495" s="62"/>
      <c r="H495" s="61"/>
      <c r="I495" s="61"/>
      <c r="J495" s="62"/>
      <c r="K495" s="62"/>
      <c r="L495" s="62" t="str">
        <f>'Volunteer Survey'!B910</f>
        <v/>
      </c>
      <c r="M495" s="62" t="str">
        <f>'Volunteer Survey'!E910</f>
        <v/>
      </c>
      <c r="N495" s="62" t="str">
        <f>'Volunteer Survey'!F911</f>
        <v/>
      </c>
      <c r="O495" s="60" t="str">
        <f>'Volunteer Survey'!H911</f>
        <v/>
      </c>
      <c r="P495" s="62"/>
      <c r="Q495" s="66" t="str">
        <f>IFERROR(__xludf.DUMMYFUNCTION("QUERY('Volunteer Survey'!J894)"),"")</f>
        <v/>
      </c>
      <c r="R495" s="62"/>
      <c r="S495" s="62" t="str">
        <f>'Volunteer Survey'!L905</f>
        <v/>
      </c>
      <c r="T495" s="62" t="str">
        <f>'Volunteer Survey'!M910</f>
        <v/>
      </c>
      <c r="U495" s="74"/>
      <c r="V495" s="62"/>
      <c r="W495" s="75" t="str">
        <f>'Volunteer Survey'!P910</f>
        <v/>
      </c>
      <c r="X495" s="74" t="str">
        <f>'Volunteer Survey'!R911</f>
        <v/>
      </c>
      <c r="Y495" s="61"/>
      <c r="Z495" s="62"/>
      <c r="AA495" s="62"/>
      <c r="AB495" s="62"/>
      <c r="AC495" s="62"/>
      <c r="AD495" s="62"/>
      <c r="AE495" s="62"/>
      <c r="AF495" s="62"/>
      <c r="AG495" s="62"/>
      <c r="AH495" s="62"/>
      <c r="AI495" s="62"/>
      <c r="AJ495" s="62"/>
      <c r="AK495" s="62"/>
      <c r="AL495" s="62"/>
      <c r="AM495" s="62"/>
      <c r="AN495" s="62"/>
      <c r="AO495" s="62"/>
    </row>
    <row r="496">
      <c r="A496" s="62" t="str">
        <f>'Volunteer Survey'!A911</f>
        <v/>
      </c>
      <c r="B496" s="60" t="s">
        <v>340</v>
      </c>
      <c r="C496" s="61"/>
      <c r="D496" s="62"/>
      <c r="E496" s="62"/>
      <c r="F496" s="62" t="b">
        <v>0</v>
      </c>
      <c r="G496" s="62"/>
      <c r="H496" s="61"/>
      <c r="I496" s="61"/>
      <c r="J496" s="62"/>
      <c r="K496" s="62"/>
      <c r="L496" s="62" t="str">
        <f>'Volunteer Survey'!B911</f>
        <v/>
      </c>
      <c r="M496" s="62" t="str">
        <f>'Volunteer Survey'!E911</f>
        <v/>
      </c>
      <c r="N496" s="62" t="str">
        <f>'Volunteer Survey'!F912</f>
        <v/>
      </c>
      <c r="O496" s="60" t="str">
        <f>'Volunteer Survey'!H912</f>
        <v/>
      </c>
      <c r="P496" s="62"/>
      <c r="Q496" s="66" t="str">
        <f>IFERROR(__xludf.DUMMYFUNCTION("QUERY('Volunteer Survey'!J895)"),"")</f>
        <v/>
      </c>
      <c r="R496" s="62"/>
      <c r="S496" s="62" t="str">
        <f>'Volunteer Survey'!L906</f>
        <v/>
      </c>
      <c r="T496" s="62" t="str">
        <f>'Volunteer Survey'!M911</f>
        <v/>
      </c>
      <c r="U496" s="74"/>
      <c r="V496" s="62"/>
      <c r="W496" s="75" t="str">
        <f>'Volunteer Survey'!P911</f>
        <v/>
      </c>
      <c r="X496" s="74" t="str">
        <f>'Volunteer Survey'!R912</f>
        <v/>
      </c>
      <c r="Y496" s="61"/>
      <c r="Z496" s="62"/>
      <c r="AA496" s="62"/>
      <c r="AB496" s="62"/>
      <c r="AC496" s="62"/>
      <c r="AD496" s="62"/>
      <c r="AE496" s="62"/>
      <c r="AF496" s="62"/>
      <c r="AG496" s="62"/>
      <c r="AH496" s="62"/>
      <c r="AI496" s="62"/>
      <c r="AJ496" s="62"/>
      <c r="AK496" s="62"/>
      <c r="AL496" s="62"/>
      <c r="AM496" s="62"/>
      <c r="AN496" s="62"/>
      <c r="AO496" s="62"/>
    </row>
    <row r="497">
      <c r="A497" s="62" t="str">
        <f>'Volunteer Survey'!A912</f>
        <v/>
      </c>
      <c r="B497" s="60" t="s">
        <v>340</v>
      </c>
      <c r="C497" s="61"/>
      <c r="D497" s="62"/>
      <c r="E497" s="62"/>
      <c r="F497" s="62" t="b">
        <v>0</v>
      </c>
      <c r="G497" s="62"/>
      <c r="H497" s="61"/>
      <c r="I497" s="61"/>
      <c r="J497" s="62"/>
      <c r="K497" s="62"/>
      <c r="L497" s="62" t="str">
        <f>'Volunteer Survey'!B912</f>
        <v/>
      </c>
      <c r="M497" s="62" t="str">
        <f>'Volunteer Survey'!E912</f>
        <v/>
      </c>
      <c r="N497" s="62" t="str">
        <f>'Volunteer Survey'!F913</f>
        <v/>
      </c>
      <c r="O497" s="60" t="str">
        <f>'Volunteer Survey'!H913</f>
        <v/>
      </c>
      <c r="P497" s="62"/>
      <c r="Q497" s="66" t="str">
        <f>IFERROR(__xludf.DUMMYFUNCTION("QUERY('Volunteer Survey'!J896)"),"")</f>
        <v/>
      </c>
      <c r="R497" s="62"/>
      <c r="S497" s="62" t="str">
        <f>'Volunteer Survey'!L907</f>
        <v/>
      </c>
      <c r="T497" s="62" t="str">
        <f>'Volunteer Survey'!M912</f>
        <v/>
      </c>
      <c r="U497" s="74"/>
      <c r="V497" s="62"/>
      <c r="W497" s="75" t="str">
        <f>'Volunteer Survey'!P912</f>
        <v/>
      </c>
      <c r="X497" s="74" t="str">
        <f>'Volunteer Survey'!R913</f>
        <v/>
      </c>
      <c r="Y497" s="61"/>
      <c r="Z497" s="62"/>
      <c r="AA497" s="62"/>
      <c r="AB497" s="62"/>
      <c r="AC497" s="62"/>
      <c r="AD497" s="62"/>
      <c r="AE497" s="62"/>
      <c r="AF497" s="62"/>
      <c r="AG497" s="62"/>
      <c r="AH497" s="62"/>
      <c r="AI497" s="62"/>
      <c r="AJ497" s="62"/>
      <c r="AK497" s="62"/>
      <c r="AL497" s="62"/>
      <c r="AM497" s="62"/>
      <c r="AN497" s="62"/>
      <c r="AO497" s="62"/>
    </row>
    <row r="498">
      <c r="A498" s="62" t="str">
        <f>'Volunteer Survey'!A913</f>
        <v/>
      </c>
      <c r="B498" s="60" t="s">
        <v>340</v>
      </c>
      <c r="C498" s="61"/>
      <c r="D498" s="62"/>
      <c r="E498" s="62"/>
      <c r="F498" s="62" t="b">
        <v>0</v>
      </c>
      <c r="G498" s="62"/>
      <c r="H498" s="61"/>
      <c r="I498" s="61"/>
      <c r="J498" s="62"/>
      <c r="K498" s="62"/>
      <c r="L498" s="62" t="str">
        <f>'Volunteer Survey'!B913</f>
        <v/>
      </c>
      <c r="M498" s="62" t="str">
        <f>'Volunteer Survey'!E913</f>
        <v/>
      </c>
      <c r="N498" s="62" t="str">
        <f>'Volunteer Survey'!F914</f>
        <v/>
      </c>
      <c r="O498" s="60" t="str">
        <f>'Volunteer Survey'!H914</f>
        <v/>
      </c>
      <c r="P498" s="62"/>
      <c r="Q498" s="66" t="str">
        <f>IFERROR(__xludf.DUMMYFUNCTION("QUERY('Volunteer Survey'!J897)"),"")</f>
        <v/>
      </c>
      <c r="R498" s="62"/>
      <c r="S498" s="62" t="str">
        <f>'Volunteer Survey'!L908</f>
        <v/>
      </c>
      <c r="T498" s="62" t="str">
        <f>'Volunteer Survey'!M913</f>
        <v/>
      </c>
      <c r="U498" s="74"/>
      <c r="V498" s="62"/>
      <c r="W498" s="75" t="str">
        <f>'Volunteer Survey'!P913</f>
        <v/>
      </c>
      <c r="X498" s="74" t="str">
        <f>'Volunteer Survey'!R914</f>
        <v/>
      </c>
      <c r="Y498" s="61"/>
      <c r="Z498" s="62"/>
      <c r="AA498" s="62"/>
      <c r="AB498" s="62"/>
      <c r="AC498" s="62"/>
      <c r="AD498" s="62"/>
      <c r="AE498" s="62"/>
      <c r="AF498" s="62"/>
      <c r="AG498" s="62"/>
      <c r="AH498" s="62"/>
      <c r="AI498" s="62"/>
      <c r="AJ498" s="62"/>
      <c r="AK498" s="62"/>
      <c r="AL498" s="62"/>
      <c r="AM498" s="62"/>
      <c r="AN498" s="62"/>
      <c r="AO498" s="62"/>
    </row>
    <row r="499">
      <c r="A499" s="62" t="str">
        <f>'Volunteer Survey'!A914</f>
        <v/>
      </c>
      <c r="B499" s="60" t="s">
        <v>340</v>
      </c>
      <c r="C499" s="61"/>
      <c r="D499" s="62"/>
      <c r="E499" s="62"/>
      <c r="F499" s="62" t="b">
        <v>0</v>
      </c>
      <c r="G499" s="62"/>
      <c r="H499" s="61"/>
      <c r="I499" s="61"/>
      <c r="J499" s="62"/>
      <c r="K499" s="62"/>
      <c r="L499" s="62" t="str">
        <f>'Volunteer Survey'!B914</f>
        <v/>
      </c>
      <c r="M499" s="62" t="str">
        <f>'Volunteer Survey'!E914</f>
        <v/>
      </c>
      <c r="N499" s="62" t="str">
        <f>'Volunteer Survey'!F915</f>
        <v/>
      </c>
      <c r="O499" s="60" t="str">
        <f>'Volunteer Survey'!H915</f>
        <v/>
      </c>
      <c r="P499" s="62"/>
      <c r="Q499" s="66" t="str">
        <f>IFERROR(__xludf.DUMMYFUNCTION("QUERY('Volunteer Survey'!J898)"),"")</f>
        <v/>
      </c>
      <c r="R499" s="62"/>
      <c r="S499" s="62" t="str">
        <f>'Volunteer Survey'!L909</f>
        <v/>
      </c>
      <c r="T499" s="62" t="str">
        <f>'Volunteer Survey'!M914</f>
        <v/>
      </c>
      <c r="U499" s="74"/>
      <c r="V499" s="62"/>
      <c r="W499" s="75" t="str">
        <f>'Volunteer Survey'!P914</f>
        <v/>
      </c>
      <c r="X499" s="74" t="str">
        <f>'Volunteer Survey'!R915</f>
        <v/>
      </c>
      <c r="Y499" s="61"/>
      <c r="Z499" s="62"/>
      <c r="AA499" s="62"/>
      <c r="AB499" s="62"/>
      <c r="AC499" s="62"/>
      <c r="AD499" s="62"/>
      <c r="AE499" s="62"/>
      <c r="AF499" s="62"/>
      <c r="AG499" s="62"/>
      <c r="AH499" s="62"/>
      <c r="AI499" s="62"/>
      <c r="AJ499" s="62"/>
      <c r="AK499" s="62"/>
      <c r="AL499" s="62"/>
      <c r="AM499" s="62"/>
      <c r="AN499" s="62"/>
      <c r="AO499" s="62"/>
    </row>
    <row r="500">
      <c r="A500" s="62" t="str">
        <f>'Volunteer Survey'!A915</f>
        <v/>
      </c>
      <c r="B500" s="60" t="s">
        <v>340</v>
      </c>
      <c r="C500" s="61"/>
      <c r="D500" s="62"/>
      <c r="E500" s="62"/>
      <c r="F500" s="62" t="b">
        <v>0</v>
      </c>
      <c r="G500" s="62"/>
      <c r="H500" s="61"/>
      <c r="I500" s="61"/>
      <c r="J500" s="62"/>
      <c r="K500" s="62"/>
      <c r="L500" s="62" t="str">
        <f>'Volunteer Survey'!B915</f>
        <v/>
      </c>
      <c r="M500" s="62" t="str">
        <f>'Volunteer Survey'!E915</f>
        <v/>
      </c>
      <c r="N500" s="62" t="str">
        <f>'Volunteer Survey'!F916</f>
        <v/>
      </c>
      <c r="O500" s="60" t="str">
        <f>'Volunteer Survey'!H916</f>
        <v/>
      </c>
      <c r="P500" s="62"/>
      <c r="Q500" s="66" t="str">
        <f>IFERROR(__xludf.DUMMYFUNCTION("QUERY('Volunteer Survey'!J899)"),"")</f>
        <v/>
      </c>
      <c r="R500" s="62"/>
      <c r="S500" s="62" t="str">
        <f>'Volunteer Survey'!L910</f>
        <v/>
      </c>
      <c r="T500" s="62" t="str">
        <f>'Volunteer Survey'!M915</f>
        <v/>
      </c>
      <c r="U500" s="74"/>
      <c r="V500" s="62"/>
      <c r="W500" s="75" t="str">
        <f>'Volunteer Survey'!P915</f>
        <v/>
      </c>
      <c r="X500" s="74" t="str">
        <f>'Volunteer Survey'!R916</f>
        <v/>
      </c>
      <c r="Y500" s="61"/>
      <c r="Z500" s="62"/>
      <c r="AA500" s="62"/>
      <c r="AB500" s="62"/>
      <c r="AC500" s="62"/>
      <c r="AD500" s="62"/>
      <c r="AE500" s="62"/>
      <c r="AF500" s="62"/>
      <c r="AG500" s="62"/>
      <c r="AH500" s="62"/>
      <c r="AI500" s="62"/>
      <c r="AJ500" s="62"/>
      <c r="AK500" s="62"/>
      <c r="AL500" s="62"/>
      <c r="AM500" s="62"/>
      <c r="AN500" s="62"/>
      <c r="AO500" s="62"/>
    </row>
    <row r="501">
      <c r="A501" s="62" t="str">
        <f>'Volunteer Survey'!A916</f>
        <v/>
      </c>
      <c r="B501" s="60" t="s">
        <v>340</v>
      </c>
      <c r="C501" s="61"/>
      <c r="D501" s="62"/>
      <c r="E501" s="62"/>
      <c r="F501" s="62" t="b">
        <v>0</v>
      </c>
      <c r="G501" s="62"/>
      <c r="H501" s="61"/>
      <c r="I501" s="61"/>
      <c r="J501" s="62"/>
      <c r="K501" s="62"/>
      <c r="L501" s="62" t="str">
        <f>'Volunteer Survey'!B916</f>
        <v/>
      </c>
      <c r="M501" s="62" t="str">
        <f>'Volunteer Survey'!E916</f>
        <v/>
      </c>
      <c r="N501" s="62" t="str">
        <f>'Volunteer Survey'!F917</f>
        <v/>
      </c>
      <c r="O501" s="60" t="str">
        <f>'Volunteer Survey'!H917</f>
        <v/>
      </c>
      <c r="P501" s="62"/>
      <c r="Q501" s="66" t="str">
        <f>IFERROR(__xludf.DUMMYFUNCTION("QUERY('Volunteer Survey'!J900)"),"")</f>
        <v/>
      </c>
      <c r="R501" s="62"/>
      <c r="S501" s="62" t="str">
        <f>'Volunteer Survey'!L911</f>
        <v/>
      </c>
      <c r="T501" s="62" t="str">
        <f>'Volunteer Survey'!M916</f>
        <v/>
      </c>
      <c r="U501" s="74"/>
      <c r="V501" s="62"/>
      <c r="W501" s="75" t="str">
        <f>'Volunteer Survey'!P916</f>
        <v/>
      </c>
      <c r="X501" s="74" t="str">
        <f>'Volunteer Survey'!R917</f>
        <v/>
      </c>
      <c r="Y501" s="61"/>
      <c r="Z501" s="62"/>
      <c r="AA501" s="62"/>
      <c r="AB501" s="62"/>
      <c r="AC501" s="62"/>
      <c r="AD501" s="62"/>
      <c r="AE501" s="62"/>
      <c r="AF501" s="62"/>
      <c r="AG501" s="62"/>
      <c r="AH501" s="62"/>
      <c r="AI501" s="62"/>
      <c r="AJ501" s="62"/>
      <c r="AK501" s="62"/>
      <c r="AL501" s="62"/>
      <c r="AM501" s="62"/>
      <c r="AN501" s="62"/>
      <c r="AO501" s="62"/>
    </row>
    <row r="502">
      <c r="A502" s="62" t="str">
        <f>'Volunteer Survey'!A917</f>
        <v/>
      </c>
      <c r="B502" s="60" t="s">
        <v>340</v>
      </c>
      <c r="C502" s="61"/>
      <c r="D502" s="62"/>
      <c r="E502" s="62"/>
      <c r="F502" s="62" t="b">
        <v>0</v>
      </c>
      <c r="G502" s="62"/>
      <c r="H502" s="61"/>
      <c r="I502" s="61"/>
      <c r="J502" s="62"/>
      <c r="K502" s="62"/>
      <c r="L502" s="62" t="str">
        <f>'Volunteer Survey'!B917</f>
        <v/>
      </c>
      <c r="M502" s="62" t="str">
        <f>'Volunteer Survey'!E917</f>
        <v/>
      </c>
      <c r="N502" s="62" t="str">
        <f>'Volunteer Survey'!F918</f>
        <v/>
      </c>
      <c r="O502" s="60" t="str">
        <f>'Volunteer Survey'!H918</f>
        <v/>
      </c>
      <c r="P502" s="62"/>
      <c r="Q502" s="66" t="str">
        <f>IFERROR(__xludf.DUMMYFUNCTION("QUERY('Volunteer Survey'!J901)"),"")</f>
        <v/>
      </c>
      <c r="R502" s="62"/>
      <c r="S502" s="62" t="str">
        <f>'Volunteer Survey'!L912</f>
        <v/>
      </c>
      <c r="T502" s="62" t="str">
        <f>'Volunteer Survey'!M917</f>
        <v/>
      </c>
      <c r="U502" s="74"/>
      <c r="V502" s="62"/>
      <c r="W502" s="75" t="str">
        <f>'Volunteer Survey'!P917</f>
        <v/>
      </c>
      <c r="X502" s="74" t="str">
        <f>'Volunteer Survey'!R918</f>
        <v/>
      </c>
      <c r="Y502" s="61"/>
      <c r="Z502" s="62"/>
      <c r="AA502" s="62"/>
      <c r="AB502" s="62"/>
      <c r="AC502" s="62"/>
      <c r="AD502" s="62"/>
      <c r="AE502" s="62"/>
      <c r="AF502" s="62"/>
      <c r="AG502" s="62"/>
      <c r="AH502" s="62"/>
      <c r="AI502" s="62"/>
      <c r="AJ502" s="62"/>
      <c r="AK502" s="62"/>
      <c r="AL502" s="62"/>
      <c r="AM502" s="62"/>
      <c r="AN502" s="62"/>
      <c r="AO502" s="62"/>
    </row>
    <row r="503">
      <c r="A503" s="62" t="str">
        <f>'Volunteer Survey'!A918</f>
        <v/>
      </c>
      <c r="B503" s="60" t="s">
        <v>340</v>
      </c>
      <c r="C503" s="61"/>
      <c r="D503" s="62"/>
      <c r="E503" s="62"/>
      <c r="F503" s="62" t="b">
        <v>0</v>
      </c>
      <c r="G503" s="62"/>
      <c r="H503" s="61"/>
      <c r="I503" s="61"/>
      <c r="J503" s="62"/>
      <c r="K503" s="62"/>
      <c r="L503" s="62" t="str">
        <f>'Volunteer Survey'!B918</f>
        <v/>
      </c>
      <c r="M503" s="62" t="str">
        <f>'Volunteer Survey'!E918</f>
        <v/>
      </c>
      <c r="N503" s="62" t="str">
        <f>'Volunteer Survey'!F919</f>
        <v/>
      </c>
      <c r="O503" s="60" t="str">
        <f>'Volunteer Survey'!H919</f>
        <v/>
      </c>
      <c r="P503" s="62"/>
      <c r="Q503" s="66" t="str">
        <f>IFERROR(__xludf.DUMMYFUNCTION("QUERY('Volunteer Survey'!J902)"),"")</f>
        <v/>
      </c>
      <c r="R503" s="62"/>
      <c r="S503" s="62" t="str">
        <f>'Volunteer Survey'!L913</f>
        <v/>
      </c>
      <c r="T503" s="62" t="str">
        <f>'Volunteer Survey'!M918</f>
        <v/>
      </c>
      <c r="U503" s="74"/>
      <c r="V503" s="62"/>
      <c r="W503" s="75" t="str">
        <f>'Volunteer Survey'!P918</f>
        <v/>
      </c>
      <c r="X503" s="74" t="str">
        <f>'Volunteer Survey'!R919</f>
        <v/>
      </c>
      <c r="Y503" s="61"/>
      <c r="Z503" s="62"/>
      <c r="AA503" s="62"/>
      <c r="AB503" s="62"/>
      <c r="AC503" s="62"/>
      <c r="AD503" s="62"/>
      <c r="AE503" s="62"/>
      <c r="AF503" s="62"/>
      <c r="AG503" s="62"/>
      <c r="AH503" s="62"/>
      <c r="AI503" s="62"/>
      <c r="AJ503" s="62"/>
      <c r="AK503" s="62"/>
      <c r="AL503" s="62"/>
      <c r="AM503" s="62"/>
      <c r="AN503" s="62"/>
      <c r="AO503" s="62"/>
    </row>
    <row r="504">
      <c r="A504" s="62" t="str">
        <f>'Volunteer Survey'!A919</f>
        <v/>
      </c>
      <c r="B504" s="60" t="s">
        <v>340</v>
      </c>
      <c r="C504" s="61"/>
      <c r="D504" s="62"/>
      <c r="E504" s="62"/>
      <c r="F504" s="62" t="b">
        <v>0</v>
      </c>
      <c r="G504" s="62"/>
      <c r="H504" s="61"/>
      <c r="I504" s="61"/>
      <c r="J504" s="62"/>
      <c r="K504" s="62"/>
      <c r="L504" s="62" t="str">
        <f>'Volunteer Survey'!B919</f>
        <v/>
      </c>
      <c r="M504" s="62" t="str">
        <f>'Volunteer Survey'!E919</f>
        <v/>
      </c>
      <c r="N504" s="62" t="str">
        <f>'Volunteer Survey'!F920</f>
        <v/>
      </c>
      <c r="O504" s="60" t="str">
        <f>'Volunteer Survey'!H920</f>
        <v/>
      </c>
      <c r="P504" s="62"/>
      <c r="Q504" s="66" t="str">
        <f>IFERROR(__xludf.DUMMYFUNCTION("QUERY('Volunteer Survey'!J903)"),"")</f>
        <v/>
      </c>
      <c r="R504" s="62"/>
      <c r="S504" s="62" t="str">
        <f>'Volunteer Survey'!L914</f>
        <v/>
      </c>
      <c r="T504" s="62" t="str">
        <f>'Volunteer Survey'!M919</f>
        <v/>
      </c>
      <c r="U504" s="74"/>
      <c r="V504" s="62"/>
      <c r="W504" s="75" t="str">
        <f>'Volunteer Survey'!P919</f>
        <v/>
      </c>
      <c r="X504" s="62"/>
      <c r="Y504" s="61"/>
      <c r="Z504" s="62"/>
      <c r="AA504" s="62"/>
      <c r="AB504" s="62"/>
      <c r="AC504" s="62"/>
      <c r="AD504" s="62"/>
      <c r="AE504" s="62"/>
      <c r="AF504" s="62"/>
      <c r="AG504" s="62"/>
      <c r="AH504" s="62"/>
      <c r="AI504" s="62"/>
      <c r="AJ504" s="62"/>
      <c r="AK504" s="62"/>
      <c r="AL504" s="62"/>
      <c r="AM504" s="62"/>
      <c r="AN504" s="62"/>
      <c r="AO504" s="62"/>
    </row>
    <row r="505">
      <c r="A505" s="62" t="str">
        <f>'Volunteer Survey'!A920</f>
        <v/>
      </c>
      <c r="B505" s="60" t="s">
        <v>340</v>
      </c>
      <c r="C505" s="61"/>
      <c r="D505" s="62"/>
      <c r="E505" s="62"/>
      <c r="F505" s="62" t="b">
        <v>0</v>
      </c>
      <c r="G505" s="62"/>
      <c r="H505" s="61"/>
      <c r="I505" s="61"/>
      <c r="J505" s="62"/>
      <c r="K505" s="62"/>
      <c r="L505" s="62" t="str">
        <f>'Volunteer Survey'!B920</f>
        <v/>
      </c>
      <c r="M505" s="62" t="str">
        <f>'Volunteer Survey'!E920</f>
        <v/>
      </c>
      <c r="N505" s="62" t="str">
        <f>'Volunteer Survey'!F921</f>
        <v/>
      </c>
      <c r="O505" s="60" t="str">
        <f>'Volunteer Survey'!H921</f>
        <v/>
      </c>
      <c r="P505" s="62"/>
      <c r="Q505" s="66" t="str">
        <f>IFERROR(__xludf.DUMMYFUNCTION("QUERY('Volunteer Survey'!J904)"),"")</f>
        <v/>
      </c>
      <c r="R505" s="62"/>
      <c r="S505" s="62" t="str">
        <f>'Volunteer Survey'!L915</f>
        <v/>
      </c>
      <c r="T505" s="62" t="str">
        <f>'Volunteer Survey'!M920</f>
        <v/>
      </c>
      <c r="U505" s="74"/>
      <c r="V505" s="62"/>
      <c r="W505" s="75" t="str">
        <f>'Volunteer Survey'!P920</f>
        <v/>
      </c>
      <c r="X505" s="62"/>
      <c r="Y505" s="61"/>
      <c r="Z505" s="62"/>
      <c r="AA505" s="62"/>
      <c r="AB505" s="62"/>
      <c r="AC505" s="62"/>
      <c r="AD505" s="62"/>
      <c r="AE505" s="62"/>
      <c r="AF505" s="62"/>
      <c r="AG505" s="62"/>
      <c r="AH505" s="62"/>
      <c r="AI505" s="62"/>
      <c r="AJ505" s="62"/>
      <c r="AK505" s="62"/>
      <c r="AL505" s="62"/>
      <c r="AM505" s="62"/>
      <c r="AN505" s="62"/>
      <c r="AO505" s="62"/>
    </row>
    <row r="506">
      <c r="A506" s="62" t="str">
        <f>'Volunteer Survey'!A921</f>
        <v/>
      </c>
      <c r="B506" s="60" t="s">
        <v>340</v>
      </c>
      <c r="C506" s="61"/>
      <c r="D506" s="62"/>
      <c r="E506" s="62"/>
      <c r="F506" s="62" t="b">
        <v>0</v>
      </c>
      <c r="G506" s="62"/>
      <c r="H506" s="61"/>
      <c r="I506" s="61"/>
      <c r="J506" s="62"/>
      <c r="K506" s="62"/>
      <c r="L506" s="62" t="str">
        <f>'Volunteer Survey'!B921</f>
        <v/>
      </c>
      <c r="M506" s="62" t="str">
        <f>'Volunteer Survey'!E921</f>
        <v/>
      </c>
      <c r="N506" s="62" t="str">
        <f>'Volunteer Survey'!F922</f>
        <v/>
      </c>
      <c r="O506" s="60" t="str">
        <f>'Volunteer Survey'!H922</f>
        <v/>
      </c>
      <c r="P506" s="62"/>
      <c r="Q506" s="66" t="str">
        <f>IFERROR(__xludf.DUMMYFUNCTION("QUERY('Volunteer Survey'!J905)"),"")</f>
        <v/>
      </c>
      <c r="R506" s="62"/>
      <c r="S506" s="62" t="str">
        <f>'Volunteer Survey'!L916</f>
        <v/>
      </c>
      <c r="T506" s="62" t="str">
        <f>'Volunteer Survey'!M921</f>
        <v/>
      </c>
      <c r="U506" s="74"/>
      <c r="V506" s="62"/>
      <c r="W506" s="75" t="str">
        <f>'Volunteer Survey'!P921</f>
        <v/>
      </c>
      <c r="X506" s="62"/>
      <c r="Y506" s="61"/>
      <c r="Z506" s="62"/>
      <c r="AA506" s="62"/>
      <c r="AB506" s="62"/>
      <c r="AC506" s="62"/>
      <c r="AD506" s="62"/>
      <c r="AE506" s="62"/>
      <c r="AF506" s="62"/>
      <c r="AG506" s="62"/>
      <c r="AH506" s="62"/>
      <c r="AI506" s="62"/>
      <c r="AJ506" s="62"/>
      <c r="AK506" s="62"/>
      <c r="AL506" s="62"/>
      <c r="AM506" s="62"/>
      <c r="AN506" s="62"/>
      <c r="AO506" s="62"/>
    </row>
    <row r="507">
      <c r="A507" s="62" t="str">
        <f>'Volunteer Survey'!A922</f>
        <v/>
      </c>
      <c r="B507" s="60" t="s">
        <v>340</v>
      </c>
      <c r="C507" s="61"/>
      <c r="D507" s="62"/>
      <c r="E507" s="62"/>
      <c r="F507" s="62" t="b">
        <v>0</v>
      </c>
      <c r="G507" s="62"/>
      <c r="H507" s="61"/>
      <c r="I507" s="61"/>
      <c r="J507" s="62"/>
      <c r="K507" s="62"/>
      <c r="L507" s="62" t="str">
        <f>'Volunteer Survey'!B922</f>
        <v/>
      </c>
      <c r="M507" s="62" t="str">
        <f>'Volunteer Survey'!E922</f>
        <v/>
      </c>
      <c r="N507" s="62" t="str">
        <f>'Volunteer Survey'!F923</f>
        <v/>
      </c>
      <c r="O507" s="60" t="str">
        <f>'Volunteer Survey'!H923</f>
        <v/>
      </c>
      <c r="P507" s="62"/>
      <c r="Q507" s="66" t="str">
        <f>IFERROR(__xludf.DUMMYFUNCTION("QUERY('Volunteer Survey'!J906)"),"")</f>
        <v/>
      </c>
      <c r="R507" s="62"/>
      <c r="S507" s="62" t="str">
        <f>'Volunteer Survey'!L917</f>
        <v/>
      </c>
      <c r="T507" s="62" t="str">
        <f>'Volunteer Survey'!M922</f>
        <v/>
      </c>
      <c r="U507" s="74"/>
      <c r="V507" s="62"/>
      <c r="W507" s="75" t="str">
        <f>'Volunteer Survey'!P922</f>
        <v/>
      </c>
      <c r="X507" s="62"/>
      <c r="Y507" s="61"/>
      <c r="Z507" s="62"/>
      <c r="AA507" s="62"/>
      <c r="AB507" s="62"/>
      <c r="AC507" s="62"/>
      <c r="AD507" s="62"/>
      <c r="AE507" s="62"/>
      <c r="AF507" s="62"/>
      <c r="AG507" s="62"/>
      <c r="AH507" s="62"/>
      <c r="AI507" s="62"/>
      <c r="AJ507" s="62"/>
      <c r="AK507" s="62"/>
      <c r="AL507" s="62"/>
      <c r="AM507" s="62"/>
      <c r="AN507" s="62"/>
      <c r="AO507" s="62"/>
    </row>
    <row r="508">
      <c r="A508" s="62" t="str">
        <f>'Volunteer Survey'!A923</f>
        <v/>
      </c>
      <c r="B508" s="60" t="s">
        <v>340</v>
      </c>
      <c r="C508" s="61"/>
      <c r="D508" s="62"/>
      <c r="E508" s="62"/>
      <c r="F508" s="62" t="b">
        <v>0</v>
      </c>
      <c r="G508" s="62"/>
      <c r="H508" s="61"/>
      <c r="I508" s="61"/>
      <c r="J508" s="62"/>
      <c r="K508" s="62"/>
      <c r="L508" s="62" t="str">
        <f>'Volunteer Survey'!B923</f>
        <v/>
      </c>
      <c r="M508" s="62" t="str">
        <f>'Volunteer Survey'!E923</f>
        <v/>
      </c>
      <c r="N508" s="62" t="str">
        <f>'Volunteer Survey'!F924</f>
        <v/>
      </c>
      <c r="O508" s="60" t="str">
        <f>'Volunteer Survey'!H924</f>
        <v/>
      </c>
      <c r="P508" s="62"/>
      <c r="Q508" s="66" t="str">
        <f>IFERROR(__xludf.DUMMYFUNCTION("QUERY('Volunteer Survey'!J907)"),"")</f>
        <v/>
      </c>
      <c r="R508" s="62"/>
      <c r="S508" s="62" t="str">
        <f>'Volunteer Survey'!L918</f>
        <v/>
      </c>
      <c r="T508" s="62" t="str">
        <f>'Volunteer Survey'!M923</f>
        <v/>
      </c>
      <c r="U508" s="74"/>
      <c r="V508" s="62"/>
      <c r="W508" s="75" t="str">
        <f>'Volunteer Survey'!P923</f>
        <v/>
      </c>
      <c r="X508" s="62"/>
      <c r="Y508" s="61"/>
      <c r="Z508" s="62"/>
      <c r="AA508" s="62"/>
      <c r="AB508" s="62"/>
      <c r="AC508" s="62"/>
      <c r="AD508" s="62"/>
      <c r="AE508" s="62"/>
      <c r="AF508" s="62"/>
      <c r="AG508" s="62"/>
      <c r="AH508" s="62"/>
      <c r="AI508" s="62"/>
      <c r="AJ508" s="62"/>
      <c r="AK508" s="62"/>
      <c r="AL508" s="62"/>
      <c r="AM508" s="62"/>
      <c r="AN508" s="62"/>
      <c r="AO508" s="62"/>
    </row>
    <row r="509">
      <c r="A509" s="62" t="str">
        <f>'Volunteer Survey'!A924</f>
        <v/>
      </c>
      <c r="B509" s="60" t="s">
        <v>340</v>
      </c>
      <c r="C509" s="61"/>
      <c r="D509" s="62"/>
      <c r="E509" s="62"/>
      <c r="F509" s="62" t="b">
        <v>0</v>
      </c>
      <c r="G509" s="62"/>
      <c r="H509" s="61"/>
      <c r="I509" s="61"/>
      <c r="J509" s="62"/>
      <c r="K509" s="62"/>
      <c r="L509" s="62" t="str">
        <f>'Volunteer Survey'!B924</f>
        <v/>
      </c>
      <c r="M509" s="62" t="str">
        <f>'Volunteer Survey'!E924</f>
        <v/>
      </c>
      <c r="N509" s="62" t="str">
        <f>'Volunteer Survey'!F925</f>
        <v/>
      </c>
      <c r="O509" s="60" t="str">
        <f>'Volunteer Survey'!H925</f>
        <v/>
      </c>
      <c r="P509" s="62"/>
      <c r="Q509" s="66" t="str">
        <f>IFERROR(__xludf.DUMMYFUNCTION("QUERY('Volunteer Survey'!J908)"),"")</f>
        <v/>
      </c>
      <c r="R509" s="62"/>
      <c r="S509" s="62" t="str">
        <f>'Volunteer Survey'!L919</f>
        <v/>
      </c>
      <c r="T509" s="62" t="str">
        <f>'Volunteer Survey'!M924</f>
        <v/>
      </c>
      <c r="U509" s="74"/>
      <c r="V509" s="62"/>
      <c r="W509" s="75" t="str">
        <f>'Volunteer Survey'!P924</f>
        <v/>
      </c>
      <c r="X509" s="62"/>
      <c r="Y509" s="61"/>
      <c r="Z509" s="62"/>
      <c r="AA509" s="62"/>
      <c r="AB509" s="62"/>
      <c r="AC509" s="62"/>
      <c r="AD509" s="62"/>
      <c r="AE509" s="62"/>
      <c r="AF509" s="62"/>
      <c r="AG509" s="62"/>
      <c r="AH509" s="62"/>
      <c r="AI509" s="62"/>
      <c r="AJ509" s="62"/>
      <c r="AK509" s="62"/>
      <c r="AL509" s="62"/>
      <c r="AM509" s="62"/>
      <c r="AN509" s="62"/>
      <c r="AO509" s="62"/>
    </row>
    <row r="510">
      <c r="A510" s="62" t="str">
        <f>'Volunteer Survey'!A925</f>
        <v/>
      </c>
      <c r="B510" s="60" t="s">
        <v>340</v>
      </c>
      <c r="C510" s="61"/>
      <c r="D510" s="62"/>
      <c r="E510" s="62"/>
      <c r="F510" s="62" t="b">
        <v>0</v>
      </c>
      <c r="G510" s="62"/>
      <c r="H510" s="61"/>
      <c r="I510" s="61"/>
      <c r="J510" s="62"/>
      <c r="K510" s="62"/>
      <c r="L510" s="62" t="str">
        <f>'Volunteer Survey'!B925</f>
        <v/>
      </c>
      <c r="M510" s="62" t="str">
        <f>'Volunteer Survey'!E925</f>
        <v/>
      </c>
      <c r="N510" s="62" t="str">
        <f>'Volunteer Survey'!F926</f>
        <v/>
      </c>
      <c r="O510" s="60" t="str">
        <f>'Volunteer Survey'!H926</f>
        <v/>
      </c>
      <c r="P510" s="62"/>
      <c r="Q510" s="66" t="str">
        <f>IFERROR(__xludf.DUMMYFUNCTION("QUERY('Volunteer Survey'!J909)"),"")</f>
        <v/>
      </c>
      <c r="R510" s="62"/>
      <c r="S510" s="62"/>
      <c r="T510" s="62" t="str">
        <f>'Volunteer Survey'!M925</f>
        <v/>
      </c>
      <c r="U510" s="74"/>
      <c r="V510" s="62"/>
      <c r="W510" s="75" t="str">
        <f>'Volunteer Survey'!P925</f>
        <v/>
      </c>
      <c r="X510" s="62"/>
      <c r="Y510" s="61"/>
      <c r="Z510" s="62"/>
      <c r="AA510" s="62"/>
      <c r="AB510" s="62"/>
      <c r="AC510" s="62"/>
      <c r="AD510" s="62"/>
      <c r="AE510" s="62"/>
      <c r="AF510" s="62"/>
      <c r="AG510" s="62"/>
      <c r="AH510" s="62"/>
      <c r="AI510" s="62"/>
      <c r="AJ510" s="62"/>
      <c r="AK510" s="62"/>
      <c r="AL510" s="62"/>
      <c r="AM510" s="62"/>
      <c r="AN510" s="62"/>
      <c r="AO510" s="62"/>
    </row>
    <row r="511">
      <c r="A511" s="62" t="str">
        <f>'Volunteer Survey'!A926</f>
        <v/>
      </c>
      <c r="B511" s="60" t="s">
        <v>340</v>
      </c>
      <c r="C511" s="61"/>
      <c r="D511" s="62"/>
      <c r="E511" s="62"/>
      <c r="F511" s="62" t="b">
        <v>0</v>
      </c>
      <c r="G511" s="62"/>
      <c r="H511" s="61"/>
      <c r="I511" s="61"/>
      <c r="J511" s="62"/>
      <c r="K511" s="62"/>
      <c r="L511" s="62" t="str">
        <f>'Volunteer Survey'!B926</f>
        <v/>
      </c>
      <c r="M511" s="62" t="str">
        <f>'Volunteer Survey'!E926</f>
        <v/>
      </c>
      <c r="N511" s="62" t="str">
        <f>'Volunteer Survey'!F927</f>
        <v/>
      </c>
      <c r="O511" s="60" t="str">
        <f>'Volunteer Survey'!H927</f>
        <v/>
      </c>
      <c r="P511" s="62"/>
      <c r="Q511" s="66" t="str">
        <f>IFERROR(__xludf.DUMMYFUNCTION("QUERY('Volunteer Survey'!J910)"),"")</f>
        <v/>
      </c>
      <c r="R511" s="62"/>
      <c r="S511" s="62"/>
      <c r="T511" s="62" t="str">
        <f>'Volunteer Survey'!M926</f>
        <v/>
      </c>
      <c r="U511" s="74"/>
      <c r="V511" s="62"/>
      <c r="W511" s="75" t="str">
        <f>'Volunteer Survey'!P926</f>
        <v/>
      </c>
      <c r="X511" s="62"/>
      <c r="Y511" s="61"/>
      <c r="Z511" s="62"/>
      <c r="AA511" s="62"/>
      <c r="AB511" s="62"/>
      <c r="AC511" s="62"/>
      <c r="AD511" s="62"/>
      <c r="AE511" s="62"/>
      <c r="AF511" s="62"/>
      <c r="AG511" s="62"/>
      <c r="AH511" s="62"/>
      <c r="AI511" s="62"/>
      <c r="AJ511" s="62"/>
      <c r="AK511" s="62"/>
      <c r="AL511" s="62"/>
      <c r="AM511" s="62"/>
      <c r="AN511" s="62"/>
      <c r="AO511" s="62"/>
    </row>
    <row r="512">
      <c r="A512" s="62" t="str">
        <f>'Volunteer Survey'!A927</f>
        <v/>
      </c>
      <c r="B512" s="60" t="s">
        <v>340</v>
      </c>
      <c r="C512" s="61"/>
      <c r="D512" s="62"/>
      <c r="E512" s="62"/>
      <c r="F512" s="62" t="b">
        <v>0</v>
      </c>
      <c r="G512" s="62"/>
      <c r="H512" s="61"/>
      <c r="I512" s="61"/>
      <c r="J512" s="62"/>
      <c r="K512" s="62"/>
      <c r="L512" s="62" t="str">
        <f>'Volunteer Survey'!B927</f>
        <v/>
      </c>
      <c r="M512" s="62" t="str">
        <f>'Volunteer Survey'!E927</f>
        <v/>
      </c>
      <c r="N512" s="62" t="str">
        <f>'Volunteer Survey'!F928</f>
        <v/>
      </c>
      <c r="O512" s="60" t="str">
        <f>'Volunteer Survey'!H928</f>
        <v/>
      </c>
      <c r="P512" s="62"/>
      <c r="Q512" s="66" t="str">
        <f>IFERROR(__xludf.DUMMYFUNCTION("QUERY('Volunteer Survey'!J911)"),"")</f>
        <v/>
      </c>
      <c r="R512" s="62"/>
      <c r="S512" s="62"/>
      <c r="T512" s="62" t="str">
        <f>'Volunteer Survey'!M927</f>
        <v/>
      </c>
      <c r="U512" s="74"/>
      <c r="V512" s="62"/>
      <c r="W512" s="75" t="str">
        <f>'Volunteer Survey'!P927</f>
        <v/>
      </c>
      <c r="X512" s="62"/>
      <c r="Y512" s="61"/>
      <c r="Z512" s="62"/>
      <c r="AA512" s="62"/>
      <c r="AB512" s="62"/>
      <c r="AC512" s="62"/>
      <c r="AD512" s="62"/>
      <c r="AE512" s="62"/>
      <c r="AF512" s="62"/>
      <c r="AG512" s="62"/>
      <c r="AH512" s="62"/>
      <c r="AI512" s="62"/>
      <c r="AJ512" s="62"/>
      <c r="AK512" s="62"/>
      <c r="AL512" s="62"/>
      <c r="AM512" s="62"/>
      <c r="AN512" s="62"/>
      <c r="AO512" s="62"/>
    </row>
    <row r="513">
      <c r="A513" s="62" t="str">
        <f>'Volunteer Survey'!A928</f>
        <v/>
      </c>
      <c r="B513" s="60" t="s">
        <v>340</v>
      </c>
      <c r="C513" s="61"/>
      <c r="D513" s="62"/>
      <c r="E513" s="62"/>
      <c r="F513" s="62" t="b">
        <v>0</v>
      </c>
      <c r="G513" s="62"/>
      <c r="H513" s="61"/>
      <c r="I513" s="61"/>
      <c r="J513" s="62"/>
      <c r="K513" s="62"/>
      <c r="L513" s="62" t="str">
        <f>'Volunteer Survey'!B928</f>
        <v/>
      </c>
      <c r="M513" s="62" t="str">
        <f>'Volunteer Survey'!E928</f>
        <v/>
      </c>
      <c r="N513" s="62" t="str">
        <f>'Volunteer Survey'!F929</f>
        <v/>
      </c>
      <c r="O513" s="60" t="str">
        <f>'Volunteer Survey'!H929</f>
        <v/>
      </c>
      <c r="P513" s="62"/>
      <c r="Q513" s="66" t="str">
        <f>IFERROR(__xludf.DUMMYFUNCTION("QUERY('Volunteer Survey'!J912)"),"")</f>
        <v/>
      </c>
      <c r="R513" s="62"/>
      <c r="S513" s="62"/>
      <c r="T513" s="62" t="str">
        <f>'Volunteer Survey'!M928</f>
        <v/>
      </c>
      <c r="U513" s="74"/>
      <c r="V513" s="62"/>
      <c r="W513" s="75" t="str">
        <f>'Volunteer Survey'!P928</f>
        <v/>
      </c>
      <c r="X513" s="62"/>
      <c r="Y513" s="61"/>
      <c r="Z513" s="62"/>
      <c r="AA513" s="62"/>
      <c r="AB513" s="62"/>
      <c r="AC513" s="62"/>
      <c r="AD513" s="62"/>
      <c r="AE513" s="62"/>
      <c r="AF513" s="62"/>
      <c r="AG513" s="62"/>
      <c r="AH513" s="62"/>
      <c r="AI513" s="62"/>
      <c r="AJ513" s="62"/>
      <c r="AK513" s="62"/>
      <c r="AL513" s="62"/>
      <c r="AM513" s="62"/>
      <c r="AN513" s="62"/>
      <c r="AO513" s="62"/>
    </row>
    <row r="514">
      <c r="A514" s="62" t="str">
        <f>'Volunteer Survey'!A929</f>
        <v/>
      </c>
      <c r="B514" s="60" t="s">
        <v>340</v>
      </c>
      <c r="C514" s="61"/>
      <c r="D514" s="62"/>
      <c r="E514" s="62"/>
      <c r="F514" s="62" t="b">
        <v>0</v>
      </c>
      <c r="G514" s="62"/>
      <c r="H514" s="61"/>
      <c r="I514" s="61"/>
      <c r="J514" s="62"/>
      <c r="K514" s="62"/>
      <c r="L514" s="62" t="str">
        <f>'Volunteer Survey'!B929</f>
        <v/>
      </c>
      <c r="M514" s="62" t="str">
        <f>'Volunteer Survey'!E929</f>
        <v/>
      </c>
      <c r="N514" s="62" t="str">
        <f>'Volunteer Survey'!F930</f>
        <v/>
      </c>
      <c r="O514" s="60" t="str">
        <f>'Volunteer Survey'!H930</f>
        <v/>
      </c>
      <c r="P514" s="62"/>
      <c r="Q514" s="66" t="str">
        <f>IFERROR(__xludf.DUMMYFUNCTION("QUERY('Volunteer Survey'!J913)"),"")</f>
        <v/>
      </c>
      <c r="R514" s="62"/>
      <c r="S514" s="62"/>
      <c r="T514" s="62" t="str">
        <f>'Volunteer Survey'!M929</f>
        <v/>
      </c>
      <c r="U514" s="74"/>
      <c r="V514" s="62"/>
      <c r="W514" s="75" t="str">
        <f>'Volunteer Survey'!P929</f>
        <v/>
      </c>
      <c r="X514" s="62"/>
      <c r="Y514" s="61"/>
      <c r="Z514" s="62"/>
      <c r="AA514" s="62"/>
      <c r="AB514" s="62"/>
      <c r="AC514" s="62"/>
      <c r="AD514" s="62"/>
      <c r="AE514" s="62"/>
      <c r="AF514" s="62"/>
      <c r="AG514" s="62"/>
      <c r="AH514" s="62"/>
      <c r="AI514" s="62"/>
      <c r="AJ514" s="62"/>
      <c r="AK514" s="62"/>
      <c r="AL514" s="62"/>
      <c r="AM514" s="62"/>
      <c r="AN514" s="62"/>
      <c r="AO514" s="62"/>
    </row>
    <row r="515">
      <c r="A515" s="62" t="str">
        <f>'Volunteer Survey'!A930</f>
        <v/>
      </c>
      <c r="B515" s="60" t="s">
        <v>340</v>
      </c>
      <c r="C515" s="61"/>
      <c r="D515" s="62"/>
      <c r="E515" s="62"/>
      <c r="F515" s="62" t="b">
        <v>0</v>
      </c>
      <c r="G515" s="62"/>
      <c r="H515" s="61"/>
      <c r="I515" s="61"/>
      <c r="J515" s="62"/>
      <c r="K515" s="62"/>
      <c r="L515" s="62" t="str">
        <f>'Volunteer Survey'!B930</f>
        <v/>
      </c>
      <c r="M515" s="62" t="str">
        <f>'Volunteer Survey'!E930</f>
        <v/>
      </c>
      <c r="N515" s="62" t="str">
        <f>'Volunteer Survey'!F931</f>
        <v/>
      </c>
      <c r="O515" s="60" t="str">
        <f>'Volunteer Survey'!H931</f>
        <v/>
      </c>
      <c r="P515" s="62"/>
      <c r="Q515" s="66" t="str">
        <f>IFERROR(__xludf.DUMMYFUNCTION("QUERY('Volunteer Survey'!J914)"),"")</f>
        <v/>
      </c>
      <c r="R515" s="62"/>
      <c r="S515" s="62"/>
      <c r="T515" s="62" t="str">
        <f>'Volunteer Survey'!M930</f>
        <v/>
      </c>
      <c r="U515" s="74"/>
      <c r="V515" s="62"/>
      <c r="W515" s="75" t="str">
        <f>'Volunteer Survey'!P930</f>
        <v/>
      </c>
      <c r="X515" s="62"/>
      <c r="Y515" s="61"/>
      <c r="Z515" s="62"/>
      <c r="AA515" s="62"/>
      <c r="AB515" s="62"/>
      <c r="AC515" s="62"/>
      <c r="AD515" s="62"/>
      <c r="AE515" s="62"/>
      <c r="AF515" s="62"/>
      <c r="AG515" s="62"/>
      <c r="AH515" s="62"/>
      <c r="AI515" s="62"/>
      <c r="AJ515" s="62"/>
      <c r="AK515" s="62"/>
      <c r="AL515" s="62"/>
      <c r="AM515" s="62"/>
      <c r="AN515" s="62"/>
      <c r="AO515" s="62"/>
    </row>
    <row r="516">
      <c r="A516" s="62" t="str">
        <f>'Volunteer Survey'!A931</f>
        <v/>
      </c>
      <c r="B516" s="60" t="s">
        <v>340</v>
      </c>
      <c r="C516" s="61"/>
      <c r="D516" s="62"/>
      <c r="E516" s="62"/>
      <c r="F516" s="62" t="b">
        <v>0</v>
      </c>
      <c r="G516" s="62"/>
      <c r="H516" s="61"/>
      <c r="I516" s="61"/>
      <c r="J516" s="62"/>
      <c r="K516" s="62"/>
      <c r="L516" s="62" t="str">
        <f>'Volunteer Survey'!B931</f>
        <v/>
      </c>
      <c r="M516" s="62" t="str">
        <f>'Volunteer Survey'!E931</f>
        <v/>
      </c>
      <c r="N516" s="62" t="str">
        <f>'Volunteer Survey'!F932</f>
        <v/>
      </c>
      <c r="O516" s="60" t="str">
        <f>'Volunteer Survey'!H932</f>
        <v/>
      </c>
      <c r="P516" s="62"/>
      <c r="Q516" s="66" t="str">
        <f>IFERROR(__xludf.DUMMYFUNCTION("QUERY('Volunteer Survey'!J915)"),"")</f>
        <v/>
      </c>
      <c r="R516" s="62"/>
      <c r="S516" s="62"/>
      <c r="T516" s="62" t="str">
        <f>'Volunteer Survey'!M931</f>
        <v/>
      </c>
      <c r="U516" s="74"/>
      <c r="V516" s="62"/>
      <c r="W516" s="75" t="str">
        <f>'Volunteer Survey'!P931</f>
        <v/>
      </c>
      <c r="X516" s="62"/>
      <c r="Y516" s="61"/>
      <c r="Z516" s="62"/>
      <c r="AA516" s="62"/>
      <c r="AB516" s="62"/>
      <c r="AC516" s="62"/>
      <c r="AD516" s="62"/>
      <c r="AE516" s="62"/>
      <c r="AF516" s="62"/>
      <c r="AG516" s="62"/>
      <c r="AH516" s="62"/>
      <c r="AI516" s="62"/>
      <c r="AJ516" s="62"/>
      <c r="AK516" s="62"/>
      <c r="AL516" s="62"/>
      <c r="AM516" s="62"/>
      <c r="AN516" s="62"/>
      <c r="AO516" s="62"/>
    </row>
    <row r="517">
      <c r="A517" s="62" t="str">
        <f>'Volunteer Survey'!A932</f>
        <v/>
      </c>
      <c r="B517" s="60" t="s">
        <v>340</v>
      </c>
      <c r="C517" s="61"/>
      <c r="D517" s="62"/>
      <c r="E517" s="62"/>
      <c r="F517" s="62" t="b">
        <v>0</v>
      </c>
      <c r="G517" s="62"/>
      <c r="H517" s="61"/>
      <c r="I517" s="61"/>
      <c r="J517" s="62"/>
      <c r="K517" s="62"/>
      <c r="L517" s="62" t="str">
        <f>'Volunteer Survey'!B932</f>
        <v/>
      </c>
      <c r="M517" s="62" t="str">
        <f>'Volunteer Survey'!E932</f>
        <v/>
      </c>
      <c r="N517" s="62" t="str">
        <f>'Volunteer Survey'!F933</f>
        <v/>
      </c>
      <c r="O517" s="60" t="str">
        <f>'Volunteer Survey'!H933</f>
        <v/>
      </c>
      <c r="P517" s="62"/>
      <c r="Q517" s="66" t="str">
        <f>IFERROR(__xludf.DUMMYFUNCTION("QUERY('Volunteer Survey'!J916)"),"")</f>
        <v/>
      </c>
      <c r="R517" s="62"/>
      <c r="S517" s="62"/>
      <c r="T517" s="62" t="str">
        <f>'Volunteer Survey'!M932</f>
        <v/>
      </c>
      <c r="U517" s="74"/>
      <c r="V517" s="62"/>
      <c r="W517" s="75" t="str">
        <f>'Volunteer Survey'!P932</f>
        <v/>
      </c>
      <c r="X517" s="62"/>
      <c r="Y517" s="61"/>
      <c r="Z517" s="62"/>
      <c r="AA517" s="62"/>
      <c r="AB517" s="62"/>
      <c r="AC517" s="62"/>
      <c r="AD517" s="62"/>
      <c r="AE517" s="62"/>
      <c r="AF517" s="62"/>
      <c r="AG517" s="62"/>
      <c r="AH517" s="62"/>
      <c r="AI517" s="62"/>
      <c r="AJ517" s="62"/>
      <c r="AK517" s="62"/>
      <c r="AL517" s="62"/>
      <c r="AM517" s="62"/>
      <c r="AN517" s="62"/>
      <c r="AO517" s="62"/>
    </row>
    <row r="518">
      <c r="A518" s="62" t="str">
        <f>'Volunteer Survey'!A933</f>
        <v/>
      </c>
      <c r="B518" s="60" t="s">
        <v>340</v>
      </c>
      <c r="C518" s="61"/>
      <c r="D518" s="62"/>
      <c r="E518" s="62"/>
      <c r="F518" s="62" t="b">
        <v>0</v>
      </c>
      <c r="G518" s="62"/>
      <c r="H518" s="61"/>
      <c r="I518" s="61"/>
      <c r="J518" s="62"/>
      <c r="K518" s="62"/>
      <c r="L518" s="62" t="str">
        <f>'Volunteer Survey'!B933</f>
        <v/>
      </c>
      <c r="M518" s="62" t="str">
        <f>'Volunteer Survey'!E933</f>
        <v/>
      </c>
      <c r="N518" s="62" t="str">
        <f>'Volunteer Survey'!F934</f>
        <v/>
      </c>
      <c r="O518" s="60" t="str">
        <f>'Volunteer Survey'!H934</f>
        <v/>
      </c>
      <c r="P518" s="62"/>
      <c r="Q518" s="66" t="str">
        <f>IFERROR(__xludf.DUMMYFUNCTION("QUERY('Volunteer Survey'!J917)"),"")</f>
        <v/>
      </c>
      <c r="R518" s="62"/>
      <c r="S518" s="62"/>
      <c r="T518" s="62" t="str">
        <f>'Volunteer Survey'!M933</f>
        <v/>
      </c>
      <c r="U518" s="74"/>
      <c r="V518" s="62"/>
      <c r="W518" s="75" t="str">
        <f>'Volunteer Survey'!P933</f>
        <v/>
      </c>
      <c r="X518" s="62"/>
      <c r="Y518" s="61"/>
      <c r="Z518" s="62"/>
      <c r="AA518" s="62"/>
      <c r="AB518" s="62"/>
      <c r="AC518" s="62"/>
      <c r="AD518" s="62"/>
      <c r="AE518" s="62"/>
      <c r="AF518" s="62"/>
      <c r="AG518" s="62"/>
      <c r="AH518" s="62"/>
      <c r="AI518" s="62"/>
      <c r="AJ518" s="62"/>
      <c r="AK518" s="62"/>
      <c r="AL518" s="62"/>
      <c r="AM518" s="62"/>
      <c r="AN518" s="62"/>
      <c r="AO518" s="62"/>
    </row>
    <row r="519">
      <c r="A519" s="62" t="str">
        <f>'Volunteer Survey'!A934</f>
        <v/>
      </c>
      <c r="B519" s="60" t="s">
        <v>340</v>
      </c>
      <c r="C519" s="61"/>
      <c r="D519" s="62"/>
      <c r="E519" s="62"/>
      <c r="F519" s="62" t="b">
        <v>0</v>
      </c>
      <c r="G519" s="62"/>
      <c r="H519" s="61"/>
      <c r="I519" s="61"/>
      <c r="J519" s="62"/>
      <c r="K519" s="62"/>
      <c r="L519" s="62" t="str">
        <f>'Volunteer Survey'!B934</f>
        <v/>
      </c>
      <c r="M519" s="62" t="str">
        <f>'Volunteer Survey'!E934</f>
        <v/>
      </c>
      <c r="N519" s="62"/>
      <c r="O519" s="60" t="str">
        <f>'Volunteer Survey'!H935</f>
        <v/>
      </c>
      <c r="P519" s="62"/>
      <c r="Q519" s="66" t="str">
        <f>IFERROR(__xludf.DUMMYFUNCTION("QUERY('Volunteer Survey'!J918)"),"")</f>
        <v/>
      </c>
      <c r="R519" s="62"/>
      <c r="S519" s="62"/>
      <c r="T519" s="62" t="str">
        <f>'Volunteer Survey'!M934</f>
        <v/>
      </c>
      <c r="U519" s="74"/>
      <c r="V519" s="62"/>
      <c r="W519" s="75" t="str">
        <f>'Volunteer Survey'!P934</f>
        <v/>
      </c>
      <c r="X519" s="62"/>
      <c r="Y519" s="61"/>
      <c r="Z519" s="62"/>
      <c r="AA519" s="62"/>
      <c r="AB519" s="62"/>
      <c r="AC519" s="62"/>
      <c r="AD519" s="62"/>
      <c r="AE519" s="62"/>
      <c r="AF519" s="62"/>
      <c r="AG519" s="62"/>
      <c r="AH519" s="62"/>
      <c r="AI519" s="62"/>
      <c r="AJ519" s="62"/>
      <c r="AK519" s="62"/>
      <c r="AL519" s="62"/>
      <c r="AM519" s="62"/>
      <c r="AN519" s="62"/>
      <c r="AO519" s="62"/>
    </row>
    <row r="520">
      <c r="A520" s="62" t="str">
        <f>'Volunteer Survey'!A935</f>
        <v/>
      </c>
      <c r="B520" s="60" t="s">
        <v>340</v>
      </c>
      <c r="C520" s="61"/>
      <c r="D520" s="62"/>
      <c r="E520" s="62"/>
      <c r="F520" s="62" t="b">
        <v>0</v>
      </c>
      <c r="G520" s="62"/>
      <c r="H520" s="61"/>
      <c r="I520" s="61"/>
      <c r="J520" s="62"/>
      <c r="K520" s="62"/>
      <c r="L520" s="62" t="str">
        <f>'Volunteer Survey'!B935</f>
        <v/>
      </c>
      <c r="M520" s="62" t="str">
        <f>'Volunteer Survey'!E935</f>
        <v/>
      </c>
      <c r="N520" s="62"/>
      <c r="O520" s="60" t="str">
        <f>'Volunteer Survey'!H936</f>
        <v/>
      </c>
      <c r="P520" s="62"/>
      <c r="Q520" s="66" t="str">
        <f>IFERROR(__xludf.DUMMYFUNCTION("QUERY('Volunteer Survey'!J919)"),"")</f>
        <v/>
      </c>
      <c r="R520" s="62"/>
      <c r="S520" s="62"/>
      <c r="T520" s="62" t="str">
        <f>'Volunteer Survey'!M935</f>
        <v/>
      </c>
      <c r="U520" s="74"/>
      <c r="V520" s="62"/>
      <c r="W520" s="75" t="str">
        <f>'Volunteer Survey'!P935</f>
        <v/>
      </c>
      <c r="X520" s="62"/>
      <c r="Y520" s="61"/>
      <c r="Z520" s="62"/>
      <c r="AA520" s="62"/>
      <c r="AB520" s="62"/>
      <c r="AC520" s="62"/>
      <c r="AD520" s="62"/>
      <c r="AE520" s="62"/>
      <c r="AF520" s="62"/>
      <c r="AG520" s="62"/>
      <c r="AH520" s="62"/>
      <c r="AI520" s="62"/>
      <c r="AJ520" s="62"/>
      <c r="AK520" s="62"/>
      <c r="AL520" s="62"/>
      <c r="AM520" s="62"/>
      <c r="AN520" s="62"/>
      <c r="AO520" s="62"/>
    </row>
    <row r="521">
      <c r="A521" s="62" t="str">
        <f>'Volunteer Survey'!A936</f>
        <v/>
      </c>
      <c r="B521" s="60" t="s">
        <v>340</v>
      </c>
      <c r="C521" s="61"/>
      <c r="D521" s="62"/>
      <c r="E521" s="62"/>
      <c r="F521" s="62" t="b">
        <v>0</v>
      </c>
      <c r="G521" s="62"/>
      <c r="H521" s="61"/>
      <c r="I521" s="61"/>
      <c r="J521" s="62"/>
      <c r="K521" s="62"/>
      <c r="L521" s="62" t="str">
        <f>'Volunteer Survey'!B936</f>
        <v/>
      </c>
      <c r="M521" s="62" t="str">
        <f>'Volunteer Survey'!E936</f>
        <v/>
      </c>
      <c r="N521" s="62"/>
      <c r="O521" s="60" t="str">
        <f>'Volunteer Survey'!H937</f>
        <v/>
      </c>
      <c r="P521" s="62"/>
      <c r="Q521" s="66" t="str">
        <f>IFERROR(__xludf.DUMMYFUNCTION("QUERY('Volunteer Survey'!J920)"),"")</f>
        <v/>
      </c>
      <c r="R521" s="62"/>
      <c r="S521" s="62"/>
      <c r="T521" s="62" t="str">
        <f>'Volunteer Survey'!M936</f>
        <v/>
      </c>
      <c r="U521" s="74"/>
      <c r="V521" s="62"/>
      <c r="W521" s="75" t="str">
        <f>'Volunteer Survey'!P936</f>
        <v/>
      </c>
      <c r="X521" s="62"/>
      <c r="Y521" s="61"/>
      <c r="Z521" s="62"/>
      <c r="AA521" s="62"/>
      <c r="AB521" s="62"/>
      <c r="AC521" s="62"/>
      <c r="AD521" s="62"/>
      <c r="AE521" s="62"/>
      <c r="AF521" s="62"/>
      <c r="AG521" s="62"/>
      <c r="AH521" s="62"/>
      <c r="AI521" s="62"/>
      <c r="AJ521" s="62"/>
      <c r="AK521" s="62"/>
      <c r="AL521" s="62"/>
      <c r="AM521" s="62"/>
      <c r="AN521" s="62"/>
      <c r="AO521" s="62"/>
    </row>
    <row r="522">
      <c r="A522" s="62" t="str">
        <f>'Volunteer Survey'!A937</f>
        <v/>
      </c>
      <c r="B522" s="60" t="s">
        <v>340</v>
      </c>
      <c r="C522" s="61"/>
      <c r="D522" s="62"/>
      <c r="E522" s="62"/>
      <c r="F522" s="62" t="b">
        <v>0</v>
      </c>
      <c r="G522" s="62"/>
      <c r="H522" s="61"/>
      <c r="I522" s="61"/>
      <c r="J522" s="62"/>
      <c r="K522" s="62"/>
      <c r="L522" s="62" t="str">
        <f>'Volunteer Survey'!B937</f>
        <v/>
      </c>
      <c r="M522" s="62" t="str">
        <f>'Volunteer Survey'!E937</f>
        <v/>
      </c>
      <c r="N522" s="62"/>
      <c r="O522" s="60" t="str">
        <f>'Volunteer Survey'!H938</f>
        <v/>
      </c>
      <c r="P522" s="62"/>
      <c r="Q522" s="66" t="str">
        <f>IFERROR(__xludf.DUMMYFUNCTION("QUERY('Volunteer Survey'!J921)"),"")</f>
        <v/>
      </c>
      <c r="R522" s="62"/>
      <c r="S522" s="62"/>
      <c r="T522" s="62" t="str">
        <f>'Volunteer Survey'!M937</f>
        <v/>
      </c>
      <c r="U522" s="74"/>
      <c r="V522" s="62"/>
      <c r="W522" s="75" t="str">
        <f>'Volunteer Survey'!P937</f>
        <v/>
      </c>
      <c r="X522" s="62"/>
      <c r="Y522" s="61"/>
      <c r="Z522" s="62"/>
      <c r="AA522" s="62"/>
      <c r="AB522" s="62"/>
      <c r="AC522" s="62"/>
      <c r="AD522" s="62"/>
      <c r="AE522" s="62"/>
      <c r="AF522" s="62"/>
      <c r="AG522" s="62"/>
      <c r="AH522" s="62"/>
      <c r="AI522" s="62"/>
      <c r="AJ522" s="62"/>
      <c r="AK522" s="62"/>
      <c r="AL522" s="62"/>
      <c r="AM522" s="62"/>
      <c r="AN522" s="62"/>
      <c r="AO522" s="62"/>
    </row>
    <row r="523">
      <c r="A523" s="62" t="str">
        <f>'Volunteer Survey'!A938</f>
        <v/>
      </c>
      <c r="B523" s="60" t="s">
        <v>340</v>
      </c>
      <c r="C523" s="61"/>
      <c r="D523" s="62"/>
      <c r="E523" s="62"/>
      <c r="F523" s="62" t="b">
        <v>0</v>
      </c>
      <c r="G523" s="62"/>
      <c r="H523" s="61"/>
      <c r="I523" s="61"/>
      <c r="J523" s="62"/>
      <c r="K523" s="62"/>
      <c r="L523" s="62" t="str">
        <f>'Volunteer Survey'!B938</f>
        <v/>
      </c>
      <c r="M523" s="62" t="str">
        <f>'Volunteer Survey'!E938</f>
        <v/>
      </c>
      <c r="N523" s="62"/>
      <c r="O523" s="60" t="str">
        <f>'Volunteer Survey'!H939</f>
        <v/>
      </c>
      <c r="P523" s="62"/>
      <c r="Q523" s="66" t="str">
        <f>IFERROR(__xludf.DUMMYFUNCTION("QUERY('Volunteer Survey'!J922)"),"")</f>
        <v/>
      </c>
      <c r="R523" s="62"/>
      <c r="S523" s="62"/>
      <c r="T523" s="62" t="str">
        <f>'Volunteer Survey'!M938</f>
        <v/>
      </c>
      <c r="U523" s="74"/>
      <c r="V523" s="62"/>
      <c r="W523" s="75" t="str">
        <f>'Volunteer Survey'!P938</f>
        <v/>
      </c>
      <c r="X523" s="62"/>
      <c r="Y523" s="61"/>
      <c r="Z523" s="62"/>
      <c r="AA523" s="62"/>
      <c r="AB523" s="62"/>
      <c r="AC523" s="62"/>
      <c r="AD523" s="62"/>
      <c r="AE523" s="62"/>
      <c r="AF523" s="62"/>
      <c r="AG523" s="62"/>
      <c r="AH523" s="62"/>
      <c r="AI523" s="62"/>
      <c r="AJ523" s="62"/>
      <c r="AK523" s="62"/>
      <c r="AL523" s="62"/>
      <c r="AM523" s="62"/>
      <c r="AN523" s="62"/>
      <c r="AO523" s="62"/>
    </row>
    <row r="524">
      <c r="A524" s="62" t="str">
        <f>'Volunteer Survey'!A939</f>
        <v/>
      </c>
      <c r="B524" s="60" t="s">
        <v>340</v>
      </c>
      <c r="C524" s="61"/>
      <c r="D524" s="62"/>
      <c r="E524" s="62"/>
      <c r="F524" s="62" t="b">
        <v>0</v>
      </c>
      <c r="G524" s="62"/>
      <c r="H524" s="61"/>
      <c r="I524" s="61"/>
      <c r="J524" s="62"/>
      <c r="K524" s="62"/>
      <c r="L524" s="62" t="str">
        <f>'Volunteer Survey'!B939</f>
        <v/>
      </c>
      <c r="M524" s="62" t="str">
        <f>'Volunteer Survey'!E939</f>
        <v/>
      </c>
      <c r="N524" s="62"/>
      <c r="O524" s="60" t="str">
        <f>'Volunteer Survey'!H940</f>
        <v/>
      </c>
      <c r="P524" s="62"/>
      <c r="Q524" s="66" t="str">
        <f>IFERROR(__xludf.DUMMYFUNCTION("QUERY('Volunteer Survey'!J923)"),"")</f>
        <v/>
      </c>
      <c r="R524" s="62"/>
      <c r="S524" s="62"/>
      <c r="T524" s="62" t="str">
        <f>'Volunteer Survey'!M939</f>
        <v/>
      </c>
      <c r="U524" s="74"/>
      <c r="V524" s="62"/>
      <c r="W524" s="75" t="str">
        <f>'Volunteer Survey'!P939</f>
        <v/>
      </c>
      <c r="X524" s="62"/>
      <c r="Y524" s="61"/>
      <c r="Z524" s="62"/>
      <c r="AA524" s="62"/>
      <c r="AB524" s="62"/>
      <c r="AC524" s="62"/>
      <c r="AD524" s="62"/>
      <c r="AE524" s="62"/>
      <c r="AF524" s="62"/>
      <c r="AG524" s="62"/>
      <c r="AH524" s="62"/>
      <c r="AI524" s="62"/>
      <c r="AJ524" s="62"/>
      <c r="AK524" s="62"/>
      <c r="AL524" s="62"/>
      <c r="AM524" s="62"/>
      <c r="AN524" s="62"/>
      <c r="AO524" s="62"/>
    </row>
    <row r="525">
      <c r="A525" s="62" t="str">
        <f>'Volunteer Survey'!A940</f>
        <v/>
      </c>
      <c r="B525" s="60" t="s">
        <v>340</v>
      </c>
      <c r="C525" s="61"/>
      <c r="D525" s="62"/>
      <c r="E525" s="62"/>
      <c r="F525" s="62" t="b">
        <v>0</v>
      </c>
      <c r="G525" s="62"/>
      <c r="H525" s="61"/>
      <c r="I525" s="61"/>
      <c r="J525" s="62"/>
      <c r="K525" s="62"/>
      <c r="L525" s="62" t="str">
        <f>'Volunteer Survey'!B940</f>
        <v/>
      </c>
      <c r="M525" s="62" t="str">
        <f>'Volunteer Survey'!E940</f>
        <v/>
      </c>
      <c r="N525" s="62"/>
      <c r="O525" s="60" t="str">
        <f>'Volunteer Survey'!H941</f>
        <v/>
      </c>
      <c r="P525" s="62"/>
      <c r="Q525" s="66" t="str">
        <f>IFERROR(__xludf.DUMMYFUNCTION("QUERY('Volunteer Survey'!J924)"),"")</f>
        <v/>
      </c>
      <c r="R525" s="62"/>
      <c r="S525" s="62"/>
      <c r="T525" s="62" t="str">
        <f>'Volunteer Survey'!M940</f>
        <v/>
      </c>
      <c r="U525" s="74"/>
      <c r="V525" s="62"/>
      <c r="W525" s="75" t="str">
        <f>'Volunteer Survey'!P940</f>
        <v/>
      </c>
      <c r="X525" s="62"/>
      <c r="Y525" s="61"/>
      <c r="Z525" s="62"/>
      <c r="AA525" s="62"/>
      <c r="AB525" s="62"/>
      <c r="AC525" s="62"/>
      <c r="AD525" s="62"/>
      <c r="AE525" s="62"/>
      <c r="AF525" s="62"/>
      <c r="AG525" s="62"/>
      <c r="AH525" s="62"/>
      <c r="AI525" s="62"/>
      <c r="AJ525" s="62"/>
      <c r="AK525" s="62"/>
      <c r="AL525" s="62"/>
      <c r="AM525" s="62"/>
      <c r="AN525" s="62"/>
      <c r="AO525" s="62"/>
    </row>
    <row r="526">
      <c r="A526" s="62" t="str">
        <f>'Volunteer Survey'!A941</f>
        <v/>
      </c>
      <c r="B526" s="60" t="s">
        <v>340</v>
      </c>
      <c r="C526" s="61"/>
      <c r="D526" s="62"/>
      <c r="E526" s="62"/>
      <c r="F526" s="62" t="b">
        <v>0</v>
      </c>
      <c r="G526" s="62"/>
      <c r="H526" s="61"/>
      <c r="I526" s="61"/>
      <c r="J526" s="62"/>
      <c r="K526" s="62"/>
      <c r="L526" s="62" t="str">
        <f>'Volunteer Survey'!B941</f>
        <v/>
      </c>
      <c r="M526" s="62" t="str">
        <f>'Volunteer Survey'!E941</f>
        <v/>
      </c>
      <c r="N526" s="62"/>
      <c r="O526" s="60" t="str">
        <f>'Volunteer Survey'!H942</f>
        <v/>
      </c>
      <c r="P526" s="62"/>
      <c r="Q526" s="66" t="str">
        <f>IFERROR(__xludf.DUMMYFUNCTION("QUERY('Volunteer Survey'!J925)"),"")</f>
        <v/>
      </c>
      <c r="R526" s="62"/>
      <c r="S526" s="62"/>
      <c r="T526" s="62" t="str">
        <f>'Volunteer Survey'!M941</f>
        <v/>
      </c>
      <c r="U526" s="74"/>
      <c r="V526" s="62"/>
      <c r="W526" s="75" t="str">
        <f>'Volunteer Survey'!P941</f>
        <v/>
      </c>
      <c r="X526" s="62"/>
      <c r="Y526" s="61"/>
      <c r="Z526" s="62"/>
      <c r="AA526" s="62"/>
      <c r="AB526" s="62"/>
      <c r="AC526" s="62"/>
      <c r="AD526" s="62"/>
      <c r="AE526" s="62"/>
      <c r="AF526" s="62"/>
      <c r="AG526" s="62"/>
      <c r="AH526" s="62"/>
      <c r="AI526" s="62"/>
      <c r="AJ526" s="62"/>
      <c r="AK526" s="62"/>
      <c r="AL526" s="62"/>
      <c r="AM526" s="62"/>
      <c r="AN526" s="62"/>
      <c r="AO526" s="62"/>
    </row>
    <row r="527">
      <c r="A527" s="62" t="str">
        <f>'Volunteer Survey'!A942</f>
        <v/>
      </c>
      <c r="B527" s="60" t="s">
        <v>340</v>
      </c>
      <c r="C527" s="61"/>
      <c r="D527" s="62"/>
      <c r="E527" s="62"/>
      <c r="F527" s="62" t="b">
        <v>0</v>
      </c>
      <c r="G527" s="62"/>
      <c r="H527" s="61"/>
      <c r="I527" s="61"/>
      <c r="J527" s="62"/>
      <c r="K527" s="62"/>
      <c r="L527" s="62" t="str">
        <f>'Volunteer Survey'!B942</f>
        <v/>
      </c>
      <c r="M527" s="62" t="str">
        <f>'Volunteer Survey'!E942</f>
        <v/>
      </c>
      <c r="N527" s="62"/>
      <c r="O527" s="60" t="str">
        <f>'Volunteer Survey'!H943</f>
        <v/>
      </c>
      <c r="P527" s="62"/>
      <c r="Q527" s="66" t="str">
        <f>IFERROR(__xludf.DUMMYFUNCTION("QUERY('Volunteer Survey'!J926)"),"")</f>
        <v/>
      </c>
      <c r="R527" s="62"/>
      <c r="S527" s="62"/>
      <c r="T527" s="62" t="str">
        <f>'Volunteer Survey'!M942</f>
        <v/>
      </c>
      <c r="U527" s="74"/>
      <c r="V527" s="62"/>
      <c r="W527" s="75" t="str">
        <f>'Volunteer Survey'!P942</f>
        <v/>
      </c>
      <c r="X527" s="62"/>
      <c r="Y527" s="61"/>
      <c r="Z527" s="62"/>
      <c r="AA527" s="62"/>
      <c r="AB527" s="62"/>
      <c r="AC527" s="62"/>
      <c r="AD527" s="62"/>
      <c r="AE527" s="62"/>
      <c r="AF527" s="62"/>
      <c r="AG527" s="62"/>
      <c r="AH527" s="62"/>
      <c r="AI527" s="62"/>
      <c r="AJ527" s="62"/>
      <c r="AK527" s="62"/>
      <c r="AL527" s="62"/>
      <c r="AM527" s="62"/>
      <c r="AN527" s="62"/>
      <c r="AO527" s="62"/>
    </row>
    <row r="528">
      <c r="A528" s="62" t="str">
        <f>'Volunteer Survey'!A943</f>
        <v/>
      </c>
      <c r="B528" s="60" t="s">
        <v>340</v>
      </c>
      <c r="C528" s="61"/>
      <c r="D528" s="62"/>
      <c r="E528" s="62"/>
      <c r="F528" s="62" t="b">
        <v>0</v>
      </c>
      <c r="G528" s="62"/>
      <c r="H528" s="61"/>
      <c r="I528" s="61"/>
      <c r="J528" s="62"/>
      <c r="K528" s="62"/>
      <c r="L528" s="62" t="str">
        <f>'Volunteer Survey'!B943</f>
        <v/>
      </c>
      <c r="M528" s="62" t="str">
        <f>'Volunteer Survey'!E943</f>
        <v/>
      </c>
      <c r="N528" s="62"/>
      <c r="O528" s="60" t="str">
        <f>'Volunteer Survey'!H944</f>
        <v/>
      </c>
      <c r="P528" s="62"/>
      <c r="Q528" s="66" t="str">
        <f>IFERROR(__xludf.DUMMYFUNCTION("QUERY('Volunteer Survey'!J927)"),"")</f>
        <v/>
      </c>
      <c r="R528" s="62"/>
      <c r="S528" s="62"/>
      <c r="T528" s="62" t="str">
        <f>'Volunteer Survey'!M943</f>
        <v/>
      </c>
      <c r="U528" s="74"/>
      <c r="V528" s="62"/>
      <c r="W528" s="75" t="str">
        <f>'Volunteer Survey'!P943</f>
        <v/>
      </c>
      <c r="X528" s="62"/>
      <c r="Y528" s="61"/>
      <c r="Z528" s="62"/>
      <c r="AA528" s="62"/>
      <c r="AB528" s="62"/>
      <c r="AC528" s="62"/>
      <c r="AD528" s="62"/>
      <c r="AE528" s="62"/>
      <c r="AF528" s="62"/>
      <c r="AG528" s="62"/>
      <c r="AH528" s="62"/>
      <c r="AI528" s="62"/>
      <c r="AJ528" s="62"/>
      <c r="AK528" s="62"/>
      <c r="AL528" s="62"/>
      <c r="AM528" s="62"/>
      <c r="AN528" s="62"/>
      <c r="AO528" s="62"/>
    </row>
    <row r="529">
      <c r="A529" s="62" t="str">
        <f>'Volunteer Survey'!A944</f>
        <v/>
      </c>
      <c r="B529" s="60" t="s">
        <v>340</v>
      </c>
      <c r="C529" s="61"/>
      <c r="D529" s="62"/>
      <c r="E529" s="62"/>
      <c r="F529" s="62" t="b">
        <v>0</v>
      </c>
      <c r="G529" s="62"/>
      <c r="H529" s="61"/>
      <c r="I529" s="61"/>
      <c r="J529" s="62"/>
      <c r="K529" s="62"/>
      <c r="L529" s="62" t="str">
        <f>'Volunteer Survey'!B944</f>
        <v/>
      </c>
      <c r="M529" s="62" t="str">
        <f>'Volunteer Survey'!E944</f>
        <v/>
      </c>
      <c r="N529" s="62"/>
      <c r="O529" s="60" t="str">
        <f>'Volunteer Survey'!H945</f>
        <v/>
      </c>
      <c r="P529" s="62"/>
      <c r="Q529" s="66" t="str">
        <f>IFERROR(__xludf.DUMMYFUNCTION("QUERY('Volunteer Survey'!J928)"),"")</f>
        <v/>
      </c>
      <c r="R529" s="62"/>
      <c r="S529" s="62"/>
      <c r="T529" s="62" t="str">
        <f>'Volunteer Survey'!M944</f>
        <v/>
      </c>
      <c r="U529" s="74"/>
      <c r="V529" s="62"/>
      <c r="W529" s="75" t="str">
        <f>'Volunteer Survey'!P944</f>
        <v/>
      </c>
      <c r="X529" s="62"/>
      <c r="Y529" s="61"/>
      <c r="Z529" s="62"/>
      <c r="AA529" s="62"/>
      <c r="AB529" s="62"/>
      <c r="AC529" s="62"/>
      <c r="AD529" s="62"/>
      <c r="AE529" s="62"/>
      <c r="AF529" s="62"/>
      <c r="AG529" s="62"/>
      <c r="AH529" s="62"/>
      <c r="AI529" s="62"/>
      <c r="AJ529" s="62"/>
      <c r="AK529" s="62"/>
      <c r="AL529" s="62"/>
      <c r="AM529" s="62"/>
      <c r="AN529" s="62"/>
      <c r="AO529" s="62"/>
    </row>
    <row r="530">
      <c r="A530" s="62" t="str">
        <f>'Volunteer Survey'!A945</f>
        <v/>
      </c>
      <c r="B530" s="60" t="s">
        <v>340</v>
      </c>
      <c r="C530" s="61"/>
      <c r="D530" s="62"/>
      <c r="E530" s="62"/>
      <c r="F530" s="62" t="b">
        <v>0</v>
      </c>
      <c r="G530" s="62"/>
      <c r="H530" s="61"/>
      <c r="I530" s="61"/>
      <c r="J530" s="62"/>
      <c r="K530" s="62"/>
      <c r="L530" s="62" t="str">
        <f>'Volunteer Survey'!B945</f>
        <v/>
      </c>
      <c r="M530" s="62" t="str">
        <f>'Volunteer Survey'!E945</f>
        <v/>
      </c>
      <c r="N530" s="62"/>
      <c r="O530" s="60" t="str">
        <f>'Volunteer Survey'!H946</f>
        <v/>
      </c>
      <c r="P530" s="62"/>
      <c r="Q530" s="66" t="str">
        <f>IFERROR(__xludf.DUMMYFUNCTION("QUERY('Volunteer Survey'!J929)"),"")</f>
        <v/>
      </c>
      <c r="R530" s="62"/>
      <c r="S530" s="62"/>
      <c r="T530" s="62" t="str">
        <f>'Volunteer Survey'!M945</f>
        <v/>
      </c>
      <c r="U530" s="74"/>
      <c r="V530" s="62"/>
      <c r="W530" s="75" t="str">
        <f>'Volunteer Survey'!P945</f>
        <v/>
      </c>
      <c r="X530" s="62"/>
      <c r="Y530" s="61"/>
      <c r="Z530" s="62"/>
      <c r="AA530" s="62"/>
      <c r="AB530" s="62"/>
      <c r="AC530" s="62"/>
      <c r="AD530" s="62"/>
      <c r="AE530" s="62"/>
      <c r="AF530" s="62"/>
      <c r="AG530" s="62"/>
      <c r="AH530" s="62"/>
      <c r="AI530" s="62"/>
      <c r="AJ530" s="62"/>
      <c r="AK530" s="62"/>
      <c r="AL530" s="62"/>
      <c r="AM530" s="62"/>
      <c r="AN530" s="62"/>
      <c r="AO530" s="62"/>
    </row>
    <row r="531">
      <c r="A531" s="62" t="str">
        <f>'Volunteer Survey'!A946</f>
        <v/>
      </c>
      <c r="B531" s="60" t="s">
        <v>340</v>
      </c>
      <c r="C531" s="61"/>
      <c r="D531" s="62"/>
      <c r="E531" s="62"/>
      <c r="F531" s="62" t="b">
        <v>0</v>
      </c>
      <c r="G531" s="62"/>
      <c r="H531" s="61"/>
      <c r="I531" s="61"/>
      <c r="J531" s="62"/>
      <c r="K531" s="62"/>
      <c r="L531" s="62" t="str">
        <f>'Volunteer Survey'!B946</f>
        <v/>
      </c>
      <c r="M531" s="62" t="str">
        <f>'Volunteer Survey'!E946</f>
        <v/>
      </c>
      <c r="N531" s="62"/>
      <c r="O531" s="60" t="str">
        <f>'Volunteer Survey'!H947</f>
        <v/>
      </c>
      <c r="P531" s="62"/>
      <c r="Q531" s="66" t="str">
        <f>IFERROR(__xludf.DUMMYFUNCTION("QUERY('Volunteer Survey'!J930)"),"")</f>
        <v/>
      </c>
      <c r="R531" s="62"/>
      <c r="S531" s="62"/>
      <c r="T531" s="62" t="str">
        <f>'Volunteer Survey'!M946</f>
        <v/>
      </c>
      <c r="U531" s="74"/>
      <c r="V531" s="62"/>
      <c r="W531" s="75" t="str">
        <f>'Volunteer Survey'!P946</f>
        <v/>
      </c>
      <c r="X531" s="62"/>
      <c r="Y531" s="61"/>
      <c r="Z531" s="62"/>
      <c r="AA531" s="62"/>
      <c r="AB531" s="62"/>
      <c r="AC531" s="62"/>
      <c r="AD531" s="62"/>
      <c r="AE531" s="62"/>
      <c r="AF531" s="62"/>
      <c r="AG531" s="62"/>
      <c r="AH531" s="62"/>
      <c r="AI531" s="62"/>
      <c r="AJ531" s="62"/>
      <c r="AK531" s="62"/>
      <c r="AL531" s="62"/>
      <c r="AM531" s="62"/>
      <c r="AN531" s="62"/>
      <c r="AO531" s="62"/>
    </row>
    <row r="532">
      <c r="A532" s="62" t="str">
        <f>'Volunteer Survey'!A947</f>
        <v/>
      </c>
      <c r="B532" s="60" t="s">
        <v>340</v>
      </c>
      <c r="C532" s="61"/>
      <c r="D532" s="62"/>
      <c r="E532" s="62"/>
      <c r="F532" s="62" t="b">
        <v>0</v>
      </c>
      <c r="G532" s="62"/>
      <c r="H532" s="61"/>
      <c r="I532" s="61"/>
      <c r="J532" s="62"/>
      <c r="K532" s="62"/>
      <c r="L532" s="62" t="str">
        <f>'Volunteer Survey'!B947</f>
        <v/>
      </c>
      <c r="M532" s="62" t="str">
        <f>'Volunteer Survey'!E947</f>
        <v/>
      </c>
      <c r="N532" s="62"/>
      <c r="O532" s="60" t="str">
        <f>'Volunteer Survey'!H948</f>
        <v/>
      </c>
      <c r="P532" s="62"/>
      <c r="Q532" s="66" t="str">
        <f>IFERROR(__xludf.DUMMYFUNCTION("QUERY('Volunteer Survey'!J931)"),"")</f>
        <v/>
      </c>
      <c r="R532" s="62"/>
      <c r="S532" s="62"/>
      <c r="T532" s="62" t="str">
        <f>'Volunteer Survey'!M947</f>
        <v/>
      </c>
      <c r="U532" s="74"/>
      <c r="V532" s="62"/>
      <c r="W532" s="75" t="str">
        <f>'Volunteer Survey'!P947</f>
        <v/>
      </c>
      <c r="X532" s="62"/>
      <c r="Y532" s="61"/>
      <c r="Z532" s="62"/>
      <c r="AA532" s="62"/>
      <c r="AB532" s="62"/>
      <c r="AC532" s="62"/>
      <c r="AD532" s="62"/>
      <c r="AE532" s="62"/>
      <c r="AF532" s="62"/>
      <c r="AG532" s="62"/>
      <c r="AH532" s="62"/>
      <c r="AI532" s="62"/>
      <c r="AJ532" s="62"/>
      <c r="AK532" s="62"/>
      <c r="AL532" s="62"/>
      <c r="AM532" s="62"/>
      <c r="AN532" s="62"/>
      <c r="AO532" s="62"/>
    </row>
    <row r="533">
      <c r="A533" s="62" t="str">
        <f>'Volunteer Survey'!A948</f>
        <v/>
      </c>
      <c r="B533" s="60" t="s">
        <v>340</v>
      </c>
      <c r="C533" s="61"/>
      <c r="D533" s="62"/>
      <c r="E533" s="62"/>
      <c r="F533" s="62" t="b">
        <v>0</v>
      </c>
      <c r="G533" s="62"/>
      <c r="H533" s="61"/>
      <c r="I533" s="61"/>
      <c r="J533" s="62"/>
      <c r="K533" s="62"/>
      <c r="L533" s="62" t="str">
        <f>'Volunteer Survey'!B948</f>
        <v/>
      </c>
      <c r="M533" s="62" t="str">
        <f>'Volunteer Survey'!E948</f>
        <v/>
      </c>
      <c r="N533" s="62"/>
      <c r="O533" s="60" t="str">
        <f>'Volunteer Survey'!H949</f>
        <v/>
      </c>
      <c r="P533" s="62"/>
      <c r="Q533" s="66" t="str">
        <f>IFERROR(__xludf.DUMMYFUNCTION("QUERY('Volunteer Survey'!J932)"),"")</f>
        <v/>
      </c>
      <c r="R533" s="62"/>
      <c r="S533" s="62"/>
      <c r="T533" s="62" t="str">
        <f>'Volunteer Survey'!M948</f>
        <v/>
      </c>
      <c r="U533" s="74"/>
      <c r="V533" s="62"/>
      <c r="W533" s="75" t="str">
        <f>'Volunteer Survey'!P948</f>
        <v/>
      </c>
      <c r="X533" s="62"/>
      <c r="Y533" s="61"/>
      <c r="Z533" s="62"/>
      <c r="AA533" s="62"/>
      <c r="AB533" s="62"/>
      <c r="AC533" s="62"/>
      <c r="AD533" s="62"/>
      <c r="AE533" s="62"/>
      <c r="AF533" s="62"/>
      <c r="AG533" s="62"/>
      <c r="AH533" s="62"/>
      <c r="AI533" s="62"/>
      <c r="AJ533" s="62"/>
      <c r="AK533" s="62"/>
      <c r="AL533" s="62"/>
      <c r="AM533" s="62"/>
      <c r="AN533" s="62"/>
      <c r="AO533" s="62"/>
    </row>
    <row r="534">
      <c r="A534" s="62" t="str">
        <f>'Volunteer Survey'!A949</f>
        <v/>
      </c>
      <c r="B534" s="60" t="s">
        <v>340</v>
      </c>
      <c r="C534" s="61"/>
      <c r="D534" s="62"/>
      <c r="E534" s="62"/>
      <c r="F534" s="62" t="b">
        <v>0</v>
      </c>
      <c r="G534" s="62"/>
      <c r="H534" s="61"/>
      <c r="I534" s="61"/>
      <c r="J534" s="62"/>
      <c r="K534" s="62"/>
      <c r="L534" s="62" t="str">
        <f>'Volunteer Survey'!B949</f>
        <v/>
      </c>
      <c r="M534" s="62" t="str">
        <f>'Volunteer Survey'!E949</f>
        <v/>
      </c>
      <c r="N534" s="62"/>
      <c r="O534" s="60" t="str">
        <f>'Volunteer Survey'!H950</f>
        <v/>
      </c>
      <c r="P534" s="62"/>
      <c r="Q534" s="66" t="str">
        <f>'Volunteer Survey'!J949</f>
        <v/>
      </c>
      <c r="R534" s="62"/>
      <c r="S534" s="62"/>
      <c r="T534" s="62" t="str">
        <f>'Volunteer Survey'!M949</f>
        <v/>
      </c>
      <c r="U534" s="74"/>
      <c r="V534" s="62"/>
      <c r="W534" s="75" t="str">
        <f>'Volunteer Survey'!P949</f>
        <v/>
      </c>
      <c r="X534" s="62"/>
      <c r="Y534" s="61"/>
      <c r="Z534" s="62"/>
      <c r="AA534" s="62"/>
      <c r="AB534" s="62"/>
      <c r="AC534" s="62"/>
      <c r="AD534" s="62"/>
      <c r="AE534" s="62"/>
      <c r="AF534" s="62"/>
      <c r="AG534" s="62"/>
      <c r="AH534" s="62"/>
      <c r="AI534" s="62"/>
      <c r="AJ534" s="62"/>
      <c r="AK534" s="62"/>
      <c r="AL534" s="62"/>
      <c r="AM534" s="62"/>
      <c r="AN534" s="62"/>
      <c r="AO534" s="62"/>
    </row>
    <row r="535">
      <c r="A535" s="62" t="str">
        <f>'Volunteer Survey'!A950</f>
        <v/>
      </c>
      <c r="B535" s="62"/>
      <c r="C535" s="61"/>
      <c r="D535" s="62"/>
      <c r="E535" s="62"/>
      <c r="F535" s="62" t="b">
        <v>0</v>
      </c>
      <c r="G535" s="62"/>
      <c r="H535" s="61"/>
      <c r="I535" s="61"/>
      <c r="J535" s="62"/>
      <c r="K535" s="62"/>
      <c r="L535" s="62" t="str">
        <f>'Volunteer Survey'!B950</f>
        <v/>
      </c>
      <c r="M535" s="62" t="str">
        <f>'Volunteer Survey'!E950</f>
        <v/>
      </c>
      <c r="N535" s="62"/>
      <c r="O535" s="60" t="str">
        <f>'Volunteer Survey'!H951</f>
        <v/>
      </c>
      <c r="P535" s="62"/>
      <c r="Q535" s="66" t="str">
        <f>'Volunteer Survey'!J950</f>
        <v/>
      </c>
      <c r="R535" s="62"/>
      <c r="S535" s="62"/>
      <c r="T535" s="62" t="str">
        <f>'Volunteer Survey'!M950</f>
        <v/>
      </c>
      <c r="U535" s="74"/>
      <c r="V535" s="62"/>
      <c r="W535" s="75" t="str">
        <f>'Volunteer Survey'!P950</f>
        <v/>
      </c>
      <c r="X535" s="62"/>
      <c r="Y535" s="61"/>
      <c r="Z535" s="62"/>
      <c r="AA535" s="62"/>
      <c r="AB535" s="62"/>
      <c r="AC535" s="62"/>
      <c r="AD535" s="62"/>
      <c r="AE535" s="62"/>
      <c r="AF535" s="62"/>
      <c r="AG535" s="62"/>
      <c r="AH535" s="62"/>
      <c r="AI535" s="62"/>
      <c r="AJ535" s="62"/>
      <c r="AK535" s="62"/>
      <c r="AL535" s="62"/>
      <c r="AM535" s="62"/>
      <c r="AN535" s="62"/>
      <c r="AO535" s="62"/>
    </row>
    <row r="536">
      <c r="A536" s="62" t="str">
        <f>'Volunteer Survey'!A951</f>
        <v/>
      </c>
      <c r="B536" s="62"/>
      <c r="C536" s="61"/>
      <c r="D536" s="62"/>
      <c r="E536" s="62"/>
      <c r="F536" s="62" t="b">
        <v>0</v>
      </c>
      <c r="G536" s="62"/>
      <c r="H536" s="61"/>
      <c r="I536" s="61"/>
      <c r="J536" s="62"/>
      <c r="K536" s="62"/>
      <c r="L536" s="62" t="str">
        <f>'Volunteer Survey'!B951</f>
        <v/>
      </c>
      <c r="M536" s="62" t="str">
        <f>'Volunteer Survey'!E951</f>
        <v/>
      </c>
      <c r="N536" s="62"/>
      <c r="O536" s="60" t="str">
        <f>'Volunteer Survey'!H952</f>
        <v/>
      </c>
      <c r="P536" s="62"/>
      <c r="Q536" s="66" t="str">
        <f>'Volunteer Survey'!J951</f>
        <v/>
      </c>
      <c r="R536" s="62"/>
      <c r="S536" s="62"/>
      <c r="T536" s="62" t="str">
        <f>'Volunteer Survey'!M951</f>
        <v/>
      </c>
      <c r="U536" s="74"/>
      <c r="V536" s="62"/>
      <c r="W536" s="75" t="str">
        <f>'Volunteer Survey'!P951</f>
        <v/>
      </c>
      <c r="X536" s="62"/>
      <c r="Y536" s="61"/>
      <c r="Z536" s="62"/>
      <c r="AA536" s="62"/>
      <c r="AB536" s="62"/>
      <c r="AC536" s="62"/>
      <c r="AD536" s="62"/>
      <c r="AE536" s="62"/>
      <c r="AF536" s="62"/>
      <c r="AG536" s="62"/>
      <c r="AH536" s="62"/>
      <c r="AI536" s="62"/>
      <c r="AJ536" s="62"/>
      <c r="AK536" s="62"/>
      <c r="AL536" s="62"/>
      <c r="AM536" s="62"/>
      <c r="AN536" s="62"/>
      <c r="AO536" s="62"/>
    </row>
    <row r="537">
      <c r="A537" s="62" t="str">
        <f>'Volunteer Survey'!A952</f>
        <v/>
      </c>
      <c r="B537" s="62"/>
      <c r="C537" s="61"/>
      <c r="D537" s="62"/>
      <c r="E537" s="62"/>
      <c r="F537" s="62" t="b">
        <v>0</v>
      </c>
      <c r="G537" s="62"/>
      <c r="H537" s="61"/>
      <c r="I537" s="61"/>
      <c r="J537" s="62"/>
      <c r="K537" s="62"/>
      <c r="L537" s="62" t="str">
        <f>'Volunteer Survey'!B952</f>
        <v/>
      </c>
      <c r="M537" s="62" t="str">
        <f>'Volunteer Survey'!E952</f>
        <v/>
      </c>
      <c r="N537" s="62"/>
      <c r="O537" s="60" t="str">
        <f>'Volunteer Survey'!H953</f>
        <v/>
      </c>
      <c r="P537" s="62"/>
      <c r="Q537" s="66" t="str">
        <f>'Volunteer Survey'!J952</f>
        <v/>
      </c>
      <c r="R537" s="62"/>
      <c r="S537" s="62"/>
      <c r="T537" s="62" t="str">
        <f>'Volunteer Survey'!M952</f>
        <v/>
      </c>
      <c r="U537" s="74"/>
      <c r="V537" s="62"/>
      <c r="W537" s="75" t="str">
        <f>'Volunteer Survey'!P952</f>
        <v/>
      </c>
      <c r="X537" s="62"/>
      <c r="Y537" s="61"/>
      <c r="Z537" s="62"/>
      <c r="AA537" s="62"/>
      <c r="AB537" s="62"/>
      <c r="AC537" s="62"/>
      <c r="AD537" s="62"/>
      <c r="AE537" s="62"/>
      <c r="AF537" s="62"/>
      <c r="AG537" s="62"/>
      <c r="AH537" s="62"/>
      <c r="AI537" s="62"/>
      <c r="AJ537" s="62"/>
      <c r="AK537" s="62"/>
      <c r="AL537" s="62"/>
      <c r="AM537" s="62"/>
      <c r="AN537" s="62"/>
      <c r="AO537" s="62"/>
    </row>
    <row r="538">
      <c r="A538" s="62" t="str">
        <f>'Volunteer Survey'!A953</f>
        <v/>
      </c>
      <c r="B538" s="62"/>
      <c r="C538" s="61"/>
      <c r="D538" s="62"/>
      <c r="E538" s="62"/>
      <c r="F538" s="62" t="b">
        <v>0</v>
      </c>
      <c r="G538" s="62"/>
      <c r="H538" s="61"/>
      <c r="I538" s="61"/>
      <c r="J538" s="62"/>
      <c r="K538" s="62"/>
      <c r="L538" s="62" t="str">
        <f>'Volunteer Survey'!B953</f>
        <v/>
      </c>
      <c r="M538" s="62" t="str">
        <f>'Volunteer Survey'!E953</f>
        <v/>
      </c>
      <c r="N538" s="62"/>
      <c r="O538" s="60" t="str">
        <f>'Volunteer Survey'!H954</f>
        <v/>
      </c>
      <c r="P538" s="62"/>
      <c r="Q538" s="66" t="str">
        <f>'Volunteer Survey'!J953</f>
        <v/>
      </c>
      <c r="R538" s="62"/>
      <c r="S538" s="62"/>
      <c r="T538" s="62" t="str">
        <f>'Volunteer Survey'!M953</f>
        <v/>
      </c>
      <c r="U538" s="74"/>
      <c r="V538" s="62"/>
      <c r="W538" s="75" t="str">
        <f>'Volunteer Survey'!P953</f>
        <v/>
      </c>
      <c r="X538" s="62"/>
      <c r="Y538" s="61"/>
      <c r="Z538" s="62"/>
      <c r="AA538" s="62"/>
      <c r="AB538" s="62"/>
      <c r="AC538" s="62"/>
      <c r="AD538" s="62"/>
      <c r="AE538" s="62"/>
      <c r="AF538" s="62"/>
      <c r="AG538" s="62"/>
      <c r="AH538" s="62"/>
      <c r="AI538" s="62"/>
      <c r="AJ538" s="62"/>
      <c r="AK538" s="62"/>
      <c r="AL538" s="62"/>
      <c r="AM538" s="62"/>
      <c r="AN538" s="62"/>
      <c r="AO538" s="62"/>
    </row>
    <row r="539">
      <c r="A539" s="62" t="str">
        <f>'Volunteer Survey'!A954</f>
        <v/>
      </c>
      <c r="B539" s="62"/>
      <c r="C539" s="61"/>
      <c r="D539" s="62"/>
      <c r="E539" s="62"/>
      <c r="F539" s="62" t="b">
        <v>0</v>
      </c>
      <c r="G539" s="62"/>
      <c r="H539" s="61"/>
      <c r="I539" s="61"/>
      <c r="J539" s="62"/>
      <c r="K539" s="62"/>
      <c r="L539" s="62" t="str">
        <f>'Volunteer Survey'!B954</f>
        <v/>
      </c>
      <c r="M539" s="62" t="str">
        <f>'Volunteer Survey'!E954</f>
        <v/>
      </c>
      <c r="N539" s="62"/>
      <c r="O539" s="60" t="str">
        <f>'Volunteer Survey'!H955</f>
        <v/>
      </c>
      <c r="P539" s="62"/>
      <c r="Q539" s="66" t="str">
        <f>'Volunteer Survey'!J954</f>
        <v/>
      </c>
      <c r="R539" s="62"/>
      <c r="S539" s="62"/>
      <c r="T539" s="62" t="str">
        <f>'Volunteer Survey'!M954</f>
        <v/>
      </c>
      <c r="U539" s="74"/>
      <c r="V539" s="62"/>
      <c r="W539" s="75" t="str">
        <f>'Volunteer Survey'!P954</f>
        <v/>
      </c>
      <c r="X539" s="62"/>
      <c r="Y539" s="61"/>
      <c r="Z539" s="62"/>
      <c r="AA539" s="62"/>
      <c r="AB539" s="62"/>
      <c r="AC539" s="62"/>
      <c r="AD539" s="62"/>
      <c r="AE539" s="62"/>
      <c r="AF539" s="62"/>
      <c r="AG539" s="62"/>
      <c r="AH539" s="62"/>
      <c r="AI539" s="62"/>
      <c r="AJ539" s="62"/>
      <c r="AK539" s="62"/>
      <c r="AL539" s="62"/>
      <c r="AM539" s="62"/>
      <c r="AN539" s="62"/>
      <c r="AO539" s="62"/>
    </row>
    <row r="540">
      <c r="A540" s="62" t="str">
        <f>'Volunteer Survey'!A955</f>
        <v/>
      </c>
      <c r="B540" s="62"/>
      <c r="C540" s="61"/>
      <c r="D540" s="62"/>
      <c r="E540" s="62"/>
      <c r="F540" s="62" t="b">
        <v>0</v>
      </c>
      <c r="G540" s="62"/>
      <c r="H540" s="61"/>
      <c r="I540" s="61"/>
      <c r="J540" s="62"/>
      <c r="K540" s="62"/>
      <c r="L540" s="62" t="str">
        <f>'Volunteer Survey'!B955</f>
        <v/>
      </c>
      <c r="M540" s="62" t="str">
        <f>'Volunteer Survey'!E955</f>
        <v/>
      </c>
      <c r="N540" s="62"/>
      <c r="O540" s="60" t="str">
        <f>'Volunteer Survey'!H956</f>
        <v/>
      </c>
      <c r="P540" s="62"/>
      <c r="Q540" s="66" t="str">
        <f>'Volunteer Survey'!J955</f>
        <v/>
      </c>
      <c r="R540" s="62"/>
      <c r="S540" s="62"/>
      <c r="T540" s="62" t="str">
        <f>'Volunteer Survey'!M955</f>
        <v/>
      </c>
      <c r="U540" s="74"/>
      <c r="V540" s="62"/>
      <c r="W540" s="75" t="str">
        <f>'Volunteer Survey'!P955</f>
        <v/>
      </c>
      <c r="X540" s="62"/>
      <c r="Y540" s="61"/>
      <c r="Z540" s="62"/>
      <c r="AA540" s="62"/>
      <c r="AB540" s="62"/>
      <c r="AC540" s="62"/>
      <c r="AD540" s="62"/>
      <c r="AE540" s="62"/>
      <c r="AF540" s="62"/>
      <c r="AG540" s="62"/>
      <c r="AH540" s="62"/>
      <c r="AI540" s="62"/>
      <c r="AJ540" s="62"/>
      <c r="AK540" s="62"/>
      <c r="AL540" s="62"/>
      <c r="AM540" s="62"/>
      <c r="AN540" s="62"/>
      <c r="AO540" s="62"/>
    </row>
    <row r="541">
      <c r="A541" s="62" t="str">
        <f>'Volunteer Survey'!A956</f>
        <v/>
      </c>
      <c r="B541" s="62"/>
      <c r="C541" s="61"/>
      <c r="D541" s="62"/>
      <c r="E541" s="62"/>
      <c r="F541" s="62" t="b">
        <v>0</v>
      </c>
      <c r="G541" s="62"/>
      <c r="H541" s="61"/>
      <c r="I541" s="61"/>
      <c r="J541" s="62"/>
      <c r="K541" s="62"/>
      <c r="L541" s="62" t="str">
        <f>'Volunteer Survey'!B956</f>
        <v/>
      </c>
      <c r="M541" s="62" t="str">
        <f>'Volunteer Survey'!E956</f>
        <v/>
      </c>
      <c r="N541" s="62"/>
      <c r="O541" s="60" t="str">
        <f>'Volunteer Survey'!H957</f>
        <v/>
      </c>
      <c r="P541" s="62"/>
      <c r="Q541" s="66" t="str">
        <f>'Volunteer Survey'!J956</f>
        <v/>
      </c>
      <c r="R541" s="62"/>
      <c r="S541" s="62"/>
      <c r="T541" s="62" t="str">
        <f>'Volunteer Survey'!M956</f>
        <v/>
      </c>
      <c r="U541" s="74"/>
      <c r="V541" s="62"/>
      <c r="W541" s="75" t="str">
        <f>'Volunteer Survey'!P956</f>
        <v/>
      </c>
      <c r="X541" s="62"/>
      <c r="Y541" s="61"/>
      <c r="Z541" s="62"/>
      <c r="AA541" s="62"/>
      <c r="AB541" s="62"/>
      <c r="AC541" s="62"/>
      <c r="AD541" s="62"/>
      <c r="AE541" s="62"/>
      <c r="AF541" s="62"/>
      <c r="AG541" s="62"/>
      <c r="AH541" s="62"/>
      <c r="AI541" s="62"/>
      <c r="AJ541" s="62"/>
      <c r="AK541" s="62"/>
      <c r="AL541" s="62"/>
      <c r="AM541" s="62"/>
      <c r="AN541" s="62"/>
      <c r="AO541" s="62"/>
    </row>
    <row r="542">
      <c r="A542" s="62" t="str">
        <f>'Volunteer Survey'!A957</f>
        <v/>
      </c>
      <c r="B542" s="62"/>
      <c r="C542" s="61"/>
      <c r="D542" s="62"/>
      <c r="E542" s="62"/>
      <c r="F542" s="62" t="b">
        <v>0</v>
      </c>
      <c r="G542" s="62"/>
      <c r="H542" s="61"/>
      <c r="I542" s="61"/>
      <c r="J542" s="62"/>
      <c r="K542" s="62"/>
      <c r="L542" s="62" t="str">
        <f>'Volunteer Survey'!B957</f>
        <v/>
      </c>
      <c r="M542" s="62" t="str">
        <f>'Volunteer Survey'!E957</f>
        <v/>
      </c>
      <c r="N542" s="62"/>
      <c r="O542" s="60" t="str">
        <f>'Volunteer Survey'!H958</f>
        <v/>
      </c>
      <c r="P542" s="62"/>
      <c r="Q542" s="66" t="str">
        <f>'Volunteer Survey'!J957</f>
        <v/>
      </c>
      <c r="R542" s="62"/>
      <c r="S542" s="62"/>
      <c r="T542" s="62" t="str">
        <f>'Volunteer Survey'!M957</f>
        <v/>
      </c>
      <c r="U542" s="74"/>
      <c r="V542" s="62"/>
      <c r="W542" s="75" t="str">
        <f>'Volunteer Survey'!P957</f>
        <v/>
      </c>
      <c r="X542" s="62"/>
      <c r="Y542" s="61"/>
      <c r="Z542" s="62"/>
      <c r="AA542" s="62"/>
      <c r="AB542" s="62"/>
      <c r="AC542" s="62"/>
      <c r="AD542" s="62"/>
      <c r="AE542" s="62"/>
      <c r="AF542" s="62"/>
      <c r="AG542" s="62"/>
      <c r="AH542" s="62"/>
      <c r="AI542" s="62"/>
      <c r="AJ542" s="62"/>
      <c r="AK542" s="62"/>
      <c r="AL542" s="62"/>
      <c r="AM542" s="62"/>
      <c r="AN542" s="62"/>
      <c r="AO542" s="62"/>
    </row>
    <row r="543">
      <c r="A543" s="62" t="str">
        <f>'Volunteer Survey'!A958</f>
        <v/>
      </c>
      <c r="B543" s="62"/>
      <c r="C543" s="61"/>
      <c r="D543" s="62"/>
      <c r="E543" s="62"/>
      <c r="F543" s="62" t="b">
        <v>0</v>
      </c>
      <c r="G543" s="62"/>
      <c r="H543" s="61"/>
      <c r="I543" s="61"/>
      <c r="J543" s="62"/>
      <c r="K543" s="62"/>
      <c r="L543" s="62" t="str">
        <f>'Volunteer Survey'!B958</f>
        <v/>
      </c>
      <c r="M543" s="62" t="str">
        <f>'Volunteer Survey'!E958</f>
        <v/>
      </c>
      <c r="N543" s="62"/>
      <c r="O543" s="60" t="str">
        <f>'Volunteer Survey'!H959</f>
        <v/>
      </c>
      <c r="P543" s="62"/>
      <c r="Q543" s="66" t="str">
        <f>'Volunteer Survey'!J958</f>
        <v/>
      </c>
      <c r="R543" s="62"/>
      <c r="S543" s="62"/>
      <c r="T543" s="62" t="str">
        <f>'Volunteer Survey'!M958</f>
        <v/>
      </c>
      <c r="U543" s="74"/>
      <c r="V543" s="62"/>
      <c r="W543" s="75" t="str">
        <f>'Volunteer Survey'!P958</f>
        <v/>
      </c>
      <c r="X543" s="62"/>
      <c r="Y543" s="61"/>
      <c r="Z543" s="62"/>
      <c r="AA543" s="62"/>
      <c r="AB543" s="62"/>
      <c r="AC543" s="62"/>
      <c r="AD543" s="62"/>
      <c r="AE543" s="62"/>
      <c r="AF543" s="62"/>
      <c r="AG543" s="62"/>
      <c r="AH543" s="62"/>
      <c r="AI543" s="62"/>
      <c r="AJ543" s="62"/>
      <c r="AK543" s="62"/>
      <c r="AL543" s="62"/>
      <c r="AM543" s="62"/>
      <c r="AN543" s="62"/>
      <c r="AO543" s="62"/>
    </row>
    <row r="544">
      <c r="A544" s="62" t="str">
        <f>'Volunteer Survey'!A959</f>
        <v/>
      </c>
      <c r="B544" s="62"/>
      <c r="C544" s="61"/>
      <c r="D544" s="62"/>
      <c r="E544" s="62"/>
      <c r="F544" s="62" t="b">
        <v>0</v>
      </c>
      <c r="G544" s="62"/>
      <c r="H544" s="61"/>
      <c r="I544" s="61"/>
      <c r="J544" s="62"/>
      <c r="K544" s="62"/>
      <c r="L544" s="62" t="str">
        <f>'Volunteer Survey'!B959</f>
        <v/>
      </c>
      <c r="M544" s="62" t="str">
        <f>'Volunteer Survey'!E959</f>
        <v/>
      </c>
      <c r="N544" s="62"/>
      <c r="O544" s="60" t="str">
        <f>'Volunteer Survey'!H960</f>
        <v/>
      </c>
      <c r="P544" s="62"/>
      <c r="Q544" s="66" t="str">
        <f>'Volunteer Survey'!J959</f>
        <v/>
      </c>
      <c r="R544" s="62"/>
      <c r="S544" s="62"/>
      <c r="T544" s="62" t="str">
        <f>'Volunteer Survey'!M959</f>
        <v/>
      </c>
      <c r="U544" s="74"/>
      <c r="V544" s="62"/>
      <c r="W544" s="75" t="str">
        <f>'Volunteer Survey'!P959</f>
        <v/>
      </c>
      <c r="X544" s="62"/>
      <c r="Y544" s="61"/>
      <c r="Z544" s="62"/>
      <c r="AA544" s="62"/>
      <c r="AB544" s="62"/>
      <c r="AC544" s="62"/>
      <c r="AD544" s="62"/>
      <c r="AE544" s="62"/>
      <c r="AF544" s="62"/>
      <c r="AG544" s="62"/>
      <c r="AH544" s="62"/>
      <c r="AI544" s="62"/>
      <c r="AJ544" s="62"/>
      <c r="AK544" s="62"/>
      <c r="AL544" s="62"/>
      <c r="AM544" s="62"/>
      <c r="AN544" s="62"/>
      <c r="AO544" s="62"/>
    </row>
    <row r="545">
      <c r="A545" s="62" t="str">
        <f>'Volunteer Survey'!A960</f>
        <v/>
      </c>
      <c r="B545" s="62"/>
      <c r="C545" s="61"/>
      <c r="D545" s="62"/>
      <c r="E545" s="62"/>
      <c r="F545" s="62" t="b">
        <v>0</v>
      </c>
      <c r="G545" s="62"/>
      <c r="H545" s="61"/>
      <c r="I545" s="61"/>
      <c r="J545" s="62"/>
      <c r="K545" s="62"/>
      <c r="L545" s="62" t="str">
        <f>'Volunteer Survey'!B960</f>
        <v/>
      </c>
      <c r="M545" s="62" t="str">
        <f>'Volunteer Survey'!E960</f>
        <v/>
      </c>
      <c r="N545" s="62"/>
      <c r="O545" s="60" t="str">
        <f>'Volunteer Survey'!H961</f>
        <v/>
      </c>
      <c r="P545" s="62"/>
      <c r="Q545" s="66" t="str">
        <f>'Volunteer Survey'!J960</f>
        <v/>
      </c>
      <c r="R545" s="62"/>
      <c r="S545" s="62"/>
      <c r="T545" s="62" t="str">
        <f>'Volunteer Survey'!M960</f>
        <v/>
      </c>
      <c r="U545" s="74"/>
      <c r="V545" s="62"/>
      <c r="W545" s="75" t="str">
        <f>'Volunteer Survey'!P960</f>
        <v/>
      </c>
      <c r="X545" s="62"/>
      <c r="Y545" s="61"/>
      <c r="Z545" s="62"/>
      <c r="AA545" s="62"/>
      <c r="AB545" s="62"/>
      <c r="AC545" s="62"/>
      <c r="AD545" s="62"/>
      <c r="AE545" s="62"/>
      <c r="AF545" s="62"/>
      <c r="AG545" s="62"/>
      <c r="AH545" s="62"/>
      <c r="AI545" s="62"/>
      <c r="AJ545" s="62"/>
      <c r="AK545" s="62"/>
      <c r="AL545" s="62"/>
      <c r="AM545" s="62"/>
      <c r="AN545" s="62"/>
      <c r="AO545" s="62"/>
    </row>
    <row r="546">
      <c r="A546" s="62" t="str">
        <f>'Volunteer Survey'!A961</f>
        <v/>
      </c>
      <c r="B546" s="62"/>
      <c r="C546" s="61"/>
      <c r="D546" s="62"/>
      <c r="E546" s="62"/>
      <c r="F546" s="62" t="b">
        <v>0</v>
      </c>
      <c r="G546" s="62"/>
      <c r="H546" s="61"/>
      <c r="I546" s="61"/>
      <c r="J546" s="62"/>
      <c r="K546" s="62"/>
      <c r="L546" s="62" t="str">
        <f>'Volunteer Survey'!B961</f>
        <v/>
      </c>
      <c r="M546" s="62" t="str">
        <f>'Volunteer Survey'!E961</f>
        <v/>
      </c>
      <c r="N546" s="62"/>
      <c r="O546" s="60" t="str">
        <f>'Volunteer Survey'!H962</f>
        <v/>
      </c>
      <c r="P546" s="62"/>
      <c r="Q546" s="66" t="str">
        <f>'Volunteer Survey'!J961</f>
        <v/>
      </c>
      <c r="R546" s="62"/>
      <c r="S546" s="62"/>
      <c r="T546" s="62" t="str">
        <f>'Volunteer Survey'!M961</f>
        <v/>
      </c>
      <c r="U546" s="74"/>
      <c r="V546" s="62"/>
      <c r="W546" s="75" t="str">
        <f>'Volunteer Survey'!P961</f>
        <v/>
      </c>
      <c r="X546" s="62"/>
      <c r="Y546" s="61"/>
      <c r="Z546" s="62"/>
      <c r="AA546" s="62"/>
      <c r="AB546" s="62"/>
      <c r="AC546" s="62"/>
      <c r="AD546" s="62"/>
      <c r="AE546" s="62"/>
      <c r="AF546" s="62"/>
      <c r="AG546" s="62"/>
      <c r="AH546" s="62"/>
      <c r="AI546" s="62"/>
      <c r="AJ546" s="62"/>
      <c r="AK546" s="62"/>
      <c r="AL546" s="62"/>
      <c r="AM546" s="62"/>
      <c r="AN546" s="62"/>
      <c r="AO546" s="62"/>
    </row>
    <row r="547">
      <c r="A547" s="62" t="str">
        <f>'Volunteer Survey'!A962</f>
        <v/>
      </c>
      <c r="B547" s="62"/>
      <c r="C547" s="61"/>
      <c r="D547" s="62"/>
      <c r="E547" s="62"/>
      <c r="F547" s="62" t="b">
        <v>0</v>
      </c>
      <c r="G547" s="62"/>
      <c r="H547" s="61"/>
      <c r="I547" s="61"/>
      <c r="J547" s="62"/>
      <c r="K547" s="62"/>
      <c r="L547" s="62" t="str">
        <f>'Volunteer Survey'!B962</f>
        <v/>
      </c>
      <c r="M547" s="62" t="str">
        <f>'Volunteer Survey'!E962</f>
        <v/>
      </c>
      <c r="N547" s="62"/>
      <c r="O547" s="60" t="str">
        <f>'Volunteer Survey'!H963</f>
        <v/>
      </c>
      <c r="P547" s="62"/>
      <c r="Q547" s="66" t="str">
        <f>'Volunteer Survey'!J962</f>
        <v/>
      </c>
      <c r="R547" s="62"/>
      <c r="S547" s="62"/>
      <c r="T547" s="62" t="str">
        <f>'Volunteer Survey'!M962</f>
        <v/>
      </c>
      <c r="U547" s="74"/>
      <c r="V547" s="62"/>
      <c r="W547" s="75" t="str">
        <f>'Volunteer Survey'!P962</f>
        <v/>
      </c>
      <c r="X547" s="62"/>
      <c r="Y547" s="61"/>
      <c r="Z547" s="62"/>
      <c r="AA547" s="62"/>
      <c r="AB547" s="62"/>
      <c r="AC547" s="62"/>
      <c r="AD547" s="62"/>
      <c r="AE547" s="62"/>
      <c r="AF547" s="62"/>
      <c r="AG547" s="62"/>
      <c r="AH547" s="62"/>
      <c r="AI547" s="62"/>
      <c r="AJ547" s="62"/>
      <c r="AK547" s="62"/>
      <c r="AL547" s="62"/>
      <c r="AM547" s="62"/>
      <c r="AN547" s="62"/>
      <c r="AO547" s="62"/>
    </row>
    <row r="548">
      <c r="A548" s="62" t="str">
        <f>'Volunteer Survey'!A963</f>
        <v/>
      </c>
      <c r="B548" s="62"/>
      <c r="C548" s="61"/>
      <c r="D548" s="62"/>
      <c r="E548" s="62"/>
      <c r="F548" s="62" t="b">
        <v>0</v>
      </c>
      <c r="G548" s="62"/>
      <c r="H548" s="61"/>
      <c r="I548" s="61"/>
      <c r="J548" s="62"/>
      <c r="K548" s="62"/>
      <c r="L548" s="62" t="str">
        <f>'Volunteer Survey'!B963</f>
        <v/>
      </c>
      <c r="M548" s="62" t="str">
        <f>'Volunteer Survey'!E963</f>
        <v/>
      </c>
      <c r="N548" s="62"/>
      <c r="O548" s="60" t="str">
        <f>'Volunteer Survey'!H964</f>
        <v/>
      </c>
      <c r="P548" s="62"/>
      <c r="Q548" s="66" t="str">
        <f>'Volunteer Survey'!J963</f>
        <v/>
      </c>
      <c r="R548" s="62"/>
      <c r="S548" s="62"/>
      <c r="T548" s="62" t="str">
        <f>'Volunteer Survey'!M963</f>
        <v/>
      </c>
      <c r="U548" s="74"/>
      <c r="V548" s="62"/>
      <c r="W548" s="75" t="str">
        <f>'Volunteer Survey'!P963</f>
        <v/>
      </c>
      <c r="X548" s="62"/>
      <c r="Y548" s="61"/>
      <c r="Z548" s="62"/>
      <c r="AA548" s="62"/>
      <c r="AB548" s="62"/>
      <c r="AC548" s="62"/>
      <c r="AD548" s="62"/>
      <c r="AE548" s="62"/>
      <c r="AF548" s="62"/>
      <c r="AG548" s="62"/>
      <c r="AH548" s="62"/>
      <c r="AI548" s="62"/>
      <c r="AJ548" s="62"/>
      <c r="AK548" s="62"/>
      <c r="AL548" s="62"/>
      <c r="AM548" s="62"/>
      <c r="AN548" s="62"/>
      <c r="AO548" s="62"/>
    </row>
    <row r="549">
      <c r="A549" s="62" t="str">
        <f>'Volunteer Survey'!A964</f>
        <v/>
      </c>
      <c r="B549" s="62"/>
      <c r="C549" s="61"/>
      <c r="D549" s="62"/>
      <c r="E549" s="62"/>
      <c r="F549" s="62" t="b">
        <v>0</v>
      </c>
      <c r="G549" s="62"/>
      <c r="H549" s="61"/>
      <c r="I549" s="61"/>
      <c r="J549" s="62"/>
      <c r="K549" s="62"/>
      <c r="L549" s="62" t="str">
        <f>'Volunteer Survey'!B964</f>
        <v/>
      </c>
      <c r="M549" s="62" t="str">
        <f>'Volunteer Survey'!E964</f>
        <v/>
      </c>
      <c r="N549" s="62"/>
      <c r="O549" s="60" t="str">
        <f>'Volunteer Survey'!H965</f>
        <v/>
      </c>
      <c r="P549" s="62"/>
      <c r="Q549" s="66" t="str">
        <f>'Volunteer Survey'!J964</f>
        <v/>
      </c>
      <c r="R549" s="62"/>
      <c r="S549" s="62"/>
      <c r="T549" s="62" t="str">
        <f>'Volunteer Survey'!M964</f>
        <v/>
      </c>
      <c r="U549" s="74"/>
      <c r="V549" s="62"/>
      <c r="W549" s="75" t="str">
        <f>'Volunteer Survey'!P964</f>
        <v/>
      </c>
      <c r="X549" s="62"/>
      <c r="Y549" s="61"/>
      <c r="Z549" s="62"/>
      <c r="AA549" s="62"/>
      <c r="AB549" s="62"/>
      <c r="AC549" s="62"/>
      <c r="AD549" s="62"/>
      <c r="AE549" s="62"/>
      <c r="AF549" s="62"/>
      <c r="AG549" s="62"/>
      <c r="AH549" s="62"/>
      <c r="AI549" s="62"/>
      <c r="AJ549" s="62"/>
      <c r="AK549" s="62"/>
      <c r="AL549" s="62"/>
      <c r="AM549" s="62"/>
      <c r="AN549" s="62"/>
      <c r="AO549" s="62"/>
    </row>
    <row r="550">
      <c r="A550" s="62" t="str">
        <f>'Volunteer Survey'!A965</f>
        <v/>
      </c>
      <c r="B550" s="62"/>
      <c r="C550" s="61"/>
      <c r="D550" s="62"/>
      <c r="E550" s="62"/>
      <c r="F550" s="62" t="b">
        <v>0</v>
      </c>
      <c r="G550" s="62"/>
      <c r="H550" s="61"/>
      <c r="I550" s="61"/>
      <c r="J550" s="62"/>
      <c r="K550" s="62"/>
      <c r="L550" s="62" t="str">
        <f>'Volunteer Survey'!B965</f>
        <v/>
      </c>
      <c r="M550" s="62" t="str">
        <f>'Volunteer Survey'!E965</f>
        <v/>
      </c>
      <c r="N550" s="62"/>
      <c r="O550" s="60" t="str">
        <f>'Volunteer Survey'!H966</f>
        <v/>
      </c>
      <c r="P550" s="62"/>
      <c r="Q550" s="66" t="str">
        <f>'Volunteer Survey'!J965</f>
        <v/>
      </c>
      <c r="R550" s="62"/>
      <c r="S550" s="62"/>
      <c r="T550" s="62" t="str">
        <f>'Volunteer Survey'!M965</f>
        <v/>
      </c>
      <c r="U550" s="74"/>
      <c r="V550" s="62"/>
      <c r="W550" s="75" t="str">
        <f>'Volunteer Survey'!P965</f>
        <v/>
      </c>
      <c r="X550" s="62"/>
      <c r="Y550" s="61"/>
      <c r="Z550" s="62"/>
      <c r="AA550" s="62"/>
      <c r="AB550" s="62"/>
      <c r="AC550" s="62"/>
      <c r="AD550" s="62"/>
      <c r="AE550" s="62"/>
      <c r="AF550" s="62"/>
      <c r="AG550" s="62"/>
      <c r="AH550" s="62"/>
      <c r="AI550" s="62"/>
      <c r="AJ550" s="62"/>
      <c r="AK550" s="62"/>
      <c r="AL550" s="62"/>
      <c r="AM550" s="62"/>
      <c r="AN550" s="62"/>
      <c r="AO550" s="62"/>
    </row>
    <row r="551">
      <c r="A551" s="62" t="str">
        <f>'Volunteer Survey'!A966</f>
        <v/>
      </c>
      <c r="B551" s="62"/>
      <c r="C551" s="61"/>
      <c r="D551" s="62"/>
      <c r="E551" s="62"/>
      <c r="F551" s="62" t="b">
        <v>0</v>
      </c>
      <c r="G551" s="62"/>
      <c r="H551" s="61"/>
      <c r="I551" s="61"/>
      <c r="J551" s="62"/>
      <c r="K551" s="62"/>
      <c r="L551" s="62" t="str">
        <f>'Volunteer Survey'!B966</f>
        <v/>
      </c>
      <c r="M551" s="62" t="str">
        <f>'Volunteer Survey'!E966</f>
        <v/>
      </c>
      <c r="N551" s="62"/>
      <c r="O551" s="60" t="str">
        <f>'Volunteer Survey'!H967</f>
        <v/>
      </c>
      <c r="P551" s="62"/>
      <c r="Q551" s="66" t="str">
        <f>'Volunteer Survey'!J966</f>
        <v/>
      </c>
      <c r="R551" s="62"/>
      <c r="S551" s="62"/>
      <c r="T551" s="62" t="str">
        <f>'Volunteer Survey'!M966</f>
        <v/>
      </c>
      <c r="U551" s="74"/>
      <c r="V551" s="62"/>
      <c r="W551" s="75" t="str">
        <f>'Volunteer Survey'!P966</f>
        <v/>
      </c>
      <c r="X551" s="62"/>
      <c r="Y551" s="61"/>
      <c r="Z551" s="62"/>
      <c r="AA551" s="62"/>
      <c r="AB551" s="62"/>
      <c r="AC551" s="62"/>
      <c r="AD551" s="62"/>
      <c r="AE551" s="62"/>
      <c r="AF551" s="62"/>
      <c r="AG551" s="62"/>
      <c r="AH551" s="62"/>
      <c r="AI551" s="62"/>
      <c r="AJ551" s="62"/>
      <c r="AK551" s="62"/>
      <c r="AL551" s="62"/>
      <c r="AM551" s="62"/>
      <c r="AN551" s="62"/>
      <c r="AO551" s="62"/>
    </row>
    <row r="552">
      <c r="A552" s="62" t="str">
        <f>'Volunteer Survey'!A967</f>
        <v/>
      </c>
      <c r="B552" s="62"/>
      <c r="C552" s="61"/>
      <c r="D552" s="62"/>
      <c r="E552" s="62"/>
      <c r="F552" s="62" t="b">
        <v>0</v>
      </c>
      <c r="G552" s="62"/>
      <c r="H552" s="61"/>
      <c r="I552" s="61"/>
      <c r="J552" s="62"/>
      <c r="K552" s="62"/>
      <c r="L552" s="62" t="str">
        <f>'Volunteer Survey'!B967</f>
        <v/>
      </c>
      <c r="M552" s="62" t="str">
        <f>'Volunteer Survey'!E967</f>
        <v/>
      </c>
      <c r="N552" s="62"/>
      <c r="O552" s="60" t="str">
        <f>'Volunteer Survey'!H968</f>
        <v/>
      </c>
      <c r="P552" s="62"/>
      <c r="Q552" s="66" t="str">
        <f>'Volunteer Survey'!J967</f>
        <v/>
      </c>
      <c r="R552" s="62"/>
      <c r="S552" s="62"/>
      <c r="T552" s="62" t="str">
        <f>'Volunteer Survey'!M967</f>
        <v/>
      </c>
      <c r="U552" s="74"/>
      <c r="V552" s="62"/>
      <c r="W552" s="75" t="str">
        <f>'Volunteer Survey'!P967</f>
        <v/>
      </c>
      <c r="X552" s="62"/>
      <c r="Y552" s="61"/>
      <c r="Z552" s="62"/>
      <c r="AA552" s="62"/>
      <c r="AB552" s="62"/>
      <c r="AC552" s="62"/>
      <c r="AD552" s="62"/>
      <c r="AE552" s="62"/>
      <c r="AF552" s="62"/>
      <c r="AG552" s="62"/>
      <c r="AH552" s="62"/>
      <c r="AI552" s="62"/>
      <c r="AJ552" s="62"/>
      <c r="AK552" s="62"/>
      <c r="AL552" s="62"/>
      <c r="AM552" s="62"/>
      <c r="AN552" s="62"/>
      <c r="AO552" s="62"/>
    </row>
    <row r="553">
      <c r="A553" s="62" t="str">
        <f>'Volunteer Survey'!A968</f>
        <v/>
      </c>
      <c r="B553" s="62"/>
      <c r="C553" s="61"/>
      <c r="D553" s="62"/>
      <c r="E553" s="62"/>
      <c r="F553" s="62" t="b">
        <v>0</v>
      </c>
      <c r="G553" s="62"/>
      <c r="H553" s="61"/>
      <c r="I553" s="61"/>
      <c r="J553" s="62"/>
      <c r="K553" s="62"/>
      <c r="L553" s="62" t="str">
        <f>'Volunteer Survey'!B968</f>
        <v/>
      </c>
      <c r="M553" s="62" t="str">
        <f>'Volunteer Survey'!E968</f>
        <v/>
      </c>
      <c r="N553" s="62"/>
      <c r="O553" s="60" t="str">
        <f>'Volunteer Survey'!H969</f>
        <v/>
      </c>
      <c r="P553" s="62"/>
      <c r="Q553" s="66" t="str">
        <f>'Volunteer Survey'!J968</f>
        <v/>
      </c>
      <c r="R553" s="62"/>
      <c r="S553" s="62"/>
      <c r="T553" s="62" t="str">
        <f>'Volunteer Survey'!M968</f>
        <v/>
      </c>
      <c r="U553" s="74"/>
      <c r="V553" s="62"/>
      <c r="W553" s="75" t="str">
        <f>'Volunteer Survey'!P968</f>
        <v/>
      </c>
      <c r="X553" s="62"/>
      <c r="Y553" s="61"/>
      <c r="Z553" s="62"/>
      <c r="AA553" s="62"/>
      <c r="AB553" s="62"/>
      <c r="AC553" s="62"/>
      <c r="AD553" s="62"/>
      <c r="AE553" s="62"/>
      <c r="AF553" s="62"/>
      <c r="AG553" s="62"/>
      <c r="AH553" s="62"/>
      <c r="AI553" s="62"/>
      <c r="AJ553" s="62"/>
      <c r="AK553" s="62"/>
      <c r="AL553" s="62"/>
      <c r="AM553" s="62"/>
      <c r="AN553" s="62"/>
      <c r="AO553" s="62"/>
    </row>
    <row r="554">
      <c r="A554" s="62" t="str">
        <f>'Volunteer Survey'!A969</f>
        <v/>
      </c>
      <c r="B554" s="62"/>
      <c r="C554" s="61"/>
      <c r="D554" s="62"/>
      <c r="E554" s="62"/>
      <c r="F554" s="62" t="b">
        <v>0</v>
      </c>
      <c r="G554" s="62"/>
      <c r="H554" s="61"/>
      <c r="I554" s="61"/>
      <c r="J554" s="62"/>
      <c r="K554" s="62"/>
      <c r="L554" s="62" t="str">
        <f>'Volunteer Survey'!B969</f>
        <v/>
      </c>
      <c r="M554" s="62" t="str">
        <f>'Volunteer Survey'!E969</f>
        <v/>
      </c>
      <c r="N554" s="62"/>
      <c r="O554" s="60" t="str">
        <f>'Volunteer Survey'!H970</f>
        <v/>
      </c>
      <c r="P554" s="62"/>
      <c r="Q554" s="66" t="str">
        <f>'Volunteer Survey'!J969</f>
        <v/>
      </c>
      <c r="R554" s="62"/>
      <c r="S554" s="62"/>
      <c r="T554" s="62" t="str">
        <f>'Volunteer Survey'!M969</f>
        <v/>
      </c>
      <c r="U554" s="74"/>
      <c r="V554" s="62"/>
      <c r="W554" s="75" t="str">
        <f>'Volunteer Survey'!P969</f>
        <v/>
      </c>
      <c r="X554" s="62"/>
      <c r="Y554" s="61"/>
      <c r="Z554" s="62"/>
      <c r="AA554" s="62"/>
      <c r="AB554" s="62"/>
      <c r="AC554" s="62"/>
      <c r="AD554" s="62"/>
      <c r="AE554" s="62"/>
      <c r="AF554" s="62"/>
      <c r="AG554" s="62"/>
      <c r="AH554" s="62"/>
      <c r="AI554" s="62"/>
      <c r="AJ554" s="62"/>
      <c r="AK554" s="62"/>
      <c r="AL554" s="62"/>
      <c r="AM554" s="62"/>
      <c r="AN554" s="62"/>
      <c r="AO554" s="62"/>
    </row>
    <row r="555">
      <c r="A555" s="62" t="str">
        <f>'Volunteer Survey'!A970</f>
        <v/>
      </c>
      <c r="B555" s="62"/>
      <c r="C555" s="61"/>
      <c r="D555" s="62"/>
      <c r="E555" s="62"/>
      <c r="F555" s="62" t="b">
        <v>0</v>
      </c>
      <c r="G555" s="62"/>
      <c r="H555" s="61"/>
      <c r="I555" s="61"/>
      <c r="J555" s="62"/>
      <c r="K555" s="62"/>
      <c r="L555" s="62" t="str">
        <f>'Volunteer Survey'!B970</f>
        <v/>
      </c>
      <c r="M555" s="62" t="str">
        <f>'Volunteer Survey'!E970</f>
        <v/>
      </c>
      <c r="N555" s="62"/>
      <c r="O555" s="60" t="str">
        <f>'Volunteer Survey'!H971</f>
        <v/>
      </c>
      <c r="P555" s="62"/>
      <c r="Q555" s="66" t="str">
        <f>'Volunteer Survey'!J970</f>
        <v/>
      </c>
      <c r="R555" s="62"/>
      <c r="S555" s="62"/>
      <c r="T555" s="62" t="str">
        <f>'Volunteer Survey'!M970</f>
        <v/>
      </c>
      <c r="U555" s="74"/>
      <c r="V555" s="62"/>
      <c r="W555" s="75" t="str">
        <f>'Volunteer Survey'!P970</f>
        <v/>
      </c>
      <c r="X555" s="62"/>
      <c r="Y555" s="61"/>
      <c r="Z555" s="62"/>
      <c r="AA555" s="62"/>
      <c r="AB555" s="62"/>
      <c r="AC555" s="62"/>
      <c r="AD555" s="62"/>
      <c r="AE555" s="62"/>
      <c r="AF555" s="62"/>
      <c r="AG555" s="62"/>
      <c r="AH555" s="62"/>
      <c r="AI555" s="62"/>
      <c r="AJ555" s="62"/>
      <c r="AK555" s="62"/>
      <c r="AL555" s="62"/>
      <c r="AM555" s="62"/>
      <c r="AN555" s="62"/>
      <c r="AO555" s="62"/>
    </row>
    <row r="556">
      <c r="A556" s="62" t="str">
        <f>'Volunteer Survey'!A971</f>
        <v/>
      </c>
      <c r="B556" s="62"/>
      <c r="C556" s="61"/>
      <c r="D556" s="62"/>
      <c r="E556" s="62"/>
      <c r="F556" s="62" t="b">
        <v>0</v>
      </c>
      <c r="G556" s="62"/>
      <c r="H556" s="61"/>
      <c r="I556" s="61"/>
      <c r="J556" s="62"/>
      <c r="K556" s="62"/>
      <c r="L556" s="62" t="str">
        <f>'Volunteer Survey'!B971</f>
        <v/>
      </c>
      <c r="M556" s="62" t="str">
        <f>'Volunteer Survey'!E971</f>
        <v/>
      </c>
      <c r="N556" s="62"/>
      <c r="O556" s="62" t="b">
        <v>0</v>
      </c>
      <c r="P556" s="62"/>
      <c r="Q556" s="66" t="str">
        <f>'Volunteer Survey'!J971</f>
        <v/>
      </c>
      <c r="R556" s="62"/>
      <c r="S556" s="62"/>
      <c r="T556" s="62" t="str">
        <f>'Volunteer Survey'!M971</f>
        <v/>
      </c>
      <c r="U556" s="74"/>
      <c r="V556" s="62"/>
      <c r="W556" s="75" t="str">
        <f>'Volunteer Survey'!P971</f>
        <v/>
      </c>
      <c r="X556" s="62"/>
      <c r="Y556" s="61"/>
      <c r="Z556" s="62"/>
      <c r="AA556" s="62"/>
      <c r="AB556" s="62"/>
      <c r="AC556" s="62"/>
      <c r="AD556" s="62"/>
      <c r="AE556" s="62"/>
      <c r="AF556" s="62"/>
      <c r="AG556" s="62"/>
      <c r="AH556" s="62"/>
      <c r="AI556" s="62"/>
      <c r="AJ556" s="62"/>
      <c r="AK556" s="62"/>
      <c r="AL556" s="62"/>
      <c r="AM556" s="62"/>
      <c r="AN556" s="62"/>
      <c r="AO556" s="62"/>
    </row>
    <row r="557">
      <c r="A557" s="62" t="str">
        <f>'Volunteer Survey'!A972</f>
        <v/>
      </c>
      <c r="B557" s="62"/>
      <c r="C557" s="61"/>
      <c r="D557" s="62"/>
      <c r="E557" s="62"/>
      <c r="F557" s="62" t="b">
        <v>0</v>
      </c>
      <c r="G557" s="62"/>
      <c r="H557" s="61"/>
      <c r="I557" s="61"/>
      <c r="J557" s="62"/>
      <c r="K557" s="62"/>
      <c r="L557" s="62" t="str">
        <f>'Volunteer Survey'!B972</f>
        <v/>
      </c>
      <c r="M557" s="62" t="str">
        <f>'Volunteer Survey'!E972</f>
        <v/>
      </c>
      <c r="N557" s="62"/>
      <c r="O557" s="62" t="b">
        <v>0</v>
      </c>
      <c r="P557" s="62"/>
      <c r="Q557" s="66" t="str">
        <f>'Volunteer Survey'!J972</f>
        <v/>
      </c>
      <c r="R557" s="62"/>
      <c r="S557" s="62"/>
      <c r="T557" s="62" t="str">
        <f>'Volunteer Survey'!M972</f>
        <v/>
      </c>
      <c r="U557" s="74"/>
      <c r="V557" s="62"/>
      <c r="W557" s="75" t="str">
        <f>'Volunteer Survey'!P972</f>
        <v/>
      </c>
      <c r="X557" s="62"/>
      <c r="Y557" s="61"/>
      <c r="Z557" s="62"/>
      <c r="AA557" s="62"/>
      <c r="AB557" s="62"/>
      <c r="AC557" s="62"/>
      <c r="AD557" s="62"/>
      <c r="AE557" s="62"/>
      <c r="AF557" s="62"/>
      <c r="AG557" s="62"/>
      <c r="AH557" s="62"/>
      <c r="AI557" s="62"/>
      <c r="AJ557" s="62"/>
      <c r="AK557" s="62"/>
      <c r="AL557" s="62"/>
      <c r="AM557" s="62"/>
      <c r="AN557" s="62"/>
      <c r="AO557" s="62"/>
    </row>
    <row r="558">
      <c r="A558" s="62" t="str">
        <f>'Volunteer Survey'!A973</f>
        <v/>
      </c>
      <c r="B558" s="62"/>
      <c r="C558" s="61"/>
      <c r="D558" s="62"/>
      <c r="E558" s="62"/>
      <c r="F558" s="62" t="b">
        <v>0</v>
      </c>
      <c r="G558" s="62"/>
      <c r="H558" s="61"/>
      <c r="I558" s="61"/>
      <c r="J558" s="62"/>
      <c r="K558" s="62"/>
      <c r="L558" s="62" t="str">
        <f>'Volunteer Survey'!B973</f>
        <v/>
      </c>
      <c r="M558" s="62" t="str">
        <f>'Volunteer Survey'!E973</f>
        <v/>
      </c>
      <c r="N558" s="62"/>
      <c r="O558" s="62" t="b">
        <v>0</v>
      </c>
      <c r="P558" s="62"/>
      <c r="Q558" s="66" t="str">
        <f>'Volunteer Survey'!J973</f>
        <v/>
      </c>
      <c r="R558" s="62"/>
      <c r="S558" s="62"/>
      <c r="T558" s="62" t="str">
        <f>'Volunteer Survey'!M973</f>
        <v/>
      </c>
      <c r="U558" s="74"/>
      <c r="V558" s="62"/>
      <c r="W558" s="75" t="str">
        <f>'Volunteer Survey'!P973</f>
        <v/>
      </c>
      <c r="X558" s="62"/>
      <c r="Y558" s="61"/>
      <c r="Z558" s="62"/>
      <c r="AA558" s="62"/>
      <c r="AB558" s="62"/>
      <c r="AC558" s="62"/>
      <c r="AD558" s="62"/>
      <c r="AE558" s="62"/>
      <c r="AF558" s="62"/>
      <c r="AG558" s="62"/>
      <c r="AH558" s="62"/>
      <c r="AI558" s="62"/>
      <c r="AJ558" s="62"/>
      <c r="AK558" s="62"/>
      <c r="AL558" s="62"/>
      <c r="AM558" s="62"/>
      <c r="AN558" s="62"/>
      <c r="AO558" s="62"/>
    </row>
    <row r="559">
      <c r="A559" s="62" t="str">
        <f>'Volunteer Survey'!A974</f>
        <v/>
      </c>
      <c r="B559" s="62"/>
      <c r="C559" s="61"/>
      <c r="D559" s="62"/>
      <c r="E559" s="62"/>
      <c r="F559" s="62" t="b">
        <v>0</v>
      </c>
      <c r="G559" s="62"/>
      <c r="H559" s="61"/>
      <c r="I559" s="61"/>
      <c r="J559" s="62"/>
      <c r="K559" s="62"/>
      <c r="L559" s="62" t="str">
        <f>'Volunteer Survey'!B974</f>
        <v/>
      </c>
      <c r="M559" s="62" t="str">
        <f>'Volunteer Survey'!E974</f>
        <v/>
      </c>
      <c r="N559" s="62"/>
      <c r="O559" s="62" t="b">
        <v>0</v>
      </c>
      <c r="P559" s="62"/>
      <c r="Q559" s="66" t="str">
        <f>'Volunteer Survey'!J974</f>
        <v/>
      </c>
      <c r="R559" s="62"/>
      <c r="S559" s="62"/>
      <c r="T559" s="62" t="str">
        <f>'Volunteer Survey'!M974</f>
        <v/>
      </c>
      <c r="U559" s="74"/>
      <c r="V559" s="62"/>
      <c r="W559" s="75" t="str">
        <f>'Volunteer Survey'!P974</f>
        <v/>
      </c>
      <c r="X559" s="62"/>
      <c r="Y559" s="61"/>
      <c r="Z559" s="62"/>
      <c r="AA559" s="62"/>
      <c r="AB559" s="62"/>
      <c r="AC559" s="62"/>
      <c r="AD559" s="62"/>
      <c r="AE559" s="62"/>
      <c r="AF559" s="62"/>
      <c r="AG559" s="62"/>
      <c r="AH559" s="62"/>
      <c r="AI559" s="62"/>
      <c r="AJ559" s="62"/>
      <c r="AK559" s="62"/>
      <c r="AL559" s="62"/>
      <c r="AM559" s="62"/>
      <c r="AN559" s="62"/>
      <c r="AO559" s="62"/>
    </row>
    <row r="560">
      <c r="A560" s="62" t="str">
        <f>'Volunteer Survey'!A975</f>
        <v/>
      </c>
      <c r="B560" s="62"/>
      <c r="C560" s="61"/>
      <c r="D560" s="62"/>
      <c r="E560" s="62"/>
      <c r="F560" s="62" t="b">
        <v>0</v>
      </c>
      <c r="G560" s="62"/>
      <c r="H560" s="61"/>
      <c r="I560" s="61"/>
      <c r="J560" s="62"/>
      <c r="K560" s="62"/>
      <c r="L560" s="62" t="str">
        <f>'Volunteer Survey'!B975</f>
        <v/>
      </c>
      <c r="M560" s="62" t="str">
        <f>'Volunteer Survey'!E975</f>
        <v/>
      </c>
      <c r="N560" s="62"/>
      <c r="O560" s="62" t="b">
        <v>0</v>
      </c>
      <c r="P560" s="62"/>
      <c r="Q560" s="66" t="str">
        <f>'Volunteer Survey'!J975</f>
        <v/>
      </c>
      <c r="R560" s="62"/>
      <c r="S560" s="62"/>
      <c r="T560" s="62" t="str">
        <f>'Volunteer Survey'!M975</f>
        <v/>
      </c>
      <c r="U560" s="74"/>
      <c r="V560" s="62"/>
      <c r="W560" s="75" t="str">
        <f>'Volunteer Survey'!P975</f>
        <v/>
      </c>
      <c r="X560" s="62"/>
      <c r="Y560" s="61"/>
      <c r="Z560" s="62"/>
      <c r="AA560" s="62"/>
      <c r="AB560" s="62"/>
      <c r="AC560" s="62"/>
      <c r="AD560" s="62"/>
      <c r="AE560" s="62"/>
      <c r="AF560" s="62"/>
      <c r="AG560" s="62"/>
      <c r="AH560" s="62"/>
      <c r="AI560" s="62"/>
      <c r="AJ560" s="62"/>
      <c r="AK560" s="62"/>
      <c r="AL560" s="62"/>
      <c r="AM560" s="62"/>
      <c r="AN560" s="62"/>
      <c r="AO560" s="62"/>
    </row>
    <row r="561">
      <c r="A561" s="62" t="str">
        <f>'Volunteer Survey'!A976</f>
        <v/>
      </c>
      <c r="B561" s="62"/>
      <c r="C561" s="61"/>
      <c r="D561" s="62"/>
      <c r="E561" s="62"/>
      <c r="F561" s="62" t="b">
        <v>0</v>
      </c>
      <c r="G561" s="62"/>
      <c r="H561" s="61"/>
      <c r="I561" s="61"/>
      <c r="J561" s="62"/>
      <c r="K561" s="62"/>
      <c r="L561" s="62" t="str">
        <f>'Volunteer Survey'!B976</f>
        <v/>
      </c>
      <c r="M561" s="62" t="str">
        <f>'Volunteer Survey'!E976</f>
        <v/>
      </c>
      <c r="N561" s="62"/>
      <c r="O561" s="62" t="b">
        <v>0</v>
      </c>
      <c r="P561" s="62"/>
      <c r="Q561" s="66" t="str">
        <f>'Volunteer Survey'!J976</f>
        <v/>
      </c>
      <c r="R561" s="62"/>
      <c r="S561" s="62"/>
      <c r="T561" s="62" t="str">
        <f>'Volunteer Survey'!M976</f>
        <v/>
      </c>
      <c r="U561" s="74"/>
      <c r="V561" s="62"/>
      <c r="W561" s="75" t="str">
        <f>'Volunteer Survey'!P976</f>
        <v/>
      </c>
      <c r="X561" s="62"/>
      <c r="Y561" s="61"/>
      <c r="Z561" s="62"/>
      <c r="AA561" s="62"/>
      <c r="AB561" s="62"/>
      <c r="AC561" s="62"/>
      <c r="AD561" s="62"/>
      <c r="AE561" s="62"/>
      <c r="AF561" s="62"/>
      <c r="AG561" s="62"/>
      <c r="AH561" s="62"/>
      <c r="AI561" s="62"/>
      <c r="AJ561" s="62"/>
      <c r="AK561" s="62"/>
      <c r="AL561" s="62"/>
      <c r="AM561" s="62"/>
      <c r="AN561" s="62"/>
      <c r="AO561" s="62"/>
    </row>
    <row r="562">
      <c r="A562" s="62" t="str">
        <f>'Volunteer Survey'!A977</f>
        <v/>
      </c>
      <c r="B562" s="62"/>
      <c r="C562" s="61"/>
      <c r="D562" s="62"/>
      <c r="E562" s="62"/>
      <c r="F562" s="62" t="b">
        <v>0</v>
      </c>
      <c r="G562" s="62"/>
      <c r="H562" s="61"/>
      <c r="I562" s="61"/>
      <c r="J562" s="62"/>
      <c r="K562" s="62"/>
      <c r="L562" s="62" t="str">
        <f>'Volunteer Survey'!B977</f>
        <v/>
      </c>
      <c r="M562" s="62" t="str">
        <f>'Volunteer Survey'!E977</f>
        <v/>
      </c>
      <c r="N562" s="62"/>
      <c r="O562" s="62" t="b">
        <v>0</v>
      </c>
      <c r="P562" s="62"/>
      <c r="Q562" s="66" t="str">
        <f>'Volunteer Survey'!J977</f>
        <v/>
      </c>
      <c r="R562" s="62"/>
      <c r="S562" s="62"/>
      <c r="T562" s="62" t="str">
        <f>'Volunteer Survey'!M977</f>
        <v/>
      </c>
      <c r="U562" s="74"/>
      <c r="V562" s="62"/>
      <c r="W562" s="75" t="str">
        <f>'Volunteer Survey'!P977</f>
        <v/>
      </c>
      <c r="X562" s="62"/>
      <c r="Y562" s="61"/>
      <c r="Z562" s="62"/>
      <c r="AA562" s="62"/>
      <c r="AB562" s="62"/>
      <c r="AC562" s="62"/>
      <c r="AD562" s="62"/>
      <c r="AE562" s="62"/>
      <c r="AF562" s="62"/>
      <c r="AG562" s="62"/>
      <c r="AH562" s="62"/>
      <c r="AI562" s="62"/>
      <c r="AJ562" s="62"/>
      <c r="AK562" s="62"/>
      <c r="AL562" s="62"/>
      <c r="AM562" s="62"/>
      <c r="AN562" s="62"/>
      <c r="AO562" s="62"/>
    </row>
    <row r="563">
      <c r="A563" s="62" t="str">
        <f>'Volunteer Survey'!A978</f>
        <v/>
      </c>
      <c r="B563" s="62"/>
      <c r="C563" s="61"/>
      <c r="D563" s="62"/>
      <c r="E563" s="62"/>
      <c r="F563" s="62" t="b">
        <v>0</v>
      </c>
      <c r="G563" s="62"/>
      <c r="H563" s="61"/>
      <c r="I563" s="61"/>
      <c r="J563" s="62"/>
      <c r="K563" s="62"/>
      <c r="L563" s="62" t="str">
        <f>'Volunteer Survey'!B978</f>
        <v/>
      </c>
      <c r="M563" s="62" t="str">
        <f>'Volunteer Survey'!E978</f>
        <v/>
      </c>
      <c r="N563" s="62"/>
      <c r="O563" s="62" t="b">
        <v>0</v>
      </c>
      <c r="P563" s="62"/>
      <c r="Q563" s="66" t="str">
        <f>'Volunteer Survey'!J978</f>
        <v/>
      </c>
      <c r="R563" s="62"/>
      <c r="S563" s="62"/>
      <c r="T563" s="62" t="str">
        <f>'Volunteer Survey'!M978</f>
        <v/>
      </c>
      <c r="U563" s="74"/>
      <c r="V563" s="62"/>
      <c r="W563" s="75" t="str">
        <f>'Volunteer Survey'!P978</f>
        <v/>
      </c>
      <c r="X563" s="62"/>
      <c r="Y563" s="61"/>
      <c r="Z563" s="62"/>
      <c r="AA563" s="62"/>
      <c r="AB563" s="62"/>
      <c r="AC563" s="62"/>
      <c r="AD563" s="62"/>
      <c r="AE563" s="62"/>
      <c r="AF563" s="62"/>
      <c r="AG563" s="62"/>
      <c r="AH563" s="62"/>
      <c r="AI563" s="62"/>
      <c r="AJ563" s="62"/>
      <c r="AK563" s="62"/>
      <c r="AL563" s="62"/>
      <c r="AM563" s="62"/>
      <c r="AN563" s="62"/>
      <c r="AO563" s="62"/>
    </row>
    <row r="564">
      <c r="A564" s="62" t="str">
        <f>'Volunteer Survey'!A979</f>
        <v/>
      </c>
      <c r="B564" s="62"/>
      <c r="C564" s="61"/>
      <c r="D564" s="62"/>
      <c r="E564" s="62"/>
      <c r="F564" s="62" t="b">
        <v>0</v>
      </c>
      <c r="G564" s="62"/>
      <c r="H564" s="61"/>
      <c r="I564" s="61"/>
      <c r="J564" s="62"/>
      <c r="K564" s="62"/>
      <c r="L564" s="62" t="str">
        <f>'Volunteer Survey'!B979</f>
        <v/>
      </c>
      <c r="M564" s="62" t="str">
        <f>'Volunteer Survey'!E979</f>
        <v/>
      </c>
      <c r="N564" s="62"/>
      <c r="O564" s="62" t="b">
        <v>0</v>
      </c>
      <c r="P564" s="62"/>
      <c r="Q564" s="66" t="str">
        <f>'Volunteer Survey'!J979</f>
        <v/>
      </c>
      <c r="R564" s="62"/>
      <c r="S564" s="62"/>
      <c r="T564" s="62" t="str">
        <f>'Volunteer Survey'!M979</f>
        <v/>
      </c>
      <c r="U564" s="74"/>
      <c r="V564" s="62"/>
      <c r="W564" s="75" t="str">
        <f>'Volunteer Survey'!P979</f>
        <v/>
      </c>
      <c r="X564" s="62"/>
      <c r="Y564" s="61"/>
      <c r="Z564" s="62"/>
      <c r="AA564" s="62"/>
      <c r="AB564" s="62"/>
      <c r="AC564" s="62"/>
      <c r="AD564" s="62"/>
      <c r="AE564" s="62"/>
      <c r="AF564" s="62"/>
      <c r="AG564" s="62"/>
      <c r="AH564" s="62"/>
      <c r="AI564" s="62"/>
      <c r="AJ564" s="62"/>
      <c r="AK564" s="62"/>
      <c r="AL564" s="62"/>
      <c r="AM564" s="62"/>
      <c r="AN564" s="62"/>
      <c r="AO564" s="62"/>
    </row>
    <row r="565">
      <c r="A565" s="62" t="str">
        <f>'Volunteer Survey'!A980</f>
        <v/>
      </c>
      <c r="B565" s="62"/>
      <c r="C565" s="61"/>
      <c r="D565" s="62"/>
      <c r="E565" s="62"/>
      <c r="F565" s="62" t="b">
        <v>0</v>
      </c>
      <c r="G565" s="62"/>
      <c r="H565" s="61"/>
      <c r="I565" s="61"/>
      <c r="J565" s="62"/>
      <c r="K565" s="62"/>
      <c r="L565" s="62" t="str">
        <f>'Volunteer Survey'!B980</f>
        <v/>
      </c>
      <c r="M565" s="62" t="str">
        <f>'Volunteer Survey'!E980</f>
        <v/>
      </c>
      <c r="N565" s="62"/>
      <c r="O565" s="62" t="b">
        <v>0</v>
      </c>
      <c r="P565" s="62"/>
      <c r="Q565" s="66" t="str">
        <f>'Volunteer Survey'!J980</f>
        <v/>
      </c>
      <c r="R565" s="62"/>
      <c r="S565" s="62"/>
      <c r="T565" s="62" t="str">
        <f>'Volunteer Survey'!M980</f>
        <v/>
      </c>
      <c r="U565" s="74"/>
      <c r="V565" s="62"/>
      <c r="W565" s="75" t="str">
        <f>'Volunteer Survey'!P980</f>
        <v/>
      </c>
      <c r="X565" s="62"/>
      <c r="Y565" s="61"/>
      <c r="Z565" s="62"/>
      <c r="AA565" s="62"/>
      <c r="AB565" s="62"/>
      <c r="AC565" s="62"/>
      <c r="AD565" s="62"/>
      <c r="AE565" s="62"/>
      <c r="AF565" s="62"/>
      <c r="AG565" s="62"/>
      <c r="AH565" s="62"/>
      <c r="AI565" s="62"/>
      <c r="AJ565" s="62"/>
      <c r="AK565" s="62"/>
      <c r="AL565" s="62"/>
      <c r="AM565" s="62"/>
      <c r="AN565" s="62"/>
      <c r="AO565" s="62"/>
    </row>
    <row r="566">
      <c r="A566" s="62" t="str">
        <f>'Volunteer Survey'!A981</f>
        <v/>
      </c>
      <c r="B566" s="62"/>
      <c r="C566" s="61"/>
      <c r="D566" s="62"/>
      <c r="E566" s="62"/>
      <c r="F566" s="62" t="b">
        <v>0</v>
      </c>
      <c r="G566" s="62"/>
      <c r="H566" s="61"/>
      <c r="I566" s="61"/>
      <c r="J566" s="62"/>
      <c r="K566" s="62"/>
      <c r="L566" s="62" t="str">
        <f>'Volunteer Survey'!B981</f>
        <v/>
      </c>
      <c r="M566" s="62" t="str">
        <f>'Volunteer Survey'!E981</f>
        <v/>
      </c>
      <c r="N566" s="62"/>
      <c r="O566" s="62" t="b">
        <v>0</v>
      </c>
      <c r="P566" s="62"/>
      <c r="Q566" s="66" t="str">
        <f>'Volunteer Survey'!J981</f>
        <v/>
      </c>
      <c r="R566" s="62"/>
      <c r="S566" s="62"/>
      <c r="T566" s="62" t="str">
        <f>'Volunteer Survey'!M981</f>
        <v/>
      </c>
      <c r="U566" s="74"/>
      <c r="V566" s="62"/>
      <c r="W566" s="75" t="str">
        <f>'Volunteer Survey'!P981</f>
        <v/>
      </c>
      <c r="X566" s="62"/>
      <c r="Y566" s="61"/>
      <c r="Z566" s="62"/>
      <c r="AA566" s="62"/>
      <c r="AB566" s="62"/>
      <c r="AC566" s="62"/>
      <c r="AD566" s="62"/>
      <c r="AE566" s="62"/>
      <c r="AF566" s="62"/>
      <c r="AG566" s="62"/>
      <c r="AH566" s="62"/>
      <c r="AI566" s="62"/>
      <c r="AJ566" s="62"/>
      <c r="AK566" s="62"/>
      <c r="AL566" s="62"/>
      <c r="AM566" s="62"/>
      <c r="AN566" s="62"/>
      <c r="AO566" s="62"/>
    </row>
    <row r="567">
      <c r="A567" s="62" t="str">
        <f>'Volunteer Survey'!A982</f>
        <v/>
      </c>
      <c r="B567" s="62"/>
      <c r="C567" s="61"/>
      <c r="D567" s="62"/>
      <c r="E567" s="62"/>
      <c r="F567" s="62" t="b">
        <v>0</v>
      </c>
      <c r="G567" s="62"/>
      <c r="H567" s="61"/>
      <c r="I567" s="61"/>
      <c r="J567" s="62"/>
      <c r="K567" s="62"/>
      <c r="L567" s="62" t="str">
        <f>'Volunteer Survey'!B982</f>
        <v/>
      </c>
      <c r="M567" s="62" t="str">
        <f>'Volunteer Survey'!E982</f>
        <v/>
      </c>
      <c r="N567" s="62"/>
      <c r="O567" s="62" t="b">
        <v>0</v>
      </c>
      <c r="P567" s="62"/>
      <c r="Q567" s="66" t="str">
        <f>'Volunteer Survey'!J982</f>
        <v/>
      </c>
      <c r="R567" s="62"/>
      <c r="S567" s="62"/>
      <c r="T567" s="62" t="str">
        <f>'Volunteer Survey'!M982</f>
        <v/>
      </c>
      <c r="U567" s="74"/>
      <c r="V567" s="62"/>
      <c r="W567" s="75" t="str">
        <f>'Volunteer Survey'!P982</f>
        <v/>
      </c>
      <c r="X567" s="62"/>
      <c r="Y567" s="61"/>
      <c r="Z567" s="62"/>
      <c r="AA567" s="62"/>
      <c r="AB567" s="62"/>
      <c r="AC567" s="62"/>
      <c r="AD567" s="62"/>
      <c r="AE567" s="62"/>
      <c r="AF567" s="62"/>
      <c r="AG567" s="62"/>
      <c r="AH567" s="62"/>
      <c r="AI567" s="62"/>
      <c r="AJ567" s="62"/>
      <c r="AK567" s="62"/>
      <c r="AL567" s="62"/>
      <c r="AM567" s="62"/>
      <c r="AN567" s="62"/>
      <c r="AO567" s="62"/>
    </row>
    <row r="568">
      <c r="A568" s="62" t="str">
        <f>'Volunteer Survey'!A983</f>
        <v/>
      </c>
      <c r="B568" s="62"/>
      <c r="C568" s="61"/>
      <c r="D568" s="62"/>
      <c r="E568" s="62"/>
      <c r="F568" s="62" t="b">
        <v>0</v>
      </c>
      <c r="G568" s="62"/>
      <c r="H568" s="61"/>
      <c r="I568" s="61"/>
      <c r="J568" s="62"/>
      <c r="K568" s="62"/>
      <c r="L568" s="62" t="str">
        <f>'Volunteer Survey'!B983</f>
        <v/>
      </c>
      <c r="M568" s="62" t="str">
        <f>'Volunteer Survey'!E983</f>
        <v/>
      </c>
      <c r="N568" s="62"/>
      <c r="O568" s="62" t="b">
        <v>0</v>
      </c>
      <c r="P568" s="62"/>
      <c r="Q568" s="66" t="str">
        <f>'Volunteer Survey'!J983</f>
        <v/>
      </c>
      <c r="R568" s="62"/>
      <c r="S568" s="62"/>
      <c r="T568" s="62" t="str">
        <f>'Volunteer Survey'!M983</f>
        <v/>
      </c>
      <c r="U568" s="74"/>
      <c r="V568" s="62"/>
      <c r="W568" s="75" t="str">
        <f>'Volunteer Survey'!P983</f>
        <v/>
      </c>
      <c r="X568" s="62"/>
      <c r="Y568" s="61"/>
      <c r="Z568" s="62"/>
      <c r="AA568" s="62"/>
      <c r="AB568" s="62"/>
      <c r="AC568" s="62"/>
      <c r="AD568" s="62"/>
      <c r="AE568" s="62"/>
      <c r="AF568" s="62"/>
      <c r="AG568" s="62"/>
      <c r="AH568" s="62"/>
      <c r="AI568" s="62"/>
      <c r="AJ568" s="62"/>
      <c r="AK568" s="62"/>
      <c r="AL568" s="62"/>
      <c r="AM568" s="62"/>
      <c r="AN568" s="62"/>
      <c r="AO568" s="62"/>
    </row>
    <row r="569">
      <c r="A569" s="62" t="str">
        <f>'Volunteer Survey'!A984</f>
        <v/>
      </c>
      <c r="B569" s="62"/>
      <c r="C569" s="61"/>
      <c r="D569" s="62"/>
      <c r="E569" s="62"/>
      <c r="F569" s="62" t="b">
        <v>0</v>
      </c>
      <c r="G569" s="62"/>
      <c r="H569" s="61"/>
      <c r="I569" s="61"/>
      <c r="J569" s="62"/>
      <c r="K569" s="62"/>
      <c r="L569" s="62" t="str">
        <f>'Volunteer Survey'!B984</f>
        <v/>
      </c>
      <c r="M569" s="62" t="str">
        <f>'Volunteer Survey'!E984</f>
        <v/>
      </c>
      <c r="N569" s="62"/>
      <c r="O569" s="62" t="b">
        <v>0</v>
      </c>
      <c r="P569" s="62"/>
      <c r="Q569" s="66" t="str">
        <f>'Volunteer Survey'!J984</f>
        <v/>
      </c>
      <c r="R569" s="62"/>
      <c r="S569" s="62"/>
      <c r="T569" s="62" t="str">
        <f>'Volunteer Survey'!M984</f>
        <v/>
      </c>
      <c r="U569" s="74"/>
      <c r="V569" s="62"/>
      <c r="W569" s="75" t="str">
        <f>'Volunteer Survey'!P984</f>
        <v/>
      </c>
      <c r="X569" s="62"/>
      <c r="Y569" s="61"/>
      <c r="Z569" s="62"/>
      <c r="AA569" s="62"/>
      <c r="AB569" s="62"/>
      <c r="AC569" s="62"/>
      <c r="AD569" s="62"/>
      <c r="AE569" s="62"/>
      <c r="AF569" s="62"/>
      <c r="AG569" s="62"/>
      <c r="AH569" s="62"/>
      <c r="AI569" s="62"/>
      <c r="AJ569" s="62"/>
      <c r="AK569" s="62"/>
      <c r="AL569" s="62"/>
      <c r="AM569" s="62"/>
      <c r="AN569" s="62"/>
      <c r="AO569" s="62"/>
    </row>
    <row r="570">
      <c r="A570" s="62" t="str">
        <f>'Volunteer Survey'!A985</f>
        <v/>
      </c>
      <c r="B570" s="62"/>
      <c r="C570" s="61"/>
      <c r="D570" s="62"/>
      <c r="E570" s="62"/>
      <c r="F570" s="62" t="b">
        <v>0</v>
      </c>
      <c r="G570" s="62"/>
      <c r="H570" s="61"/>
      <c r="I570" s="61"/>
      <c r="J570" s="62"/>
      <c r="K570" s="62"/>
      <c r="L570" s="62" t="str">
        <f>'Volunteer Survey'!B985</f>
        <v/>
      </c>
      <c r="M570" s="62" t="str">
        <f>'Volunteer Survey'!E985</f>
        <v/>
      </c>
      <c r="N570" s="62"/>
      <c r="O570" s="62" t="b">
        <v>0</v>
      </c>
      <c r="P570" s="62"/>
      <c r="Q570" s="66" t="str">
        <f>'Volunteer Survey'!J985</f>
        <v/>
      </c>
      <c r="R570" s="62"/>
      <c r="S570" s="62"/>
      <c r="T570" s="62" t="str">
        <f>'Volunteer Survey'!M985</f>
        <v/>
      </c>
      <c r="U570" s="74"/>
      <c r="V570" s="62"/>
      <c r="W570" s="75" t="str">
        <f>'Volunteer Survey'!P985</f>
        <v/>
      </c>
      <c r="X570" s="62"/>
      <c r="Y570" s="61"/>
      <c r="Z570" s="62"/>
      <c r="AA570" s="62"/>
      <c r="AB570" s="62"/>
      <c r="AC570" s="62"/>
      <c r="AD570" s="62"/>
      <c r="AE570" s="62"/>
      <c r="AF570" s="62"/>
      <c r="AG570" s="62"/>
      <c r="AH570" s="62"/>
      <c r="AI570" s="62"/>
      <c r="AJ570" s="62"/>
      <c r="AK570" s="62"/>
      <c r="AL570" s="62"/>
      <c r="AM570" s="62"/>
      <c r="AN570" s="62"/>
      <c r="AO570" s="62"/>
    </row>
    <row r="571">
      <c r="A571" s="62" t="str">
        <f>'Volunteer Survey'!A986</f>
        <v/>
      </c>
      <c r="B571" s="62"/>
      <c r="C571" s="61"/>
      <c r="D571" s="62"/>
      <c r="E571" s="62"/>
      <c r="F571" s="62" t="b">
        <v>0</v>
      </c>
      <c r="G571" s="62"/>
      <c r="H571" s="61"/>
      <c r="I571" s="61"/>
      <c r="J571" s="62"/>
      <c r="K571" s="62"/>
      <c r="L571" s="62" t="str">
        <f>'Volunteer Survey'!B986</f>
        <v/>
      </c>
      <c r="M571" s="62"/>
      <c r="N571" s="62"/>
      <c r="O571" s="62" t="b">
        <v>0</v>
      </c>
      <c r="P571" s="62"/>
      <c r="Q571" s="66" t="str">
        <f>'Volunteer Survey'!J986</f>
        <v/>
      </c>
      <c r="R571" s="62"/>
      <c r="S571" s="62"/>
      <c r="T571" s="62" t="str">
        <f>'Volunteer Survey'!M986</f>
        <v/>
      </c>
      <c r="U571" s="74"/>
      <c r="V571" s="62"/>
      <c r="W571" s="75" t="str">
        <f>'Volunteer Survey'!P986</f>
        <v/>
      </c>
      <c r="X571" s="62"/>
      <c r="Y571" s="61"/>
      <c r="Z571" s="62"/>
      <c r="AA571" s="62"/>
      <c r="AB571" s="62"/>
      <c r="AC571" s="62"/>
      <c r="AD571" s="62"/>
      <c r="AE571" s="62"/>
      <c r="AF571" s="62"/>
      <c r="AG571" s="62"/>
      <c r="AH571" s="62"/>
      <c r="AI571" s="62"/>
      <c r="AJ571" s="62"/>
      <c r="AK571" s="62"/>
      <c r="AL571" s="62"/>
      <c r="AM571" s="62"/>
      <c r="AN571" s="62"/>
      <c r="AO571" s="62"/>
    </row>
    <row r="572">
      <c r="A572" s="62" t="str">
        <f>'Volunteer Survey'!A987</f>
        <v/>
      </c>
      <c r="B572" s="62"/>
      <c r="C572" s="61"/>
      <c r="D572" s="62"/>
      <c r="E572" s="62"/>
      <c r="F572" s="62" t="b">
        <v>0</v>
      </c>
      <c r="G572" s="62"/>
      <c r="H572" s="61"/>
      <c r="I572" s="61"/>
      <c r="J572" s="62"/>
      <c r="K572" s="62"/>
      <c r="L572" s="62" t="str">
        <f>'Volunteer Survey'!B987</f>
        <v/>
      </c>
      <c r="M572" s="62"/>
      <c r="N572" s="62"/>
      <c r="O572" s="62" t="b">
        <v>0</v>
      </c>
      <c r="P572" s="62"/>
      <c r="Q572" s="66" t="str">
        <f>'Volunteer Survey'!J987</f>
        <v/>
      </c>
      <c r="R572" s="62"/>
      <c r="S572" s="62"/>
      <c r="T572" s="62" t="str">
        <f>'Volunteer Survey'!M987</f>
        <v/>
      </c>
      <c r="U572" s="74"/>
      <c r="V572" s="62"/>
      <c r="W572" s="75" t="str">
        <f>'Volunteer Survey'!P987</f>
        <v/>
      </c>
      <c r="X572" s="62"/>
      <c r="Y572" s="61"/>
      <c r="Z572" s="62"/>
      <c r="AA572" s="62"/>
      <c r="AB572" s="62"/>
      <c r="AC572" s="62"/>
      <c r="AD572" s="62"/>
      <c r="AE572" s="62"/>
      <c r="AF572" s="62"/>
      <c r="AG572" s="62"/>
      <c r="AH572" s="62"/>
      <c r="AI572" s="62"/>
      <c r="AJ572" s="62"/>
      <c r="AK572" s="62"/>
      <c r="AL572" s="62"/>
      <c r="AM572" s="62"/>
      <c r="AN572" s="62"/>
      <c r="AO572" s="62"/>
    </row>
    <row r="573">
      <c r="A573" s="62" t="str">
        <f>'Volunteer Survey'!A988</f>
        <v/>
      </c>
      <c r="B573" s="62"/>
      <c r="C573" s="61"/>
      <c r="D573" s="62"/>
      <c r="E573" s="62"/>
      <c r="F573" s="62" t="b">
        <v>0</v>
      </c>
      <c r="G573" s="62"/>
      <c r="H573" s="61"/>
      <c r="I573" s="61"/>
      <c r="J573" s="62"/>
      <c r="K573" s="62"/>
      <c r="L573" s="62" t="str">
        <f>'Volunteer Survey'!B988</f>
        <v/>
      </c>
      <c r="M573" s="62"/>
      <c r="N573" s="62"/>
      <c r="O573" s="62" t="b">
        <v>0</v>
      </c>
      <c r="P573" s="62"/>
      <c r="Q573" s="66" t="str">
        <f>'Volunteer Survey'!J988</f>
        <v/>
      </c>
      <c r="R573" s="62"/>
      <c r="S573" s="62"/>
      <c r="T573" s="62" t="str">
        <f>'Volunteer Survey'!M988</f>
        <v/>
      </c>
      <c r="U573" s="74"/>
      <c r="V573" s="62"/>
      <c r="W573" s="75" t="str">
        <f>'Volunteer Survey'!P988</f>
        <v/>
      </c>
      <c r="X573" s="62"/>
      <c r="Y573" s="61"/>
      <c r="Z573" s="62"/>
      <c r="AA573" s="62"/>
      <c r="AB573" s="62"/>
      <c r="AC573" s="62"/>
      <c r="AD573" s="62"/>
      <c r="AE573" s="62"/>
      <c r="AF573" s="62"/>
      <c r="AG573" s="62"/>
      <c r="AH573" s="62"/>
      <c r="AI573" s="62"/>
      <c r="AJ573" s="62"/>
      <c r="AK573" s="62"/>
      <c r="AL573" s="62"/>
      <c r="AM573" s="62"/>
      <c r="AN573" s="62"/>
      <c r="AO573" s="62"/>
    </row>
    <row r="574">
      <c r="A574" s="62" t="str">
        <f>'Volunteer Survey'!A989</f>
        <v/>
      </c>
      <c r="B574" s="62"/>
      <c r="C574" s="61"/>
      <c r="D574" s="62"/>
      <c r="E574" s="62"/>
      <c r="F574" s="62" t="b">
        <v>0</v>
      </c>
      <c r="G574" s="62"/>
      <c r="H574" s="61"/>
      <c r="I574" s="61"/>
      <c r="J574" s="62"/>
      <c r="K574" s="62"/>
      <c r="L574" s="62" t="str">
        <f>'Volunteer Survey'!B989</f>
        <v/>
      </c>
      <c r="M574" s="62"/>
      <c r="N574" s="62"/>
      <c r="O574" s="62" t="b">
        <v>0</v>
      </c>
      <c r="P574" s="62"/>
      <c r="Q574" s="66" t="str">
        <f>'Volunteer Survey'!J989</f>
        <v/>
      </c>
      <c r="R574" s="62"/>
      <c r="S574" s="62"/>
      <c r="T574" s="62" t="str">
        <f>'Volunteer Survey'!M989</f>
        <v/>
      </c>
      <c r="U574" s="74"/>
      <c r="V574" s="62"/>
      <c r="W574" s="75" t="str">
        <f>'Volunteer Survey'!P989</f>
        <v/>
      </c>
      <c r="X574" s="62"/>
      <c r="Y574" s="61"/>
      <c r="Z574" s="62"/>
      <c r="AA574" s="62"/>
      <c r="AB574" s="62"/>
      <c r="AC574" s="62"/>
      <c r="AD574" s="62"/>
      <c r="AE574" s="62"/>
      <c r="AF574" s="62"/>
      <c r="AG574" s="62"/>
      <c r="AH574" s="62"/>
      <c r="AI574" s="62"/>
      <c r="AJ574" s="62"/>
      <c r="AK574" s="62"/>
      <c r="AL574" s="62"/>
      <c r="AM574" s="62"/>
      <c r="AN574" s="62"/>
      <c r="AO574" s="62"/>
    </row>
    <row r="575">
      <c r="A575" s="62" t="str">
        <f>'Volunteer Survey'!A990</f>
        <v/>
      </c>
      <c r="B575" s="62"/>
      <c r="C575" s="61"/>
      <c r="D575" s="62"/>
      <c r="E575" s="62"/>
      <c r="F575" s="62" t="b">
        <v>0</v>
      </c>
      <c r="G575" s="62"/>
      <c r="H575" s="61"/>
      <c r="I575" s="61"/>
      <c r="J575" s="62"/>
      <c r="K575" s="62"/>
      <c r="L575" s="62" t="str">
        <f>'Volunteer Survey'!B990</f>
        <v/>
      </c>
      <c r="M575" s="62"/>
      <c r="N575" s="62"/>
      <c r="O575" s="62" t="b">
        <v>0</v>
      </c>
      <c r="P575" s="62"/>
      <c r="Q575" s="66" t="str">
        <f>'Volunteer Survey'!J990</f>
        <v/>
      </c>
      <c r="R575" s="62"/>
      <c r="S575" s="62"/>
      <c r="T575" s="62" t="str">
        <f>'Volunteer Survey'!M990</f>
        <v/>
      </c>
      <c r="U575" s="74"/>
      <c r="V575" s="62"/>
      <c r="W575" s="75" t="str">
        <f>'Volunteer Survey'!P990</f>
        <v/>
      </c>
      <c r="X575" s="62"/>
      <c r="Y575" s="61"/>
      <c r="Z575" s="62"/>
      <c r="AA575" s="62"/>
      <c r="AB575" s="62"/>
      <c r="AC575" s="62"/>
      <c r="AD575" s="62"/>
      <c r="AE575" s="62"/>
      <c r="AF575" s="62"/>
      <c r="AG575" s="62"/>
      <c r="AH575" s="62"/>
      <c r="AI575" s="62"/>
      <c r="AJ575" s="62"/>
      <c r="AK575" s="62"/>
      <c r="AL575" s="62"/>
      <c r="AM575" s="62"/>
      <c r="AN575" s="62"/>
      <c r="AO575" s="62"/>
    </row>
    <row r="576">
      <c r="A576" s="62" t="str">
        <f>'Volunteer Survey'!A991</f>
        <v/>
      </c>
      <c r="B576" s="62"/>
      <c r="C576" s="61"/>
      <c r="D576" s="62"/>
      <c r="E576" s="62"/>
      <c r="F576" s="62" t="b">
        <v>0</v>
      </c>
      <c r="G576" s="62"/>
      <c r="H576" s="61"/>
      <c r="I576" s="61"/>
      <c r="J576" s="62"/>
      <c r="K576" s="62"/>
      <c r="L576" s="62" t="str">
        <f>'Volunteer Survey'!B991</f>
        <v/>
      </c>
      <c r="M576" s="62"/>
      <c r="N576" s="62"/>
      <c r="O576" s="62" t="b">
        <v>0</v>
      </c>
      <c r="P576" s="62"/>
      <c r="Q576" s="66" t="str">
        <f>'Volunteer Survey'!J991</f>
        <v/>
      </c>
      <c r="R576" s="62"/>
      <c r="S576" s="62"/>
      <c r="T576" s="62" t="str">
        <f>'Volunteer Survey'!M991</f>
        <v/>
      </c>
      <c r="U576" s="74"/>
      <c r="V576" s="62"/>
      <c r="W576" s="75" t="str">
        <f>'Volunteer Survey'!P991</f>
        <v/>
      </c>
      <c r="X576" s="62"/>
      <c r="Y576" s="61"/>
      <c r="Z576" s="62"/>
      <c r="AA576" s="62"/>
      <c r="AB576" s="62"/>
      <c r="AC576" s="62"/>
      <c r="AD576" s="62"/>
      <c r="AE576" s="62"/>
      <c r="AF576" s="62"/>
      <c r="AG576" s="62"/>
      <c r="AH576" s="62"/>
      <c r="AI576" s="62"/>
      <c r="AJ576" s="62"/>
      <c r="AK576" s="62"/>
      <c r="AL576" s="62"/>
      <c r="AM576" s="62"/>
      <c r="AN576" s="62"/>
      <c r="AO576" s="62"/>
    </row>
    <row r="577">
      <c r="A577" s="62" t="str">
        <f>'Volunteer Survey'!A992</f>
        <v/>
      </c>
      <c r="B577" s="62"/>
      <c r="C577" s="61"/>
      <c r="D577" s="62"/>
      <c r="E577" s="62"/>
      <c r="F577" s="62" t="b">
        <v>0</v>
      </c>
      <c r="G577" s="62"/>
      <c r="H577" s="61"/>
      <c r="I577" s="61"/>
      <c r="J577" s="62"/>
      <c r="K577" s="62"/>
      <c r="L577" s="62" t="str">
        <f>'Volunteer Survey'!B992</f>
        <v/>
      </c>
      <c r="M577" s="62"/>
      <c r="N577" s="62"/>
      <c r="O577" s="62" t="b">
        <v>0</v>
      </c>
      <c r="P577" s="62"/>
      <c r="Q577" s="66" t="str">
        <f>'Volunteer Survey'!J992</f>
        <v/>
      </c>
      <c r="R577" s="62"/>
      <c r="S577" s="62"/>
      <c r="T577" s="62" t="str">
        <f>'Volunteer Survey'!M992</f>
        <v/>
      </c>
      <c r="U577" s="74"/>
      <c r="V577" s="62"/>
      <c r="W577" s="75" t="str">
        <f>'Volunteer Survey'!P992</f>
        <v/>
      </c>
      <c r="X577" s="62"/>
      <c r="Y577" s="61"/>
      <c r="Z577" s="62"/>
      <c r="AA577" s="62"/>
      <c r="AB577" s="62"/>
      <c r="AC577" s="62"/>
      <c r="AD577" s="62"/>
      <c r="AE577" s="62"/>
      <c r="AF577" s="62"/>
      <c r="AG577" s="62"/>
      <c r="AH577" s="62"/>
      <c r="AI577" s="62"/>
      <c r="AJ577" s="62"/>
      <c r="AK577" s="62"/>
      <c r="AL577" s="62"/>
      <c r="AM577" s="62"/>
      <c r="AN577" s="62"/>
      <c r="AO577" s="62"/>
    </row>
    <row r="578">
      <c r="A578" s="62" t="str">
        <f>'Volunteer Survey'!A993</f>
        <v/>
      </c>
      <c r="B578" s="62"/>
      <c r="C578" s="61"/>
      <c r="D578" s="62"/>
      <c r="E578" s="62"/>
      <c r="F578" s="62" t="b">
        <v>0</v>
      </c>
      <c r="G578" s="62"/>
      <c r="H578" s="61"/>
      <c r="I578" s="61"/>
      <c r="J578" s="62"/>
      <c r="K578" s="62"/>
      <c r="L578" s="62" t="str">
        <f>'Volunteer Survey'!B993</f>
        <v/>
      </c>
      <c r="M578" s="62"/>
      <c r="N578" s="62"/>
      <c r="O578" s="62" t="b">
        <v>0</v>
      </c>
      <c r="P578" s="62"/>
      <c r="Q578" s="66" t="str">
        <f>'Volunteer Survey'!J993</f>
        <v/>
      </c>
      <c r="R578" s="62"/>
      <c r="S578" s="62"/>
      <c r="T578" s="62" t="str">
        <f>'Volunteer Survey'!M993</f>
        <v/>
      </c>
      <c r="U578" s="74"/>
      <c r="V578" s="62"/>
      <c r="W578" s="75" t="str">
        <f>'Volunteer Survey'!P993</f>
        <v/>
      </c>
      <c r="X578" s="62"/>
      <c r="Y578" s="61"/>
      <c r="Z578" s="62"/>
      <c r="AA578" s="62"/>
      <c r="AB578" s="62"/>
      <c r="AC578" s="62"/>
      <c r="AD578" s="62"/>
      <c r="AE578" s="62"/>
      <c r="AF578" s="62"/>
      <c r="AG578" s="62"/>
      <c r="AH578" s="62"/>
      <c r="AI578" s="62"/>
      <c r="AJ578" s="62"/>
      <c r="AK578" s="62"/>
      <c r="AL578" s="62"/>
      <c r="AM578" s="62"/>
      <c r="AN578" s="62"/>
      <c r="AO578" s="62"/>
    </row>
    <row r="579">
      <c r="A579" s="62" t="str">
        <f>'Volunteer Survey'!A994</f>
        <v/>
      </c>
      <c r="B579" s="62"/>
      <c r="C579" s="61"/>
      <c r="D579" s="62"/>
      <c r="E579" s="62"/>
      <c r="F579" s="62" t="b">
        <v>0</v>
      </c>
      <c r="G579" s="62"/>
      <c r="H579" s="61"/>
      <c r="I579" s="61"/>
      <c r="J579" s="62"/>
      <c r="K579" s="62"/>
      <c r="L579" s="62" t="str">
        <f>'Volunteer Survey'!B994</f>
        <v/>
      </c>
      <c r="M579" s="62"/>
      <c r="N579" s="62"/>
      <c r="O579" s="62" t="b">
        <v>0</v>
      </c>
      <c r="P579" s="62"/>
      <c r="Q579" s="66" t="str">
        <f>'Volunteer Survey'!J994</f>
        <v/>
      </c>
      <c r="R579" s="62"/>
      <c r="S579" s="62"/>
      <c r="T579" s="62" t="str">
        <f>'Volunteer Survey'!M994</f>
        <v/>
      </c>
      <c r="U579" s="74"/>
      <c r="V579" s="62"/>
      <c r="W579" s="75" t="str">
        <f>'Volunteer Survey'!P994</f>
        <v/>
      </c>
      <c r="X579" s="62"/>
      <c r="Y579" s="61"/>
      <c r="Z579" s="62"/>
      <c r="AA579" s="62"/>
      <c r="AB579" s="62"/>
      <c r="AC579" s="62"/>
      <c r="AD579" s="62"/>
      <c r="AE579" s="62"/>
      <c r="AF579" s="62"/>
      <c r="AG579" s="62"/>
      <c r="AH579" s="62"/>
      <c r="AI579" s="62"/>
      <c r="AJ579" s="62"/>
      <c r="AK579" s="62"/>
      <c r="AL579" s="62"/>
      <c r="AM579" s="62"/>
      <c r="AN579" s="62"/>
      <c r="AO579" s="62"/>
    </row>
    <row r="580">
      <c r="A580" s="62" t="str">
        <f>'Volunteer Survey'!A995</f>
        <v/>
      </c>
      <c r="B580" s="62"/>
      <c r="C580" s="61"/>
      <c r="D580" s="62"/>
      <c r="E580" s="62"/>
      <c r="F580" s="62" t="b">
        <v>0</v>
      </c>
      <c r="G580" s="62"/>
      <c r="H580" s="61"/>
      <c r="I580" s="61"/>
      <c r="J580" s="62"/>
      <c r="K580" s="62"/>
      <c r="L580" s="62" t="str">
        <f>'Volunteer Survey'!B995</f>
        <v/>
      </c>
      <c r="M580" s="62"/>
      <c r="N580" s="62"/>
      <c r="O580" s="62" t="b">
        <v>0</v>
      </c>
      <c r="P580" s="62"/>
      <c r="Q580" s="66" t="str">
        <f>'Volunteer Survey'!J995</f>
        <v/>
      </c>
      <c r="R580" s="62"/>
      <c r="S580" s="62"/>
      <c r="T580" s="62" t="str">
        <f>'Volunteer Survey'!M995</f>
        <v/>
      </c>
      <c r="U580" s="74"/>
      <c r="V580" s="62"/>
      <c r="W580" s="75" t="str">
        <f>'Volunteer Survey'!P995</f>
        <v/>
      </c>
      <c r="X580" s="62"/>
      <c r="Y580" s="61"/>
      <c r="Z580" s="62"/>
      <c r="AA580" s="62"/>
      <c r="AB580" s="62"/>
      <c r="AC580" s="62"/>
      <c r="AD580" s="62"/>
      <c r="AE580" s="62"/>
      <c r="AF580" s="62"/>
      <c r="AG580" s="62"/>
      <c r="AH580" s="62"/>
      <c r="AI580" s="62"/>
      <c r="AJ580" s="62"/>
      <c r="AK580" s="62"/>
      <c r="AL580" s="62"/>
      <c r="AM580" s="62"/>
      <c r="AN580" s="62"/>
      <c r="AO580" s="62"/>
    </row>
    <row r="581">
      <c r="A581" s="62" t="str">
        <f>'Volunteer Survey'!A996</f>
        <v/>
      </c>
      <c r="B581" s="62"/>
      <c r="C581" s="61"/>
      <c r="D581" s="62"/>
      <c r="E581" s="62"/>
      <c r="F581" s="62" t="b">
        <v>0</v>
      </c>
      <c r="G581" s="62"/>
      <c r="H581" s="61"/>
      <c r="I581" s="61"/>
      <c r="J581" s="62"/>
      <c r="K581" s="62"/>
      <c r="L581" s="62" t="str">
        <f>'Volunteer Survey'!B996</f>
        <v/>
      </c>
      <c r="M581" s="62"/>
      <c r="N581" s="62"/>
      <c r="O581" s="62" t="b">
        <v>0</v>
      </c>
      <c r="P581" s="62"/>
      <c r="Q581" s="66" t="str">
        <f>'Volunteer Survey'!J996</f>
        <v/>
      </c>
      <c r="R581" s="62"/>
      <c r="S581" s="62"/>
      <c r="T581" s="62" t="str">
        <f>'Volunteer Survey'!M996</f>
        <v/>
      </c>
      <c r="U581" s="74"/>
      <c r="V581" s="62"/>
      <c r="W581" s="75" t="str">
        <f>'Volunteer Survey'!P996</f>
        <v/>
      </c>
      <c r="X581" s="62"/>
      <c r="Y581" s="61"/>
      <c r="Z581" s="62"/>
      <c r="AA581" s="62"/>
      <c r="AB581" s="62"/>
      <c r="AC581" s="62"/>
      <c r="AD581" s="62"/>
      <c r="AE581" s="62"/>
      <c r="AF581" s="62"/>
      <c r="AG581" s="62"/>
      <c r="AH581" s="62"/>
      <c r="AI581" s="62"/>
      <c r="AJ581" s="62"/>
      <c r="AK581" s="62"/>
      <c r="AL581" s="62"/>
      <c r="AM581" s="62"/>
      <c r="AN581" s="62"/>
      <c r="AO581" s="62"/>
    </row>
    <row r="582">
      <c r="A582" s="62" t="str">
        <f>'Volunteer Survey'!A997</f>
        <v/>
      </c>
      <c r="B582" s="62"/>
      <c r="C582" s="61"/>
      <c r="D582" s="62"/>
      <c r="E582" s="62"/>
      <c r="F582" s="62" t="b">
        <v>0</v>
      </c>
      <c r="G582" s="62"/>
      <c r="H582" s="61"/>
      <c r="I582" s="61"/>
      <c r="J582" s="62"/>
      <c r="K582" s="62"/>
      <c r="L582" s="62" t="str">
        <f>'Volunteer Survey'!B997</f>
        <v/>
      </c>
      <c r="M582" s="62"/>
      <c r="N582" s="62"/>
      <c r="O582" s="62" t="b">
        <v>0</v>
      </c>
      <c r="P582" s="62"/>
      <c r="Q582" s="66" t="str">
        <f>'Volunteer Survey'!J997</f>
        <v/>
      </c>
      <c r="R582" s="62"/>
      <c r="S582" s="62"/>
      <c r="T582" s="62" t="str">
        <f>'Volunteer Survey'!M997</f>
        <v/>
      </c>
      <c r="U582" s="74"/>
      <c r="V582" s="62"/>
      <c r="W582" s="75" t="str">
        <f>'Volunteer Survey'!P997</f>
        <v/>
      </c>
      <c r="X582" s="62"/>
      <c r="Y582" s="61"/>
      <c r="Z582" s="62"/>
      <c r="AA582" s="62"/>
      <c r="AB582" s="62"/>
      <c r="AC582" s="62"/>
      <c r="AD582" s="62"/>
      <c r="AE582" s="62"/>
      <c r="AF582" s="62"/>
      <c r="AG582" s="62"/>
      <c r="AH582" s="62"/>
      <c r="AI582" s="62"/>
      <c r="AJ582" s="62"/>
      <c r="AK582" s="62"/>
      <c r="AL582" s="62"/>
      <c r="AM582" s="62"/>
      <c r="AN582" s="62"/>
      <c r="AO582" s="62"/>
    </row>
    <row r="583">
      <c r="A583" s="62" t="str">
        <f>'Volunteer Survey'!A998</f>
        <v/>
      </c>
      <c r="B583" s="62"/>
      <c r="C583" s="61"/>
      <c r="D583" s="62"/>
      <c r="E583" s="62"/>
      <c r="F583" s="62" t="b">
        <v>0</v>
      </c>
      <c r="G583" s="62"/>
      <c r="H583" s="61"/>
      <c r="I583" s="61"/>
      <c r="J583" s="62"/>
      <c r="K583" s="62"/>
      <c r="L583" s="62" t="str">
        <f>'Volunteer Survey'!B998</f>
        <v/>
      </c>
      <c r="M583" s="62"/>
      <c r="N583" s="62"/>
      <c r="O583" s="62" t="b">
        <v>0</v>
      </c>
      <c r="P583" s="62"/>
      <c r="Q583" s="66" t="str">
        <f>'Volunteer Survey'!J998</f>
        <v/>
      </c>
      <c r="R583" s="62"/>
      <c r="S583" s="62"/>
      <c r="T583" s="62" t="str">
        <f>'Volunteer Survey'!M998</f>
        <v/>
      </c>
      <c r="U583" s="74"/>
      <c r="V583" s="62"/>
      <c r="W583" s="75" t="str">
        <f>'Volunteer Survey'!P998</f>
        <v/>
      </c>
      <c r="X583" s="62"/>
      <c r="Y583" s="61"/>
      <c r="Z583" s="62"/>
      <c r="AA583" s="62"/>
      <c r="AB583" s="62"/>
      <c r="AC583" s="62"/>
      <c r="AD583" s="62"/>
      <c r="AE583" s="62"/>
      <c r="AF583" s="62"/>
      <c r="AG583" s="62"/>
      <c r="AH583" s="62"/>
      <c r="AI583" s="62"/>
      <c r="AJ583" s="62"/>
      <c r="AK583" s="62"/>
      <c r="AL583" s="62"/>
      <c r="AM583" s="62"/>
      <c r="AN583" s="62"/>
      <c r="AO583" s="62"/>
    </row>
    <row r="584">
      <c r="A584" s="62" t="str">
        <f>'Volunteer Survey'!A999</f>
        <v/>
      </c>
      <c r="B584" s="62"/>
      <c r="C584" s="61"/>
      <c r="D584" s="62"/>
      <c r="E584" s="62"/>
      <c r="F584" s="62" t="b">
        <v>0</v>
      </c>
      <c r="G584" s="62"/>
      <c r="H584" s="61"/>
      <c r="I584" s="61"/>
      <c r="J584" s="62"/>
      <c r="K584" s="62"/>
      <c r="L584" s="62" t="str">
        <f>'Volunteer Survey'!B999</f>
        <v/>
      </c>
      <c r="M584" s="62"/>
      <c r="N584" s="62"/>
      <c r="O584" s="62" t="b">
        <v>0</v>
      </c>
      <c r="P584" s="62"/>
      <c r="Q584" s="66" t="str">
        <f>'Volunteer Survey'!J999</f>
        <v/>
      </c>
      <c r="R584" s="62"/>
      <c r="S584" s="62"/>
      <c r="T584" s="62" t="str">
        <f>'Volunteer Survey'!M999</f>
        <v/>
      </c>
      <c r="U584" s="74"/>
      <c r="V584" s="62"/>
      <c r="W584" s="75" t="str">
        <f>'Volunteer Survey'!P999</f>
        <v/>
      </c>
      <c r="X584" s="62"/>
      <c r="Y584" s="61"/>
      <c r="Z584" s="62"/>
      <c r="AA584" s="62"/>
      <c r="AB584" s="62"/>
      <c r="AC584" s="62"/>
      <c r="AD584" s="62"/>
      <c r="AE584" s="62"/>
      <c r="AF584" s="62"/>
      <c r="AG584" s="62"/>
      <c r="AH584" s="62"/>
      <c r="AI584" s="62"/>
      <c r="AJ584" s="62"/>
      <c r="AK584" s="62"/>
      <c r="AL584" s="62"/>
      <c r="AM584" s="62"/>
      <c r="AN584" s="62"/>
      <c r="AO584" s="62"/>
    </row>
    <row r="585">
      <c r="A585" s="62" t="str">
        <f>'Volunteer Survey'!A1000</f>
        <v/>
      </c>
      <c r="B585" s="62"/>
      <c r="C585" s="61"/>
      <c r="D585" s="62"/>
      <c r="E585" s="62"/>
      <c r="F585" s="62" t="b">
        <v>0</v>
      </c>
      <c r="G585" s="62"/>
      <c r="H585" s="61"/>
      <c r="I585" s="61"/>
      <c r="J585" s="62"/>
      <c r="K585" s="62"/>
      <c r="L585" s="62" t="str">
        <f>'Volunteer Survey'!B1000</f>
        <v/>
      </c>
      <c r="M585" s="62"/>
      <c r="N585" s="62"/>
      <c r="O585" s="62" t="b">
        <v>0</v>
      </c>
      <c r="P585" s="62"/>
      <c r="Q585" s="66" t="str">
        <f>'Volunteer Survey'!J1000</f>
        <v/>
      </c>
      <c r="R585" s="62"/>
      <c r="S585" s="62"/>
      <c r="T585" s="62" t="str">
        <f>'Volunteer Survey'!M1000</f>
        <v/>
      </c>
      <c r="U585" s="74"/>
      <c r="V585" s="62"/>
      <c r="W585" s="75" t="str">
        <f>'Volunteer Survey'!P1000</f>
        <v/>
      </c>
      <c r="X585" s="62"/>
      <c r="Y585" s="61"/>
      <c r="Z585" s="62"/>
      <c r="AA585" s="62"/>
      <c r="AB585" s="62"/>
      <c r="AC585" s="62"/>
      <c r="AD585" s="62"/>
      <c r="AE585" s="62"/>
      <c r="AF585" s="62"/>
      <c r="AG585" s="62"/>
      <c r="AH585" s="62"/>
      <c r="AI585" s="62"/>
      <c r="AJ585" s="62"/>
      <c r="AK585" s="62"/>
      <c r="AL585" s="62"/>
      <c r="AM585" s="62"/>
      <c r="AN585" s="62"/>
      <c r="AO585" s="62"/>
    </row>
    <row r="586">
      <c r="A586" s="62" t="str">
        <f>'Volunteer Survey'!A1001</f>
        <v/>
      </c>
      <c r="B586" s="62"/>
      <c r="C586" s="61"/>
      <c r="D586" s="62"/>
      <c r="E586" s="62"/>
      <c r="F586" s="62" t="b">
        <v>0</v>
      </c>
      <c r="G586" s="62"/>
      <c r="H586" s="61"/>
      <c r="I586" s="61"/>
      <c r="J586" s="62"/>
      <c r="K586" s="62"/>
      <c r="L586" s="62" t="str">
        <f>'Volunteer Survey'!B1001</f>
        <v/>
      </c>
      <c r="M586" s="62"/>
      <c r="N586" s="62"/>
      <c r="O586" s="62" t="b">
        <v>0</v>
      </c>
      <c r="P586" s="62"/>
      <c r="Q586" s="66" t="str">
        <f>'Volunteer Survey'!J1001</f>
        <v/>
      </c>
      <c r="R586" s="62"/>
      <c r="S586" s="62"/>
      <c r="T586" s="62" t="str">
        <f>'Volunteer Survey'!M1001</f>
        <v/>
      </c>
      <c r="U586" s="74"/>
      <c r="V586" s="62"/>
      <c r="W586" s="75" t="str">
        <f>'Volunteer Survey'!P1001</f>
        <v/>
      </c>
      <c r="X586" s="62"/>
      <c r="Y586" s="61"/>
      <c r="Z586" s="62"/>
      <c r="AA586" s="62"/>
      <c r="AB586" s="62"/>
      <c r="AC586" s="62"/>
      <c r="AD586" s="62"/>
      <c r="AE586" s="62"/>
      <c r="AF586" s="62"/>
      <c r="AG586" s="62"/>
      <c r="AH586" s="62"/>
      <c r="AI586" s="62"/>
      <c r="AJ586" s="62"/>
      <c r="AK586" s="62"/>
      <c r="AL586" s="62"/>
      <c r="AM586" s="62"/>
      <c r="AN586" s="62"/>
      <c r="AO586" s="62"/>
    </row>
    <row r="587">
      <c r="A587" s="62" t="str">
        <f>'Volunteer Survey'!A1002</f>
        <v/>
      </c>
      <c r="B587" s="62"/>
      <c r="C587" s="61"/>
      <c r="D587" s="62"/>
      <c r="E587" s="62"/>
      <c r="F587" s="62" t="b">
        <v>0</v>
      </c>
      <c r="G587" s="62"/>
      <c r="H587" s="61"/>
      <c r="I587" s="61"/>
      <c r="J587" s="62"/>
      <c r="K587" s="62"/>
      <c r="L587" s="62" t="str">
        <f>'Volunteer Survey'!B1002</f>
        <v/>
      </c>
      <c r="M587" s="62"/>
      <c r="N587" s="62"/>
      <c r="O587" s="62" t="b">
        <v>0</v>
      </c>
      <c r="P587" s="62"/>
      <c r="Q587" s="66" t="str">
        <f>'Volunteer Survey'!J1002</f>
        <v/>
      </c>
      <c r="R587" s="62"/>
      <c r="S587" s="62"/>
      <c r="T587" s="62" t="str">
        <f>'Volunteer Survey'!M1002</f>
        <v/>
      </c>
      <c r="U587" s="74"/>
      <c r="V587" s="62"/>
      <c r="W587" s="75" t="str">
        <f>'Volunteer Survey'!P1002</f>
        <v/>
      </c>
      <c r="X587" s="62"/>
      <c r="Y587" s="61"/>
      <c r="Z587" s="62"/>
      <c r="AA587" s="62"/>
      <c r="AB587" s="62"/>
      <c r="AC587" s="62"/>
      <c r="AD587" s="62"/>
      <c r="AE587" s="62"/>
      <c r="AF587" s="62"/>
      <c r="AG587" s="62"/>
      <c r="AH587" s="62"/>
      <c r="AI587" s="62"/>
      <c r="AJ587" s="62"/>
      <c r="AK587" s="62"/>
      <c r="AL587" s="62"/>
      <c r="AM587" s="62"/>
      <c r="AN587" s="62"/>
      <c r="AO587" s="62"/>
    </row>
    <row r="588">
      <c r="A588" s="62" t="str">
        <f>'Volunteer Survey'!A1003</f>
        <v/>
      </c>
      <c r="B588" s="62"/>
      <c r="C588" s="61"/>
      <c r="D588" s="62"/>
      <c r="E588" s="62"/>
      <c r="F588" s="62" t="b">
        <v>0</v>
      </c>
      <c r="G588" s="62"/>
      <c r="H588" s="61"/>
      <c r="I588" s="61"/>
      <c r="J588" s="62"/>
      <c r="K588" s="62"/>
      <c r="L588" s="62" t="str">
        <f>'Volunteer Survey'!B1003</f>
        <v/>
      </c>
      <c r="M588" s="62"/>
      <c r="N588" s="62"/>
      <c r="O588" s="62" t="b">
        <v>0</v>
      </c>
      <c r="P588" s="62"/>
      <c r="Q588" s="66" t="str">
        <f>'Volunteer Survey'!J1003</f>
        <v/>
      </c>
      <c r="R588" s="62"/>
      <c r="S588" s="62"/>
      <c r="T588" s="62" t="str">
        <f>'Volunteer Survey'!M1003</f>
        <v/>
      </c>
      <c r="U588" s="74"/>
      <c r="V588" s="62"/>
      <c r="W588" s="75" t="str">
        <f>'Volunteer Survey'!P1003</f>
        <v/>
      </c>
      <c r="X588" s="62"/>
      <c r="Y588" s="61"/>
      <c r="Z588" s="62"/>
      <c r="AA588" s="62"/>
      <c r="AB588" s="62"/>
      <c r="AC588" s="62"/>
      <c r="AD588" s="62"/>
      <c r="AE588" s="62"/>
      <c r="AF588" s="62"/>
      <c r="AG588" s="62"/>
      <c r="AH588" s="62"/>
      <c r="AI588" s="62"/>
      <c r="AJ588" s="62"/>
      <c r="AK588" s="62"/>
      <c r="AL588" s="62"/>
      <c r="AM588" s="62"/>
      <c r="AN588" s="62"/>
      <c r="AO588" s="62"/>
    </row>
    <row r="589">
      <c r="A589" s="62" t="str">
        <f>'Volunteer Survey'!A1004</f>
        <v/>
      </c>
      <c r="B589" s="62"/>
      <c r="C589" s="61"/>
      <c r="D589" s="62"/>
      <c r="E589" s="62"/>
      <c r="F589" s="62" t="b">
        <v>0</v>
      </c>
      <c r="G589" s="62"/>
      <c r="H589" s="61"/>
      <c r="I589" s="61"/>
      <c r="J589" s="62"/>
      <c r="K589" s="62"/>
      <c r="L589" s="62" t="str">
        <f>'Volunteer Survey'!B1004</f>
        <v/>
      </c>
      <c r="M589" s="62"/>
      <c r="N589" s="62"/>
      <c r="O589" s="62" t="b">
        <v>0</v>
      </c>
      <c r="P589" s="62"/>
      <c r="Q589" s="66" t="str">
        <f>'Volunteer Survey'!J1004</f>
        <v/>
      </c>
      <c r="R589" s="62"/>
      <c r="S589" s="62"/>
      <c r="T589" s="62" t="str">
        <f>'Volunteer Survey'!M1004</f>
        <v/>
      </c>
      <c r="U589" s="74"/>
      <c r="V589" s="62"/>
      <c r="W589" s="75" t="str">
        <f>'Volunteer Survey'!P1004</f>
        <v/>
      </c>
      <c r="X589" s="62"/>
      <c r="Y589" s="61"/>
      <c r="Z589" s="62"/>
      <c r="AA589" s="62"/>
      <c r="AB589" s="62"/>
      <c r="AC589" s="62"/>
      <c r="AD589" s="62"/>
      <c r="AE589" s="62"/>
      <c r="AF589" s="62"/>
      <c r="AG589" s="62"/>
      <c r="AH589" s="62"/>
      <c r="AI589" s="62"/>
      <c r="AJ589" s="62"/>
      <c r="AK589" s="62"/>
      <c r="AL589" s="62"/>
      <c r="AM589" s="62"/>
      <c r="AN589" s="62"/>
      <c r="AO589" s="62"/>
    </row>
    <row r="590">
      <c r="A590" s="62" t="str">
        <f>'Volunteer Survey'!A1005</f>
        <v/>
      </c>
      <c r="B590" s="62"/>
      <c r="C590" s="61"/>
      <c r="D590" s="62"/>
      <c r="E590" s="62"/>
      <c r="F590" s="62" t="b">
        <v>0</v>
      </c>
      <c r="G590" s="62"/>
      <c r="H590" s="61"/>
      <c r="I590" s="61"/>
      <c r="J590" s="62"/>
      <c r="K590" s="62"/>
      <c r="L590" s="62" t="str">
        <f>'Volunteer Survey'!B1005</f>
        <v/>
      </c>
      <c r="M590" s="62"/>
      <c r="N590" s="62"/>
      <c r="O590" s="62" t="b">
        <v>0</v>
      </c>
      <c r="P590" s="62"/>
      <c r="Q590" s="66" t="str">
        <f>'Volunteer Survey'!J1005</f>
        <v/>
      </c>
      <c r="R590" s="62"/>
      <c r="S590" s="62"/>
      <c r="T590" s="62" t="str">
        <f>'Volunteer Survey'!M1005</f>
        <v/>
      </c>
      <c r="U590" s="74"/>
      <c r="V590" s="62"/>
      <c r="W590" s="75" t="str">
        <f>'Volunteer Survey'!P1005</f>
        <v/>
      </c>
      <c r="X590" s="62"/>
      <c r="Y590" s="61"/>
      <c r="Z590" s="62"/>
      <c r="AA590" s="62"/>
      <c r="AB590" s="62"/>
      <c r="AC590" s="62"/>
      <c r="AD590" s="62"/>
      <c r="AE590" s="62"/>
      <c r="AF590" s="62"/>
      <c r="AG590" s="62"/>
      <c r="AH590" s="62"/>
      <c r="AI590" s="62"/>
      <c r="AJ590" s="62"/>
      <c r="AK590" s="62"/>
      <c r="AL590" s="62"/>
      <c r="AM590" s="62"/>
      <c r="AN590" s="62"/>
      <c r="AO590" s="62"/>
    </row>
    <row r="591">
      <c r="A591" s="62" t="str">
        <f>'Volunteer Survey'!A1006</f>
        <v/>
      </c>
      <c r="B591" s="62"/>
      <c r="C591" s="61"/>
      <c r="D591" s="62"/>
      <c r="E591" s="62"/>
      <c r="F591" s="62" t="b">
        <v>0</v>
      </c>
      <c r="G591" s="62"/>
      <c r="H591" s="61"/>
      <c r="I591" s="61"/>
      <c r="J591" s="62"/>
      <c r="K591" s="62"/>
      <c r="L591" s="62" t="str">
        <f>'Volunteer Survey'!B1006</f>
        <v/>
      </c>
      <c r="M591" s="62"/>
      <c r="N591" s="62"/>
      <c r="O591" s="62" t="b">
        <v>0</v>
      </c>
      <c r="P591" s="62"/>
      <c r="Q591" s="66" t="str">
        <f>'Volunteer Survey'!J1006</f>
        <v/>
      </c>
      <c r="R591" s="62"/>
      <c r="S591" s="62"/>
      <c r="T591" s="62" t="str">
        <f>'Volunteer Survey'!M1006</f>
        <v/>
      </c>
      <c r="U591" s="74"/>
      <c r="V591" s="62"/>
      <c r="W591" s="75" t="str">
        <f>'Volunteer Survey'!P1006</f>
        <v/>
      </c>
      <c r="X591" s="62"/>
      <c r="Y591" s="61"/>
      <c r="Z591" s="62"/>
      <c r="AA591" s="62"/>
      <c r="AB591" s="62"/>
      <c r="AC591" s="62"/>
      <c r="AD591" s="62"/>
      <c r="AE591" s="62"/>
      <c r="AF591" s="62"/>
      <c r="AG591" s="62"/>
      <c r="AH591" s="62"/>
      <c r="AI591" s="62"/>
      <c r="AJ591" s="62"/>
      <c r="AK591" s="62"/>
      <c r="AL591" s="62"/>
      <c r="AM591" s="62"/>
      <c r="AN591" s="62"/>
      <c r="AO591" s="62"/>
    </row>
    <row r="592">
      <c r="A592" s="62" t="str">
        <f>'Volunteer Survey'!A1007</f>
        <v/>
      </c>
      <c r="B592" s="62"/>
      <c r="C592" s="61"/>
      <c r="D592" s="62"/>
      <c r="E592" s="62"/>
      <c r="F592" s="62" t="b">
        <v>0</v>
      </c>
      <c r="G592" s="62"/>
      <c r="H592" s="61"/>
      <c r="I592" s="61"/>
      <c r="J592" s="62"/>
      <c r="K592" s="62"/>
      <c r="L592" s="62" t="str">
        <f>'Volunteer Survey'!B1007</f>
        <v/>
      </c>
      <c r="M592" s="62"/>
      <c r="N592" s="62"/>
      <c r="O592" s="62" t="b">
        <v>0</v>
      </c>
      <c r="P592" s="62"/>
      <c r="Q592" s="66" t="str">
        <f>'Volunteer Survey'!J1007</f>
        <v/>
      </c>
      <c r="R592" s="62"/>
      <c r="S592" s="62"/>
      <c r="T592" s="62" t="str">
        <f>'Volunteer Survey'!M1007</f>
        <v/>
      </c>
      <c r="U592" s="74"/>
      <c r="V592" s="62"/>
      <c r="W592" s="75" t="str">
        <f>'Volunteer Survey'!P1007</f>
        <v/>
      </c>
      <c r="X592" s="62"/>
      <c r="Y592" s="61"/>
      <c r="Z592" s="62"/>
      <c r="AA592" s="62"/>
      <c r="AB592" s="62"/>
      <c r="AC592" s="62"/>
      <c r="AD592" s="62"/>
      <c r="AE592" s="62"/>
      <c r="AF592" s="62"/>
      <c r="AG592" s="62"/>
      <c r="AH592" s="62"/>
      <c r="AI592" s="62"/>
      <c r="AJ592" s="62"/>
      <c r="AK592" s="62"/>
      <c r="AL592" s="62"/>
      <c r="AM592" s="62"/>
      <c r="AN592" s="62"/>
      <c r="AO592" s="62"/>
    </row>
    <row r="593">
      <c r="A593" s="62" t="str">
        <f>'Volunteer Survey'!A1008</f>
        <v/>
      </c>
      <c r="B593" s="62"/>
      <c r="C593" s="61"/>
      <c r="D593" s="62"/>
      <c r="E593" s="62"/>
      <c r="F593" s="62" t="b">
        <v>0</v>
      </c>
      <c r="G593" s="62"/>
      <c r="H593" s="61"/>
      <c r="I593" s="61"/>
      <c r="J593" s="62"/>
      <c r="K593" s="62"/>
      <c r="L593" s="62"/>
      <c r="M593" s="62"/>
      <c r="N593" s="62"/>
      <c r="O593" s="62" t="b">
        <v>0</v>
      </c>
      <c r="P593" s="62"/>
      <c r="Q593" s="66" t="str">
        <f>'Volunteer Survey'!J1008</f>
        <v/>
      </c>
      <c r="R593" s="62"/>
      <c r="S593" s="62"/>
      <c r="T593" s="62"/>
      <c r="U593" s="74"/>
      <c r="V593" s="62"/>
      <c r="W593" s="75" t="str">
        <f>'Volunteer Survey'!P1008</f>
        <v/>
      </c>
      <c r="X593" s="62"/>
      <c r="Y593" s="61"/>
      <c r="Z593" s="62"/>
      <c r="AA593" s="62"/>
      <c r="AB593" s="62"/>
      <c r="AC593" s="62"/>
      <c r="AD593" s="62"/>
      <c r="AE593" s="62"/>
      <c r="AF593" s="62"/>
      <c r="AG593" s="62"/>
      <c r="AH593" s="62"/>
      <c r="AI593" s="62"/>
      <c r="AJ593" s="62"/>
      <c r="AK593" s="62"/>
      <c r="AL593" s="62"/>
      <c r="AM593" s="62"/>
      <c r="AN593" s="62"/>
      <c r="AO593" s="62"/>
    </row>
    <row r="594">
      <c r="A594" s="62" t="str">
        <f>'Volunteer Survey'!A1009</f>
        <v/>
      </c>
      <c r="B594" s="62"/>
      <c r="C594" s="61"/>
      <c r="D594" s="62"/>
      <c r="E594" s="62"/>
      <c r="F594" s="62" t="b">
        <v>0</v>
      </c>
      <c r="G594" s="62"/>
      <c r="H594" s="61"/>
      <c r="I594" s="61"/>
      <c r="J594" s="62"/>
      <c r="K594" s="62"/>
      <c r="L594" s="62"/>
      <c r="M594" s="62"/>
      <c r="N594" s="62"/>
      <c r="O594" s="62" t="b">
        <v>0</v>
      </c>
      <c r="P594" s="62"/>
      <c r="Q594" s="66" t="str">
        <f>'Volunteer Survey'!J1009</f>
        <v/>
      </c>
      <c r="R594" s="62"/>
      <c r="S594" s="62"/>
      <c r="T594" s="62"/>
      <c r="U594" s="74"/>
      <c r="V594" s="62"/>
      <c r="W594" s="75" t="str">
        <f>'Volunteer Survey'!P1009</f>
        <v/>
      </c>
      <c r="X594" s="62"/>
      <c r="Y594" s="61"/>
      <c r="Z594" s="62"/>
      <c r="AA594" s="62"/>
      <c r="AB594" s="62"/>
      <c r="AC594" s="62"/>
      <c r="AD594" s="62"/>
      <c r="AE594" s="62"/>
      <c r="AF594" s="62"/>
      <c r="AG594" s="62"/>
      <c r="AH594" s="62"/>
      <c r="AI594" s="62"/>
      <c r="AJ594" s="62"/>
      <c r="AK594" s="62"/>
      <c r="AL594" s="62"/>
      <c r="AM594" s="62"/>
      <c r="AN594" s="62"/>
      <c r="AO594" s="62"/>
    </row>
    <row r="595">
      <c r="A595" s="62"/>
      <c r="B595" s="62"/>
      <c r="C595" s="61"/>
      <c r="D595" s="62"/>
      <c r="E595" s="62"/>
      <c r="F595" s="62" t="b">
        <v>0</v>
      </c>
      <c r="G595" s="62"/>
      <c r="H595" s="61"/>
      <c r="I595" s="61"/>
      <c r="J595" s="62"/>
      <c r="K595" s="62"/>
      <c r="L595" s="62"/>
      <c r="M595" s="62"/>
      <c r="N595" s="62"/>
      <c r="O595" s="62" t="b">
        <v>0</v>
      </c>
      <c r="P595" s="62"/>
      <c r="Q595" s="66" t="str">
        <f>'Volunteer Survey'!J1010</f>
        <v/>
      </c>
      <c r="R595" s="62"/>
      <c r="S595" s="62"/>
      <c r="T595" s="62"/>
      <c r="U595" s="74"/>
      <c r="V595" s="62"/>
      <c r="W595" s="75" t="str">
        <f>'Volunteer Survey'!P1010</f>
        <v/>
      </c>
      <c r="X595" s="62"/>
      <c r="Y595" s="61"/>
      <c r="Z595" s="62"/>
      <c r="AA595" s="62"/>
      <c r="AB595" s="62"/>
      <c r="AC595" s="62"/>
      <c r="AD595" s="62"/>
      <c r="AE595" s="62"/>
      <c r="AF595" s="62"/>
      <c r="AG595" s="62"/>
      <c r="AH595" s="62"/>
      <c r="AI595" s="62"/>
      <c r="AJ595" s="62"/>
      <c r="AK595" s="62"/>
      <c r="AL595" s="62"/>
      <c r="AM595" s="62"/>
      <c r="AN595" s="62"/>
      <c r="AO595" s="62"/>
    </row>
    <row r="596">
      <c r="A596" s="62"/>
      <c r="B596" s="62"/>
      <c r="C596" s="61"/>
      <c r="D596" s="62"/>
      <c r="E596" s="62"/>
      <c r="F596" s="62" t="b">
        <v>0</v>
      </c>
      <c r="G596" s="62"/>
      <c r="H596" s="61"/>
      <c r="I596" s="61"/>
      <c r="J596" s="62"/>
      <c r="K596" s="62"/>
      <c r="L596" s="62"/>
      <c r="M596" s="62"/>
      <c r="N596" s="62"/>
      <c r="O596" s="62" t="b">
        <v>0</v>
      </c>
      <c r="P596" s="62"/>
      <c r="Q596" s="66" t="str">
        <f>'Volunteer Survey'!J1011</f>
        <v/>
      </c>
      <c r="R596" s="62"/>
      <c r="S596" s="62"/>
      <c r="T596" s="62"/>
      <c r="U596" s="74"/>
      <c r="V596" s="62"/>
      <c r="W596" s="75" t="str">
        <f>'Volunteer Survey'!P1011</f>
        <v/>
      </c>
      <c r="X596" s="62"/>
      <c r="Y596" s="61"/>
      <c r="Z596" s="62"/>
      <c r="AA596" s="62"/>
      <c r="AB596" s="62"/>
      <c r="AC596" s="62"/>
      <c r="AD596" s="62"/>
      <c r="AE596" s="62"/>
      <c r="AF596" s="62"/>
      <c r="AG596" s="62"/>
      <c r="AH596" s="62"/>
      <c r="AI596" s="62"/>
      <c r="AJ596" s="62"/>
      <c r="AK596" s="62"/>
      <c r="AL596" s="62"/>
      <c r="AM596" s="62"/>
      <c r="AN596" s="62"/>
      <c r="AO596" s="62"/>
    </row>
    <row r="597">
      <c r="A597" s="62"/>
      <c r="B597" s="62"/>
      <c r="C597" s="61"/>
      <c r="D597" s="62"/>
      <c r="E597" s="62"/>
      <c r="F597" s="62" t="b">
        <v>0</v>
      </c>
      <c r="G597" s="62"/>
      <c r="H597" s="61"/>
      <c r="I597" s="61"/>
      <c r="J597" s="62"/>
      <c r="K597" s="62"/>
      <c r="L597" s="62"/>
      <c r="M597" s="62"/>
      <c r="N597" s="62"/>
      <c r="O597" s="62" t="b">
        <v>0</v>
      </c>
      <c r="P597" s="62"/>
      <c r="Q597" s="66" t="str">
        <f>'Volunteer Survey'!J1012</f>
        <v/>
      </c>
      <c r="R597" s="62"/>
      <c r="S597" s="62"/>
      <c r="T597" s="62"/>
      <c r="U597" s="74"/>
      <c r="V597" s="62"/>
      <c r="W597" s="75" t="str">
        <f>'Volunteer Survey'!P1012</f>
        <v/>
      </c>
      <c r="X597" s="62"/>
      <c r="Y597" s="61"/>
      <c r="Z597" s="62"/>
      <c r="AA597" s="62"/>
      <c r="AB597" s="62"/>
      <c r="AC597" s="62"/>
      <c r="AD597" s="62"/>
      <c r="AE597" s="62"/>
      <c r="AF597" s="62"/>
      <c r="AG597" s="62"/>
      <c r="AH597" s="62"/>
      <c r="AI597" s="62"/>
      <c r="AJ597" s="62"/>
      <c r="AK597" s="62"/>
      <c r="AL597" s="62"/>
      <c r="AM597" s="62"/>
      <c r="AN597" s="62"/>
      <c r="AO597" s="62"/>
    </row>
    <row r="598">
      <c r="A598" s="62"/>
      <c r="B598" s="62"/>
      <c r="C598" s="61"/>
      <c r="D598" s="62"/>
      <c r="E598" s="62"/>
      <c r="F598" s="62" t="b">
        <v>0</v>
      </c>
      <c r="G598" s="62"/>
      <c r="H598" s="61"/>
      <c r="I598" s="61"/>
      <c r="J598" s="62"/>
      <c r="K598" s="62"/>
      <c r="L598" s="62"/>
      <c r="M598" s="62"/>
      <c r="N598" s="62"/>
      <c r="O598" s="62" t="b">
        <v>0</v>
      </c>
      <c r="P598" s="62"/>
      <c r="Q598" s="66" t="str">
        <f>'Volunteer Survey'!J1013</f>
        <v/>
      </c>
      <c r="R598" s="62"/>
      <c r="S598" s="62"/>
      <c r="T598" s="62"/>
      <c r="U598" s="74"/>
      <c r="V598" s="62"/>
      <c r="W598" s="75" t="str">
        <f>'Volunteer Survey'!P1013</f>
        <v/>
      </c>
      <c r="X598" s="62"/>
      <c r="Y598" s="61"/>
      <c r="Z598" s="62"/>
      <c r="AA598" s="62"/>
      <c r="AB598" s="62"/>
      <c r="AC598" s="62"/>
      <c r="AD598" s="62"/>
      <c r="AE598" s="62"/>
      <c r="AF598" s="62"/>
      <c r="AG598" s="62"/>
      <c r="AH598" s="62"/>
      <c r="AI598" s="62"/>
      <c r="AJ598" s="62"/>
      <c r="AK598" s="62"/>
      <c r="AL598" s="62"/>
      <c r="AM598" s="62"/>
      <c r="AN598" s="62"/>
      <c r="AO598" s="62"/>
    </row>
    <row r="599">
      <c r="A599" s="62"/>
      <c r="B599" s="62"/>
      <c r="C599" s="61"/>
      <c r="D599" s="62"/>
      <c r="E599" s="62"/>
      <c r="F599" s="62" t="b">
        <v>0</v>
      </c>
      <c r="G599" s="62"/>
      <c r="H599" s="61"/>
      <c r="I599" s="61"/>
      <c r="J599" s="62"/>
      <c r="K599" s="62"/>
      <c r="L599" s="62"/>
      <c r="M599" s="62"/>
      <c r="N599" s="62"/>
      <c r="O599" s="62" t="b">
        <v>0</v>
      </c>
      <c r="P599" s="62"/>
      <c r="Q599" s="66" t="str">
        <f>'Volunteer Survey'!J1014</f>
        <v/>
      </c>
      <c r="R599" s="62"/>
      <c r="S599" s="62"/>
      <c r="T599" s="62"/>
      <c r="U599" s="74"/>
      <c r="V599" s="62"/>
      <c r="W599" s="75" t="str">
        <f>'Volunteer Survey'!P1014</f>
        <v/>
      </c>
      <c r="X599" s="62"/>
      <c r="Y599" s="61"/>
      <c r="Z599" s="62"/>
      <c r="AA599" s="62"/>
      <c r="AB599" s="62"/>
      <c r="AC599" s="62"/>
      <c r="AD599" s="62"/>
      <c r="AE599" s="62"/>
      <c r="AF599" s="62"/>
      <c r="AG599" s="62"/>
      <c r="AH599" s="62"/>
      <c r="AI599" s="62"/>
      <c r="AJ599" s="62"/>
      <c r="AK599" s="62"/>
      <c r="AL599" s="62"/>
      <c r="AM599" s="62"/>
      <c r="AN599" s="62"/>
      <c r="AO599" s="62"/>
    </row>
    <row r="600">
      <c r="A600" s="62"/>
      <c r="B600" s="62"/>
      <c r="C600" s="61"/>
      <c r="D600" s="62"/>
      <c r="E600" s="62"/>
      <c r="F600" s="62" t="b">
        <v>0</v>
      </c>
      <c r="G600" s="62"/>
      <c r="H600" s="61"/>
      <c r="I600" s="61"/>
      <c r="J600" s="62"/>
      <c r="K600" s="62"/>
      <c r="L600" s="62"/>
      <c r="M600" s="62"/>
      <c r="N600" s="62"/>
      <c r="O600" s="62" t="b">
        <v>0</v>
      </c>
      <c r="P600" s="62"/>
      <c r="Q600" s="66" t="str">
        <f>'Volunteer Survey'!J1015</f>
        <v/>
      </c>
      <c r="R600" s="62"/>
      <c r="S600" s="62"/>
      <c r="T600" s="62"/>
      <c r="U600" s="74"/>
      <c r="V600" s="62"/>
      <c r="W600" s="75" t="str">
        <f>'Volunteer Survey'!P1015</f>
        <v/>
      </c>
      <c r="X600" s="62"/>
      <c r="Y600" s="61"/>
      <c r="Z600" s="62"/>
      <c r="AA600" s="62"/>
      <c r="AB600" s="62"/>
      <c r="AC600" s="62"/>
      <c r="AD600" s="62"/>
      <c r="AE600" s="62"/>
      <c r="AF600" s="62"/>
      <c r="AG600" s="62"/>
      <c r="AH600" s="62"/>
      <c r="AI600" s="62"/>
      <c r="AJ600" s="62"/>
      <c r="AK600" s="62"/>
      <c r="AL600" s="62"/>
      <c r="AM600" s="62"/>
      <c r="AN600" s="62"/>
      <c r="AO600" s="62"/>
    </row>
    <row r="601">
      <c r="A601" s="62"/>
      <c r="B601" s="62"/>
      <c r="C601" s="61"/>
      <c r="D601" s="62"/>
      <c r="E601" s="62"/>
      <c r="F601" s="62" t="b">
        <v>0</v>
      </c>
      <c r="G601" s="62"/>
      <c r="H601" s="61"/>
      <c r="I601" s="61"/>
      <c r="J601" s="62"/>
      <c r="K601" s="62"/>
      <c r="L601" s="62"/>
      <c r="M601" s="62"/>
      <c r="N601" s="62"/>
      <c r="O601" s="62" t="b">
        <v>0</v>
      </c>
      <c r="P601" s="62"/>
      <c r="Q601" s="66" t="str">
        <f>'Volunteer Survey'!J1016</f>
        <v/>
      </c>
      <c r="R601" s="62"/>
      <c r="S601" s="62"/>
      <c r="T601" s="62"/>
      <c r="U601" s="74"/>
      <c r="V601" s="62"/>
      <c r="W601" s="75" t="str">
        <f>'Volunteer Survey'!P1016</f>
        <v/>
      </c>
      <c r="X601" s="62"/>
      <c r="Y601" s="61"/>
      <c r="Z601" s="62"/>
      <c r="AA601" s="62"/>
      <c r="AB601" s="62"/>
      <c r="AC601" s="62"/>
      <c r="AD601" s="62"/>
      <c r="AE601" s="62"/>
      <c r="AF601" s="62"/>
      <c r="AG601" s="62"/>
      <c r="AH601" s="62"/>
      <c r="AI601" s="62"/>
      <c r="AJ601" s="62"/>
      <c r="AK601" s="62"/>
      <c r="AL601" s="62"/>
      <c r="AM601" s="62"/>
      <c r="AN601" s="62"/>
      <c r="AO601" s="62"/>
    </row>
    <row r="602">
      <c r="A602" s="62"/>
      <c r="B602" s="62"/>
      <c r="C602" s="61"/>
      <c r="D602" s="62"/>
      <c r="E602" s="62"/>
      <c r="F602" s="62" t="b">
        <v>0</v>
      </c>
      <c r="G602" s="62"/>
      <c r="H602" s="61"/>
      <c r="I602" s="61"/>
      <c r="J602" s="62"/>
      <c r="K602" s="62"/>
      <c r="L602" s="62"/>
      <c r="M602" s="62"/>
      <c r="N602" s="62"/>
      <c r="O602" s="62" t="b">
        <v>0</v>
      </c>
      <c r="P602" s="62"/>
      <c r="Q602" s="66" t="str">
        <f>'Volunteer Survey'!J1017</f>
        <v/>
      </c>
      <c r="R602" s="62"/>
      <c r="S602" s="62"/>
      <c r="T602" s="62"/>
      <c r="U602" s="74"/>
      <c r="V602" s="62"/>
      <c r="W602" s="75" t="str">
        <f>'Volunteer Survey'!P1017</f>
        <v/>
      </c>
      <c r="X602" s="62"/>
      <c r="Y602" s="61"/>
      <c r="Z602" s="62"/>
      <c r="AA602" s="62"/>
      <c r="AB602" s="62"/>
      <c r="AC602" s="62"/>
      <c r="AD602" s="62"/>
      <c r="AE602" s="62"/>
      <c r="AF602" s="62"/>
      <c r="AG602" s="62"/>
      <c r="AH602" s="62"/>
      <c r="AI602" s="62"/>
      <c r="AJ602" s="62"/>
      <c r="AK602" s="62"/>
      <c r="AL602" s="62"/>
      <c r="AM602" s="62"/>
      <c r="AN602" s="62"/>
      <c r="AO602" s="62"/>
    </row>
    <row r="603">
      <c r="A603" s="62"/>
      <c r="B603" s="62"/>
      <c r="C603" s="61"/>
      <c r="D603" s="62"/>
      <c r="E603" s="62"/>
      <c r="F603" s="62" t="b">
        <v>0</v>
      </c>
      <c r="G603" s="62"/>
      <c r="H603" s="61"/>
      <c r="I603" s="61"/>
      <c r="J603" s="62"/>
      <c r="K603" s="62"/>
      <c r="L603" s="62"/>
      <c r="M603" s="62"/>
      <c r="N603" s="62"/>
      <c r="O603" s="62" t="b">
        <v>0</v>
      </c>
      <c r="P603" s="62"/>
      <c r="Q603" s="66" t="str">
        <f>'Volunteer Survey'!J1018</f>
        <v/>
      </c>
      <c r="R603" s="62"/>
      <c r="S603" s="62"/>
      <c r="T603" s="62"/>
      <c r="U603" s="74"/>
      <c r="V603" s="62"/>
      <c r="W603" s="75" t="str">
        <f>'Volunteer Survey'!P1018</f>
        <v/>
      </c>
      <c r="X603" s="62"/>
      <c r="Y603" s="61"/>
      <c r="Z603" s="62"/>
      <c r="AA603" s="62"/>
      <c r="AB603" s="62"/>
      <c r="AC603" s="62"/>
      <c r="AD603" s="62"/>
      <c r="AE603" s="62"/>
      <c r="AF603" s="62"/>
      <c r="AG603" s="62"/>
      <c r="AH603" s="62"/>
      <c r="AI603" s="62"/>
      <c r="AJ603" s="62"/>
      <c r="AK603" s="62"/>
      <c r="AL603" s="62"/>
      <c r="AM603" s="62"/>
      <c r="AN603" s="62"/>
      <c r="AO603" s="62"/>
    </row>
    <row r="604">
      <c r="A604" s="62"/>
      <c r="B604" s="62"/>
      <c r="C604" s="61"/>
      <c r="D604" s="62"/>
      <c r="E604" s="62"/>
      <c r="F604" s="62" t="b">
        <v>0</v>
      </c>
      <c r="G604" s="62"/>
      <c r="H604" s="61"/>
      <c r="I604" s="61"/>
      <c r="J604" s="62"/>
      <c r="K604" s="62"/>
      <c r="L604" s="62"/>
      <c r="M604" s="62"/>
      <c r="N604" s="62"/>
      <c r="O604" s="62" t="b">
        <v>0</v>
      </c>
      <c r="P604" s="62"/>
      <c r="Q604" s="66" t="str">
        <f>'Volunteer Survey'!J1019</f>
        <v/>
      </c>
      <c r="R604" s="62"/>
      <c r="S604" s="62"/>
      <c r="T604" s="62"/>
      <c r="U604" s="74"/>
      <c r="V604" s="62"/>
      <c r="W604" s="75" t="str">
        <f>'Volunteer Survey'!P1019</f>
        <v/>
      </c>
      <c r="X604" s="62"/>
      <c r="Y604" s="61"/>
      <c r="Z604" s="62"/>
      <c r="AA604" s="62"/>
      <c r="AB604" s="62"/>
      <c r="AC604" s="62"/>
      <c r="AD604" s="62"/>
      <c r="AE604" s="62"/>
      <c r="AF604" s="62"/>
      <c r="AG604" s="62"/>
      <c r="AH604" s="62"/>
      <c r="AI604" s="62"/>
      <c r="AJ604" s="62"/>
      <c r="AK604" s="62"/>
      <c r="AL604" s="62"/>
      <c r="AM604" s="62"/>
      <c r="AN604" s="62"/>
      <c r="AO604" s="62"/>
    </row>
    <row r="605">
      <c r="A605" s="62"/>
      <c r="B605" s="62"/>
      <c r="C605" s="61"/>
      <c r="D605" s="62"/>
      <c r="E605" s="62"/>
      <c r="F605" s="62" t="b">
        <v>0</v>
      </c>
      <c r="G605" s="62"/>
      <c r="H605" s="61"/>
      <c r="I605" s="61"/>
      <c r="J605" s="62"/>
      <c r="K605" s="62"/>
      <c r="L605" s="62"/>
      <c r="M605" s="62"/>
      <c r="N605" s="62"/>
      <c r="O605" s="62" t="b">
        <v>0</v>
      </c>
      <c r="P605" s="62"/>
      <c r="Q605" s="66" t="str">
        <f>'Volunteer Survey'!J1020</f>
        <v/>
      </c>
      <c r="R605" s="62"/>
      <c r="S605" s="62"/>
      <c r="T605" s="62"/>
      <c r="U605" s="74"/>
      <c r="V605" s="62"/>
      <c r="W605" s="75" t="str">
        <f>'Volunteer Survey'!P1020</f>
        <v/>
      </c>
      <c r="X605" s="62"/>
      <c r="Y605" s="61"/>
      <c r="Z605" s="62"/>
      <c r="AA605" s="62"/>
      <c r="AB605" s="62"/>
      <c r="AC605" s="62"/>
      <c r="AD605" s="62"/>
      <c r="AE605" s="62"/>
      <c r="AF605" s="62"/>
      <c r="AG605" s="62"/>
      <c r="AH605" s="62"/>
      <c r="AI605" s="62"/>
      <c r="AJ605" s="62"/>
      <c r="AK605" s="62"/>
      <c r="AL605" s="62"/>
      <c r="AM605" s="62"/>
      <c r="AN605" s="62"/>
      <c r="AO605" s="62"/>
    </row>
    <row r="606">
      <c r="A606" s="62"/>
      <c r="B606" s="62"/>
      <c r="C606" s="61"/>
      <c r="D606" s="62"/>
      <c r="E606" s="62"/>
      <c r="F606" s="62" t="b">
        <v>0</v>
      </c>
      <c r="G606" s="62"/>
      <c r="H606" s="61"/>
      <c r="I606" s="61"/>
      <c r="J606" s="62"/>
      <c r="K606" s="62"/>
      <c r="L606" s="62"/>
      <c r="M606" s="62"/>
      <c r="N606" s="62"/>
      <c r="O606" s="62" t="b">
        <v>0</v>
      </c>
      <c r="P606" s="62"/>
      <c r="Q606" s="66" t="str">
        <f>'Volunteer Survey'!J1021</f>
        <v/>
      </c>
      <c r="R606" s="62"/>
      <c r="S606" s="62"/>
      <c r="T606" s="62"/>
      <c r="U606" s="74"/>
      <c r="V606" s="62"/>
      <c r="W606" s="75" t="str">
        <f>'Volunteer Survey'!P1021</f>
        <v/>
      </c>
      <c r="X606" s="62"/>
      <c r="Y606" s="61"/>
      <c r="Z606" s="62"/>
      <c r="AA606" s="62"/>
      <c r="AB606" s="62"/>
      <c r="AC606" s="62"/>
      <c r="AD606" s="62"/>
      <c r="AE606" s="62"/>
      <c r="AF606" s="62"/>
      <c r="AG606" s="62"/>
      <c r="AH606" s="62"/>
      <c r="AI606" s="62"/>
      <c r="AJ606" s="62"/>
      <c r="AK606" s="62"/>
      <c r="AL606" s="62"/>
      <c r="AM606" s="62"/>
      <c r="AN606" s="62"/>
      <c r="AO606" s="62"/>
    </row>
    <row r="607">
      <c r="A607" s="62"/>
      <c r="B607" s="62"/>
      <c r="C607" s="61"/>
      <c r="D607" s="62"/>
      <c r="E607" s="62"/>
      <c r="F607" s="62" t="b">
        <v>0</v>
      </c>
      <c r="G607" s="62"/>
      <c r="H607" s="61"/>
      <c r="I607" s="61"/>
      <c r="J607" s="62"/>
      <c r="K607" s="62"/>
      <c r="L607" s="62"/>
      <c r="M607" s="62"/>
      <c r="N607" s="62"/>
      <c r="O607" s="62" t="b">
        <v>0</v>
      </c>
      <c r="P607" s="62"/>
      <c r="Q607" s="66" t="str">
        <f>'Volunteer Survey'!J1022</f>
        <v/>
      </c>
      <c r="R607" s="62"/>
      <c r="S607" s="62"/>
      <c r="T607" s="62"/>
      <c r="U607" s="74"/>
      <c r="V607" s="62"/>
      <c r="W607" s="75" t="str">
        <f>'Volunteer Survey'!P1022</f>
        <v/>
      </c>
      <c r="X607" s="62"/>
      <c r="Y607" s="61"/>
      <c r="Z607" s="62"/>
      <c r="AA607" s="62"/>
      <c r="AB607" s="62"/>
      <c r="AC607" s="62"/>
      <c r="AD607" s="62"/>
      <c r="AE607" s="62"/>
      <c r="AF607" s="62"/>
      <c r="AG607" s="62"/>
      <c r="AH607" s="62"/>
      <c r="AI607" s="62"/>
      <c r="AJ607" s="62"/>
      <c r="AK607" s="62"/>
      <c r="AL607" s="62"/>
      <c r="AM607" s="62"/>
      <c r="AN607" s="62"/>
      <c r="AO607" s="62"/>
    </row>
    <row r="608">
      <c r="A608" s="62"/>
      <c r="B608" s="62"/>
      <c r="C608" s="61"/>
      <c r="D608" s="62"/>
      <c r="E608" s="62"/>
      <c r="F608" s="62" t="b">
        <v>0</v>
      </c>
      <c r="G608" s="62"/>
      <c r="H608" s="61"/>
      <c r="I608" s="61"/>
      <c r="J608" s="62"/>
      <c r="K608" s="62"/>
      <c r="L608" s="62"/>
      <c r="M608" s="62"/>
      <c r="N608" s="62"/>
      <c r="O608" s="62" t="b">
        <v>0</v>
      </c>
      <c r="P608" s="62"/>
      <c r="Q608" s="66" t="str">
        <f>'Volunteer Survey'!J1023</f>
        <v/>
      </c>
      <c r="R608" s="62"/>
      <c r="S608" s="62"/>
      <c r="T608" s="62"/>
      <c r="U608" s="74"/>
      <c r="V608" s="62"/>
      <c r="W608" s="75" t="str">
        <f>'Volunteer Survey'!P1023</f>
        <v/>
      </c>
      <c r="X608" s="62"/>
      <c r="Y608" s="61"/>
      <c r="Z608" s="62"/>
      <c r="AA608" s="62"/>
      <c r="AB608" s="62"/>
      <c r="AC608" s="62"/>
      <c r="AD608" s="62"/>
      <c r="AE608" s="62"/>
      <c r="AF608" s="62"/>
      <c r="AG608" s="62"/>
      <c r="AH608" s="62"/>
      <c r="AI608" s="62"/>
      <c r="AJ608" s="62"/>
      <c r="AK608" s="62"/>
      <c r="AL608" s="62"/>
      <c r="AM608" s="62"/>
      <c r="AN608" s="62"/>
      <c r="AO608" s="62"/>
    </row>
    <row r="609">
      <c r="A609" s="62"/>
      <c r="B609" s="62"/>
      <c r="C609" s="61"/>
      <c r="D609" s="62"/>
      <c r="E609" s="62"/>
      <c r="F609" s="62" t="b">
        <v>0</v>
      </c>
      <c r="G609" s="62"/>
      <c r="H609" s="61"/>
      <c r="I609" s="61"/>
      <c r="J609" s="62"/>
      <c r="K609" s="62"/>
      <c r="L609" s="62"/>
      <c r="M609" s="62"/>
      <c r="N609" s="62"/>
      <c r="O609" s="62" t="b">
        <v>0</v>
      </c>
      <c r="P609" s="62"/>
      <c r="Q609" s="66" t="str">
        <f>'Volunteer Survey'!J1024</f>
        <v/>
      </c>
      <c r="R609" s="62"/>
      <c r="S609" s="62"/>
      <c r="T609" s="62"/>
      <c r="U609" s="74"/>
      <c r="V609" s="62"/>
      <c r="W609" s="75" t="str">
        <f>'Volunteer Survey'!P1024</f>
        <v/>
      </c>
      <c r="X609" s="62"/>
      <c r="Y609" s="61"/>
      <c r="Z609" s="62"/>
      <c r="AA609" s="62"/>
      <c r="AB609" s="62"/>
      <c r="AC609" s="62"/>
      <c r="AD609" s="62"/>
      <c r="AE609" s="62"/>
      <c r="AF609" s="62"/>
      <c r="AG609" s="62"/>
      <c r="AH609" s="62"/>
      <c r="AI609" s="62"/>
      <c r="AJ609" s="62"/>
      <c r="AK609" s="62"/>
      <c r="AL609" s="62"/>
      <c r="AM609" s="62"/>
      <c r="AN609" s="62"/>
      <c r="AO609" s="62"/>
    </row>
    <row r="610">
      <c r="A610" s="62"/>
      <c r="B610" s="62"/>
      <c r="C610" s="61"/>
      <c r="D610" s="62"/>
      <c r="E610" s="62"/>
      <c r="F610" s="62" t="b">
        <v>0</v>
      </c>
      <c r="G610" s="62"/>
      <c r="H610" s="61"/>
      <c r="I610" s="61"/>
      <c r="J610" s="62"/>
      <c r="K610" s="62"/>
      <c r="L610" s="62"/>
      <c r="M610" s="62"/>
      <c r="N610" s="62"/>
      <c r="O610" s="62" t="b">
        <v>0</v>
      </c>
      <c r="P610" s="62"/>
      <c r="Q610" s="66" t="str">
        <f>'Volunteer Survey'!J1025</f>
        <v/>
      </c>
      <c r="R610" s="62"/>
      <c r="S610" s="62"/>
      <c r="T610" s="62"/>
      <c r="U610" s="74"/>
      <c r="V610" s="62"/>
      <c r="W610" s="75" t="str">
        <f>'Volunteer Survey'!P1025</f>
        <v/>
      </c>
      <c r="X610" s="62"/>
      <c r="Y610" s="61"/>
      <c r="Z610" s="62"/>
      <c r="AA610" s="62"/>
      <c r="AB610" s="62"/>
      <c r="AC610" s="62"/>
      <c r="AD610" s="62"/>
      <c r="AE610" s="62"/>
      <c r="AF610" s="62"/>
      <c r="AG610" s="62"/>
      <c r="AH610" s="62"/>
      <c r="AI610" s="62"/>
      <c r="AJ610" s="62"/>
      <c r="AK610" s="62"/>
      <c r="AL610" s="62"/>
      <c r="AM610" s="62"/>
      <c r="AN610" s="62"/>
      <c r="AO610" s="62"/>
    </row>
    <row r="611">
      <c r="A611" s="62"/>
      <c r="B611" s="62"/>
      <c r="C611" s="61"/>
      <c r="D611" s="62"/>
      <c r="E611" s="62"/>
      <c r="F611" s="62" t="b">
        <v>0</v>
      </c>
      <c r="G611" s="62"/>
      <c r="H611" s="61"/>
      <c r="I611" s="61"/>
      <c r="J611" s="62"/>
      <c r="K611" s="62"/>
      <c r="L611" s="62"/>
      <c r="M611" s="62"/>
      <c r="N611" s="62"/>
      <c r="O611" s="62" t="b">
        <v>0</v>
      </c>
      <c r="P611" s="62"/>
      <c r="Q611" s="62"/>
      <c r="R611" s="62"/>
      <c r="S611" s="62"/>
      <c r="T611" s="62"/>
      <c r="U611" s="74"/>
      <c r="V611" s="62"/>
      <c r="W611" s="75" t="str">
        <f>'Volunteer Survey'!P1026</f>
        <v/>
      </c>
      <c r="X611" s="62"/>
      <c r="Y611" s="61"/>
      <c r="Z611" s="62"/>
      <c r="AA611" s="62"/>
      <c r="AB611" s="62"/>
      <c r="AC611" s="62"/>
      <c r="AD611" s="62"/>
      <c r="AE611" s="62"/>
      <c r="AF611" s="62"/>
      <c r="AG611" s="62"/>
      <c r="AH611" s="62"/>
      <c r="AI611" s="62"/>
      <c r="AJ611" s="62"/>
      <c r="AK611" s="62"/>
      <c r="AL611" s="62"/>
      <c r="AM611" s="62"/>
      <c r="AN611" s="62"/>
      <c r="AO611" s="62"/>
    </row>
    <row r="612">
      <c r="A612" s="62"/>
      <c r="B612" s="62"/>
      <c r="C612" s="61"/>
      <c r="D612" s="62"/>
      <c r="E612" s="62"/>
      <c r="F612" s="62" t="b">
        <v>0</v>
      </c>
      <c r="G612" s="62"/>
      <c r="H612" s="61"/>
      <c r="I612" s="61"/>
      <c r="J612" s="62"/>
      <c r="K612" s="62"/>
      <c r="L612" s="62"/>
      <c r="M612" s="62"/>
      <c r="N612" s="62"/>
      <c r="O612" s="62" t="b">
        <v>0</v>
      </c>
      <c r="P612" s="62"/>
      <c r="Q612" s="62"/>
      <c r="R612" s="62"/>
      <c r="S612" s="62"/>
      <c r="T612" s="62"/>
      <c r="U612" s="74"/>
      <c r="V612" s="62"/>
      <c r="W612" s="75" t="str">
        <f>'Volunteer Survey'!P1027</f>
        <v/>
      </c>
      <c r="X612" s="62"/>
      <c r="Y612" s="61"/>
      <c r="Z612" s="62"/>
      <c r="AA612" s="62"/>
      <c r="AB612" s="62"/>
      <c r="AC612" s="62"/>
      <c r="AD612" s="62"/>
      <c r="AE612" s="62"/>
      <c r="AF612" s="62"/>
      <c r="AG612" s="62"/>
      <c r="AH612" s="62"/>
      <c r="AI612" s="62"/>
      <c r="AJ612" s="62"/>
      <c r="AK612" s="62"/>
      <c r="AL612" s="62"/>
      <c r="AM612" s="62"/>
      <c r="AN612" s="62"/>
      <c r="AO612" s="62"/>
    </row>
    <row r="613">
      <c r="A613" s="62"/>
      <c r="B613" s="62"/>
      <c r="C613" s="61"/>
      <c r="D613" s="62"/>
      <c r="E613" s="62"/>
      <c r="F613" s="62" t="b">
        <v>0</v>
      </c>
      <c r="G613" s="62"/>
      <c r="H613" s="61"/>
      <c r="I613" s="61"/>
      <c r="J613" s="62"/>
      <c r="K613" s="62"/>
      <c r="L613" s="62"/>
      <c r="M613" s="62"/>
      <c r="N613" s="62"/>
      <c r="O613" s="62" t="b">
        <v>0</v>
      </c>
      <c r="P613" s="62"/>
      <c r="Q613" s="62"/>
      <c r="R613" s="62"/>
      <c r="S613" s="62"/>
      <c r="T613" s="62"/>
      <c r="U613" s="74"/>
      <c r="V613" s="62"/>
      <c r="W613" s="75" t="str">
        <f>'Volunteer Survey'!P1028</f>
        <v/>
      </c>
      <c r="X613" s="62"/>
      <c r="Y613" s="61"/>
      <c r="Z613" s="62"/>
      <c r="AA613" s="62"/>
      <c r="AB613" s="62"/>
      <c r="AC613" s="62"/>
      <c r="AD613" s="62"/>
      <c r="AE613" s="62"/>
      <c r="AF613" s="62"/>
      <c r="AG613" s="62"/>
      <c r="AH613" s="62"/>
      <c r="AI613" s="62"/>
      <c r="AJ613" s="62"/>
      <c r="AK613" s="62"/>
      <c r="AL613" s="62"/>
      <c r="AM613" s="62"/>
      <c r="AN613" s="62"/>
      <c r="AO613" s="62"/>
    </row>
    <row r="614">
      <c r="A614" s="62"/>
      <c r="B614" s="62"/>
      <c r="C614" s="61"/>
      <c r="D614" s="62"/>
      <c r="E614" s="62"/>
      <c r="F614" s="62" t="b">
        <v>0</v>
      </c>
      <c r="G614" s="62"/>
      <c r="H614" s="61"/>
      <c r="I614" s="61"/>
      <c r="J614" s="62"/>
      <c r="K614" s="62"/>
      <c r="L614" s="62"/>
      <c r="M614" s="62"/>
      <c r="N614" s="62"/>
      <c r="O614" s="62" t="b">
        <v>0</v>
      </c>
      <c r="P614" s="62"/>
      <c r="Q614" s="62"/>
      <c r="R614" s="62"/>
      <c r="S614" s="62"/>
      <c r="T614" s="62"/>
      <c r="U614" s="74"/>
      <c r="V614" s="62"/>
      <c r="W614" s="75" t="str">
        <f>'Volunteer Survey'!P1029</f>
        <v/>
      </c>
      <c r="X614" s="62"/>
      <c r="Y614" s="61"/>
      <c r="Z614" s="62"/>
      <c r="AA614" s="62"/>
      <c r="AB614" s="62"/>
      <c r="AC614" s="62"/>
      <c r="AD614" s="62"/>
      <c r="AE614" s="62"/>
      <c r="AF614" s="62"/>
      <c r="AG614" s="62"/>
      <c r="AH614" s="62"/>
      <c r="AI614" s="62"/>
      <c r="AJ614" s="62"/>
      <c r="AK614" s="62"/>
      <c r="AL614" s="62"/>
      <c r="AM614" s="62"/>
      <c r="AN614" s="62"/>
      <c r="AO614" s="62"/>
    </row>
    <row r="615">
      <c r="A615" s="62"/>
      <c r="B615" s="62"/>
      <c r="C615" s="61"/>
      <c r="D615" s="62"/>
      <c r="E615" s="62"/>
      <c r="F615" s="62" t="b">
        <v>0</v>
      </c>
      <c r="G615" s="62"/>
      <c r="H615" s="61"/>
      <c r="I615" s="61"/>
      <c r="J615" s="62"/>
      <c r="K615" s="62"/>
      <c r="L615" s="62"/>
      <c r="M615" s="62"/>
      <c r="N615" s="62"/>
      <c r="O615" s="62" t="b">
        <v>0</v>
      </c>
      <c r="P615" s="62"/>
      <c r="Q615" s="62"/>
      <c r="R615" s="62"/>
      <c r="S615" s="62"/>
      <c r="T615" s="62"/>
      <c r="U615" s="74"/>
      <c r="V615" s="62"/>
      <c r="W615" s="75" t="str">
        <f>'Volunteer Survey'!P1030</f>
        <v/>
      </c>
      <c r="X615" s="62"/>
      <c r="Y615" s="61"/>
      <c r="Z615" s="62"/>
      <c r="AA615" s="62"/>
      <c r="AB615" s="62"/>
      <c r="AC615" s="62"/>
      <c r="AD615" s="62"/>
      <c r="AE615" s="62"/>
      <c r="AF615" s="62"/>
      <c r="AG615" s="62"/>
      <c r="AH615" s="62"/>
      <c r="AI615" s="62"/>
      <c r="AJ615" s="62"/>
      <c r="AK615" s="62"/>
      <c r="AL615" s="62"/>
      <c r="AM615" s="62"/>
      <c r="AN615" s="62"/>
      <c r="AO615" s="62"/>
    </row>
    <row r="616">
      <c r="A616" s="62"/>
      <c r="B616" s="62"/>
      <c r="C616" s="61"/>
      <c r="D616" s="62"/>
      <c r="E616" s="62"/>
      <c r="F616" s="62" t="b">
        <v>0</v>
      </c>
      <c r="G616" s="62"/>
      <c r="H616" s="61"/>
      <c r="I616" s="61"/>
      <c r="J616" s="62"/>
      <c r="K616" s="62"/>
      <c r="L616" s="62"/>
      <c r="M616" s="62"/>
      <c r="N616" s="62"/>
      <c r="O616" s="62" t="b">
        <v>0</v>
      </c>
      <c r="P616" s="62"/>
      <c r="Q616" s="62"/>
      <c r="R616" s="62"/>
      <c r="S616" s="62"/>
      <c r="T616" s="62"/>
      <c r="U616" s="74"/>
      <c r="V616" s="62"/>
      <c r="W616" s="75" t="str">
        <f>'Volunteer Survey'!P1031</f>
        <v/>
      </c>
      <c r="X616" s="62"/>
      <c r="Y616" s="61"/>
      <c r="Z616" s="62"/>
      <c r="AA616" s="62"/>
      <c r="AB616" s="62"/>
      <c r="AC616" s="62"/>
      <c r="AD616" s="62"/>
      <c r="AE616" s="62"/>
      <c r="AF616" s="62"/>
      <c r="AG616" s="62"/>
      <c r="AH616" s="62"/>
      <c r="AI616" s="62"/>
      <c r="AJ616" s="62"/>
      <c r="AK616" s="62"/>
      <c r="AL616" s="62"/>
      <c r="AM616" s="62"/>
      <c r="AN616" s="62"/>
      <c r="AO616" s="62"/>
    </row>
    <row r="617">
      <c r="A617" s="62"/>
      <c r="B617" s="62"/>
      <c r="C617" s="61"/>
      <c r="D617" s="62"/>
      <c r="E617" s="62"/>
      <c r="F617" s="62" t="b">
        <v>0</v>
      </c>
      <c r="G617" s="62"/>
      <c r="H617" s="61"/>
      <c r="I617" s="61"/>
      <c r="J617" s="62"/>
      <c r="K617" s="62"/>
      <c r="L617" s="62"/>
      <c r="M617" s="62"/>
      <c r="N617" s="62"/>
      <c r="O617" s="62" t="b">
        <v>0</v>
      </c>
      <c r="P617" s="62"/>
      <c r="Q617" s="62"/>
      <c r="R617" s="62"/>
      <c r="S617" s="62"/>
      <c r="T617" s="62"/>
      <c r="U617" s="74"/>
      <c r="V617" s="62"/>
      <c r="W617" s="75" t="str">
        <f>'Volunteer Survey'!P1032</f>
        <v/>
      </c>
      <c r="X617" s="62"/>
      <c r="Y617" s="61"/>
      <c r="Z617" s="62"/>
      <c r="AA617" s="62"/>
      <c r="AB617" s="62"/>
      <c r="AC617" s="62"/>
      <c r="AD617" s="62"/>
      <c r="AE617" s="62"/>
      <c r="AF617" s="62"/>
      <c r="AG617" s="62"/>
      <c r="AH617" s="62"/>
      <c r="AI617" s="62"/>
      <c r="AJ617" s="62"/>
      <c r="AK617" s="62"/>
      <c r="AL617" s="62"/>
      <c r="AM617" s="62"/>
      <c r="AN617" s="62"/>
      <c r="AO617" s="62"/>
    </row>
    <row r="618">
      <c r="A618" s="62"/>
      <c r="B618" s="62"/>
      <c r="C618" s="61"/>
      <c r="D618" s="62"/>
      <c r="E618" s="62"/>
      <c r="F618" s="62" t="b">
        <v>0</v>
      </c>
      <c r="G618" s="62"/>
      <c r="H618" s="61"/>
      <c r="I618" s="61"/>
      <c r="J618" s="62"/>
      <c r="K618" s="62"/>
      <c r="L618" s="62"/>
      <c r="M618" s="62"/>
      <c r="N618" s="62"/>
      <c r="O618" s="62" t="b">
        <v>0</v>
      </c>
      <c r="P618" s="62"/>
      <c r="Q618" s="62"/>
      <c r="R618" s="62"/>
      <c r="S618" s="62"/>
      <c r="T618" s="62"/>
      <c r="U618" s="74"/>
      <c r="V618" s="62"/>
      <c r="W618" s="75" t="str">
        <f>'Volunteer Survey'!P1033</f>
        <v/>
      </c>
      <c r="X618" s="62"/>
      <c r="Y618" s="61"/>
      <c r="Z618" s="62"/>
      <c r="AA618" s="62"/>
      <c r="AB618" s="62"/>
      <c r="AC618" s="62"/>
      <c r="AD618" s="62"/>
      <c r="AE618" s="62"/>
      <c r="AF618" s="62"/>
      <c r="AG618" s="62"/>
      <c r="AH618" s="62"/>
      <c r="AI618" s="62"/>
      <c r="AJ618" s="62"/>
      <c r="AK618" s="62"/>
      <c r="AL618" s="62"/>
      <c r="AM618" s="62"/>
      <c r="AN618" s="62"/>
      <c r="AO618" s="62"/>
    </row>
    <row r="619">
      <c r="A619" s="62"/>
      <c r="B619" s="62"/>
      <c r="C619" s="61"/>
      <c r="D619" s="62"/>
      <c r="E619" s="62"/>
      <c r="F619" s="62" t="b">
        <v>0</v>
      </c>
      <c r="G619" s="62"/>
      <c r="H619" s="61"/>
      <c r="I619" s="61"/>
      <c r="J619" s="62"/>
      <c r="K619" s="62"/>
      <c r="L619" s="62"/>
      <c r="M619" s="62"/>
      <c r="N619" s="62"/>
      <c r="O619" s="62" t="b">
        <v>0</v>
      </c>
      <c r="P619" s="62"/>
      <c r="Q619" s="62"/>
      <c r="R619" s="62"/>
      <c r="S619" s="62"/>
      <c r="T619" s="62"/>
      <c r="U619" s="74"/>
      <c r="V619" s="62"/>
      <c r="W619" s="75" t="str">
        <f>'Volunteer Survey'!P1034</f>
        <v/>
      </c>
      <c r="X619" s="62"/>
      <c r="Y619" s="61"/>
      <c r="Z619" s="62"/>
      <c r="AA619" s="62"/>
      <c r="AB619" s="62"/>
      <c r="AC619" s="62"/>
      <c r="AD619" s="62"/>
      <c r="AE619" s="62"/>
      <c r="AF619" s="62"/>
      <c r="AG619" s="62"/>
      <c r="AH619" s="62"/>
      <c r="AI619" s="62"/>
      <c r="AJ619" s="62"/>
      <c r="AK619" s="62"/>
      <c r="AL619" s="62"/>
      <c r="AM619" s="62"/>
      <c r="AN619" s="62"/>
      <c r="AO619" s="62"/>
    </row>
    <row r="620">
      <c r="A620" s="62"/>
      <c r="B620" s="62"/>
      <c r="C620" s="61"/>
      <c r="D620" s="62"/>
      <c r="E620" s="62"/>
      <c r="F620" s="62" t="b">
        <v>0</v>
      </c>
      <c r="G620" s="62"/>
      <c r="H620" s="61"/>
      <c r="I620" s="61"/>
      <c r="J620" s="62"/>
      <c r="K620" s="62"/>
      <c r="L620" s="62"/>
      <c r="M620" s="62"/>
      <c r="N620" s="62"/>
      <c r="O620" s="62" t="b">
        <v>0</v>
      </c>
      <c r="P620" s="62"/>
      <c r="Q620" s="62"/>
      <c r="R620" s="62"/>
      <c r="S620" s="62"/>
      <c r="T620" s="62"/>
      <c r="U620" s="74"/>
      <c r="V620" s="62"/>
      <c r="W620" s="74"/>
      <c r="X620" s="62"/>
      <c r="Y620" s="61"/>
      <c r="Z620" s="62"/>
      <c r="AA620" s="62"/>
      <c r="AB620" s="62"/>
      <c r="AC620" s="62"/>
      <c r="AD620" s="62"/>
      <c r="AE620" s="62"/>
      <c r="AF620" s="62"/>
      <c r="AG620" s="62"/>
      <c r="AH620" s="62"/>
      <c r="AI620" s="62"/>
      <c r="AJ620" s="62"/>
      <c r="AK620" s="62"/>
      <c r="AL620" s="62"/>
      <c r="AM620" s="62"/>
      <c r="AN620" s="62"/>
      <c r="AO620" s="62"/>
    </row>
    <row r="621">
      <c r="A621" s="62"/>
      <c r="B621" s="62"/>
      <c r="C621" s="61"/>
      <c r="D621" s="62"/>
      <c r="E621" s="62"/>
      <c r="F621" s="62" t="b">
        <v>0</v>
      </c>
      <c r="G621" s="62"/>
      <c r="H621" s="61"/>
      <c r="I621" s="61"/>
      <c r="J621" s="62"/>
      <c r="K621" s="62"/>
      <c r="L621" s="62"/>
      <c r="M621" s="62"/>
      <c r="N621" s="62"/>
      <c r="O621" s="62" t="b">
        <v>0</v>
      </c>
      <c r="P621" s="62"/>
      <c r="Q621" s="62"/>
      <c r="R621" s="62"/>
      <c r="S621" s="62"/>
      <c r="T621" s="62"/>
      <c r="U621" s="74"/>
      <c r="V621" s="62"/>
      <c r="W621" s="74"/>
      <c r="X621" s="62"/>
      <c r="Y621" s="61"/>
      <c r="Z621" s="62"/>
      <c r="AA621" s="62"/>
      <c r="AB621" s="62"/>
      <c r="AC621" s="62"/>
      <c r="AD621" s="62"/>
      <c r="AE621" s="62"/>
      <c r="AF621" s="62"/>
      <c r="AG621" s="62"/>
      <c r="AH621" s="62"/>
      <c r="AI621" s="62"/>
      <c r="AJ621" s="62"/>
      <c r="AK621" s="62"/>
      <c r="AL621" s="62"/>
      <c r="AM621" s="62"/>
      <c r="AN621" s="62"/>
      <c r="AO621" s="62"/>
    </row>
    <row r="622">
      <c r="A622" s="62"/>
      <c r="B622" s="62"/>
      <c r="C622" s="61"/>
      <c r="D622" s="62"/>
      <c r="E622" s="62"/>
      <c r="F622" s="62" t="b">
        <v>0</v>
      </c>
      <c r="G622" s="62"/>
      <c r="H622" s="61"/>
      <c r="I622" s="61"/>
      <c r="J622" s="62"/>
      <c r="K622" s="62"/>
      <c r="L622" s="62"/>
      <c r="M622" s="62"/>
      <c r="N622" s="62"/>
      <c r="O622" s="62" t="b">
        <v>0</v>
      </c>
      <c r="P622" s="62"/>
      <c r="Q622" s="62"/>
      <c r="R622" s="62"/>
      <c r="S622" s="62"/>
      <c r="T622" s="62"/>
      <c r="U622" s="74"/>
      <c r="V622" s="62"/>
      <c r="W622" s="74"/>
      <c r="X622" s="62"/>
      <c r="Y622" s="61"/>
      <c r="Z622" s="62"/>
      <c r="AA622" s="62"/>
      <c r="AB622" s="62"/>
      <c r="AC622" s="62"/>
      <c r="AD622" s="62"/>
      <c r="AE622" s="62"/>
      <c r="AF622" s="62"/>
      <c r="AG622" s="62"/>
      <c r="AH622" s="62"/>
      <c r="AI622" s="62"/>
      <c r="AJ622" s="62"/>
      <c r="AK622" s="62"/>
      <c r="AL622" s="62"/>
      <c r="AM622" s="62"/>
      <c r="AN622" s="62"/>
      <c r="AO622" s="62"/>
    </row>
    <row r="623">
      <c r="A623" s="62"/>
      <c r="B623" s="62"/>
      <c r="C623" s="61"/>
      <c r="D623" s="62"/>
      <c r="E623" s="62"/>
      <c r="F623" s="62" t="b">
        <v>0</v>
      </c>
      <c r="G623" s="62"/>
      <c r="H623" s="61"/>
      <c r="I623" s="61"/>
      <c r="J623" s="62"/>
      <c r="K623" s="62"/>
      <c r="L623" s="62"/>
      <c r="M623" s="62"/>
      <c r="N623" s="62"/>
      <c r="O623" s="62" t="b">
        <v>0</v>
      </c>
      <c r="P623" s="62"/>
      <c r="Q623" s="62"/>
      <c r="R623" s="62"/>
      <c r="S623" s="62"/>
      <c r="T623" s="62"/>
      <c r="U623" s="74"/>
      <c r="V623" s="62"/>
      <c r="W623" s="74"/>
      <c r="X623" s="62"/>
      <c r="Y623" s="61"/>
      <c r="Z623" s="62"/>
      <c r="AA623" s="62"/>
      <c r="AB623" s="62"/>
      <c r="AC623" s="62"/>
      <c r="AD623" s="62"/>
      <c r="AE623" s="62"/>
      <c r="AF623" s="62"/>
      <c r="AG623" s="62"/>
      <c r="AH623" s="62"/>
      <c r="AI623" s="62"/>
      <c r="AJ623" s="62"/>
      <c r="AK623" s="62"/>
      <c r="AL623" s="62"/>
      <c r="AM623" s="62"/>
      <c r="AN623" s="62"/>
      <c r="AO623" s="62"/>
    </row>
    <row r="624">
      <c r="A624" s="62"/>
      <c r="B624" s="62"/>
      <c r="C624" s="61"/>
      <c r="D624" s="62"/>
      <c r="E624" s="62"/>
      <c r="F624" s="62" t="b">
        <v>0</v>
      </c>
      <c r="G624" s="62"/>
      <c r="H624" s="61"/>
      <c r="I624" s="61"/>
      <c r="J624" s="62"/>
      <c r="K624" s="62"/>
      <c r="L624" s="62"/>
      <c r="M624" s="62"/>
      <c r="N624" s="62"/>
      <c r="O624" s="62" t="b">
        <v>0</v>
      </c>
      <c r="P624" s="62"/>
      <c r="Q624" s="62"/>
      <c r="R624" s="62"/>
      <c r="S624" s="62"/>
      <c r="T624" s="62"/>
      <c r="U624" s="74"/>
      <c r="V624" s="62"/>
      <c r="W624" s="74"/>
      <c r="X624" s="62"/>
      <c r="Y624" s="61"/>
      <c r="Z624" s="62"/>
      <c r="AA624" s="62"/>
      <c r="AB624" s="62"/>
      <c r="AC624" s="62"/>
      <c r="AD624" s="62"/>
      <c r="AE624" s="62"/>
      <c r="AF624" s="62"/>
      <c r="AG624" s="62"/>
      <c r="AH624" s="62"/>
      <c r="AI624" s="62"/>
      <c r="AJ624" s="62"/>
      <c r="AK624" s="62"/>
      <c r="AL624" s="62"/>
      <c r="AM624" s="62"/>
      <c r="AN624" s="62"/>
      <c r="AO624" s="62"/>
    </row>
    <row r="625">
      <c r="A625" s="62"/>
      <c r="B625" s="62"/>
      <c r="C625" s="61"/>
      <c r="D625" s="62"/>
      <c r="E625" s="62"/>
      <c r="F625" s="62" t="b">
        <v>0</v>
      </c>
      <c r="G625" s="62"/>
      <c r="H625" s="61"/>
      <c r="I625" s="61"/>
      <c r="J625" s="62"/>
      <c r="K625" s="62"/>
      <c r="L625" s="62"/>
      <c r="M625" s="62"/>
      <c r="N625" s="62"/>
      <c r="O625" s="62" t="b">
        <v>0</v>
      </c>
      <c r="P625" s="62"/>
      <c r="Q625" s="62"/>
      <c r="R625" s="62"/>
      <c r="S625" s="62"/>
      <c r="T625" s="62"/>
      <c r="U625" s="74"/>
      <c r="V625" s="62"/>
      <c r="W625" s="74"/>
      <c r="X625" s="62"/>
      <c r="Y625" s="61"/>
      <c r="Z625" s="62"/>
      <c r="AA625" s="62"/>
      <c r="AB625" s="62"/>
      <c r="AC625" s="62"/>
      <c r="AD625" s="62"/>
      <c r="AE625" s="62"/>
      <c r="AF625" s="62"/>
      <c r="AG625" s="62"/>
      <c r="AH625" s="62"/>
      <c r="AI625" s="62"/>
      <c r="AJ625" s="62"/>
      <c r="AK625" s="62"/>
      <c r="AL625" s="62"/>
      <c r="AM625" s="62"/>
      <c r="AN625" s="62"/>
      <c r="AO625" s="62"/>
    </row>
    <row r="626">
      <c r="A626" s="62"/>
      <c r="B626" s="62"/>
      <c r="C626" s="61"/>
      <c r="D626" s="62"/>
      <c r="E626" s="62"/>
      <c r="F626" s="62" t="b">
        <v>0</v>
      </c>
      <c r="G626" s="62"/>
      <c r="H626" s="61"/>
      <c r="I626" s="61"/>
      <c r="J626" s="62"/>
      <c r="K626" s="62"/>
      <c r="L626" s="62"/>
      <c r="M626" s="62"/>
      <c r="N626" s="62"/>
      <c r="O626" s="62" t="b">
        <v>0</v>
      </c>
      <c r="P626" s="62"/>
      <c r="Q626" s="62"/>
      <c r="R626" s="62"/>
      <c r="S626" s="62"/>
      <c r="T626" s="62"/>
      <c r="U626" s="74"/>
      <c r="V626" s="62"/>
      <c r="W626" s="74"/>
      <c r="X626" s="62"/>
      <c r="Y626" s="61"/>
      <c r="Z626" s="62"/>
      <c r="AA626" s="62"/>
      <c r="AB626" s="62"/>
      <c r="AC626" s="62"/>
      <c r="AD626" s="62"/>
      <c r="AE626" s="62"/>
      <c r="AF626" s="62"/>
      <c r="AG626" s="62"/>
      <c r="AH626" s="62"/>
      <c r="AI626" s="62"/>
      <c r="AJ626" s="62"/>
      <c r="AK626" s="62"/>
      <c r="AL626" s="62"/>
      <c r="AM626" s="62"/>
      <c r="AN626" s="62"/>
      <c r="AO626" s="62"/>
    </row>
    <row r="627">
      <c r="A627" s="62"/>
      <c r="B627" s="62"/>
      <c r="C627" s="61"/>
      <c r="D627" s="62"/>
      <c r="E627" s="62"/>
      <c r="F627" s="62" t="b">
        <v>0</v>
      </c>
      <c r="G627" s="62"/>
      <c r="H627" s="61"/>
      <c r="I627" s="61"/>
      <c r="J627" s="62"/>
      <c r="K627" s="62"/>
      <c r="L627" s="62"/>
      <c r="M627" s="62"/>
      <c r="N627" s="62"/>
      <c r="O627" s="62" t="b">
        <v>0</v>
      </c>
      <c r="P627" s="62"/>
      <c r="Q627" s="62"/>
      <c r="R627" s="62"/>
      <c r="S627" s="62"/>
      <c r="T627" s="62"/>
      <c r="U627" s="74"/>
      <c r="V627" s="62"/>
      <c r="W627" s="74"/>
      <c r="X627" s="62"/>
      <c r="Y627" s="61"/>
      <c r="Z627" s="62"/>
      <c r="AA627" s="62"/>
      <c r="AB627" s="62"/>
      <c r="AC627" s="62"/>
      <c r="AD627" s="62"/>
      <c r="AE627" s="62"/>
      <c r="AF627" s="62"/>
      <c r="AG627" s="62"/>
      <c r="AH627" s="62"/>
      <c r="AI627" s="62"/>
      <c r="AJ627" s="62"/>
      <c r="AK627" s="62"/>
      <c r="AL627" s="62"/>
      <c r="AM627" s="62"/>
      <c r="AN627" s="62"/>
      <c r="AO627" s="62"/>
    </row>
    <row r="628">
      <c r="A628" s="62"/>
      <c r="B628" s="62"/>
      <c r="C628" s="61"/>
      <c r="D628" s="62"/>
      <c r="E628" s="62"/>
      <c r="F628" s="62" t="b">
        <v>0</v>
      </c>
      <c r="G628" s="62"/>
      <c r="H628" s="61"/>
      <c r="I628" s="61"/>
      <c r="J628" s="62"/>
      <c r="K628" s="62"/>
      <c r="L628" s="62"/>
      <c r="M628" s="62"/>
      <c r="N628" s="62"/>
      <c r="O628" s="62" t="b">
        <v>0</v>
      </c>
      <c r="P628" s="62"/>
      <c r="Q628" s="62"/>
      <c r="R628" s="62"/>
      <c r="S628" s="62"/>
      <c r="T628" s="62"/>
      <c r="U628" s="74"/>
      <c r="V628" s="62"/>
      <c r="W628" s="74"/>
      <c r="X628" s="62"/>
      <c r="Y628" s="61"/>
      <c r="Z628" s="62"/>
      <c r="AA628" s="62"/>
      <c r="AB628" s="62"/>
      <c r="AC628" s="62"/>
      <c r="AD628" s="62"/>
      <c r="AE628" s="62"/>
      <c r="AF628" s="62"/>
      <c r="AG628" s="62"/>
      <c r="AH628" s="62"/>
      <c r="AI628" s="62"/>
      <c r="AJ628" s="62"/>
      <c r="AK628" s="62"/>
      <c r="AL628" s="62"/>
      <c r="AM628" s="62"/>
      <c r="AN628" s="62"/>
      <c r="AO628" s="62"/>
    </row>
    <row r="629">
      <c r="A629" s="62"/>
      <c r="B629" s="62"/>
      <c r="C629" s="61"/>
      <c r="D629" s="62"/>
      <c r="E629" s="62"/>
      <c r="F629" s="62" t="b">
        <v>0</v>
      </c>
      <c r="G629" s="62"/>
      <c r="H629" s="61"/>
      <c r="I629" s="61"/>
      <c r="J629" s="62"/>
      <c r="K629" s="62"/>
      <c r="L629" s="62"/>
      <c r="M629" s="62"/>
      <c r="N629" s="62"/>
      <c r="O629" s="62" t="b">
        <v>0</v>
      </c>
      <c r="P629" s="62"/>
      <c r="Q629" s="62"/>
      <c r="R629" s="62"/>
      <c r="S629" s="62"/>
      <c r="T629" s="62"/>
      <c r="U629" s="74"/>
      <c r="V629" s="62"/>
      <c r="W629" s="74"/>
      <c r="X629" s="62"/>
      <c r="Y629" s="61"/>
      <c r="Z629" s="62"/>
      <c r="AA629" s="62"/>
      <c r="AB629" s="62"/>
      <c r="AC629" s="62"/>
      <c r="AD629" s="62"/>
      <c r="AE629" s="62"/>
      <c r="AF629" s="62"/>
      <c r="AG629" s="62"/>
      <c r="AH629" s="62"/>
      <c r="AI629" s="62"/>
      <c r="AJ629" s="62"/>
      <c r="AK629" s="62"/>
      <c r="AL629" s="62"/>
      <c r="AM629" s="62"/>
      <c r="AN629" s="62"/>
      <c r="AO629" s="62"/>
    </row>
    <row r="630">
      <c r="A630" s="62"/>
      <c r="B630" s="62"/>
      <c r="C630" s="61"/>
      <c r="D630" s="62"/>
      <c r="E630" s="62"/>
      <c r="F630" s="62" t="b">
        <v>0</v>
      </c>
      <c r="G630" s="62"/>
      <c r="H630" s="61"/>
      <c r="I630" s="61"/>
      <c r="J630" s="62"/>
      <c r="K630" s="62"/>
      <c r="L630" s="62"/>
      <c r="M630" s="62"/>
      <c r="N630" s="62"/>
      <c r="O630" s="62" t="b">
        <v>0</v>
      </c>
      <c r="P630" s="62"/>
      <c r="Q630" s="62"/>
      <c r="R630" s="62"/>
      <c r="S630" s="62"/>
      <c r="T630" s="62"/>
      <c r="U630" s="74"/>
      <c r="V630" s="62"/>
      <c r="W630" s="74"/>
      <c r="X630" s="62"/>
      <c r="Y630" s="61"/>
      <c r="Z630" s="62"/>
      <c r="AA630" s="62"/>
      <c r="AB630" s="62"/>
      <c r="AC630" s="62"/>
      <c r="AD630" s="62"/>
      <c r="AE630" s="62"/>
      <c r="AF630" s="62"/>
      <c r="AG630" s="62"/>
      <c r="AH630" s="62"/>
      <c r="AI630" s="62"/>
      <c r="AJ630" s="62"/>
      <c r="AK630" s="62"/>
      <c r="AL630" s="62"/>
      <c r="AM630" s="62"/>
      <c r="AN630" s="62"/>
      <c r="AO630" s="62"/>
    </row>
    <row r="631">
      <c r="A631" s="62"/>
      <c r="B631" s="62"/>
      <c r="C631" s="61"/>
      <c r="D631" s="62"/>
      <c r="E631" s="62"/>
      <c r="F631" s="62" t="b">
        <v>0</v>
      </c>
      <c r="G631" s="62"/>
      <c r="H631" s="61"/>
      <c r="I631" s="61"/>
      <c r="J631" s="62"/>
      <c r="K631" s="62"/>
      <c r="L631" s="62"/>
      <c r="M631" s="62"/>
      <c r="N631" s="62"/>
      <c r="O631" s="62" t="b">
        <v>0</v>
      </c>
      <c r="P631" s="62"/>
      <c r="Q631" s="62"/>
      <c r="R631" s="62"/>
      <c r="S631" s="62"/>
      <c r="T631" s="62"/>
      <c r="U631" s="74"/>
      <c r="V631" s="62"/>
      <c r="W631" s="74"/>
      <c r="X631" s="62"/>
      <c r="Y631" s="61"/>
      <c r="Z631" s="62"/>
      <c r="AA631" s="62"/>
      <c r="AB631" s="62"/>
      <c r="AC631" s="62"/>
      <c r="AD631" s="62"/>
      <c r="AE631" s="62"/>
      <c r="AF631" s="62"/>
      <c r="AG631" s="62"/>
      <c r="AH631" s="62"/>
      <c r="AI631" s="62"/>
      <c r="AJ631" s="62"/>
      <c r="AK631" s="62"/>
      <c r="AL631" s="62"/>
      <c r="AM631" s="62"/>
      <c r="AN631" s="62"/>
      <c r="AO631" s="62"/>
    </row>
    <row r="632">
      <c r="A632" s="62"/>
      <c r="B632" s="62"/>
      <c r="C632" s="61"/>
      <c r="D632" s="62"/>
      <c r="E632" s="62"/>
      <c r="F632" s="62" t="b">
        <v>0</v>
      </c>
      <c r="G632" s="62"/>
      <c r="H632" s="61"/>
      <c r="I632" s="61"/>
      <c r="J632" s="62"/>
      <c r="K632" s="62"/>
      <c r="L632" s="62"/>
      <c r="M632" s="62"/>
      <c r="N632" s="62"/>
      <c r="O632" s="62" t="b">
        <v>0</v>
      </c>
      <c r="P632" s="62"/>
      <c r="Q632" s="62"/>
      <c r="R632" s="62"/>
      <c r="S632" s="62"/>
      <c r="T632" s="62"/>
      <c r="U632" s="74"/>
      <c r="V632" s="62"/>
      <c r="W632" s="74"/>
      <c r="X632" s="62"/>
      <c r="Y632" s="61"/>
      <c r="Z632" s="62"/>
      <c r="AA632" s="62"/>
      <c r="AB632" s="62"/>
      <c r="AC632" s="62"/>
      <c r="AD632" s="62"/>
      <c r="AE632" s="62"/>
      <c r="AF632" s="62"/>
      <c r="AG632" s="62"/>
      <c r="AH632" s="62"/>
      <c r="AI632" s="62"/>
      <c r="AJ632" s="62"/>
      <c r="AK632" s="62"/>
      <c r="AL632" s="62"/>
      <c r="AM632" s="62"/>
      <c r="AN632" s="62"/>
      <c r="AO632" s="62"/>
    </row>
    <row r="633">
      <c r="A633" s="62"/>
      <c r="B633" s="62"/>
      <c r="C633" s="61"/>
      <c r="D633" s="62"/>
      <c r="E633" s="62"/>
      <c r="F633" s="62" t="b">
        <v>0</v>
      </c>
      <c r="G633" s="62"/>
      <c r="H633" s="61"/>
      <c r="I633" s="61"/>
      <c r="J633" s="62"/>
      <c r="K633" s="62"/>
      <c r="L633" s="62"/>
      <c r="M633" s="62"/>
      <c r="N633" s="62"/>
      <c r="O633" s="62" t="b">
        <v>0</v>
      </c>
      <c r="P633" s="62"/>
      <c r="Q633" s="62"/>
      <c r="R633" s="62"/>
      <c r="S633" s="62"/>
      <c r="T633" s="62"/>
      <c r="U633" s="74"/>
      <c r="V633" s="62"/>
      <c r="W633" s="74"/>
      <c r="X633" s="62"/>
      <c r="Y633" s="61"/>
      <c r="Z633" s="62"/>
      <c r="AA633" s="62"/>
      <c r="AB633" s="62"/>
      <c r="AC633" s="62"/>
      <c r="AD633" s="62"/>
      <c r="AE633" s="62"/>
      <c r="AF633" s="62"/>
      <c r="AG633" s="62"/>
      <c r="AH633" s="62"/>
      <c r="AI633" s="62"/>
      <c r="AJ633" s="62"/>
      <c r="AK633" s="62"/>
      <c r="AL633" s="62"/>
      <c r="AM633" s="62"/>
      <c r="AN633" s="62"/>
      <c r="AO633" s="62"/>
    </row>
    <row r="634">
      <c r="A634" s="62"/>
      <c r="B634" s="62"/>
      <c r="C634" s="61"/>
      <c r="D634" s="62"/>
      <c r="E634" s="62"/>
      <c r="F634" s="62" t="b">
        <v>0</v>
      </c>
      <c r="G634" s="62"/>
      <c r="H634" s="61"/>
      <c r="I634" s="61"/>
      <c r="J634" s="62"/>
      <c r="K634" s="62"/>
      <c r="L634" s="62"/>
      <c r="M634" s="62"/>
      <c r="N634" s="62"/>
      <c r="O634" s="62" t="b">
        <v>0</v>
      </c>
      <c r="P634" s="62"/>
      <c r="Q634" s="62"/>
      <c r="R634" s="62"/>
      <c r="S634" s="62"/>
      <c r="T634" s="62"/>
      <c r="U634" s="74"/>
      <c r="V634" s="62"/>
      <c r="W634" s="74"/>
      <c r="X634" s="62"/>
      <c r="Y634" s="61"/>
      <c r="Z634" s="62"/>
      <c r="AA634" s="62"/>
      <c r="AB634" s="62"/>
      <c r="AC634" s="62"/>
      <c r="AD634" s="62"/>
      <c r="AE634" s="62"/>
      <c r="AF634" s="62"/>
      <c r="AG634" s="62"/>
      <c r="AH634" s="62"/>
      <c r="AI634" s="62"/>
      <c r="AJ634" s="62"/>
      <c r="AK634" s="62"/>
      <c r="AL634" s="62"/>
      <c r="AM634" s="62"/>
      <c r="AN634" s="62"/>
      <c r="AO634" s="62"/>
    </row>
    <row r="635">
      <c r="A635" s="62"/>
      <c r="B635" s="62"/>
      <c r="C635" s="61"/>
      <c r="D635" s="62"/>
      <c r="E635" s="62"/>
      <c r="F635" s="62" t="b">
        <v>0</v>
      </c>
      <c r="G635" s="62"/>
      <c r="H635" s="61"/>
      <c r="I635" s="61"/>
      <c r="J635" s="62"/>
      <c r="K635" s="62"/>
      <c r="L635" s="62"/>
      <c r="M635" s="62"/>
      <c r="N635" s="62"/>
      <c r="O635" s="62" t="b">
        <v>0</v>
      </c>
      <c r="P635" s="62"/>
      <c r="Q635" s="62"/>
      <c r="R635" s="62"/>
      <c r="S635" s="62"/>
      <c r="T635" s="62"/>
      <c r="U635" s="74"/>
      <c r="V635" s="62"/>
      <c r="W635" s="74"/>
      <c r="X635" s="62"/>
      <c r="Y635" s="61"/>
      <c r="Z635" s="62"/>
      <c r="AA635" s="62"/>
      <c r="AB635" s="62"/>
      <c r="AC635" s="62"/>
      <c r="AD635" s="62"/>
      <c r="AE635" s="62"/>
      <c r="AF635" s="62"/>
      <c r="AG635" s="62"/>
      <c r="AH635" s="62"/>
      <c r="AI635" s="62"/>
      <c r="AJ635" s="62"/>
      <c r="AK635" s="62"/>
      <c r="AL635" s="62"/>
      <c r="AM635" s="62"/>
      <c r="AN635" s="62"/>
      <c r="AO635" s="62"/>
    </row>
    <row r="636">
      <c r="A636" s="62"/>
      <c r="B636" s="62"/>
      <c r="C636" s="61"/>
      <c r="D636" s="62"/>
      <c r="E636" s="62"/>
      <c r="F636" s="62" t="b">
        <v>0</v>
      </c>
      <c r="G636" s="62"/>
      <c r="H636" s="61"/>
      <c r="I636" s="61"/>
      <c r="J636" s="62"/>
      <c r="K636" s="62"/>
      <c r="L636" s="62"/>
      <c r="M636" s="62"/>
      <c r="N636" s="62"/>
      <c r="O636" s="62" t="b">
        <v>0</v>
      </c>
      <c r="P636" s="62"/>
      <c r="Q636" s="62"/>
      <c r="R636" s="62"/>
      <c r="S636" s="62"/>
      <c r="T636" s="62"/>
      <c r="U636" s="74"/>
      <c r="V636" s="62"/>
      <c r="W636" s="74"/>
      <c r="X636" s="62"/>
      <c r="Y636" s="61"/>
      <c r="Z636" s="62"/>
      <c r="AA636" s="62"/>
      <c r="AB636" s="62"/>
      <c r="AC636" s="62"/>
      <c r="AD636" s="62"/>
      <c r="AE636" s="62"/>
      <c r="AF636" s="62"/>
      <c r="AG636" s="62"/>
      <c r="AH636" s="62"/>
      <c r="AI636" s="62"/>
      <c r="AJ636" s="62"/>
      <c r="AK636" s="62"/>
      <c r="AL636" s="62"/>
      <c r="AM636" s="62"/>
      <c r="AN636" s="62"/>
      <c r="AO636" s="62"/>
    </row>
    <row r="637">
      <c r="A637" s="62"/>
      <c r="B637" s="62"/>
      <c r="C637" s="61"/>
      <c r="D637" s="62"/>
      <c r="E637" s="62"/>
      <c r="F637" s="62" t="b">
        <v>0</v>
      </c>
      <c r="G637" s="62"/>
      <c r="H637" s="61"/>
      <c r="I637" s="61"/>
      <c r="J637" s="62"/>
      <c r="K637" s="62"/>
      <c r="L637" s="62"/>
      <c r="M637" s="62"/>
      <c r="N637" s="62"/>
      <c r="O637" s="62" t="b">
        <v>0</v>
      </c>
      <c r="P637" s="62"/>
      <c r="Q637" s="62"/>
      <c r="R637" s="62"/>
      <c r="S637" s="62"/>
      <c r="T637" s="62"/>
      <c r="U637" s="74"/>
      <c r="V637" s="62"/>
      <c r="W637" s="74"/>
      <c r="X637" s="62"/>
      <c r="Y637" s="61"/>
      <c r="Z637" s="62"/>
      <c r="AA637" s="62"/>
      <c r="AB637" s="62"/>
      <c r="AC637" s="62"/>
      <c r="AD637" s="62"/>
      <c r="AE637" s="62"/>
      <c r="AF637" s="62"/>
      <c r="AG637" s="62"/>
      <c r="AH637" s="62"/>
      <c r="AI637" s="62"/>
      <c r="AJ637" s="62"/>
      <c r="AK637" s="62"/>
      <c r="AL637" s="62"/>
      <c r="AM637" s="62"/>
      <c r="AN637" s="62"/>
      <c r="AO637" s="62"/>
    </row>
    <row r="638">
      <c r="A638" s="62"/>
      <c r="B638" s="62"/>
      <c r="C638" s="61"/>
      <c r="D638" s="62"/>
      <c r="E638" s="62"/>
      <c r="F638" s="62" t="b">
        <v>0</v>
      </c>
      <c r="G638" s="62"/>
      <c r="H638" s="61"/>
      <c r="I638" s="61"/>
      <c r="J638" s="62"/>
      <c r="K638" s="62"/>
      <c r="L638" s="62"/>
      <c r="M638" s="62"/>
      <c r="N638" s="62"/>
      <c r="O638" s="62" t="b">
        <v>0</v>
      </c>
      <c r="P638" s="62"/>
      <c r="Q638" s="62"/>
      <c r="R638" s="62"/>
      <c r="S638" s="62"/>
      <c r="T638" s="62"/>
      <c r="U638" s="74"/>
      <c r="V638" s="62"/>
      <c r="W638" s="74"/>
      <c r="X638" s="62"/>
      <c r="Y638" s="61"/>
      <c r="Z638" s="62"/>
      <c r="AA638" s="62"/>
      <c r="AB638" s="62"/>
      <c r="AC638" s="62"/>
      <c r="AD638" s="62"/>
      <c r="AE638" s="62"/>
      <c r="AF638" s="62"/>
      <c r="AG638" s="62"/>
      <c r="AH638" s="62"/>
      <c r="AI638" s="62"/>
      <c r="AJ638" s="62"/>
      <c r="AK638" s="62"/>
      <c r="AL638" s="62"/>
      <c r="AM638" s="62"/>
      <c r="AN638" s="62"/>
      <c r="AO638" s="62"/>
    </row>
    <row r="639">
      <c r="A639" s="62"/>
      <c r="B639" s="62"/>
      <c r="C639" s="61"/>
      <c r="D639" s="62"/>
      <c r="E639" s="62"/>
      <c r="F639" s="62" t="b">
        <v>0</v>
      </c>
      <c r="G639" s="62"/>
      <c r="H639" s="61"/>
      <c r="I639" s="61"/>
      <c r="J639" s="62"/>
      <c r="K639" s="62"/>
      <c r="L639" s="62"/>
      <c r="M639" s="62"/>
      <c r="N639" s="62"/>
      <c r="O639" s="62" t="b">
        <v>0</v>
      </c>
      <c r="P639" s="62"/>
      <c r="Q639" s="62"/>
      <c r="R639" s="62"/>
      <c r="S639" s="62"/>
      <c r="T639" s="62"/>
      <c r="U639" s="74"/>
      <c r="V639" s="62"/>
      <c r="W639" s="74"/>
      <c r="X639" s="62"/>
      <c r="Y639" s="61"/>
      <c r="Z639" s="62"/>
      <c r="AA639" s="62"/>
      <c r="AB639" s="62"/>
      <c r="AC639" s="62"/>
      <c r="AD639" s="62"/>
      <c r="AE639" s="62"/>
      <c r="AF639" s="62"/>
      <c r="AG639" s="62"/>
      <c r="AH639" s="62"/>
      <c r="AI639" s="62"/>
      <c r="AJ639" s="62"/>
      <c r="AK639" s="62"/>
      <c r="AL639" s="62"/>
      <c r="AM639" s="62"/>
      <c r="AN639" s="62"/>
      <c r="AO639" s="62"/>
    </row>
    <row r="640">
      <c r="A640" s="62"/>
      <c r="B640" s="62"/>
      <c r="C640" s="61"/>
      <c r="D640" s="62"/>
      <c r="E640" s="62"/>
      <c r="F640" s="62" t="b">
        <v>0</v>
      </c>
      <c r="G640" s="62"/>
      <c r="H640" s="61"/>
      <c r="I640" s="61"/>
      <c r="J640" s="62"/>
      <c r="K640" s="62"/>
      <c r="L640" s="62"/>
      <c r="M640" s="62"/>
      <c r="N640" s="62"/>
      <c r="O640" s="62" t="b">
        <v>0</v>
      </c>
      <c r="P640" s="62"/>
      <c r="Q640" s="62"/>
      <c r="R640" s="62"/>
      <c r="S640" s="62"/>
      <c r="T640" s="62"/>
      <c r="U640" s="74"/>
      <c r="V640" s="62"/>
      <c r="W640" s="74"/>
      <c r="X640" s="62"/>
      <c r="Y640" s="61"/>
      <c r="Z640" s="62"/>
      <c r="AA640" s="62"/>
      <c r="AB640" s="62"/>
      <c r="AC640" s="62"/>
      <c r="AD640" s="62"/>
      <c r="AE640" s="62"/>
      <c r="AF640" s="62"/>
      <c r="AG640" s="62"/>
      <c r="AH640" s="62"/>
      <c r="AI640" s="62"/>
      <c r="AJ640" s="62"/>
      <c r="AK640" s="62"/>
      <c r="AL640" s="62"/>
      <c r="AM640" s="62"/>
      <c r="AN640" s="62"/>
      <c r="AO640" s="62"/>
    </row>
    <row r="641">
      <c r="A641" s="62"/>
      <c r="B641" s="62"/>
      <c r="C641" s="61"/>
      <c r="D641" s="62"/>
      <c r="E641" s="62"/>
      <c r="F641" s="62" t="b">
        <v>0</v>
      </c>
      <c r="G641" s="62"/>
      <c r="H641" s="61"/>
      <c r="I641" s="61"/>
      <c r="J641" s="62"/>
      <c r="K641" s="62"/>
      <c r="L641" s="62"/>
      <c r="M641" s="62"/>
      <c r="N641" s="62"/>
      <c r="O641" s="62" t="b">
        <v>0</v>
      </c>
      <c r="P641" s="62"/>
      <c r="Q641" s="62"/>
      <c r="R641" s="62"/>
      <c r="S641" s="62"/>
      <c r="T641" s="62"/>
      <c r="U641" s="74"/>
      <c r="V641" s="62"/>
      <c r="W641" s="74"/>
      <c r="X641" s="62"/>
      <c r="Y641" s="61"/>
      <c r="Z641" s="62"/>
      <c r="AA641" s="62"/>
      <c r="AB641" s="62"/>
      <c r="AC641" s="62"/>
      <c r="AD641" s="62"/>
      <c r="AE641" s="62"/>
      <c r="AF641" s="62"/>
      <c r="AG641" s="62"/>
      <c r="AH641" s="62"/>
      <c r="AI641" s="62"/>
      <c r="AJ641" s="62"/>
      <c r="AK641" s="62"/>
      <c r="AL641" s="62"/>
      <c r="AM641" s="62"/>
      <c r="AN641" s="62"/>
      <c r="AO641" s="62"/>
    </row>
    <row r="642">
      <c r="A642" s="62"/>
      <c r="B642" s="62"/>
      <c r="C642" s="61"/>
      <c r="D642" s="62"/>
      <c r="E642" s="62"/>
      <c r="F642" s="62" t="b">
        <v>0</v>
      </c>
      <c r="G642" s="62"/>
      <c r="H642" s="61"/>
      <c r="I642" s="61"/>
      <c r="J642" s="62"/>
      <c r="K642" s="62"/>
      <c r="L642" s="62"/>
      <c r="M642" s="62"/>
      <c r="N642" s="62"/>
      <c r="O642" s="62" t="b">
        <v>0</v>
      </c>
      <c r="P642" s="62"/>
      <c r="Q642" s="62"/>
      <c r="R642" s="62"/>
      <c r="S642" s="62"/>
      <c r="T642" s="62"/>
      <c r="U642" s="74"/>
      <c r="V642" s="62"/>
      <c r="W642" s="74"/>
      <c r="X642" s="62"/>
      <c r="Y642" s="61"/>
      <c r="Z642" s="62"/>
      <c r="AA642" s="62"/>
      <c r="AB642" s="62"/>
      <c r="AC642" s="62"/>
      <c r="AD642" s="62"/>
      <c r="AE642" s="62"/>
      <c r="AF642" s="62"/>
      <c r="AG642" s="62"/>
      <c r="AH642" s="62"/>
      <c r="AI642" s="62"/>
      <c r="AJ642" s="62"/>
      <c r="AK642" s="62"/>
      <c r="AL642" s="62"/>
      <c r="AM642" s="62"/>
      <c r="AN642" s="62"/>
      <c r="AO642" s="62"/>
    </row>
    <row r="643">
      <c r="A643" s="62"/>
      <c r="B643" s="62"/>
      <c r="C643" s="61"/>
      <c r="D643" s="62"/>
      <c r="E643" s="62"/>
      <c r="F643" s="62" t="b">
        <v>0</v>
      </c>
      <c r="G643" s="62"/>
      <c r="H643" s="61"/>
      <c r="I643" s="61"/>
      <c r="J643" s="62"/>
      <c r="K643" s="62"/>
      <c r="L643" s="62"/>
      <c r="M643" s="62"/>
      <c r="N643" s="62"/>
      <c r="O643" s="62" t="b">
        <v>0</v>
      </c>
      <c r="P643" s="62"/>
      <c r="Q643" s="62"/>
      <c r="R643" s="62"/>
      <c r="S643" s="62"/>
      <c r="T643" s="62"/>
      <c r="U643" s="74"/>
      <c r="V643" s="62"/>
      <c r="W643" s="74"/>
      <c r="X643" s="62"/>
      <c r="Y643" s="61"/>
      <c r="Z643" s="62"/>
      <c r="AA643" s="62"/>
      <c r="AB643" s="62"/>
      <c r="AC643" s="62"/>
      <c r="AD643" s="62"/>
      <c r="AE643" s="62"/>
      <c r="AF643" s="62"/>
      <c r="AG643" s="62"/>
      <c r="AH643" s="62"/>
      <c r="AI643" s="62"/>
      <c r="AJ643" s="62"/>
      <c r="AK643" s="62"/>
      <c r="AL643" s="62"/>
      <c r="AM643" s="62"/>
      <c r="AN643" s="62"/>
      <c r="AO643" s="62"/>
    </row>
    <row r="644">
      <c r="A644" s="62"/>
      <c r="B644" s="62"/>
      <c r="C644" s="61"/>
      <c r="D644" s="62"/>
      <c r="E644" s="62"/>
      <c r="F644" s="62" t="b">
        <v>0</v>
      </c>
      <c r="G644" s="62"/>
      <c r="H644" s="61"/>
      <c r="I644" s="61"/>
      <c r="J644" s="62"/>
      <c r="K644" s="62"/>
      <c r="L644" s="62"/>
      <c r="M644" s="62"/>
      <c r="N644" s="62"/>
      <c r="O644" s="62" t="b">
        <v>0</v>
      </c>
      <c r="P644" s="62"/>
      <c r="Q644" s="62"/>
      <c r="R644" s="62"/>
      <c r="S644" s="62"/>
      <c r="T644" s="62"/>
      <c r="U644" s="74"/>
      <c r="V644" s="62"/>
      <c r="W644" s="74"/>
      <c r="X644" s="62"/>
      <c r="Y644" s="61"/>
      <c r="Z644" s="62"/>
      <c r="AA644" s="62"/>
      <c r="AB644" s="62"/>
      <c r="AC644" s="62"/>
      <c r="AD644" s="62"/>
      <c r="AE644" s="62"/>
      <c r="AF644" s="62"/>
      <c r="AG644" s="62"/>
      <c r="AH644" s="62"/>
      <c r="AI644" s="62"/>
      <c r="AJ644" s="62"/>
      <c r="AK644" s="62"/>
      <c r="AL644" s="62"/>
      <c r="AM644" s="62"/>
      <c r="AN644" s="62"/>
      <c r="AO644" s="62"/>
    </row>
    <row r="645">
      <c r="A645" s="62"/>
      <c r="B645" s="62"/>
      <c r="C645" s="61"/>
      <c r="D645" s="62"/>
      <c r="E645" s="62"/>
      <c r="F645" s="62" t="b">
        <v>0</v>
      </c>
      <c r="G645" s="62"/>
      <c r="H645" s="61"/>
      <c r="I645" s="61"/>
      <c r="J645" s="62"/>
      <c r="K645" s="62"/>
      <c r="L645" s="62"/>
      <c r="M645" s="62"/>
      <c r="N645" s="62"/>
      <c r="O645" s="62" t="b">
        <v>0</v>
      </c>
      <c r="P645" s="62"/>
      <c r="Q645" s="62"/>
      <c r="R645" s="62"/>
      <c r="S645" s="62"/>
      <c r="T645" s="62"/>
      <c r="U645" s="74"/>
      <c r="V645" s="62"/>
      <c r="W645" s="74"/>
      <c r="X645" s="62"/>
      <c r="Y645" s="61"/>
      <c r="Z645" s="62"/>
      <c r="AA645" s="62"/>
      <c r="AB645" s="62"/>
      <c r="AC645" s="62"/>
      <c r="AD645" s="62"/>
      <c r="AE645" s="62"/>
      <c r="AF645" s="62"/>
      <c r="AG645" s="62"/>
      <c r="AH645" s="62"/>
      <c r="AI645" s="62"/>
      <c r="AJ645" s="62"/>
      <c r="AK645" s="62"/>
      <c r="AL645" s="62"/>
      <c r="AM645" s="62"/>
      <c r="AN645" s="62"/>
      <c r="AO645" s="62"/>
    </row>
    <row r="646">
      <c r="A646" s="62"/>
      <c r="B646" s="62"/>
      <c r="C646" s="61"/>
      <c r="D646" s="62"/>
      <c r="E646" s="62"/>
      <c r="F646" s="62" t="b">
        <v>0</v>
      </c>
      <c r="G646" s="62"/>
      <c r="H646" s="61"/>
      <c r="I646" s="61"/>
      <c r="J646" s="62"/>
      <c r="K646" s="62"/>
      <c r="L646" s="62"/>
      <c r="M646" s="62"/>
      <c r="N646" s="62"/>
      <c r="O646" s="62" t="b">
        <v>0</v>
      </c>
      <c r="P646" s="62"/>
      <c r="Q646" s="62"/>
      <c r="R646" s="62"/>
      <c r="S646" s="62"/>
      <c r="T646" s="62"/>
      <c r="U646" s="74"/>
      <c r="V646" s="62"/>
      <c r="W646" s="74"/>
      <c r="X646" s="62"/>
      <c r="Y646" s="61"/>
      <c r="Z646" s="62"/>
      <c r="AA646" s="62"/>
      <c r="AB646" s="62"/>
      <c r="AC646" s="62"/>
      <c r="AD646" s="62"/>
      <c r="AE646" s="62"/>
      <c r="AF646" s="62"/>
      <c r="AG646" s="62"/>
      <c r="AH646" s="62"/>
      <c r="AI646" s="62"/>
      <c r="AJ646" s="62"/>
      <c r="AK646" s="62"/>
      <c r="AL646" s="62"/>
      <c r="AM646" s="62"/>
      <c r="AN646" s="62"/>
      <c r="AO646" s="62"/>
    </row>
    <row r="647">
      <c r="A647" s="62"/>
      <c r="B647" s="62"/>
      <c r="C647" s="61"/>
      <c r="D647" s="62"/>
      <c r="E647" s="62"/>
      <c r="F647" s="62" t="b">
        <v>0</v>
      </c>
      <c r="G647" s="62"/>
      <c r="H647" s="61"/>
      <c r="I647" s="61"/>
      <c r="J647" s="62"/>
      <c r="K647" s="62"/>
      <c r="L647" s="62"/>
      <c r="M647" s="62"/>
      <c r="N647" s="62"/>
      <c r="O647" s="62" t="b">
        <v>0</v>
      </c>
      <c r="P647" s="62"/>
      <c r="Q647" s="62"/>
      <c r="R647" s="62"/>
      <c r="S647" s="62"/>
      <c r="T647" s="62"/>
      <c r="U647" s="74"/>
      <c r="V647" s="62"/>
      <c r="W647" s="74"/>
      <c r="X647" s="62"/>
      <c r="Y647" s="61"/>
      <c r="Z647" s="62"/>
      <c r="AA647" s="62"/>
      <c r="AB647" s="62"/>
      <c r="AC647" s="62"/>
      <c r="AD647" s="62"/>
      <c r="AE647" s="62"/>
      <c r="AF647" s="62"/>
      <c r="AG647" s="62"/>
      <c r="AH647" s="62"/>
      <c r="AI647" s="62"/>
      <c r="AJ647" s="62"/>
      <c r="AK647" s="62"/>
      <c r="AL647" s="62"/>
      <c r="AM647" s="62"/>
      <c r="AN647" s="62"/>
      <c r="AO647" s="62"/>
    </row>
    <row r="648">
      <c r="A648" s="62"/>
      <c r="B648" s="62"/>
      <c r="C648" s="61"/>
      <c r="D648" s="62"/>
      <c r="E648" s="62"/>
      <c r="F648" s="62" t="b">
        <v>0</v>
      </c>
      <c r="G648" s="62"/>
      <c r="H648" s="61"/>
      <c r="I648" s="61"/>
      <c r="J648" s="62"/>
      <c r="K648" s="62"/>
      <c r="L648" s="62"/>
      <c r="M648" s="62"/>
      <c r="N648" s="62"/>
      <c r="O648" s="62" t="b">
        <v>0</v>
      </c>
      <c r="P648" s="62"/>
      <c r="Q648" s="62"/>
      <c r="R648" s="62"/>
      <c r="S648" s="62"/>
      <c r="T648" s="62"/>
      <c r="U648" s="74"/>
      <c r="V648" s="62"/>
      <c r="W648" s="74"/>
      <c r="X648" s="62"/>
      <c r="Y648" s="61"/>
      <c r="Z648" s="62"/>
      <c r="AA648" s="62"/>
      <c r="AB648" s="62"/>
      <c r="AC648" s="62"/>
      <c r="AD648" s="62"/>
      <c r="AE648" s="62"/>
      <c r="AF648" s="62"/>
      <c r="AG648" s="62"/>
      <c r="AH648" s="62"/>
      <c r="AI648" s="62"/>
      <c r="AJ648" s="62"/>
      <c r="AK648" s="62"/>
      <c r="AL648" s="62"/>
      <c r="AM648" s="62"/>
      <c r="AN648" s="62"/>
      <c r="AO648" s="62"/>
    </row>
    <row r="649">
      <c r="A649" s="62"/>
      <c r="B649" s="62"/>
      <c r="C649" s="61"/>
      <c r="D649" s="62"/>
      <c r="E649" s="62"/>
      <c r="F649" s="62" t="b">
        <v>0</v>
      </c>
      <c r="G649" s="62"/>
      <c r="H649" s="61"/>
      <c r="I649" s="61"/>
      <c r="J649" s="62"/>
      <c r="K649" s="62"/>
      <c r="L649" s="62"/>
      <c r="M649" s="62"/>
      <c r="N649" s="62"/>
      <c r="O649" s="62" t="b">
        <v>0</v>
      </c>
      <c r="P649" s="62"/>
      <c r="Q649" s="62"/>
      <c r="R649" s="62"/>
      <c r="S649" s="62"/>
      <c r="T649" s="62"/>
      <c r="U649" s="74"/>
      <c r="V649" s="62"/>
      <c r="W649" s="74"/>
      <c r="X649" s="62"/>
      <c r="Y649" s="61"/>
      <c r="Z649" s="62"/>
      <c r="AA649" s="62"/>
      <c r="AB649" s="62"/>
      <c r="AC649" s="62"/>
      <c r="AD649" s="62"/>
      <c r="AE649" s="62"/>
      <c r="AF649" s="62"/>
      <c r="AG649" s="62"/>
      <c r="AH649" s="62"/>
      <c r="AI649" s="62"/>
      <c r="AJ649" s="62"/>
      <c r="AK649" s="62"/>
      <c r="AL649" s="62"/>
      <c r="AM649" s="62"/>
      <c r="AN649" s="62"/>
      <c r="AO649" s="62"/>
    </row>
    <row r="650">
      <c r="A650" s="62"/>
      <c r="B650" s="62"/>
      <c r="C650" s="61"/>
      <c r="D650" s="62"/>
      <c r="E650" s="62"/>
      <c r="F650" s="62" t="b">
        <v>0</v>
      </c>
      <c r="G650" s="62"/>
      <c r="H650" s="61"/>
      <c r="I650" s="61"/>
      <c r="J650" s="62"/>
      <c r="K650" s="62"/>
      <c r="L650" s="62"/>
      <c r="M650" s="62"/>
      <c r="N650" s="62"/>
      <c r="O650" s="62" t="b">
        <v>0</v>
      </c>
      <c r="P650" s="62"/>
      <c r="Q650" s="62"/>
      <c r="R650" s="62"/>
      <c r="S650" s="62"/>
      <c r="T650" s="62"/>
      <c r="U650" s="74"/>
      <c r="V650" s="62"/>
      <c r="W650" s="74"/>
      <c r="X650" s="62"/>
      <c r="Y650" s="61"/>
      <c r="Z650" s="62"/>
      <c r="AA650" s="62"/>
      <c r="AB650" s="62"/>
      <c r="AC650" s="62"/>
      <c r="AD650" s="62"/>
      <c r="AE650" s="62"/>
      <c r="AF650" s="62"/>
      <c r="AG650" s="62"/>
      <c r="AH650" s="62"/>
      <c r="AI650" s="62"/>
      <c r="AJ650" s="62"/>
      <c r="AK650" s="62"/>
      <c r="AL650" s="62"/>
      <c r="AM650" s="62"/>
      <c r="AN650" s="62"/>
      <c r="AO650" s="62"/>
    </row>
    <row r="651">
      <c r="A651" s="62"/>
      <c r="B651" s="62"/>
      <c r="C651" s="61"/>
      <c r="D651" s="62"/>
      <c r="E651" s="62"/>
      <c r="F651" s="62" t="b">
        <v>0</v>
      </c>
      <c r="G651" s="62"/>
      <c r="H651" s="61"/>
      <c r="I651" s="61"/>
      <c r="J651" s="62"/>
      <c r="K651" s="62"/>
      <c r="L651" s="62"/>
      <c r="M651" s="62"/>
      <c r="N651" s="62"/>
      <c r="O651" s="62" t="b">
        <v>0</v>
      </c>
      <c r="P651" s="62"/>
      <c r="Q651" s="62"/>
      <c r="R651" s="62"/>
      <c r="S651" s="62"/>
      <c r="T651" s="62"/>
      <c r="U651" s="74"/>
      <c r="V651" s="62"/>
      <c r="W651" s="74"/>
      <c r="X651" s="62"/>
      <c r="Y651" s="61"/>
      <c r="Z651" s="62"/>
      <c r="AA651" s="62"/>
      <c r="AB651" s="62"/>
      <c r="AC651" s="62"/>
      <c r="AD651" s="62"/>
      <c r="AE651" s="62"/>
      <c r="AF651" s="62"/>
      <c r="AG651" s="62"/>
      <c r="AH651" s="62"/>
      <c r="AI651" s="62"/>
      <c r="AJ651" s="62"/>
      <c r="AK651" s="62"/>
      <c r="AL651" s="62"/>
      <c r="AM651" s="62"/>
      <c r="AN651" s="62"/>
      <c r="AO651" s="62"/>
    </row>
    <row r="652">
      <c r="A652" s="62"/>
      <c r="B652" s="62"/>
      <c r="C652" s="61"/>
      <c r="D652" s="62"/>
      <c r="E652" s="62"/>
      <c r="F652" s="62" t="b">
        <v>0</v>
      </c>
      <c r="G652" s="62"/>
      <c r="H652" s="61"/>
      <c r="I652" s="61"/>
      <c r="J652" s="62"/>
      <c r="K652" s="62"/>
      <c r="L652" s="62"/>
      <c r="M652" s="62"/>
      <c r="N652" s="62"/>
      <c r="O652" s="62" t="b">
        <v>0</v>
      </c>
      <c r="P652" s="62"/>
      <c r="Q652" s="62"/>
      <c r="R652" s="62"/>
      <c r="S652" s="62"/>
      <c r="T652" s="62"/>
      <c r="U652" s="74"/>
      <c r="V652" s="62"/>
      <c r="W652" s="74"/>
      <c r="X652" s="62"/>
      <c r="Y652" s="61"/>
      <c r="Z652" s="62"/>
      <c r="AA652" s="62"/>
      <c r="AB652" s="62"/>
      <c r="AC652" s="62"/>
      <c r="AD652" s="62"/>
      <c r="AE652" s="62"/>
      <c r="AF652" s="62"/>
      <c r="AG652" s="62"/>
      <c r="AH652" s="62"/>
      <c r="AI652" s="62"/>
      <c r="AJ652" s="62"/>
      <c r="AK652" s="62"/>
      <c r="AL652" s="62"/>
      <c r="AM652" s="62"/>
      <c r="AN652" s="62"/>
      <c r="AO652" s="62"/>
    </row>
    <row r="653">
      <c r="A653" s="62"/>
      <c r="B653" s="62"/>
      <c r="C653" s="61"/>
      <c r="D653" s="62"/>
      <c r="E653" s="62"/>
      <c r="F653" s="62" t="b">
        <v>0</v>
      </c>
      <c r="G653" s="62"/>
      <c r="H653" s="61"/>
      <c r="I653" s="61"/>
      <c r="J653" s="62"/>
      <c r="K653" s="62"/>
      <c r="L653" s="62"/>
      <c r="M653" s="62"/>
      <c r="N653" s="62"/>
      <c r="O653" s="62" t="b">
        <v>0</v>
      </c>
      <c r="P653" s="62"/>
      <c r="Q653" s="62"/>
      <c r="R653" s="62"/>
      <c r="S653" s="62"/>
      <c r="T653" s="62"/>
      <c r="U653" s="74"/>
      <c r="V653" s="62"/>
      <c r="W653" s="74"/>
      <c r="X653" s="62"/>
      <c r="Y653" s="61"/>
      <c r="Z653" s="62"/>
      <c r="AA653" s="62"/>
      <c r="AB653" s="62"/>
      <c r="AC653" s="62"/>
      <c r="AD653" s="62"/>
      <c r="AE653" s="62"/>
      <c r="AF653" s="62"/>
      <c r="AG653" s="62"/>
      <c r="AH653" s="62"/>
      <c r="AI653" s="62"/>
      <c r="AJ653" s="62"/>
      <c r="AK653" s="62"/>
      <c r="AL653" s="62"/>
      <c r="AM653" s="62"/>
      <c r="AN653" s="62"/>
      <c r="AO653" s="62"/>
    </row>
    <row r="654">
      <c r="A654" s="62"/>
      <c r="B654" s="62"/>
      <c r="C654" s="61"/>
      <c r="D654" s="62"/>
      <c r="E654" s="62"/>
      <c r="F654" s="62" t="b">
        <v>0</v>
      </c>
      <c r="G654" s="62"/>
      <c r="H654" s="61"/>
      <c r="I654" s="61"/>
      <c r="J654" s="62"/>
      <c r="K654" s="62"/>
      <c r="L654" s="62"/>
      <c r="M654" s="62"/>
      <c r="N654" s="62"/>
      <c r="O654" s="62" t="b">
        <v>0</v>
      </c>
      <c r="P654" s="62"/>
      <c r="Q654" s="62"/>
      <c r="R654" s="62"/>
      <c r="S654" s="62"/>
      <c r="T654" s="62"/>
      <c r="U654" s="74"/>
      <c r="V654" s="62"/>
      <c r="W654" s="74"/>
      <c r="X654" s="62"/>
      <c r="Y654" s="61"/>
      <c r="Z654" s="62"/>
      <c r="AA654" s="62"/>
      <c r="AB654" s="62"/>
      <c r="AC654" s="62"/>
      <c r="AD654" s="62"/>
      <c r="AE654" s="62"/>
      <c r="AF654" s="62"/>
      <c r="AG654" s="62"/>
      <c r="AH654" s="62"/>
      <c r="AI654" s="62"/>
      <c r="AJ654" s="62"/>
      <c r="AK654" s="62"/>
      <c r="AL654" s="62"/>
      <c r="AM654" s="62"/>
      <c r="AN654" s="62"/>
      <c r="AO654" s="62"/>
    </row>
    <row r="655">
      <c r="A655" s="62"/>
      <c r="B655" s="62"/>
      <c r="C655" s="61"/>
      <c r="D655" s="62"/>
      <c r="E655" s="62"/>
      <c r="F655" s="62" t="b">
        <v>0</v>
      </c>
      <c r="G655" s="62"/>
      <c r="H655" s="61"/>
      <c r="I655" s="61"/>
      <c r="J655" s="62"/>
      <c r="K655" s="62"/>
      <c r="L655" s="62"/>
      <c r="M655" s="62"/>
      <c r="N655" s="62"/>
      <c r="O655" s="62" t="b">
        <v>0</v>
      </c>
      <c r="P655" s="62"/>
      <c r="Q655" s="62"/>
      <c r="R655" s="62"/>
      <c r="S655" s="62"/>
      <c r="T655" s="62"/>
      <c r="U655" s="74"/>
      <c r="V655" s="62"/>
      <c r="W655" s="74"/>
      <c r="X655" s="62"/>
      <c r="Y655" s="61"/>
      <c r="Z655" s="62"/>
      <c r="AA655" s="62"/>
      <c r="AB655" s="62"/>
      <c r="AC655" s="62"/>
      <c r="AD655" s="62"/>
      <c r="AE655" s="62"/>
      <c r="AF655" s="62"/>
      <c r="AG655" s="62"/>
      <c r="AH655" s="62"/>
      <c r="AI655" s="62"/>
      <c r="AJ655" s="62"/>
      <c r="AK655" s="62"/>
      <c r="AL655" s="62"/>
      <c r="AM655" s="62"/>
      <c r="AN655" s="62"/>
      <c r="AO655" s="62"/>
    </row>
    <row r="656">
      <c r="A656" s="62"/>
      <c r="B656" s="62"/>
      <c r="C656" s="61"/>
      <c r="D656" s="62"/>
      <c r="E656" s="62"/>
      <c r="F656" s="62" t="b">
        <v>0</v>
      </c>
      <c r="G656" s="62"/>
      <c r="H656" s="61"/>
      <c r="I656" s="61"/>
      <c r="J656" s="62"/>
      <c r="K656" s="62"/>
      <c r="L656" s="62"/>
      <c r="M656" s="62"/>
      <c r="N656" s="62"/>
      <c r="O656" s="62" t="b">
        <v>0</v>
      </c>
      <c r="P656" s="62"/>
      <c r="Q656" s="62"/>
      <c r="R656" s="62"/>
      <c r="S656" s="62"/>
      <c r="T656" s="62"/>
      <c r="U656" s="74"/>
      <c r="V656" s="62"/>
      <c r="W656" s="74"/>
      <c r="X656" s="62"/>
      <c r="Y656" s="61"/>
      <c r="Z656" s="62"/>
      <c r="AA656" s="62"/>
      <c r="AB656" s="62"/>
      <c r="AC656" s="62"/>
      <c r="AD656" s="62"/>
      <c r="AE656" s="62"/>
      <c r="AF656" s="62"/>
      <c r="AG656" s="62"/>
      <c r="AH656" s="62"/>
      <c r="AI656" s="62"/>
      <c r="AJ656" s="62"/>
      <c r="AK656" s="62"/>
      <c r="AL656" s="62"/>
      <c r="AM656" s="62"/>
      <c r="AN656" s="62"/>
      <c r="AO656" s="62"/>
    </row>
    <row r="657">
      <c r="A657" s="62"/>
      <c r="B657" s="62"/>
      <c r="C657" s="61"/>
      <c r="D657" s="62"/>
      <c r="E657" s="62"/>
      <c r="F657" s="62" t="b">
        <v>0</v>
      </c>
      <c r="G657" s="62"/>
      <c r="H657" s="61"/>
      <c r="I657" s="61"/>
      <c r="J657" s="62"/>
      <c r="K657" s="62"/>
      <c r="L657" s="62"/>
      <c r="M657" s="62"/>
      <c r="N657" s="62"/>
      <c r="O657" s="62" t="b">
        <v>0</v>
      </c>
      <c r="P657" s="62"/>
      <c r="Q657" s="62"/>
      <c r="R657" s="62"/>
      <c r="S657" s="62"/>
      <c r="T657" s="62"/>
      <c r="U657" s="74"/>
      <c r="V657" s="62"/>
      <c r="W657" s="74"/>
      <c r="X657" s="62"/>
      <c r="Y657" s="61"/>
      <c r="Z657" s="62"/>
      <c r="AA657" s="62"/>
      <c r="AB657" s="62"/>
      <c r="AC657" s="62"/>
      <c r="AD657" s="62"/>
      <c r="AE657" s="62"/>
      <c r="AF657" s="62"/>
      <c r="AG657" s="62"/>
      <c r="AH657" s="62"/>
      <c r="AI657" s="62"/>
      <c r="AJ657" s="62"/>
      <c r="AK657" s="62"/>
      <c r="AL657" s="62"/>
      <c r="AM657" s="62"/>
      <c r="AN657" s="62"/>
      <c r="AO657" s="62"/>
    </row>
    <row r="658">
      <c r="A658" s="62"/>
      <c r="B658" s="62"/>
      <c r="C658" s="61"/>
      <c r="D658" s="62"/>
      <c r="E658" s="62"/>
      <c r="F658" s="62" t="b">
        <v>0</v>
      </c>
      <c r="G658" s="62"/>
      <c r="H658" s="61"/>
      <c r="I658" s="61"/>
      <c r="J658" s="62"/>
      <c r="K658" s="62"/>
      <c r="L658" s="62"/>
      <c r="M658" s="62"/>
      <c r="N658" s="62"/>
      <c r="O658" s="62" t="b">
        <v>0</v>
      </c>
      <c r="P658" s="62"/>
      <c r="Q658" s="62"/>
      <c r="R658" s="62"/>
      <c r="S658" s="62"/>
      <c r="T658" s="62"/>
      <c r="U658" s="74"/>
      <c r="V658" s="62"/>
      <c r="W658" s="74"/>
      <c r="X658" s="62"/>
      <c r="Y658" s="61"/>
      <c r="Z658" s="62"/>
      <c r="AA658" s="62"/>
      <c r="AB658" s="62"/>
      <c r="AC658" s="62"/>
      <c r="AD658" s="62"/>
      <c r="AE658" s="62"/>
      <c r="AF658" s="62"/>
      <c r="AG658" s="62"/>
      <c r="AH658" s="62"/>
      <c r="AI658" s="62"/>
      <c r="AJ658" s="62"/>
      <c r="AK658" s="62"/>
      <c r="AL658" s="62"/>
      <c r="AM658" s="62"/>
      <c r="AN658" s="62"/>
      <c r="AO658" s="62"/>
    </row>
    <row r="659">
      <c r="A659" s="62"/>
      <c r="B659" s="62"/>
      <c r="C659" s="61"/>
      <c r="D659" s="62"/>
      <c r="E659" s="62"/>
      <c r="F659" s="62" t="b">
        <v>0</v>
      </c>
      <c r="G659" s="62"/>
      <c r="H659" s="61"/>
      <c r="I659" s="61"/>
      <c r="J659" s="62"/>
      <c r="K659" s="62"/>
      <c r="L659" s="62"/>
      <c r="M659" s="62"/>
      <c r="N659" s="62"/>
      <c r="O659" s="62" t="b">
        <v>0</v>
      </c>
      <c r="P659" s="62"/>
      <c r="Q659" s="62"/>
      <c r="R659" s="62"/>
      <c r="S659" s="62"/>
      <c r="T659" s="62"/>
      <c r="U659" s="74"/>
      <c r="V659" s="62"/>
      <c r="W659" s="74"/>
      <c r="X659" s="62"/>
      <c r="Y659" s="61"/>
      <c r="Z659" s="62"/>
      <c r="AA659" s="62"/>
      <c r="AB659" s="62"/>
      <c r="AC659" s="62"/>
      <c r="AD659" s="62"/>
      <c r="AE659" s="62"/>
      <c r="AF659" s="62"/>
      <c r="AG659" s="62"/>
      <c r="AH659" s="62"/>
      <c r="AI659" s="62"/>
      <c r="AJ659" s="62"/>
      <c r="AK659" s="62"/>
      <c r="AL659" s="62"/>
      <c r="AM659" s="62"/>
      <c r="AN659" s="62"/>
      <c r="AO659" s="62"/>
    </row>
    <row r="660">
      <c r="A660" s="62"/>
      <c r="B660" s="62"/>
      <c r="C660" s="61"/>
      <c r="D660" s="62"/>
      <c r="E660" s="62"/>
      <c r="F660" s="62" t="b">
        <v>0</v>
      </c>
      <c r="G660" s="62"/>
      <c r="H660" s="61"/>
      <c r="I660" s="61"/>
      <c r="J660" s="62"/>
      <c r="K660" s="62"/>
      <c r="L660" s="62"/>
      <c r="M660" s="62"/>
      <c r="N660" s="62"/>
      <c r="O660" s="62" t="b">
        <v>0</v>
      </c>
      <c r="P660" s="62"/>
      <c r="Q660" s="62"/>
      <c r="R660" s="62"/>
      <c r="S660" s="62"/>
      <c r="T660" s="62"/>
      <c r="U660" s="74"/>
      <c r="V660" s="62"/>
      <c r="W660" s="74"/>
      <c r="X660" s="62"/>
      <c r="Y660" s="61"/>
      <c r="Z660" s="62"/>
      <c r="AA660" s="62"/>
      <c r="AB660" s="62"/>
      <c r="AC660" s="62"/>
      <c r="AD660" s="62"/>
      <c r="AE660" s="62"/>
      <c r="AF660" s="62"/>
      <c r="AG660" s="62"/>
      <c r="AH660" s="62"/>
      <c r="AI660" s="62"/>
      <c r="AJ660" s="62"/>
      <c r="AK660" s="62"/>
      <c r="AL660" s="62"/>
      <c r="AM660" s="62"/>
      <c r="AN660" s="62"/>
      <c r="AO660" s="62"/>
    </row>
    <row r="661">
      <c r="A661" s="62"/>
      <c r="B661" s="62"/>
      <c r="C661" s="61"/>
      <c r="D661" s="62"/>
      <c r="E661" s="62"/>
      <c r="F661" s="62" t="b">
        <v>0</v>
      </c>
      <c r="G661" s="62"/>
      <c r="H661" s="61"/>
      <c r="I661" s="61"/>
      <c r="J661" s="62"/>
      <c r="K661" s="62"/>
      <c r="L661" s="62"/>
      <c r="M661" s="62"/>
      <c r="N661" s="62"/>
      <c r="O661" s="62" t="b">
        <v>0</v>
      </c>
      <c r="P661" s="62"/>
      <c r="Q661" s="62"/>
      <c r="R661" s="62"/>
      <c r="S661" s="62"/>
      <c r="T661" s="62"/>
      <c r="U661" s="74"/>
      <c r="V661" s="62"/>
      <c r="W661" s="74"/>
      <c r="X661" s="62"/>
      <c r="Y661" s="61"/>
      <c r="Z661" s="62"/>
      <c r="AA661" s="62"/>
      <c r="AB661" s="62"/>
      <c r="AC661" s="62"/>
      <c r="AD661" s="62"/>
      <c r="AE661" s="62"/>
      <c r="AF661" s="62"/>
      <c r="AG661" s="62"/>
      <c r="AH661" s="62"/>
      <c r="AI661" s="62"/>
      <c r="AJ661" s="62"/>
      <c r="AK661" s="62"/>
      <c r="AL661" s="62"/>
      <c r="AM661" s="62"/>
      <c r="AN661" s="62"/>
      <c r="AO661" s="62"/>
    </row>
    <row r="662">
      <c r="A662" s="62"/>
      <c r="B662" s="62"/>
      <c r="C662" s="61"/>
      <c r="D662" s="62"/>
      <c r="E662" s="62"/>
      <c r="F662" s="62" t="b">
        <v>0</v>
      </c>
      <c r="G662" s="62"/>
      <c r="H662" s="61"/>
      <c r="I662" s="61"/>
      <c r="J662" s="62"/>
      <c r="K662" s="62"/>
      <c r="L662" s="62"/>
      <c r="M662" s="62"/>
      <c r="N662" s="62"/>
      <c r="O662" s="62" t="b">
        <v>0</v>
      </c>
      <c r="P662" s="62"/>
      <c r="Q662" s="62"/>
      <c r="R662" s="62"/>
      <c r="S662" s="62"/>
      <c r="T662" s="62"/>
      <c r="U662" s="74"/>
      <c r="V662" s="62"/>
      <c r="W662" s="74"/>
      <c r="X662" s="62"/>
      <c r="Y662" s="61"/>
      <c r="Z662" s="62"/>
      <c r="AA662" s="62"/>
      <c r="AB662" s="62"/>
      <c r="AC662" s="62"/>
      <c r="AD662" s="62"/>
      <c r="AE662" s="62"/>
      <c r="AF662" s="62"/>
      <c r="AG662" s="62"/>
      <c r="AH662" s="62"/>
      <c r="AI662" s="62"/>
      <c r="AJ662" s="62"/>
      <c r="AK662" s="62"/>
      <c r="AL662" s="62"/>
      <c r="AM662" s="62"/>
      <c r="AN662" s="62"/>
      <c r="AO662" s="62"/>
    </row>
    <row r="663">
      <c r="A663" s="62"/>
      <c r="B663" s="62"/>
      <c r="C663" s="61"/>
      <c r="D663" s="62"/>
      <c r="E663" s="62"/>
      <c r="F663" s="62" t="b">
        <v>0</v>
      </c>
      <c r="G663" s="62"/>
      <c r="H663" s="61"/>
      <c r="I663" s="61"/>
      <c r="J663" s="62"/>
      <c r="K663" s="62"/>
      <c r="L663" s="62"/>
      <c r="M663" s="62"/>
      <c r="N663" s="62"/>
      <c r="O663" s="62" t="b">
        <v>0</v>
      </c>
      <c r="P663" s="62"/>
      <c r="Q663" s="62"/>
      <c r="R663" s="62"/>
      <c r="S663" s="62"/>
      <c r="T663" s="62"/>
      <c r="U663" s="74"/>
      <c r="V663" s="62"/>
      <c r="W663" s="74"/>
      <c r="X663" s="62"/>
      <c r="Y663" s="61"/>
      <c r="Z663" s="62"/>
      <c r="AA663" s="62"/>
      <c r="AB663" s="62"/>
      <c r="AC663" s="62"/>
      <c r="AD663" s="62"/>
      <c r="AE663" s="62"/>
      <c r="AF663" s="62"/>
      <c r="AG663" s="62"/>
      <c r="AH663" s="62"/>
      <c r="AI663" s="62"/>
      <c r="AJ663" s="62"/>
      <c r="AK663" s="62"/>
      <c r="AL663" s="62"/>
      <c r="AM663" s="62"/>
      <c r="AN663" s="62"/>
      <c r="AO663" s="62"/>
    </row>
    <row r="664">
      <c r="A664" s="62"/>
      <c r="B664" s="62"/>
      <c r="C664" s="61"/>
      <c r="D664" s="62"/>
      <c r="E664" s="62"/>
      <c r="F664" s="62" t="b">
        <v>0</v>
      </c>
      <c r="G664" s="62"/>
      <c r="H664" s="61"/>
      <c r="I664" s="61"/>
      <c r="J664" s="62"/>
      <c r="K664" s="62"/>
      <c r="L664" s="62"/>
      <c r="M664" s="62"/>
      <c r="N664" s="62"/>
      <c r="O664" s="62" t="b">
        <v>0</v>
      </c>
      <c r="P664" s="62"/>
      <c r="Q664" s="62"/>
      <c r="R664" s="62"/>
      <c r="S664" s="62"/>
      <c r="T664" s="62"/>
      <c r="U664" s="74"/>
      <c r="V664" s="62"/>
      <c r="W664" s="74"/>
      <c r="X664" s="62"/>
      <c r="Y664" s="61"/>
      <c r="Z664" s="62"/>
      <c r="AA664" s="62"/>
      <c r="AB664" s="62"/>
      <c r="AC664" s="62"/>
      <c r="AD664" s="62"/>
      <c r="AE664" s="62"/>
      <c r="AF664" s="62"/>
      <c r="AG664" s="62"/>
      <c r="AH664" s="62"/>
      <c r="AI664" s="62"/>
      <c r="AJ664" s="62"/>
      <c r="AK664" s="62"/>
      <c r="AL664" s="62"/>
      <c r="AM664" s="62"/>
      <c r="AN664" s="62"/>
      <c r="AO664" s="62"/>
    </row>
    <row r="665">
      <c r="A665" s="62"/>
      <c r="B665" s="62"/>
      <c r="C665" s="61"/>
      <c r="D665" s="62"/>
      <c r="E665" s="62"/>
      <c r="F665" s="62" t="b">
        <v>0</v>
      </c>
      <c r="G665" s="62"/>
      <c r="H665" s="61"/>
      <c r="I665" s="61"/>
      <c r="J665" s="62"/>
      <c r="K665" s="62"/>
      <c r="L665" s="62"/>
      <c r="M665" s="62"/>
      <c r="N665" s="62"/>
      <c r="O665" s="62" t="b">
        <v>0</v>
      </c>
      <c r="P665" s="62"/>
      <c r="Q665" s="62"/>
      <c r="R665" s="62"/>
      <c r="S665" s="62"/>
      <c r="T665" s="62"/>
      <c r="U665" s="74"/>
      <c r="V665" s="62"/>
      <c r="W665" s="74"/>
      <c r="X665" s="62"/>
      <c r="Y665" s="61"/>
      <c r="Z665" s="62"/>
      <c r="AA665" s="62"/>
      <c r="AB665" s="62"/>
      <c r="AC665" s="62"/>
      <c r="AD665" s="62"/>
      <c r="AE665" s="62"/>
      <c r="AF665" s="62"/>
      <c r="AG665" s="62"/>
      <c r="AH665" s="62"/>
      <c r="AI665" s="62"/>
      <c r="AJ665" s="62"/>
      <c r="AK665" s="62"/>
      <c r="AL665" s="62"/>
      <c r="AM665" s="62"/>
      <c r="AN665" s="62"/>
      <c r="AO665" s="62"/>
    </row>
    <row r="666">
      <c r="A666" s="62"/>
      <c r="B666" s="62"/>
      <c r="C666" s="61"/>
      <c r="D666" s="62"/>
      <c r="E666" s="62"/>
      <c r="F666" s="62" t="b">
        <v>0</v>
      </c>
      <c r="G666" s="62"/>
      <c r="H666" s="61"/>
      <c r="I666" s="61"/>
      <c r="J666" s="62"/>
      <c r="K666" s="62"/>
      <c r="L666" s="62"/>
      <c r="M666" s="62"/>
      <c r="N666" s="62"/>
      <c r="O666" s="62" t="b">
        <v>0</v>
      </c>
      <c r="P666" s="62"/>
      <c r="Q666" s="62"/>
      <c r="R666" s="62"/>
      <c r="S666" s="62"/>
      <c r="T666" s="62"/>
      <c r="U666" s="74"/>
      <c r="V666" s="62"/>
      <c r="W666" s="74"/>
      <c r="X666" s="62"/>
      <c r="Y666" s="61"/>
      <c r="Z666" s="62"/>
      <c r="AA666" s="62"/>
      <c r="AB666" s="62"/>
      <c r="AC666" s="62"/>
      <c r="AD666" s="62"/>
      <c r="AE666" s="62"/>
      <c r="AF666" s="62"/>
      <c r="AG666" s="62"/>
      <c r="AH666" s="62"/>
      <c r="AI666" s="62"/>
      <c r="AJ666" s="62"/>
      <c r="AK666" s="62"/>
      <c r="AL666" s="62"/>
      <c r="AM666" s="62"/>
      <c r="AN666" s="62"/>
      <c r="AO666" s="62"/>
    </row>
    <row r="667">
      <c r="A667" s="62"/>
      <c r="B667" s="62"/>
      <c r="C667" s="61"/>
      <c r="D667" s="62"/>
      <c r="E667" s="62"/>
      <c r="F667" s="62" t="b">
        <v>0</v>
      </c>
      <c r="G667" s="62"/>
      <c r="H667" s="61"/>
      <c r="I667" s="61"/>
      <c r="J667" s="62"/>
      <c r="K667" s="62"/>
      <c r="L667" s="62"/>
      <c r="M667" s="62"/>
      <c r="N667" s="62"/>
      <c r="O667" s="62" t="b">
        <v>0</v>
      </c>
      <c r="P667" s="62"/>
      <c r="Q667" s="62"/>
      <c r="R667" s="62"/>
      <c r="S667" s="62"/>
      <c r="T667" s="62"/>
      <c r="U667" s="74"/>
      <c r="V667" s="62"/>
      <c r="W667" s="74"/>
      <c r="X667" s="62"/>
      <c r="Y667" s="61"/>
      <c r="Z667" s="62"/>
      <c r="AA667" s="62"/>
      <c r="AB667" s="62"/>
      <c r="AC667" s="62"/>
      <c r="AD667" s="62"/>
      <c r="AE667" s="62"/>
      <c r="AF667" s="62"/>
      <c r="AG667" s="62"/>
      <c r="AH667" s="62"/>
      <c r="AI667" s="62"/>
      <c r="AJ667" s="62"/>
      <c r="AK667" s="62"/>
      <c r="AL667" s="62"/>
      <c r="AM667" s="62"/>
      <c r="AN667" s="62"/>
      <c r="AO667" s="62"/>
    </row>
    <row r="668">
      <c r="A668" s="62"/>
      <c r="B668" s="62"/>
      <c r="C668" s="61"/>
      <c r="D668" s="62"/>
      <c r="E668" s="62"/>
      <c r="F668" s="62" t="b">
        <v>0</v>
      </c>
      <c r="G668" s="62"/>
      <c r="H668" s="61"/>
      <c r="I668" s="61"/>
      <c r="J668" s="62"/>
      <c r="K668" s="62"/>
      <c r="L668" s="62"/>
      <c r="M668" s="62"/>
      <c r="N668" s="62"/>
      <c r="O668" s="62" t="b">
        <v>0</v>
      </c>
      <c r="P668" s="62"/>
      <c r="Q668" s="62"/>
      <c r="R668" s="62"/>
      <c r="S668" s="62"/>
      <c r="T668" s="62"/>
      <c r="U668" s="74"/>
      <c r="V668" s="62"/>
      <c r="W668" s="74"/>
      <c r="X668" s="62"/>
      <c r="Y668" s="61"/>
      <c r="Z668" s="62"/>
      <c r="AA668" s="62"/>
      <c r="AB668" s="62"/>
      <c r="AC668" s="62"/>
      <c r="AD668" s="62"/>
      <c r="AE668" s="62"/>
      <c r="AF668" s="62"/>
      <c r="AG668" s="62"/>
      <c r="AH668" s="62"/>
      <c r="AI668" s="62"/>
      <c r="AJ668" s="62"/>
      <c r="AK668" s="62"/>
      <c r="AL668" s="62"/>
      <c r="AM668" s="62"/>
      <c r="AN668" s="62"/>
      <c r="AO668" s="62"/>
    </row>
    <row r="669">
      <c r="A669" s="62"/>
      <c r="B669" s="62"/>
      <c r="C669" s="61"/>
      <c r="D669" s="62"/>
      <c r="E669" s="62"/>
      <c r="F669" s="62" t="b">
        <v>0</v>
      </c>
      <c r="G669" s="62"/>
      <c r="H669" s="61"/>
      <c r="I669" s="61"/>
      <c r="J669" s="62"/>
      <c r="K669" s="62"/>
      <c r="L669" s="62"/>
      <c r="M669" s="62"/>
      <c r="N669" s="62"/>
      <c r="O669" s="62" t="b">
        <v>0</v>
      </c>
      <c r="P669" s="62"/>
      <c r="Q669" s="62"/>
      <c r="R669" s="62"/>
      <c r="S669" s="62"/>
      <c r="T669" s="62"/>
      <c r="U669" s="74"/>
      <c r="V669" s="62"/>
      <c r="W669" s="74"/>
      <c r="X669" s="62"/>
      <c r="Y669" s="61"/>
      <c r="Z669" s="62"/>
      <c r="AA669" s="62"/>
      <c r="AB669" s="62"/>
      <c r="AC669" s="62"/>
      <c r="AD669" s="62"/>
      <c r="AE669" s="62"/>
      <c r="AF669" s="62"/>
      <c r="AG669" s="62"/>
      <c r="AH669" s="62"/>
      <c r="AI669" s="62"/>
      <c r="AJ669" s="62"/>
      <c r="AK669" s="62"/>
      <c r="AL669" s="62"/>
      <c r="AM669" s="62"/>
      <c r="AN669" s="62"/>
      <c r="AO669" s="62"/>
    </row>
    <row r="670">
      <c r="A670" s="62"/>
      <c r="B670" s="62"/>
      <c r="C670" s="61"/>
      <c r="D670" s="62"/>
      <c r="E670" s="62"/>
      <c r="F670" s="62" t="b">
        <v>0</v>
      </c>
      <c r="G670" s="62"/>
      <c r="H670" s="61"/>
      <c r="I670" s="61"/>
      <c r="J670" s="62"/>
      <c r="K670" s="62"/>
      <c r="L670" s="62"/>
      <c r="M670" s="62"/>
      <c r="N670" s="62"/>
      <c r="O670" s="62" t="b">
        <v>0</v>
      </c>
      <c r="P670" s="62"/>
      <c r="Q670" s="62"/>
      <c r="R670" s="62"/>
      <c r="S670" s="62"/>
      <c r="T670" s="62"/>
      <c r="U670" s="74"/>
      <c r="V670" s="62"/>
      <c r="W670" s="74"/>
      <c r="X670" s="62"/>
      <c r="Y670" s="61"/>
      <c r="Z670" s="62"/>
      <c r="AA670" s="62"/>
      <c r="AB670" s="62"/>
      <c r="AC670" s="62"/>
      <c r="AD670" s="62"/>
      <c r="AE670" s="62"/>
      <c r="AF670" s="62"/>
      <c r="AG670" s="62"/>
      <c r="AH670" s="62"/>
      <c r="AI670" s="62"/>
      <c r="AJ670" s="62"/>
      <c r="AK670" s="62"/>
      <c r="AL670" s="62"/>
      <c r="AM670" s="62"/>
      <c r="AN670" s="62"/>
      <c r="AO670" s="62"/>
    </row>
    <row r="671">
      <c r="A671" s="62"/>
      <c r="B671" s="62"/>
      <c r="C671" s="61"/>
      <c r="D671" s="62"/>
      <c r="E671" s="62"/>
      <c r="F671" s="62" t="b">
        <v>0</v>
      </c>
      <c r="G671" s="62"/>
      <c r="H671" s="61"/>
      <c r="I671" s="61"/>
      <c r="J671" s="62"/>
      <c r="K671" s="62"/>
      <c r="L671" s="62"/>
      <c r="M671" s="62"/>
      <c r="N671" s="62"/>
      <c r="O671" s="62" t="b">
        <v>0</v>
      </c>
      <c r="P671" s="62"/>
      <c r="Q671" s="62"/>
      <c r="R671" s="62"/>
      <c r="S671" s="62"/>
      <c r="T671" s="62"/>
      <c r="U671" s="74"/>
      <c r="V671" s="62"/>
      <c r="W671" s="74"/>
      <c r="X671" s="62"/>
      <c r="Y671" s="61"/>
      <c r="Z671" s="62"/>
      <c r="AA671" s="62"/>
      <c r="AB671" s="62"/>
      <c r="AC671" s="62"/>
      <c r="AD671" s="62"/>
      <c r="AE671" s="62"/>
      <c r="AF671" s="62"/>
      <c r="AG671" s="62"/>
      <c r="AH671" s="62"/>
      <c r="AI671" s="62"/>
      <c r="AJ671" s="62"/>
      <c r="AK671" s="62"/>
      <c r="AL671" s="62"/>
      <c r="AM671" s="62"/>
      <c r="AN671" s="62"/>
      <c r="AO671" s="62"/>
    </row>
    <row r="672">
      <c r="A672" s="62"/>
      <c r="B672" s="62"/>
      <c r="C672" s="61"/>
      <c r="D672" s="62"/>
      <c r="E672" s="62"/>
      <c r="F672" s="62" t="b">
        <v>0</v>
      </c>
      <c r="G672" s="62"/>
      <c r="H672" s="61"/>
      <c r="I672" s="61"/>
      <c r="J672" s="62"/>
      <c r="K672" s="62"/>
      <c r="L672" s="62"/>
      <c r="M672" s="62"/>
      <c r="N672" s="62"/>
      <c r="O672" s="62" t="b">
        <v>0</v>
      </c>
      <c r="P672" s="62"/>
      <c r="Q672" s="62"/>
      <c r="R672" s="62"/>
      <c r="S672" s="62"/>
      <c r="T672" s="62"/>
      <c r="U672" s="74"/>
      <c r="V672" s="62"/>
      <c r="W672" s="74"/>
      <c r="X672" s="62"/>
      <c r="Y672" s="61"/>
      <c r="Z672" s="62"/>
      <c r="AA672" s="62"/>
      <c r="AB672" s="62"/>
      <c r="AC672" s="62"/>
      <c r="AD672" s="62"/>
      <c r="AE672" s="62"/>
      <c r="AF672" s="62"/>
      <c r="AG672" s="62"/>
      <c r="AH672" s="62"/>
      <c r="AI672" s="62"/>
      <c r="AJ672" s="62"/>
      <c r="AK672" s="62"/>
      <c r="AL672" s="62"/>
      <c r="AM672" s="62"/>
      <c r="AN672" s="62"/>
      <c r="AO672" s="62"/>
    </row>
    <row r="673">
      <c r="A673" s="62"/>
      <c r="B673" s="62"/>
      <c r="C673" s="61"/>
      <c r="D673" s="62"/>
      <c r="E673" s="62"/>
      <c r="F673" s="62" t="b">
        <v>0</v>
      </c>
      <c r="G673" s="62"/>
      <c r="H673" s="61"/>
      <c r="I673" s="61"/>
      <c r="J673" s="62"/>
      <c r="K673" s="62"/>
      <c r="L673" s="62"/>
      <c r="M673" s="62"/>
      <c r="N673" s="62"/>
      <c r="O673" s="62" t="b">
        <v>0</v>
      </c>
      <c r="P673" s="62"/>
      <c r="Q673" s="62"/>
      <c r="R673" s="62"/>
      <c r="S673" s="62"/>
      <c r="T673" s="62"/>
      <c r="U673" s="74"/>
      <c r="V673" s="62"/>
      <c r="W673" s="74"/>
      <c r="X673" s="62"/>
      <c r="Y673" s="61"/>
      <c r="Z673" s="62"/>
      <c r="AA673" s="62"/>
      <c r="AB673" s="62"/>
      <c r="AC673" s="62"/>
      <c r="AD673" s="62"/>
      <c r="AE673" s="62"/>
      <c r="AF673" s="62"/>
      <c r="AG673" s="62"/>
      <c r="AH673" s="62"/>
      <c r="AI673" s="62"/>
      <c r="AJ673" s="62"/>
      <c r="AK673" s="62"/>
      <c r="AL673" s="62"/>
      <c r="AM673" s="62"/>
      <c r="AN673" s="62"/>
      <c r="AO673" s="62"/>
    </row>
    <row r="674">
      <c r="A674" s="62"/>
      <c r="B674" s="62"/>
      <c r="C674" s="61"/>
      <c r="D674" s="62"/>
      <c r="E674" s="62"/>
      <c r="F674" s="62" t="b">
        <v>0</v>
      </c>
      <c r="G674" s="62"/>
      <c r="H674" s="61"/>
      <c r="I674" s="61"/>
      <c r="J674" s="62"/>
      <c r="K674" s="62"/>
      <c r="L674" s="62"/>
      <c r="M674" s="62"/>
      <c r="N674" s="62"/>
      <c r="O674" s="62" t="b">
        <v>0</v>
      </c>
      <c r="P674" s="62"/>
      <c r="Q674" s="62"/>
      <c r="R674" s="62"/>
      <c r="S674" s="62"/>
      <c r="T674" s="62"/>
      <c r="U674" s="74"/>
      <c r="V674" s="62"/>
      <c r="W674" s="74"/>
      <c r="X674" s="62"/>
      <c r="Y674" s="61"/>
      <c r="Z674" s="62"/>
      <c r="AA674" s="62"/>
      <c r="AB674" s="62"/>
      <c r="AC674" s="62"/>
      <c r="AD674" s="62"/>
      <c r="AE674" s="62"/>
      <c r="AF674" s="62"/>
      <c r="AG674" s="62"/>
      <c r="AH674" s="62"/>
      <c r="AI674" s="62"/>
      <c r="AJ674" s="62"/>
      <c r="AK674" s="62"/>
      <c r="AL674" s="62"/>
      <c r="AM674" s="62"/>
      <c r="AN674" s="62"/>
      <c r="AO674" s="62"/>
    </row>
    <row r="675">
      <c r="A675" s="62"/>
      <c r="B675" s="62"/>
      <c r="C675" s="61"/>
      <c r="D675" s="62"/>
      <c r="E675" s="62"/>
      <c r="F675" s="62" t="b">
        <v>0</v>
      </c>
      <c r="G675" s="62"/>
      <c r="H675" s="61"/>
      <c r="I675" s="61"/>
      <c r="J675" s="62"/>
      <c r="K675" s="62"/>
      <c r="L675" s="62"/>
      <c r="M675" s="62"/>
      <c r="N675" s="62"/>
      <c r="O675" s="62" t="b">
        <v>0</v>
      </c>
      <c r="P675" s="62"/>
      <c r="Q675" s="62"/>
      <c r="R675" s="62"/>
      <c r="S675" s="62"/>
      <c r="T675" s="62"/>
      <c r="U675" s="74"/>
      <c r="V675" s="62"/>
      <c r="W675" s="74"/>
      <c r="X675" s="62"/>
      <c r="Y675" s="61"/>
      <c r="Z675" s="62"/>
      <c r="AA675" s="62"/>
      <c r="AB675" s="62"/>
      <c r="AC675" s="62"/>
      <c r="AD675" s="62"/>
      <c r="AE675" s="62"/>
      <c r="AF675" s="62"/>
      <c r="AG675" s="62"/>
      <c r="AH675" s="62"/>
      <c r="AI675" s="62"/>
      <c r="AJ675" s="62"/>
      <c r="AK675" s="62"/>
      <c r="AL675" s="62"/>
      <c r="AM675" s="62"/>
      <c r="AN675" s="62"/>
      <c r="AO675" s="62"/>
    </row>
    <row r="676">
      <c r="A676" s="62"/>
      <c r="B676" s="62"/>
      <c r="C676" s="61"/>
      <c r="D676" s="62"/>
      <c r="E676" s="62"/>
      <c r="F676" s="62" t="b">
        <v>0</v>
      </c>
      <c r="G676" s="62"/>
      <c r="H676" s="61"/>
      <c r="I676" s="61"/>
      <c r="J676" s="62"/>
      <c r="K676" s="62"/>
      <c r="L676" s="62"/>
      <c r="M676" s="62"/>
      <c r="N676" s="62"/>
      <c r="O676" s="62" t="b">
        <v>0</v>
      </c>
      <c r="P676" s="62"/>
      <c r="Q676" s="62"/>
      <c r="R676" s="62"/>
      <c r="S676" s="62"/>
      <c r="T676" s="62"/>
      <c r="U676" s="74"/>
      <c r="V676" s="62"/>
      <c r="W676" s="74"/>
      <c r="X676" s="62"/>
      <c r="Y676" s="61"/>
      <c r="Z676" s="62"/>
      <c r="AA676" s="62"/>
      <c r="AB676" s="62"/>
      <c r="AC676" s="62"/>
      <c r="AD676" s="62"/>
      <c r="AE676" s="62"/>
      <c r="AF676" s="62"/>
      <c r="AG676" s="62"/>
      <c r="AH676" s="62"/>
      <c r="AI676" s="62"/>
      <c r="AJ676" s="62"/>
      <c r="AK676" s="62"/>
      <c r="AL676" s="62"/>
      <c r="AM676" s="62"/>
      <c r="AN676" s="62"/>
      <c r="AO676" s="62"/>
    </row>
    <row r="677">
      <c r="A677" s="62"/>
      <c r="B677" s="62"/>
      <c r="C677" s="61"/>
      <c r="D677" s="62"/>
      <c r="E677" s="62"/>
      <c r="F677" s="62" t="b">
        <v>0</v>
      </c>
      <c r="G677" s="62"/>
      <c r="H677" s="61"/>
      <c r="I677" s="61"/>
      <c r="J677" s="62"/>
      <c r="K677" s="62"/>
      <c r="L677" s="62"/>
      <c r="M677" s="62"/>
      <c r="N677" s="62"/>
      <c r="O677" s="62" t="b">
        <v>0</v>
      </c>
      <c r="P677" s="62"/>
      <c r="Q677" s="62"/>
      <c r="R677" s="62"/>
      <c r="S677" s="62"/>
      <c r="T677" s="62"/>
      <c r="U677" s="74"/>
      <c r="V677" s="62"/>
      <c r="W677" s="74"/>
      <c r="X677" s="62"/>
      <c r="Y677" s="61"/>
      <c r="Z677" s="62"/>
      <c r="AA677" s="62"/>
      <c r="AB677" s="62"/>
      <c r="AC677" s="62"/>
      <c r="AD677" s="62"/>
      <c r="AE677" s="62"/>
      <c r="AF677" s="62"/>
      <c r="AG677" s="62"/>
      <c r="AH677" s="62"/>
      <c r="AI677" s="62"/>
      <c r="AJ677" s="62"/>
      <c r="AK677" s="62"/>
      <c r="AL677" s="62"/>
      <c r="AM677" s="62"/>
      <c r="AN677" s="62"/>
      <c r="AO677" s="62"/>
    </row>
    <row r="678">
      <c r="A678" s="62"/>
      <c r="B678" s="62"/>
      <c r="C678" s="61"/>
      <c r="D678" s="62"/>
      <c r="E678" s="62"/>
      <c r="F678" s="62" t="b">
        <v>0</v>
      </c>
      <c r="G678" s="62"/>
      <c r="H678" s="61"/>
      <c r="I678" s="61"/>
      <c r="J678" s="62"/>
      <c r="K678" s="62"/>
      <c r="L678" s="62"/>
      <c r="M678" s="62"/>
      <c r="N678" s="62"/>
      <c r="O678" s="62" t="b">
        <v>0</v>
      </c>
      <c r="P678" s="62"/>
      <c r="Q678" s="62"/>
      <c r="R678" s="62"/>
      <c r="S678" s="62"/>
      <c r="T678" s="62"/>
      <c r="U678" s="74"/>
      <c r="V678" s="62"/>
      <c r="W678" s="74"/>
      <c r="X678" s="62"/>
      <c r="Y678" s="61"/>
      <c r="Z678" s="62"/>
      <c r="AA678" s="62"/>
      <c r="AB678" s="62"/>
      <c r="AC678" s="62"/>
      <c r="AD678" s="62"/>
      <c r="AE678" s="62"/>
      <c r="AF678" s="62"/>
      <c r="AG678" s="62"/>
      <c r="AH678" s="62"/>
      <c r="AI678" s="62"/>
      <c r="AJ678" s="62"/>
      <c r="AK678" s="62"/>
      <c r="AL678" s="62"/>
      <c r="AM678" s="62"/>
      <c r="AN678" s="62"/>
      <c r="AO678" s="62"/>
    </row>
    <row r="679">
      <c r="A679" s="62"/>
      <c r="B679" s="62"/>
      <c r="C679" s="61"/>
      <c r="D679" s="62"/>
      <c r="E679" s="62"/>
      <c r="F679" s="62" t="b">
        <v>0</v>
      </c>
      <c r="G679" s="62"/>
      <c r="H679" s="61"/>
      <c r="I679" s="61"/>
      <c r="J679" s="62"/>
      <c r="K679" s="62"/>
      <c r="L679" s="62"/>
      <c r="M679" s="62"/>
      <c r="N679" s="62"/>
      <c r="O679" s="62" t="b">
        <v>0</v>
      </c>
      <c r="P679" s="62"/>
      <c r="Q679" s="62"/>
      <c r="R679" s="62"/>
      <c r="S679" s="62"/>
      <c r="T679" s="62"/>
      <c r="U679" s="74"/>
      <c r="V679" s="62"/>
      <c r="W679" s="74"/>
      <c r="X679" s="62"/>
      <c r="Y679" s="61"/>
      <c r="Z679" s="62"/>
      <c r="AA679" s="62"/>
      <c r="AB679" s="62"/>
      <c r="AC679" s="62"/>
      <c r="AD679" s="62"/>
      <c r="AE679" s="62"/>
      <c r="AF679" s="62"/>
      <c r="AG679" s="62"/>
      <c r="AH679" s="62"/>
      <c r="AI679" s="62"/>
      <c r="AJ679" s="62"/>
      <c r="AK679" s="62"/>
      <c r="AL679" s="62"/>
      <c r="AM679" s="62"/>
      <c r="AN679" s="62"/>
      <c r="AO679" s="62"/>
    </row>
    <row r="680">
      <c r="A680" s="62"/>
      <c r="B680" s="62"/>
      <c r="C680" s="61"/>
      <c r="D680" s="62"/>
      <c r="E680" s="62"/>
      <c r="F680" s="62" t="b">
        <v>0</v>
      </c>
      <c r="G680" s="62"/>
      <c r="H680" s="61"/>
      <c r="I680" s="61"/>
      <c r="J680" s="62"/>
      <c r="K680" s="62"/>
      <c r="L680" s="62"/>
      <c r="M680" s="62"/>
      <c r="N680" s="62"/>
      <c r="O680" s="62" t="b">
        <v>0</v>
      </c>
      <c r="P680" s="62"/>
      <c r="Q680" s="62"/>
      <c r="R680" s="62"/>
      <c r="S680" s="62"/>
      <c r="T680" s="62"/>
      <c r="U680" s="74"/>
      <c r="V680" s="62"/>
      <c r="W680" s="74"/>
      <c r="X680" s="62"/>
      <c r="Y680" s="61"/>
      <c r="Z680" s="62"/>
      <c r="AA680" s="62"/>
      <c r="AB680" s="62"/>
      <c r="AC680" s="62"/>
      <c r="AD680" s="62"/>
      <c r="AE680" s="62"/>
      <c r="AF680" s="62"/>
      <c r="AG680" s="62"/>
      <c r="AH680" s="62"/>
      <c r="AI680" s="62"/>
      <c r="AJ680" s="62"/>
      <c r="AK680" s="62"/>
      <c r="AL680" s="62"/>
      <c r="AM680" s="62"/>
      <c r="AN680" s="62"/>
      <c r="AO680" s="62"/>
    </row>
    <row r="681">
      <c r="A681" s="62"/>
      <c r="B681" s="62"/>
      <c r="C681" s="61"/>
      <c r="D681" s="62"/>
      <c r="E681" s="62"/>
      <c r="F681" s="62" t="b">
        <v>0</v>
      </c>
      <c r="G681" s="62"/>
      <c r="H681" s="61"/>
      <c r="I681" s="61"/>
      <c r="J681" s="62"/>
      <c r="K681" s="62"/>
      <c r="L681" s="62"/>
      <c r="M681" s="62"/>
      <c r="N681" s="62"/>
      <c r="O681" s="62" t="b">
        <v>0</v>
      </c>
      <c r="P681" s="62"/>
      <c r="Q681" s="62"/>
      <c r="R681" s="62"/>
      <c r="S681" s="62"/>
      <c r="T681" s="62"/>
      <c r="U681" s="74"/>
      <c r="V681" s="62"/>
      <c r="W681" s="74"/>
      <c r="X681" s="62"/>
      <c r="Y681" s="61"/>
      <c r="Z681" s="62"/>
      <c r="AA681" s="62"/>
      <c r="AB681" s="62"/>
      <c r="AC681" s="62"/>
      <c r="AD681" s="62"/>
      <c r="AE681" s="62"/>
      <c r="AF681" s="62"/>
      <c r="AG681" s="62"/>
      <c r="AH681" s="62"/>
      <c r="AI681" s="62"/>
      <c r="AJ681" s="62"/>
      <c r="AK681" s="62"/>
      <c r="AL681" s="62"/>
      <c r="AM681" s="62"/>
      <c r="AN681" s="62"/>
      <c r="AO681" s="62"/>
    </row>
    <row r="682">
      <c r="A682" s="62"/>
      <c r="B682" s="62"/>
      <c r="C682" s="61"/>
      <c r="D682" s="62"/>
      <c r="E682" s="62"/>
      <c r="F682" s="62" t="b">
        <v>0</v>
      </c>
      <c r="G682" s="62"/>
      <c r="H682" s="61"/>
      <c r="I682" s="61"/>
      <c r="J682" s="62"/>
      <c r="K682" s="62"/>
      <c r="L682" s="62"/>
      <c r="M682" s="62"/>
      <c r="N682" s="62"/>
      <c r="O682" s="62" t="b">
        <v>0</v>
      </c>
      <c r="P682" s="62"/>
      <c r="Q682" s="62"/>
      <c r="R682" s="62"/>
      <c r="S682" s="62"/>
      <c r="T682" s="62"/>
      <c r="U682" s="74"/>
      <c r="V682" s="62"/>
      <c r="W682" s="74"/>
      <c r="X682" s="62"/>
      <c r="Y682" s="61"/>
      <c r="Z682" s="62"/>
      <c r="AA682" s="62"/>
      <c r="AB682" s="62"/>
      <c r="AC682" s="62"/>
      <c r="AD682" s="62"/>
      <c r="AE682" s="62"/>
      <c r="AF682" s="62"/>
      <c r="AG682" s="62"/>
      <c r="AH682" s="62"/>
      <c r="AI682" s="62"/>
      <c r="AJ682" s="62"/>
      <c r="AK682" s="62"/>
      <c r="AL682" s="62"/>
      <c r="AM682" s="62"/>
      <c r="AN682" s="62"/>
      <c r="AO682" s="62"/>
    </row>
    <row r="683">
      <c r="A683" s="62"/>
      <c r="B683" s="62"/>
      <c r="C683" s="61"/>
      <c r="D683" s="62"/>
      <c r="E683" s="62"/>
      <c r="F683" s="62" t="b">
        <v>0</v>
      </c>
      <c r="G683" s="62"/>
      <c r="H683" s="61"/>
      <c r="I683" s="61"/>
      <c r="J683" s="62"/>
      <c r="K683" s="62"/>
      <c r="L683" s="62"/>
      <c r="M683" s="62"/>
      <c r="N683" s="62"/>
      <c r="O683" s="62" t="b">
        <v>0</v>
      </c>
      <c r="P683" s="62"/>
      <c r="Q683" s="62"/>
      <c r="R683" s="62"/>
      <c r="S683" s="62"/>
      <c r="T683" s="62"/>
      <c r="U683" s="74"/>
      <c r="V683" s="62"/>
      <c r="W683" s="74"/>
      <c r="X683" s="62"/>
      <c r="Y683" s="61"/>
      <c r="Z683" s="62"/>
      <c r="AA683" s="62"/>
      <c r="AB683" s="62"/>
      <c r="AC683" s="62"/>
      <c r="AD683" s="62"/>
      <c r="AE683" s="62"/>
      <c r="AF683" s="62"/>
      <c r="AG683" s="62"/>
      <c r="AH683" s="62"/>
      <c r="AI683" s="62"/>
      <c r="AJ683" s="62"/>
      <c r="AK683" s="62"/>
      <c r="AL683" s="62"/>
      <c r="AM683" s="62"/>
      <c r="AN683" s="62"/>
      <c r="AO683" s="62"/>
    </row>
    <row r="684">
      <c r="A684" s="62"/>
      <c r="B684" s="62"/>
      <c r="C684" s="61"/>
      <c r="D684" s="62"/>
      <c r="E684" s="62"/>
      <c r="F684" s="62" t="b">
        <v>0</v>
      </c>
      <c r="G684" s="62"/>
      <c r="H684" s="61"/>
      <c r="I684" s="61"/>
      <c r="J684" s="62"/>
      <c r="K684" s="62"/>
      <c r="L684" s="62"/>
      <c r="M684" s="62"/>
      <c r="N684" s="62"/>
      <c r="O684" s="62" t="b">
        <v>0</v>
      </c>
      <c r="P684" s="62"/>
      <c r="Q684" s="62"/>
      <c r="R684" s="62"/>
      <c r="S684" s="62"/>
      <c r="T684" s="62"/>
      <c r="U684" s="74"/>
      <c r="V684" s="62"/>
      <c r="W684" s="74"/>
      <c r="X684" s="62"/>
      <c r="Y684" s="61"/>
      <c r="Z684" s="62"/>
      <c r="AA684" s="62"/>
      <c r="AB684" s="62"/>
      <c r="AC684" s="62"/>
      <c r="AD684" s="62"/>
      <c r="AE684" s="62"/>
      <c r="AF684" s="62"/>
      <c r="AG684" s="62"/>
      <c r="AH684" s="62"/>
      <c r="AI684" s="62"/>
      <c r="AJ684" s="62"/>
      <c r="AK684" s="62"/>
      <c r="AL684" s="62"/>
      <c r="AM684" s="62"/>
      <c r="AN684" s="62"/>
      <c r="AO684" s="62"/>
    </row>
    <row r="685">
      <c r="A685" s="62"/>
      <c r="B685" s="62"/>
      <c r="C685" s="61"/>
      <c r="D685" s="62"/>
      <c r="E685" s="62"/>
      <c r="F685" s="62" t="b">
        <v>0</v>
      </c>
      <c r="G685" s="62"/>
      <c r="H685" s="61"/>
      <c r="I685" s="61"/>
      <c r="J685" s="62"/>
      <c r="K685" s="62"/>
      <c r="L685" s="62"/>
      <c r="M685" s="62"/>
      <c r="N685" s="62"/>
      <c r="O685" s="62" t="b">
        <v>0</v>
      </c>
      <c r="P685" s="62"/>
      <c r="Q685" s="62"/>
      <c r="R685" s="62"/>
      <c r="S685" s="62"/>
      <c r="T685" s="62"/>
      <c r="U685" s="74"/>
      <c r="V685" s="62"/>
      <c r="W685" s="74"/>
      <c r="X685" s="62"/>
      <c r="Y685" s="61"/>
      <c r="Z685" s="62"/>
      <c r="AA685" s="62"/>
      <c r="AB685" s="62"/>
      <c r="AC685" s="62"/>
      <c r="AD685" s="62"/>
      <c r="AE685" s="62"/>
      <c r="AF685" s="62"/>
      <c r="AG685" s="62"/>
      <c r="AH685" s="62"/>
      <c r="AI685" s="62"/>
      <c r="AJ685" s="62"/>
      <c r="AK685" s="62"/>
      <c r="AL685" s="62"/>
      <c r="AM685" s="62"/>
      <c r="AN685" s="62"/>
      <c r="AO685" s="62"/>
    </row>
    <row r="686">
      <c r="A686" s="62"/>
      <c r="B686" s="62"/>
      <c r="C686" s="61"/>
      <c r="D686" s="62"/>
      <c r="E686" s="62"/>
      <c r="F686" s="62" t="b">
        <v>0</v>
      </c>
      <c r="G686" s="62"/>
      <c r="H686" s="61"/>
      <c r="I686" s="61"/>
      <c r="J686" s="62"/>
      <c r="K686" s="62"/>
      <c r="L686" s="62"/>
      <c r="M686" s="62"/>
      <c r="N686" s="62"/>
      <c r="O686" s="62" t="b">
        <v>0</v>
      </c>
      <c r="P686" s="62"/>
      <c r="Q686" s="62"/>
      <c r="R686" s="62"/>
      <c r="S686" s="62"/>
      <c r="T686" s="62"/>
      <c r="U686" s="74"/>
      <c r="V686" s="62"/>
      <c r="W686" s="74"/>
      <c r="X686" s="62"/>
      <c r="Y686" s="61"/>
      <c r="Z686" s="62"/>
      <c r="AA686" s="62"/>
      <c r="AB686" s="62"/>
      <c r="AC686" s="62"/>
      <c r="AD686" s="62"/>
      <c r="AE686" s="62"/>
      <c r="AF686" s="62"/>
      <c r="AG686" s="62"/>
      <c r="AH686" s="62"/>
      <c r="AI686" s="62"/>
      <c r="AJ686" s="62"/>
      <c r="AK686" s="62"/>
      <c r="AL686" s="62"/>
      <c r="AM686" s="62"/>
      <c r="AN686" s="62"/>
      <c r="AO686" s="62"/>
    </row>
    <row r="687">
      <c r="A687" s="62"/>
      <c r="B687" s="62"/>
      <c r="C687" s="61"/>
      <c r="D687" s="62"/>
      <c r="E687" s="62"/>
      <c r="F687" s="62" t="b">
        <v>0</v>
      </c>
      <c r="G687" s="62"/>
      <c r="H687" s="61"/>
      <c r="I687" s="61"/>
      <c r="J687" s="62"/>
      <c r="K687" s="62"/>
      <c r="L687" s="62"/>
      <c r="M687" s="62"/>
      <c r="N687" s="62"/>
      <c r="O687" s="62" t="b">
        <v>0</v>
      </c>
      <c r="P687" s="62"/>
      <c r="Q687" s="62"/>
      <c r="R687" s="62"/>
      <c r="S687" s="62"/>
      <c r="T687" s="62"/>
      <c r="U687" s="74"/>
      <c r="V687" s="62"/>
      <c r="W687" s="74"/>
      <c r="X687" s="62"/>
      <c r="Y687" s="61"/>
      <c r="Z687" s="62"/>
      <c r="AA687" s="62"/>
      <c r="AB687" s="62"/>
      <c r="AC687" s="62"/>
      <c r="AD687" s="62"/>
      <c r="AE687" s="62"/>
      <c r="AF687" s="62"/>
      <c r="AG687" s="62"/>
      <c r="AH687" s="62"/>
      <c r="AI687" s="62"/>
      <c r="AJ687" s="62"/>
      <c r="AK687" s="62"/>
      <c r="AL687" s="62"/>
      <c r="AM687" s="62"/>
      <c r="AN687" s="62"/>
      <c r="AO687" s="62"/>
    </row>
    <row r="688">
      <c r="A688" s="62"/>
      <c r="B688" s="62"/>
      <c r="C688" s="61"/>
      <c r="D688" s="62"/>
      <c r="E688" s="62"/>
      <c r="F688" s="62" t="b">
        <v>0</v>
      </c>
      <c r="G688" s="62"/>
      <c r="H688" s="61"/>
      <c r="I688" s="61"/>
      <c r="J688" s="62"/>
      <c r="K688" s="62"/>
      <c r="L688" s="62"/>
      <c r="M688" s="62"/>
      <c r="N688" s="62"/>
      <c r="O688" s="62" t="b">
        <v>0</v>
      </c>
      <c r="P688" s="62"/>
      <c r="Q688" s="62"/>
      <c r="R688" s="62"/>
      <c r="S688" s="62"/>
      <c r="T688" s="62"/>
      <c r="U688" s="74"/>
      <c r="V688" s="62"/>
      <c r="W688" s="74"/>
      <c r="X688" s="62"/>
      <c r="Y688" s="61"/>
      <c r="Z688" s="62"/>
      <c r="AA688" s="62"/>
      <c r="AB688" s="62"/>
      <c r="AC688" s="62"/>
      <c r="AD688" s="62"/>
      <c r="AE688" s="62"/>
      <c r="AF688" s="62"/>
      <c r="AG688" s="62"/>
      <c r="AH688" s="62"/>
      <c r="AI688" s="62"/>
      <c r="AJ688" s="62"/>
      <c r="AK688" s="62"/>
      <c r="AL688" s="62"/>
      <c r="AM688" s="62"/>
      <c r="AN688" s="62"/>
      <c r="AO688" s="62"/>
    </row>
    <row r="689">
      <c r="A689" s="62"/>
      <c r="B689" s="62"/>
      <c r="C689" s="61"/>
      <c r="D689" s="62"/>
      <c r="E689" s="62"/>
      <c r="F689" s="62" t="b">
        <v>0</v>
      </c>
      <c r="G689" s="62"/>
      <c r="H689" s="61"/>
      <c r="I689" s="61"/>
      <c r="J689" s="62"/>
      <c r="K689" s="62"/>
      <c r="L689" s="62"/>
      <c r="M689" s="62"/>
      <c r="N689" s="62"/>
      <c r="O689" s="62" t="b">
        <v>0</v>
      </c>
      <c r="P689" s="62"/>
      <c r="Q689" s="62"/>
      <c r="R689" s="62"/>
      <c r="S689" s="62"/>
      <c r="T689" s="62"/>
      <c r="U689" s="74"/>
      <c r="V689" s="62"/>
      <c r="W689" s="74"/>
      <c r="X689" s="62"/>
      <c r="Y689" s="61"/>
      <c r="Z689" s="62"/>
      <c r="AA689" s="62"/>
      <c r="AB689" s="62"/>
      <c r="AC689" s="62"/>
      <c r="AD689" s="62"/>
      <c r="AE689" s="62"/>
      <c r="AF689" s="62"/>
      <c r="AG689" s="62"/>
      <c r="AH689" s="62"/>
      <c r="AI689" s="62"/>
      <c r="AJ689" s="62"/>
      <c r="AK689" s="62"/>
      <c r="AL689" s="62"/>
      <c r="AM689" s="62"/>
      <c r="AN689" s="62"/>
      <c r="AO689" s="62"/>
    </row>
    <row r="690">
      <c r="A690" s="62"/>
      <c r="B690" s="62"/>
      <c r="C690" s="61"/>
      <c r="D690" s="62"/>
      <c r="E690" s="62"/>
      <c r="F690" s="62" t="b">
        <v>0</v>
      </c>
      <c r="G690" s="62"/>
      <c r="H690" s="61"/>
      <c r="I690" s="61"/>
      <c r="J690" s="62"/>
      <c r="K690" s="62"/>
      <c r="L690" s="62"/>
      <c r="M690" s="62"/>
      <c r="N690" s="62"/>
      <c r="O690" s="62" t="b">
        <v>0</v>
      </c>
      <c r="P690" s="62"/>
      <c r="Q690" s="62"/>
      <c r="R690" s="62"/>
      <c r="S690" s="62"/>
      <c r="T690" s="62"/>
      <c r="U690" s="74"/>
      <c r="V690" s="62"/>
      <c r="W690" s="74"/>
      <c r="X690" s="62"/>
      <c r="Y690" s="61"/>
      <c r="Z690" s="62"/>
      <c r="AA690" s="62"/>
      <c r="AB690" s="62"/>
      <c r="AC690" s="62"/>
      <c r="AD690" s="62"/>
      <c r="AE690" s="62"/>
      <c r="AF690" s="62"/>
      <c r="AG690" s="62"/>
      <c r="AH690" s="62"/>
      <c r="AI690" s="62"/>
      <c r="AJ690" s="62"/>
      <c r="AK690" s="62"/>
      <c r="AL690" s="62"/>
      <c r="AM690" s="62"/>
      <c r="AN690" s="62"/>
      <c r="AO690" s="62"/>
    </row>
    <row r="691">
      <c r="A691" s="62"/>
      <c r="B691" s="62"/>
      <c r="C691" s="61"/>
      <c r="D691" s="62"/>
      <c r="E691" s="62"/>
      <c r="F691" s="62" t="b">
        <v>0</v>
      </c>
      <c r="G691" s="62"/>
      <c r="H691" s="61"/>
      <c r="I691" s="61"/>
      <c r="J691" s="62"/>
      <c r="K691" s="62"/>
      <c r="L691" s="62"/>
      <c r="M691" s="62"/>
      <c r="N691" s="62"/>
      <c r="O691" s="62" t="b">
        <v>0</v>
      </c>
      <c r="P691" s="62"/>
      <c r="Q691" s="62"/>
      <c r="R691" s="62"/>
      <c r="S691" s="62"/>
      <c r="T691" s="62"/>
      <c r="U691" s="74"/>
      <c r="V691" s="62"/>
      <c r="W691" s="74"/>
      <c r="X691" s="62"/>
      <c r="Y691" s="61"/>
      <c r="Z691" s="62"/>
      <c r="AA691" s="62"/>
      <c r="AB691" s="62"/>
      <c r="AC691" s="62"/>
      <c r="AD691" s="62"/>
      <c r="AE691" s="62"/>
      <c r="AF691" s="62"/>
      <c r="AG691" s="62"/>
      <c r="AH691" s="62"/>
      <c r="AI691" s="62"/>
      <c r="AJ691" s="62"/>
      <c r="AK691" s="62"/>
      <c r="AL691" s="62"/>
      <c r="AM691" s="62"/>
      <c r="AN691" s="62"/>
      <c r="AO691" s="62"/>
    </row>
    <row r="692">
      <c r="A692" s="62"/>
      <c r="B692" s="62"/>
      <c r="C692" s="61"/>
      <c r="D692" s="62"/>
      <c r="E692" s="62"/>
      <c r="F692" s="62" t="b">
        <v>0</v>
      </c>
      <c r="G692" s="62"/>
      <c r="H692" s="61"/>
      <c r="I692" s="61"/>
      <c r="J692" s="62"/>
      <c r="K692" s="62"/>
      <c r="L692" s="62"/>
      <c r="M692" s="62"/>
      <c r="N692" s="62"/>
      <c r="O692" s="62" t="b">
        <v>0</v>
      </c>
      <c r="P692" s="62"/>
      <c r="Q692" s="62"/>
      <c r="R692" s="62"/>
      <c r="S692" s="62"/>
      <c r="T692" s="62"/>
      <c r="U692" s="74"/>
      <c r="V692" s="62"/>
      <c r="W692" s="74"/>
      <c r="X692" s="62"/>
      <c r="Y692" s="61"/>
      <c r="Z692" s="62"/>
      <c r="AA692" s="62"/>
      <c r="AB692" s="62"/>
      <c r="AC692" s="62"/>
      <c r="AD692" s="62"/>
      <c r="AE692" s="62"/>
      <c r="AF692" s="62"/>
      <c r="AG692" s="62"/>
      <c r="AH692" s="62"/>
      <c r="AI692" s="62"/>
      <c r="AJ692" s="62"/>
      <c r="AK692" s="62"/>
      <c r="AL692" s="62"/>
      <c r="AM692" s="62"/>
      <c r="AN692" s="62"/>
      <c r="AO692" s="62"/>
    </row>
    <row r="693">
      <c r="A693" s="62"/>
      <c r="B693" s="62"/>
      <c r="C693" s="61"/>
      <c r="D693" s="62"/>
      <c r="E693" s="62"/>
      <c r="F693" s="62" t="b">
        <v>0</v>
      </c>
      <c r="G693" s="62"/>
      <c r="H693" s="61"/>
      <c r="I693" s="61"/>
      <c r="J693" s="62"/>
      <c r="K693" s="62"/>
      <c r="L693" s="62"/>
      <c r="M693" s="62"/>
      <c r="N693" s="62"/>
      <c r="O693" s="62" t="b">
        <v>0</v>
      </c>
      <c r="P693" s="62"/>
      <c r="Q693" s="62"/>
      <c r="R693" s="62"/>
      <c r="S693" s="62"/>
      <c r="T693" s="62"/>
      <c r="U693" s="74"/>
      <c r="V693" s="62"/>
      <c r="W693" s="74"/>
      <c r="X693" s="62"/>
      <c r="Y693" s="61"/>
      <c r="Z693" s="62"/>
      <c r="AA693" s="62"/>
      <c r="AB693" s="62"/>
      <c r="AC693" s="62"/>
      <c r="AD693" s="62"/>
      <c r="AE693" s="62"/>
      <c r="AF693" s="62"/>
      <c r="AG693" s="62"/>
      <c r="AH693" s="62"/>
      <c r="AI693" s="62"/>
      <c r="AJ693" s="62"/>
      <c r="AK693" s="62"/>
      <c r="AL693" s="62"/>
      <c r="AM693" s="62"/>
      <c r="AN693" s="62"/>
      <c r="AO693" s="62"/>
    </row>
    <row r="694">
      <c r="A694" s="62"/>
      <c r="B694" s="62"/>
      <c r="C694" s="61"/>
      <c r="D694" s="62"/>
      <c r="E694" s="62"/>
      <c r="F694" s="62" t="b">
        <v>0</v>
      </c>
      <c r="G694" s="62"/>
      <c r="H694" s="61"/>
      <c r="I694" s="61"/>
      <c r="J694" s="62"/>
      <c r="K694" s="62"/>
      <c r="L694" s="62"/>
      <c r="M694" s="62"/>
      <c r="N694" s="62"/>
      <c r="O694" s="62" t="b">
        <v>0</v>
      </c>
      <c r="P694" s="62"/>
      <c r="Q694" s="62"/>
      <c r="R694" s="62"/>
      <c r="S694" s="62"/>
      <c r="T694" s="62"/>
      <c r="U694" s="74"/>
      <c r="V694" s="62"/>
      <c r="W694" s="74"/>
      <c r="X694" s="62"/>
      <c r="Y694" s="61"/>
      <c r="Z694" s="62"/>
      <c r="AA694" s="62"/>
      <c r="AB694" s="62"/>
      <c r="AC694" s="62"/>
      <c r="AD694" s="62"/>
      <c r="AE694" s="62"/>
      <c r="AF694" s="62"/>
      <c r="AG694" s="62"/>
      <c r="AH694" s="62"/>
      <c r="AI694" s="62"/>
      <c r="AJ694" s="62"/>
      <c r="AK694" s="62"/>
      <c r="AL694" s="62"/>
      <c r="AM694" s="62"/>
      <c r="AN694" s="62"/>
      <c r="AO694" s="62"/>
    </row>
    <row r="695">
      <c r="A695" s="62"/>
      <c r="B695" s="62"/>
      <c r="C695" s="61"/>
      <c r="D695" s="62"/>
      <c r="E695" s="62"/>
      <c r="F695" s="62" t="b">
        <v>0</v>
      </c>
      <c r="G695" s="62"/>
      <c r="H695" s="61"/>
      <c r="I695" s="61"/>
      <c r="J695" s="62"/>
      <c r="K695" s="62"/>
      <c r="L695" s="62"/>
      <c r="M695" s="62"/>
      <c r="N695" s="62"/>
      <c r="O695" s="62" t="b">
        <v>0</v>
      </c>
      <c r="P695" s="62"/>
      <c r="Q695" s="62"/>
      <c r="R695" s="62"/>
      <c r="S695" s="62"/>
      <c r="T695" s="62"/>
      <c r="U695" s="74"/>
      <c r="V695" s="62"/>
      <c r="W695" s="74"/>
      <c r="X695" s="62"/>
      <c r="Y695" s="61"/>
      <c r="Z695" s="62"/>
      <c r="AA695" s="62"/>
      <c r="AB695" s="62"/>
      <c r="AC695" s="62"/>
      <c r="AD695" s="62"/>
      <c r="AE695" s="62"/>
      <c r="AF695" s="62"/>
      <c r="AG695" s="62"/>
      <c r="AH695" s="62"/>
      <c r="AI695" s="62"/>
      <c r="AJ695" s="62"/>
      <c r="AK695" s="62"/>
      <c r="AL695" s="62"/>
      <c r="AM695" s="62"/>
      <c r="AN695" s="62"/>
      <c r="AO695" s="62"/>
    </row>
    <row r="696">
      <c r="A696" s="62"/>
      <c r="B696" s="62"/>
      <c r="C696" s="61"/>
      <c r="D696" s="62"/>
      <c r="E696" s="62"/>
      <c r="F696" s="62" t="b">
        <v>0</v>
      </c>
      <c r="G696" s="62"/>
      <c r="H696" s="61"/>
      <c r="I696" s="61"/>
      <c r="J696" s="62"/>
      <c r="K696" s="62"/>
      <c r="L696" s="62"/>
      <c r="M696" s="62"/>
      <c r="N696" s="62"/>
      <c r="O696" s="62" t="b">
        <v>0</v>
      </c>
      <c r="P696" s="62"/>
      <c r="Q696" s="62"/>
      <c r="R696" s="62"/>
      <c r="S696" s="62"/>
      <c r="T696" s="62"/>
      <c r="U696" s="74"/>
      <c r="V696" s="62"/>
      <c r="W696" s="74"/>
      <c r="X696" s="62"/>
      <c r="Y696" s="61"/>
      <c r="Z696" s="62"/>
      <c r="AA696" s="62"/>
      <c r="AB696" s="62"/>
      <c r="AC696" s="62"/>
      <c r="AD696" s="62"/>
      <c r="AE696" s="62"/>
      <c r="AF696" s="62"/>
      <c r="AG696" s="62"/>
      <c r="AH696" s="62"/>
      <c r="AI696" s="62"/>
      <c r="AJ696" s="62"/>
      <c r="AK696" s="62"/>
      <c r="AL696" s="62"/>
      <c r="AM696" s="62"/>
      <c r="AN696" s="62"/>
      <c r="AO696" s="62"/>
    </row>
    <row r="697">
      <c r="A697" s="62"/>
      <c r="B697" s="62"/>
      <c r="C697" s="61"/>
      <c r="D697" s="62"/>
      <c r="E697" s="62"/>
      <c r="F697" s="62" t="b">
        <v>0</v>
      </c>
      <c r="G697" s="62"/>
      <c r="H697" s="61"/>
      <c r="I697" s="61"/>
      <c r="J697" s="62"/>
      <c r="K697" s="62"/>
      <c r="L697" s="62"/>
      <c r="M697" s="62"/>
      <c r="N697" s="62"/>
      <c r="O697" s="62" t="b">
        <v>0</v>
      </c>
      <c r="P697" s="62"/>
      <c r="Q697" s="62"/>
      <c r="R697" s="62"/>
      <c r="S697" s="62"/>
      <c r="T697" s="62"/>
      <c r="U697" s="74"/>
      <c r="V697" s="62"/>
      <c r="W697" s="74"/>
      <c r="X697" s="62"/>
      <c r="Y697" s="61"/>
      <c r="Z697" s="62"/>
      <c r="AA697" s="62"/>
      <c r="AB697" s="62"/>
      <c r="AC697" s="62"/>
      <c r="AD697" s="62"/>
      <c r="AE697" s="62"/>
      <c r="AF697" s="62"/>
      <c r="AG697" s="62"/>
      <c r="AH697" s="62"/>
      <c r="AI697" s="62"/>
      <c r="AJ697" s="62"/>
      <c r="AK697" s="62"/>
      <c r="AL697" s="62"/>
      <c r="AM697" s="62"/>
      <c r="AN697" s="62"/>
      <c r="AO697" s="62"/>
    </row>
    <row r="698">
      <c r="A698" s="62"/>
      <c r="B698" s="62"/>
      <c r="C698" s="61"/>
      <c r="D698" s="62"/>
      <c r="E698" s="62"/>
      <c r="F698" s="62" t="b">
        <v>0</v>
      </c>
      <c r="G698" s="62"/>
      <c r="H698" s="61"/>
      <c r="I698" s="61"/>
      <c r="J698" s="62"/>
      <c r="K698" s="62"/>
      <c r="L698" s="62"/>
      <c r="M698" s="62"/>
      <c r="N698" s="62"/>
      <c r="O698" s="62" t="b">
        <v>0</v>
      </c>
      <c r="P698" s="62"/>
      <c r="Q698" s="62"/>
      <c r="R698" s="62"/>
      <c r="S698" s="62"/>
      <c r="T698" s="62"/>
      <c r="U698" s="74"/>
      <c r="V698" s="62"/>
      <c r="W698" s="74"/>
      <c r="X698" s="62"/>
      <c r="Y698" s="61"/>
      <c r="Z698" s="62"/>
      <c r="AA698" s="62"/>
      <c r="AB698" s="62"/>
      <c r="AC698" s="62"/>
      <c r="AD698" s="62"/>
      <c r="AE698" s="62"/>
      <c r="AF698" s="62"/>
      <c r="AG698" s="62"/>
      <c r="AH698" s="62"/>
      <c r="AI698" s="62"/>
      <c r="AJ698" s="62"/>
      <c r="AK698" s="62"/>
      <c r="AL698" s="62"/>
      <c r="AM698" s="62"/>
      <c r="AN698" s="62"/>
      <c r="AO698" s="62"/>
    </row>
    <row r="699">
      <c r="A699" s="62"/>
      <c r="B699" s="62"/>
      <c r="C699" s="61"/>
      <c r="D699" s="62"/>
      <c r="E699" s="62"/>
      <c r="F699" s="62" t="b">
        <v>0</v>
      </c>
      <c r="G699" s="62"/>
      <c r="H699" s="61"/>
      <c r="I699" s="61"/>
      <c r="J699" s="62"/>
      <c r="K699" s="62"/>
      <c r="L699" s="62"/>
      <c r="M699" s="62"/>
      <c r="N699" s="62"/>
      <c r="O699" s="62" t="b">
        <v>0</v>
      </c>
      <c r="P699" s="62"/>
      <c r="Q699" s="62"/>
      <c r="R699" s="62"/>
      <c r="S699" s="62"/>
      <c r="T699" s="62"/>
      <c r="U699" s="74"/>
      <c r="V699" s="62"/>
      <c r="W699" s="74"/>
      <c r="X699" s="62"/>
      <c r="Y699" s="61"/>
      <c r="Z699" s="62"/>
      <c r="AA699" s="62"/>
      <c r="AB699" s="62"/>
      <c r="AC699" s="62"/>
      <c r="AD699" s="62"/>
      <c r="AE699" s="62"/>
      <c r="AF699" s="62"/>
      <c r="AG699" s="62"/>
      <c r="AH699" s="62"/>
      <c r="AI699" s="62"/>
      <c r="AJ699" s="62"/>
      <c r="AK699" s="62"/>
      <c r="AL699" s="62"/>
      <c r="AM699" s="62"/>
      <c r="AN699" s="62"/>
      <c r="AO699" s="62"/>
    </row>
    <row r="700">
      <c r="A700" s="62"/>
      <c r="B700" s="62"/>
      <c r="C700" s="61"/>
      <c r="D700" s="62"/>
      <c r="E700" s="62"/>
      <c r="F700" s="62" t="b">
        <v>0</v>
      </c>
      <c r="G700" s="62"/>
      <c r="H700" s="61"/>
      <c r="I700" s="61"/>
      <c r="J700" s="62"/>
      <c r="K700" s="62"/>
      <c r="L700" s="62"/>
      <c r="M700" s="62"/>
      <c r="N700" s="62"/>
      <c r="O700" s="62" t="b">
        <v>0</v>
      </c>
      <c r="P700" s="62"/>
      <c r="Q700" s="62"/>
      <c r="R700" s="62"/>
      <c r="S700" s="62"/>
      <c r="T700" s="62"/>
      <c r="U700" s="74"/>
      <c r="V700" s="62"/>
      <c r="W700" s="74"/>
      <c r="X700" s="62"/>
      <c r="Y700" s="61"/>
      <c r="Z700" s="62"/>
      <c r="AA700" s="62"/>
      <c r="AB700" s="62"/>
      <c r="AC700" s="62"/>
      <c r="AD700" s="62"/>
      <c r="AE700" s="62"/>
      <c r="AF700" s="62"/>
      <c r="AG700" s="62"/>
      <c r="AH700" s="62"/>
      <c r="AI700" s="62"/>
      <c r="AJ700" s="62"/>
      <c r="AK700" s="62"/>
      <c r="AL700" s="62"/>
      <c r="AM700" s="62"/>
      <c r="AN700" s="62"/>
      <c r="AO700" s="62"/>
    </row>
    <row r="701">
      <c r="A701" s="62"/>
      <c r="B701" s="62"/>
      <c r="C701" s="61"/>
      <c r="D701" s="62"/>
      <c r="E701" s="62"/>
      <c r="F701" s="62" t="b">
        <v>0</v>
      </c>
      <c r="G701" s="62"/>
      <c r="H701" s="61"/>
      <c r="I701" s="61"/>
      <c r="J701" s="62"/>
      <c r="K701" s="62"/>
      <c r="L701" s="62"/>
      <c r="M701" s="62"/>
      <c r="N701" s="62"/>
      <c r="O701" s="62" t="b">
        <v>0</v>
      </c>
      <c r="P701" s="62"/>
      <c r="Q701" s="62"/>
      <c r="R701" s="62"/>
      <c r="S701" s="62"/>
      <c r="T701" s="62"/>
      <c r="U701" s="74"/>
      <c r="V701" s="62"/>
      <c r="W701" s="74"/>
      <c r="X701" s="62"/>
      <c r="Y701" s="61"/>
      <c r="Z701" s="62"/>
      <c r="AA701" s="62"/>
      <c r="AB701" s="62"/>
      <c r="AC701" s="62"/>
      <c r="AD701" s="62"/>
      <c r="AE701" s="62"/>
      <c r="AF701" s="62"/>
      <c r="AG701" s="62"/>
      <c r="AH701" s="62"/>
      <c r="AI701" s="62"/>
      <c r="AJ701" s="62"/>
      <c r="AK701" s="62"/>
      <c r="AL701" s="62"/>
      <c r="AM701" s="62"/>
      <c r="AN701" s="62"/>
      <c r="AO701" s="62"/>
    </row>
    <row r="702">
      <c r="A702" s="62"/>
      <c r="B702" s="62"/>
      <c r="C702" s="61"/>
      <c r="D702" s="62"/>
      <c r="E702" s="62"/>
      <c r="F702" s="62" t="b">
        <v>0</v>
      </c>
      <c r="G702" s="62"/>
      <c r="H702" s="61"/>
      <c r="I702" s="61"/>
      <c r="J702" s="62"/>
      <c r="K702" s="62"/>
      <c r="L702" s="62"/>
      <c r="M702" s="62"/>
      <c r="N702" s="62"/>
      <c r="O702" s="62" t="b">
        <v>0</v>
      </c>
      <c r="P702" s="62"/>
      <c r="Q702" s="62"/>
      <c r="R702" s="62"/>
      <c r="S702" s="62"/>
      <c r="T702" s="62"/>
      <c r="U702" s="74"/>
      <c r="V702" s="62"/>
      <c r="W702" s="74"/>
      <c r="X702" s="62"/>
      <c r="Y702" s="61"/>
      <c r="Z702" s="62"/>
      <c r="AA702" s="62"/>
      <c r="AB702" s="62"/>
      <c r="AC702" s="62"/>
      <c r="AD702" s="62"/>
      <c r="AE702" s="62"/>
      <c r="AF702" s="62"/>
      <c r="AG702" s="62"/>
      <c r="AH702" s="62"/>
      <c r="AI702" s="62"/>
      <c r="AJ702" s="62"/>
      <c r="AK702" s="62"/>
      <c r="AL702" s="62"/>
      <c r="AM702" s="62"/>
      <c r="AN702" s="62"/>
      <c r="AO702" s="62"/>
    </row>
    <row r="703">
      <c r="A703" s="62"/>
      <c r="B703" s="62"/>
      <c r="C703" s="61"/>
      <c r="D703" s="62"/>
      <c r="E703" s="62"/>
      <c r="F703" s="62" t="b">
        <v>0</v>
      </c>
      <c r="G703" s="62"/>
      <c r="H703" s="61"/>
      <c r="I703" s="61"/>
      <c r="J703" s="62"/>
      <c r="K703" s="62"/>
      <c r="L703" s="62"/>
      <c r="M703" s="62"/>
      <c r="N703" s="62"/>
      <c r="O703" s="62" t="b">
        <v>0</v>
      </c>
      <c r="P703" s="62"/>
      <c r="Q703" s="62"/>
      <c r="R703" s="62"/>
      <c r="S703" s="62"/>
      <c r="T703" s="62"/>
      <c r="U703" s="74"/>
      <c r="V703" s="62"/>
      <c r="W703" s="74"/>
      <c r="X703" s="62"/>
      <c r="Y703" s="61"/>
      <c r="Z703" s="62"/>
      <c r="AA703" s="62"/>
      <c r="AB703" s="62"/>
      <c r="AC703" s="62"/>
      <c r="AD703" s="62"/>
      <c r="AE703" s="62"/>
      <c r="AF703" s="62"/>
      <c r="AG703" s="62"/>
      <c r="AH703" s="62"/>
      <c r="AI703" s="62"/>
      <c r="AJ703" s="62"/>
      <c r="AK703" s="62"/>
      <c r="AL703" s="62"/>
      <c r="AM703" s="62"/>
      <c r="AN703" s="62"/>
      <c r="AO703" s="62"/>
    </row>
    <row r="704">
      <c r="A704" s="62"/>
      <c r="B704" s="62"/>
      <c r="C704" s="61"/>
      <c r="D704" s="62"/>
      <c r="E704" s="62"/>
      <c r="F704" s="62" t="b">
        <v>0</v>
      </c>
      <c r="G704" s="62"/>
      <c r="H704" s="61"/>
      <c r="I704" s="61"/>
      <c r="J704" s="62"/>
      <c r="K704" s="62"/>
      <c r="L704" s="62"/>
      <c r="M704" s="62"/>
      <c r="N704" s="62"/>
      <c r="O704" s="62" t="b">
        <v>0</v>
      </c>
      <c r="P704" s="62"/>
      <c r="Q704" s="62"/>
      <c r="R704" s="62"/>
      <c r="S704" s="62"/>
      <c r="T704" s="62"/>
      <c r="U704" s="74"/>
      <c r="V704" s="62"/>
      <c r="W704" s="74"/>
      <c r="X704" s="62"/>
      <c r="Y704" s="61"/>
      <c r="Z704" s="62"/>
      <c r="AA704" s="62"/>
      <c r="AB704" s="62"/>
      <c r="AC704" s="62"/>
      <c r="AD704" s="62"/>
      <c r="AE704" s="62"/>
      <c r="AF704" s="62"/>
      <c r="AG704" s="62"/>
      <c r="AH704" s="62"/>
      <c r="AI704" s="62"/>
      <c r="AJ704" s="62"/>
      <c r="AK704" s="62"/>
      <c r="AL704" s="62"/>
      <c r="AM704" s="62"/>
      <c r="AN704" s="62"/>
      <c r="AO704" s="62"/>
    </row>
    <row r="705">
      <c r="A705" s="62"/>
      <c r="B705" s="62"/>
      <c r="C705" s="61"/>
      <c r="D705" s="62"/>
      <c r="E705" s="62"/>
      <c r="F705" s="62" t="b">
        <v>0</v>
      </c>
      <c r="G705" s="62"/>
      <c r="H705" s="61"/>
      <c r="I705" s="61"/>
      <c r="J705" s="62"/>
      <c r="K705" s="62"/>
      <c r="L705" s="62"/>
      <c r="M705" s="62"/>
      <c r="N705" s="62"/>
      <c r="O705" s="62" t="b">
        <v>0</v>
      </c>
      <c r="P705" s="62"/>
      <c r="Q705" s="62"/>
      <c r="R705" s="62"/>
      <c r="S705" s="62"/>
      <c r="T705" s="62"/>
      <c r="U705" s="74"/>
      <c r="V705" s="62"/>
      <c r="W705" s="74"/>
      <c r="X705" s="62"/>
      <c r="Y705" s="61"/>
      <c r="Z705" s="62"/>
      <c r="AA705" s="62"/>
      <c r="AB705" s="62"/>
      <c r="AC705" s="62"/>
      <c r="AD705" s="62"/>
      <c r="AE705" s="62"/>
      <c r="AF705" s="62"/>
      <c r="AG705" s="62"/>
      <c r="AH705" s="62"/>
      <c r="AI705" s="62"/>
      <c r="AJ705" s="62"/>
      <c r="AK705" s="62"/>
      <c r="AL705" s="62"/>
      <c r="AM705" s="62"/>
      <c r="AN705" s="62"/>
      <c r="AO705" s="62"/>
    </row>
    <row r="706">
      <c r="A706" s="62"/>
      <c r="B706" s="62"/>
      <c r="C706" s="61"/>
      <c r="D706" s="62"/>
      <c r="E706" s="62"/>
      <c r="F706" s="62" t="b">
        <v>0</v>
      </c>
      <c r="G706" s="62"/>
      <c r="H706" s="61"/>
      <c r="I706" s="61"/>
      <c r="J706" s="62"/>
      <c r="K706" s="62"/>
      <c r="L706" s="62"/>
      <c r="M706" s="62"/>
      <c r="N706" s="62"/>
      <c r="O706" s="62" t="b">
        <v>0</v>
      </c>
      <c r="P706" s="62"/>
      <c r="Q706" s="62"/>
      <c r="R706" s="62"/>
      <c r="S706" s="62"/>
      <c r="T706" s="62"/>
      <c r="U706" s="74"/>
      <c r="V706" s="62"/>
      <c r="W706" s="74"/>
      <c r="X706" s="62"/>
      <c r="Y706" s="61"/>
      <c r="Z706" s="62"/>
      <c r="AA706" s="62"/>
      <c r="AB706" s="62"/>
      <c r="AC706" s="62"/>
      <c r="AD706" s="62"/>
      <c r="AE706" s="62"/>
      <c r="AF706" s="62"/>
      <c r="AG706" s="62"/>
      <c r="AH706" s="62"/>
      <c r="AI706" s="62"/>
      <c r="AJ706" s="62"/>
      <c r="AK706" s="62"/>
      <c r="AL706" s="62"/>
      <c r="AM706" s="62"/>
      <c r="AN706" s="62"/>
      <c r="AO706" s="62"/>
    </row>
    <row r="707">
      <c r="A707" s="62"/>
      <c r="B707" s="62"/>
      <c r="C707" s="61"/>
      <c r="D707" s="62"/>
      <c r="E707" s="62"/>
      <c r="F707" s="62" t="b">
        <v>0</v>
      </c>
      <c r="G707" s="62"/>
      <c r="H707" s="61"/>
      <c r="I707" s="61"/>
      <c r="J707" s="62"/>
      <c r="K707" s="62"/>
      <c r="L707" s="62"/>
      <c r="M707" s="62"/>
      <c r="N707" s="62"/>
      <c r="O707" s="62" t="b">
        <v>0</v>
      </c>
      <c r="P707" s="62"/>
      <c r="Q707" s="62"/>
      <c r="R707" s="62"/>
      <c r="S707" s="62"/>
      <c r="T707" s="62"/>
      <c r="U707" s="74"/>
      <c r="V707" s="62"/>
      <c r="W707" s="74"/>
      <c r="X707" s="62"/>
      <c r="Y707" s="61"/>
      <c r="Z707" s="62"/>
      <c r="AA707" s="62"/>
      <c r="AB707" s="62"/>
      <c r="AC707" s="62"/>
      <c r="AD707" s="62"/>
      <c r="AE707" s="62"/>
      <c r="AF707" s="62"/>
      <c r="AG707" s="62"/>
      <c r="AH707" s="62"/>
      <c r="AI707" s="62"/>
      <c r="AJ707" s="62"/>
      <c r="AK707" s="62"/>
      <c r="AL707" s="62"/>
      <c r="AM707" s="62"/>
      <c r="AN707" s="62"/>
      <c r="AO707" s="62"/>
    </row>
    <row r="708">
      <c r="A708" s="62"/>
      <c r="B708" s="62"/>
      <c r="C708" s="61"/>
      <c r="D708" s="62"/>
      <c r="E708" s="62"/>
      <c r="F708" s="62" t="b">
        <v>0</v>
      </c>
      <c r="G708" s="62"/>
      <c r="H708" s="61"/>
      <c r="I708" s="61"/>
      <c r="J708" s="62"/>
      <c r="K708" s="62"/>
      <c r="L708" s="62"/>
      <c r="M708" s="62"/>
      <c r="N708" s="62"/>
      <c r="O708" s="62" t="b">
        <v>0</v>
      </c>
      <c r="P708" s="62"/>
      <c r="Q708" s="62"/>
      <c r="R708" s="62"/>
      <c r="S708" s="62"/>
      <c r="T708" s="62"/>
      <c r="U708" s="74"/>
      <c r="V708" s="62"/>
      <c r="W708" s="74"/>
      <c r="X708" s="62"/>
      <c r="Y708" s="61"/>
      <c r="Z708" s="62"/>
      <c r="AA708" s="62"/>
      <c r="AB708" s="62"/>
      <c r="AC708" s="62"/>
      <c r="AD708" s="62"/>
      <c r="AE708" s="62"/>
      <c r="AF708" s="62"/>
      <c r="AG708" s="62"/>
      <c r="AH708" s="62"/>
      <c r="AI708" s="62"/>
      <c r="AJ708" s="62"/>
      <c r="AK708" s="62"/>
      <c r="AL708" s="62"/>
      <c r="AM708" s="62"/>
      <c r="AN708" s="62"/>
      <c r="AO708" s="62"/>
    </row>
    <row r="709">
      <c r="A709" s="62"/>
      <c r="B709" s="62"/>
      <c r="C709" s="61"/>
      <c r="D709" s="62"/>
      <c r="E709" s="62"/>
      <c r="F709" s="62" t="b">
        <v>0</v>
      </c>
      <c r="G709" s="62"/>
      <c r="H709" s="61"/>
      <c r="I709" s="61"/>
      <c r="J709" s="62"/>
      <c r="K709" s="62"/>
      <c r="L709" s="62"/>
      <c r="M709" s="62"/>
      <c r="N709" s="62"/>
      <c r="O709" s="62" t="b">
        <v>0</v>
      </c>
      <c r="P709" s="62"/>
      <c r="Q709" s="62"/>
      <c r="R709" s="62"/>
      <c r="S709" s="62"/>
      <c r="T709" s="62"/>
      <c r="U709" s="74"/>
      <c r="V709" s="62"/>
      <c r="W709" s="74"/>
      <c r="X709" s="62"/>
      <c r="Y709" s="61"/>
      <c r="Z709" s="62"/>
      <c r="AA709" s="62"/>
      <c r="AB709" s="62"/>
      <c r="AC709" s="62"/>
      <c r="AD709" s="62"/>
      <c r="AE709" s="62"/>
      <c r="AF709" s="62"/>
      <c r="AG709" s="62"/>
      <c r="AH709" s="62"/>
      <c r="AI709" s="62"/>
      <c r="AJ709" s="62"/>
      <c r="AK709" s="62"/>
      <c r="AL709" s="62"/>
      <c r="AM709" s="62"/>
      <c r="AN709" s="62"/>
      <c r="AO709" s="62"/>
    </row>
    <row r="710">
      <c r="A710" s="62"/>
      <c r="B710" s="62"/>
      <c r="C710" s="61"/>
      <c r="D710" s="62"/>
      <c r="E710" s="62"/>
      <c r="F710" s="62" t="b">
        <v>0</v>
      </c>
      <c r="G710" s="62"/>
      <c r="H710" s="61"/>
      <c r="I710" s="61"/>
      <c r="J710" s="62"/>
      <c r="K710" s="62"/>
      <c r="L710" s="62"/>
      <c r="M710" s="62"/>
      <c r="N710" s="62"/>
      <c r="O710" s="62" t="b">
        <v>0</v>
      </c>
      <c r="P710" s="62"/>
      <c r="Q710" s="62"/>
      <c r="R710" s="62"/>
      <c r="S710" s="62"/>
      <c r="T710" s="62"/>
      <c r="U710" s="74"/>
      <c r="V710" s="62"/>
      <c r="W710" s="74"/>
      <c r="X710" s="62"/>
      <c r="Y710" s="61"/>
      <c r="Z710" s="62"/>
      <c r="AA710" s="62"/>
      <c r="AB710" s="62"/>
      <c r="AC710" s="62"/>
      <c r="AD710" s="62"/>
      <c r="AE710" s="62"/>
      <c r="AF710" s="62"/>
      <c r="AG710" s="62"/>
      <c r="AH710" s="62"/>
      <c r="AI710" s="62"/>
      <c r="AJ710" s="62"/>
      <c r="AK710" s="62"/>
      <c r="AL710" s="62"/>
      <c r="AM710" s="62"/>
      <c r="AN710" s="62"/>
      <c r="AO710" s="62"/>
    </row>
    <row r="711">
      <c r="A711" s="62"/>
      <c r="B711" s="62"/>
      <c r="C711" s="61"/>
      <c r="D711" s="62"/>
      <c r="E711" s="62"/>
      <c r="F711" s="62" t="b">
        <v>0</v>
      </c>
      <c r="G711" s="62"/>
      <c r="H711" s="61"/>
      <c r="I711" s="61"/>
      <c r="J711" s="62"/>
      <c r="K711" s="62"/>
      <c r="L711" s="62"/>
      <c r="M711" s="62"/>
      <c r="N711" s="62"/>
      <c r="O711" s="62" t="b">
        <v>0</v>
      </c>
      <c r="P711" s="62"/>
      <c r="Q711" s="62"/>
      <c r="R711" s="62"/>
      <c r="S711" s="62"/>
      <c r="T711" s="62"/>
      <c r="U711" s="74"/>
      <c r="V711" s="62"/>
      <c r="W711" s="74"/>
      <c r="X711" s="62"/>
      <c r="Y711" s="61"/>
      <c r="Z711" s="62"/>
      <c r="AA711" s="62"/>
      <c r="AB711" s="62"/>
      <c r="AC711" s="62"/>
      <c r="AD711" s="62"/>
      <c r="AE711" s="62"/>
      <c r="AF711" s="62"/>
      <c r="AG711" s="62"/>
      <c r="AH711" s="62"/>
      <c r="AI711" s="62"/>
      <c r="AJ711" s="62"/>
      <c r="AK711" s="62"/>
      <c r="AL711" s="62"/>
      <c r="AM711" s="62"/>
      <c r="AN711" s="62"/>
      <c r="AO711" s="62"/>
    </row>
    <row r="712">
      <c r="A712" s="62"/>
      <c r="B712" s="62"/>
      <c r="C712" s="61"/>
      <c r="D712" s="62"/>
      <c r="E712" s="62"/>
      <c r="F712" s="62" t="b">
        <v>0</v>
      </c>
      <c r="G712" s="62"/>
      <c r="H712" s="61"/>
      <c r="I712" s="61"/>
      <c r="J712" s="62"/>
      <c r="K712" s="62"/>
      <c r="L712" s="62"/>
      <c r="M712" s="62"/>
      <c r="N712" s="62"/>
      <c r="O712" s="62" t="b">
        <v>0</v>
      </c>
      <c r="P712" s="62"/>
      <c r="Q712" s="62"/>
      <c r="R712" s="62"/>
      <c r="S712" s="62"/>
      <c r="T712" s="62"/>
      <c r="U712" s="74"/>
      <c r="V712" s="62"/>
      <c r="W712" s="74"/>
      <c r="X712" s="62"/>
      <c r="Y712" s="61"/>
      <c r="Z712" s="62"/>
      <c r="AA712" s="62"/>
      <c r="AB712" s="62"/>
      <c r="AC712" s="62"/>
      <c r="AD712" s="62"/>
      <c r="AE712" s="62"/>
      <c r="AF712" s="62"/>
      <c r="AG712" s="62"/>
      <c r="AH712" s="62"/>
      <c r="AI712" s="62"/>
      <c r="AJ712" s="62"/>
      <c r="AK712" s="62"/>
      <c r="AL712" s="62"/>
      <c r="AM712" s="62"/>
      <c r="AN712" s="62"/>
      <c r="AO712" s="62"/>
    </row>
    <row r="713">
      <c r="A713" s="62"/>
      <c r="B713" s="62"/>
      <c r="C713" s="61"/>
      <c r="D713" s="62"/>
      <c r="E713" s="62"/>
      <c r="F713" s="62" t="b">
        <v>0</v>
      </c>
      <c r="G713" s="62"/>
      <c r="H713" s="61"/>
      <c r="I713" s="61"/>
      <c r="J713" s="62"/>
      <c r="K713" s="62"/>
      <c r="L713" s="62"/>
      <c r="M713" s="62"/>
      <c r="N713" s="62"/>
      <c r="O713" s="62" t="b">
        <v>0</v>
      </c>
      <c r="P713" s="62"/>
      <c r="Q713" s="62"/>
      <c r="R713" s="62"/>
      <c r="S713" s="62"/>
      <c r="T713" s="62"/>
      <c r="U713" s="74"/>
      <c r="V713" s="62"/>
      <c r="W713" s="74"/>
      <c r="X713" s="62"/>
      <c r="Y713" s="61"/>
      <c r="Z713" s="62"/>
      <c r="AA713" s="62"/>
      <c r="AB713" s="62"/>
      <c r="AC713" s="62"/>
      <c r="AD713" s="62"/>
      <c r="AE713" s="62"/>
      <c r="AF713" s="62"/>
      <c r="AG713" s="62"/>
      <c r="AH713" s="62"/>
      <c r="AI713" s="62"/>
      <c r="AJ713" s="62"/>
      <c r="AK713" s="62"/>
      <c r="AL713" s="62"/>
      <c r="AM713" s="62"/>
      <c r="AN713" s="62"/>
      <c r="AO713" s="62"/>
    </row>
    <row r="714">
      <c r="A714" s="62"/>
      <c r="B714" s="62"/>
      <c r="C714" s="61"/>
      <c r="D714" s="62"/>
      <c r="E714" s="62"/>
      <c r="F714" s="62" t="b">
        <v>0</v>
      </c>
      <c r="G714" s="62"/>
      <c r="H714" s="61"/>
      <c r="I714" s="61"/>
      <c r="J714" s="62"/>
      <c r="K714" s="62"/>
      <c r="L714" s="62"/>
      <c r="M714" s="62"/>
      <c r="N714" s="62"/>
      <c r="O714" s="62" t="b">
        <v>0</v>
      </c>
      <c r="P714" s="62"/>
      <c r="Q714" s="62"/>
      <c r="R714" s="62"/>
      <c r="S714" s="62"/>
      <c r="T714" s="62"/>
      <c r="U714" s="74"/>
      <c r="V714" s="62"/>
      <c r="W714" s="74"/>
      <c r="X714" s="62"/>
      <c r="Y714" s="61"/>
      <c r="Z714" s="62"/>
      <c r="AA714" s="62"/>
      <c r="AB714" s="62"/>
      <c r="AC714" s="62"/>
      <c r="AD714" s="62"/>
      <c r="AE714" s="62"/>
      <c r="AF714" s="62"/>
      <c r="AG714" s="62"/>
      <c r="AH714" s="62"/>
      <c r="AI714" s="62"/>
      <c r="AJ714" s="62"/>
      <c r="AK714" s="62"/>
      <c r="AL714" s="62"/>
      <c r="AM714" s="62"/>
      <c r="AN714" s="62"/>
      <c r="AO714" s="62"/>
    </row>
    <row r="715">
      <c r="A715" s="62"/>
      <c r="B715" s="62"/>
      <c r="C715" s="61"/>
      <c r="D715" s="62"/>
      <c r="E715" s="62"/>
      <c r="F715" s="62" t="b">
        <v>0</v>
      </c>
      <c r="G715" s="62"/>
      <c r="H715" s="61"/>
      <c r="I715" s="61"/>
      <c r="J715" s="62"/>
      <c r="K715" s="62"/>
      <c r="L715" s="62"/>
      <c r="M715" s="62"/>
      <c r="N715" s="62"/>
      <c r="O715" s="62" t="b">
        <v>0</v>
      </c>
      <c r="P715" s="62"/>
      <c r="Q715" s="62"/>
      <c r="R715" s="62"/>
      <c r="S715" s="62"/>
      <c r="T715" s="62"/>
      <c r="U715" s="74"/>
      <c r="V715" s="62"/>
      <c r="W715" s="74"/>
      <c r="X715" s="62"/>
      <c r="Y715" s="61"/>
      <c r="Z715" s="62"/>
      <c r="AA715" s="62"/>
      <c r="AB715" s="62"/>
      <c r="AC715" s="62"/>
      <c r="AD715" s="62"/>
      <c r="AE715" s="62"/>
      <c r="AF715" s="62"/>
      <c r="AG715" s="62"/>
      <c r="AH715" s="62"/>
      <c r="AI715" s="62"/>
      <c r="AJ715" s="62"/>
      <c r="AK715" s="62"/>
      <c r="AL715" s="62"/>
      <c r="AM715" s="62"/>
      <c r="AN715" s="62"/>
      <c r="AO715" s="62"/>
    </row>
    <row r="716">
      <c r="A716" s="62"/>
      <c r="B716" s="62"/>
      <c r="C716" s="61"/>
      <c r="D716" s="62"/>
      <c r="E716" s="62"/>
      <c r="F716" s="62" t="b">
        <v>0</v>
      </c>
      <c r="G716" s="62"/>
      <c r="H716" s="61"/>
      <c r="I716" s="61"/>
      <c r="J716" s="62"/>
      <c r="K716" s="62"/>
      <c r="L716" s="62"/>
      <c r="M716" s="62"/>
      <c r="N716" s="62"/>
      <c r="O716" s="62" t="b">
        <v>0</v>
      </c>
      <c r="P716" s="62"/>
      <c r="Q716" s="62"/>
      <c r="R716" s="62"/>
      <c r="S716" s="62"/>
      <c r="T716" s="62"/>
      <c r="U716" s="74"/>
      <c r="V716" s="62"/>
      <c r="W716" s="74"/>
      <c r="X716" s="62"/>
      <c r="Y716" s="61"/>
      <c r="Z716" s="62"/>
      <c r="AA716" s="62"/>
      <c r="AB716" s="62"/>
      <c r="AC716" s="62"/>
      <c r="AD716" s="62"/>
      <c r="AE716" s="62"/>
      <c r="AF716" s="62"/>
      <c r="AG716" s="62"/>
      <c r="AH716" s="62"/>
      <c r="AI716" s="62"/>
      <c r="AJ716" s="62"/>
      <c r="AK716" s="62"/>
      <c r="AL716" s="62"/>
      <c r="AM716" s="62"/>
      <c r="AN716" s="62"/>
      <c r="AO716" s="62"/>
    </row>
    <row r="717">
      <c r="A717" s="62"/>
      <c r="B717" s="62"/>
      <c r="C717" s="61"/>
      <c r="D717" s="62"/>
      <c r="E717" s="62"/>
      <c r="F717" s="62" t="b">
        <v>0</v>
      </c>
      <c r="G717" s="62"/>
      <c r="H717" s="61"/>
      <c r="I717" s="61"/>
      <c r="J717" s="62"/>
      <c r="K717" s="62"/>
      <c r="L717" s="62"/>
      <c r="M717" s="62"/>
      <c r="N717" s="62"/>
      <c r="O717" s="62" t="b">
        <v>0</v>
      </c>
      <c r="P717" s="62"/>
      <c r="Q717" s="62"/>
      <c r="R717" s="62"/>
      <c r="S717" s="62"/>
      <c r="T717" s="62"/>
      <c r="U717" s="74"/>
      <c r="V717" s="62"/>
      <c r="W717" s="74"/>
      <c r="X717" s="62"/>
      <c r="Y717" s="61"/>
      <c r="Z717" s="62"/>
      <c r="AA717" s="62"/>
      <c r="AB717" s="62"/>
      <c r="AC717" s="62"/>
      <c r="AD717" s="62"/>
      <c r="AE717" s="62"/>
      <c r="AF717" s="62"/>
      <c r="AG717" s="62"/>
      <c r="AH717" s="62"/>
      <c r="AI717" s="62"/>
      <c r="AJ717" s="62"/>
      <c r="AK717" s="62"/>
      <c r="AL717" s="62"/>
      <c r="AM717" s="62"/>
      <c r="AN717" s="62"/>
      <c r="AO717" s="62"/>
    </row>
    <row r="718">
      <c r="A718" s="62"/>
      <c r="B718" s="62"/>
      <c r="C718" s="61"/>
      <c r="D718" s="62"/>
      <c r="E718" s="62"/>
      <c r="F718" s="62" t="b">
        <v>0</v>
      </c>
      <c r="G718" s="62"/>
      <c r="H718" s="61"/>
      <c r="I718" s="61"/>
      <c r="J718" s="62"/>
      <c r="K718" s="62"/>
      <c r="L718" s="62"/>
      <c r="M718" s="62"/>
      <c r="N718" s="62"/>
      <c r="O718" s="62" t="b">
        <v>0</v>
      </c>
      <c r="P718" s="62"/>
      <c r="Q718" s="62"/>
      <c r="R718" s="62"/>
      <c r="S718" s="62"/>
      <c r="T718" s="62"/>
      <c r="U718" s="74"/>
      <c r="V718" s="62"/>
      <c r="W718" s="74"/>
      <c r="X718" s="62"/>
      <c r="Y718" s="61"/>
      <c r="Z718" s="62"/>
      <c r="AA718" s="62"/>
      <c r="AB718" s="62"/>
      <c r="AC718" s="62"/>
      <c r="AD718" s="62"/>
      <c r="AE718" s="62"/>
      <c r="AF718" s="62"/>
      <c r="AG718" s="62"/>
      <c r="AH718" s="62"/>
      <c r="AI718" s="62"/>
      <c r="AJ718" s="62"/>
      <c r="AK718" s="62"/>
      <c r="AL718" s="62"/>
      <c r="AM718" s="62"/>
      <c r="AN718" s="62"/>
      <c r="AO718" s="62"/>
    </row>
    <row r="719">
      <c r="A719" s="62"/>
      <c r="B719" s="62"/>
      <c r="C719" s="61"/>
      <c r="D719" s="62"/>
      <c r="E719" s="62"/>
      <c r="F719" s="62" t="b">
        <v>0</v>
      </c>
      <c r="G719" s="62"/>
      <c r="H719" s="61"/>
      <c r="I719" s="61"/>
      <c r="J719" s="62"/>
      <c r="K719" s="62"/>
      <c r="L719" s="62"/>
      <c r="M719" s="62"/>
      <c r="N719" s="62"/>
      <c r="O719" s="62" t="b">
        <v>0</v>
      </c>
      <c r="P719" s="62"/>
      <c r="Q719" s="62"/>
      <c r="R719" s="62"/>
      <c r="S719" s="62"/>
      <c r="T719" s="62"/>
      <c r="U719" s="74"/>
      <c r="V719" s="62"/>
      <c r="W719" s="74"/>
      <c r="X719" s="62"/>
      <c r="Y719" s="61"/>
      <c r="Z719" s="62"/>
      <c r="AA719" s="62"/>
      <c r="AB719" s="62"/>
      <c r="AC719" s="62"/>
      <c r="AD719" s="62"/>
      <c r="AE719" s="62"/>
      <c r="AF719" s="62"/>
      <c r="AG719" s="62"/>
      <c r="AH719" s="62"/>
      <c r="AI719" s="62"/>
      <c r="AJ719" s="62"/>
      <c r="AK719" s="62"/>
      <c r="AL719" s="62"/>
      <c r="AM719" s="62"/>
      <c r="AN719" s="62"/>
      <c r="AO719" s="62"/>
    </row>
    <row r="720">
      <c r="A720" s="62"/>
      <c r="B720" s="62"/>
      <c r="C720" s="61"/>
      <c r="D720" s="62"/>
      <c r="E720" s="62"/>
      <c r="F720" s="62" t="b">
        <v>0</v>
      </c>
      <c r="G720" s="62"/>
      <c r="H720" s="61"/>
      <c r="I720" s="61"/>
      <c r="J720" s="62"/>
      <c r="K720" s="62"/>
      <c r="L720" s="62"/>
      <c r="M720" s="62"/>
      <c r="N720" s="62"/>
      <c r="O720" s="62" t="b">
        <v>0</v>
      </c>
      <c r="P720" s="62"/>
      <c r="Q720" s="62"/>
      <c r="R720" s="62"/>
      <c r="S720" s="62"/>
      <c r="T720" s="62"/>
      <c r="U720" s="74"/>
      <c r="V720" s="62"/>
      <c r="W720" s="74"/>
      <c r="X720" s="62"/>
      <c r="Y720" s="61"/>
      <c r="Z720" s="62"/>
      <c r="AA720" s="62"/>
      <c r="AB720" s="62"/>
      <c r="AC720" s="62"/>
      <c r="AD720" s="62"/>
      <c r="AE720" s="62"/>
      <c r="AF720" s="62"/>
      <c r="AG720" s="62"/>
      <c r="AH720" s="62"/>
      <c r="AI720" s="62"/>
      <c r="AJ720" s="62"/>
      <c r="AK720" s="62"/>
      <c r="AL720" s="62"/>
      <c r="AM720" s="62"/>
      <c r="AN720" s="62"/>
      <c r="AO720" s="62"/>
    </row>
    <row r="721">
      <c r="A721" s="62"/>
      <c r="B721" s="62"/>
      <c r="C721" s="61"/>
      <c r="D721" s="62"/>
      <c r="E721" s="62"/>
      <c r="F721" s="62" t="b">
        <v>0</v>
      </c>
      <c r="G721" s="62"/>
      <c r="H721" s="61"/>
      <c r="I721" s="61"/>
      <c r="J721" s="62"/>
      <c r="K721" s="62"/>
      <c r="L721" s="62"/>
      <c r="M721" s="62"/>
      <c r="N721" s="62"/>
      <c r="O721" s="62" t="b">
        <v>0</v>
      </c>
      <c r="P721" s="62"/>
      <c r="Q721" s="62"/>
      <c r="R721" s="62"/>
      <c r="S721" s="62"/>
      <c r="T721" s="62"/>
      <c r="U721" s="74"/>
      <c r="V721" s="62"/>
      <c r="W721" s="74"/>
      <c r="X721" s="62"/>
      <c r="Y721" s="61"/>
      <c r="Z721" s="62"/>
      <c r="AA721" s="62"/>
      <c r="AB721" s="62"/>
      <c r="AC721" s="62"/>
      <c r="AD721" s="62"/>
      <c r="AE721" s="62"/>
      <c r="AF721" s="62"/>
      <c r="AG721" s="62"/>
      <c r="AH721" s="62"/>
      <c r="AI721" s="62"/>
      <c r="AJ721" s="62"/>
      <c r="AK721" s="62"/>
      <c r="AL721" s="62"/>
      <c r="AM721" s="62"/>
      <c r="AN721" s="62"/>
      <c r="AO721" s="62"/>
    </row>
    <row r="722">
      <c r="A722" s="62"/>
      <c r="B722" s="62"/>
      <c r="C722" s="61"/>
      <c r="D722" s="62"/>
      <c r="E722" s="62"/>
      <c r="F722" s="62" t="b">
        <v>0</v>
      </c>
      <c r="G722" s="62"/>
      <c r="H722" s="61"/>
      <c r="I722" s="61"/>
      <c r="J722" s="62"/>
      <c r="K722" s="62"/>
      <c r="L722" s="62"/>
      <c r="M722" s="62"/>
      <c r="N722" s="62"/>
      <c r="O722" s="62" t="b">
        <v>0</v>
      </c>
      <c r="P722" s="62"/>
      <c r="Q722" s="62"/>
      <c r="R722" s="62"/>
      <c r="S722" s="62"/>
      <c r="T722" s="62"/>
      <c r="U722" s="74"/>
      <c r="V722" s="62"/>
      <c r="W722" s="74"/>
      <c r="X722" s="62"/>
      <c r="Y722" s="61"/>
      <c r="Z722" s="62"/>
      <c r="AA722" s="62"/>
      <c r="AB722" s="62"/>
      <c r="AC722" s="62"/>
      <c r="AD722" s="62"/>
      <c r="AE722" s="62"/>
      <c r="AF722" s="62"/>
      <c r="AG722" s="62"/>
      <c r="AH722" s="62"/>
      <c r="AI722" s="62"/>
      <c r="AJ722" s="62"/>
      <c r="AK722" s="62"/>
      <c r="AL722" s="62"/>
      <c r="AM722" s="62"/>
      <c r="AN722" s="62"/>
      <c r="AO722" s="62"/>
    </row>
    <row r="723">
      <c r="A723" s="62"/>
      <c r="B723" s="62"/>
      <c r="C723" s="61"/>
      <c r="D723" s="62"/>
      <c r="E723" s="62"/>
      <c r="F723" s="62" t="b">
        <v>0</v>
      </c>
      <c r="G723" s="62"/>
      <c r="H723" s="61"/>
      <c r="I723" s="61"/>
      <c r="J723" s="62"/>
      <c r="K723" s="62"/>
      <c r="L723" s="62"/>
      <c r="M723" s="62"/>
      <c r="N723" s="62"/>
      <c r="O723" s="62" t="b">
        <v>0</v>
      </c>
      <c r="P723" s="62"/>
      <c r="Q723" s="62"/>
      <c r="R723" s="62"/>
      <c r="S723" s="62"/>
      <c r="T723" s="62"/>
      <c r="U723" s="74"/>
      <c r="V723" s="62"/>
      <c r="W723" s="74"/>
      <c r="X723" s="62"/>
      <c r="Y723" s="61"/>
      <c r="Z723" s="62"/>
      <c r="AA723" s="62"/>
      <c r="AB723" s="62"/>
      <c r="AC723" s="62"/>
      <c r="AD723" s="62"/>
      <c r="AE723" s="62"/>
      <c r="AF723" s="62"/>
      <c r="AG723" s="62"/>
      <c r="AH723" s="62"/>
      <c r="AI723" s="62"/>
      <c r="AJ723" s="62"/>
      <c r="AK723" s="62"/>
      <c r="AL723" s="62"/>
      <c r="AM723" s="62"/>
      <c r="AN723" s="62"/>
      <c r="AO723" s="62"/>
    </row>
    <row r="724">
      <c r="A724" s="62"/>
      <c r="B724" s="62"/>
      <c r="C724" s="61"/>
      <c r="D724" s="62"/>
      <c r="E724" s="62"/>
      <c r="F724" s="62" t="b">
        <v>0</v>
      </c>
      <c r="G724" s="62"/>
      <c r="H724" s="61"/>
      <c r="I724" s="61"/>
      <c r="J724" s="62"/>
      <c r="K724" s="62"/>
      <c r="L724" s="62"/>
      <c r="M724" s="62"/>
      <c r="N724" s="62"/>
      <c r="O724" s="62" t="b">
        <v>0</v>
      </c>
      <c r="P724" s="62"/>
      <c r="Q724" s="62"/>
      <c r="R724" s="62"/>
      <c r="S724" s="62"/>
      <c r="T724" s="62"/>
      <c r="U724" s="74"/>
      <c r="V724" s="62"/>
      <c r="W724" s="74"/>
      <c r="X724" s="62"/>
      <c r="Y724" s="61"/>
      <c r="Z724" s="62"/>
      <c r="AA724" s="62"/>
      <c r="AB724" s="62"/>
      <c r="AC724" s="62"/>
      <c r="AD724" s="62"/>
      <c r="AE724" s="62"/>
      <c r="AF724" s="62"/>
      <c r="AG724" s="62"/>
      <c r="AH724" s="62"/>
      <c r="AI724" s="62"/>
      <c r="AJ724" s="62"/>
      <c r="AK724" s="62"/>
      <c r="AL724" s="62"/>
      <c r="AM724" s="62"/>
      <c r="AN724" s="62"/>
      <c r="AO724" s="62"/>
    </row>
    <row r="725">
      <c r="A725" s="62"/>
      <c r="B725" s="62"/>
      <c r="C725" s="61"/>
      <c r="D725" s="62"/>
      <c r="E725" s="62"/>
      <c r="F725" s="62" t="b">
        <v>0</v>
      </c>
      <c r="G725" s="62"/>
      <c r="H725" s="61"/>
      <c r="I725" s="61"/>
      <c r="J725" s="62"/>
      <c r="K725" s="62"/>
      <c r="L725" s="62"/>
      <c r="M725" s="62"/>
      <c r="N725" s="62"/>
      <c r="O725" s="62" t="b">
        <v>0</v>
      </c>
      <c r="P725" s="62"/>
      <c r="Q725" s="62"/>
      <c r="R725" s="62"/>
      <c r="S725" s="62"/>
      <c r="T725" s="62"/>
      <c r="U725" s="74"/>
      <c r="V725" s="62"/>
      <c r="W725" s="74"/>
      <c r="X725" s="62"/>
      <c r="Y725" s="61"/>
      <c r="Z725" s="62"/>
      <c r="AA725" s="62"/>
      <c r="AB725" s="62"/>
      <c r="AC725" s="62"/>
      <c r="AD725" s="62"/>
      <c r="AE725" s="62"/>
      <c r="AF725" s="62"/>
      <c r="AG725" s="62"/>
      <c r="AH725" s="62"/>
      <c r="AI725" s="62"/>
      <c r="AJ725" s="62"/>
      <c r="AK725" s="62"/>
      <c r="AL725" s="62"/>
      <c r="AM725" s="62"/>
      <c r="AN725" s="62"/>
      <c r="AO725" s="62"/>
    </row>
    <row r="726">
      <c r="A726" s="62"/>
      <c r="B726" s="62"/>
      <c r="C726" s="61"/>
      <c r="D726" s="62"/>
      <c r="E726" s="62"/>
      <c r="F726" s="62" t="b">
        <v>0</v>
      </c>
      <c r="G726" s="62"/>
      <c r="H726" s="61"/>
      <c r="I726" s="61"/>
      <c r="J726" s="62"/>
      <c r="K726" s="62"/>
      <c r="L726" s="62"/>
      <c r="M726" s="62"/>
      <c r="N726" s="62"/>
      <c r="O726" s="62" t="b">
        <v>0</v>
      </c>
      <c r="P726" s="62"/>
      <c r="Q726" s="62"/>
      <c r="R726" s="62"/>
      <c r="S726" s="62"/>
      <c r="T726" s="62"/>
      <c r="U726" s="74"/>
      <c r="V726" s="62"/>
      <c r="W726" s="74"/>
      <c r="X726" s="62"/>
      <c r="Y726" s="61"/>
      <c r="Z726" s="62"/>
      <c r="AA726" s="62"/>
      <c r="AB726" s="62"/>
      <c r="AC726" s="62"/>
      <c r="AD726" s="62"/>
      <c r="AE726" s="62"/>
      <c r="AF726" s="62"/>
      <c r="AG726" s="62"/>
      <c r="AH726" s="62"/>
      <c r="AI726" s="62"/>
      <c r="AJ726" s="62"/>
      <c r="AK726" s="62"/>
      <c r="AL726" s="62"/>
      <c r="AM726" s="62"/>
      <c r="AN726" s="62"/>
      <c r="AO726" s="62"/>
    </row>
    <row r="727">
      <c r="A727" s="62"/>
      <c r="B727" s="62"/>
      <c r="C727" s="61"/>
      <c r="D727" s="62"/>
      <c r="E727" s="62"/>
      <c r="F727" s="62" t="b">
        <v>0</v>
      </c>
      <c r="G727" s="62"/>
      <c r="H727" s="61"/>
      <c r="I727" s="61"/>
      <c r="J727" s="62"/>
      <c r="K727" s="62"/>
      <c r="L727" s="62"/>
      <c r="M727" s="62"/>
      <c r="N727" s="62"/>
      <c r="O727" s="62" t="b">
        <v>0</v>
      </c>
      <c r="P727" s="62"/>
      <c r="Q727" s="62"/>
      <c r="R727" s="62"/>
      <c r="S727" s="62"/>
      <c r="T727" s="62"/>
      <c r="U727" s="74"/>
      <c r="V727" s="62"/>
      <c r="W727" s="74"/>
      <c r="X727" s="62"/>
      <c r="Y727" s="61"/>
      <c r="Z727" s="62"/>
      <c r="AA727" s="62"/>
      <c r="AB727" s="62"/>
      <c r="AC727" s="62"/>
      <c r="AD727" s="62"/>
      <c r="AE727" s="62"/>
      <c r="AF727" s="62"/>
      <c r="AG727" s="62"/>
      <c r="AH727" s="62"/>
      <c r="AI727" s="62"/>
      <c r="AJ727" s="62"/>
      <c r="AK727" s="62"/>
      <c r="AL727" s="62"/>
      <c r="AM727" s="62"/>
      <c r="AN727" s="62"/>
      <c r="AO727" s="62"/>
    </row>
    <row r="728">
      <c r="A728" s="62"/>
      <c r="B728" s="62"/>
      <c r="C728" s="61"/>
      <c r="D728" s="62"/>
      <c r="E728" s="62"/>
      <c r="F728" s="62" t="b">
        <v>0</v>
      </c>
      <c r="G728" s="62"/>
      <c r="H728" s="61"/>
      <c r="I728" s="61"/>
      <c r="J728" s="62"/>
      <c r="K728" s="62"/>
      <c r="L728" s="62"/>
      <c r="M728" s="62"/>
      <c r="N728" s="62"/>
      <c r="O728" s="62" t="b">
        <v>0</v>
      </c>
      <c r="P728" s="62"/>
      <c r="Q728" s="62"/>
      <c r="R728" s="62"/>
      <c r="S728" s="62"/>
      <c r="T728" s="62"/>
      <c r="U728" s="74"/>
      <c r="V728" s="62"/>
      <c r="W728" s="74"/>
      <c r="X728" s="62"/>
      <c r="Y728" s="61"/>
      <c r="Z728" s="62"/>
      <c r="AA728" s="62"/>
      <c r="AB728" s="62"/>
      <c r="AC728" s="62"/>
      <c r="AD728" s="62"/>
      <c r="AE728" s="62"/>
      <c r="AF728" s="62"/>
      <c r="AG728" s="62"/>
      <c r="AH728" s="62"/>
      <c r="AI728" s="62"/>
      <c r="AJ728" s="62"/>
      <c r="AK728" s="62"/>
      <c r="AL728" s="62"/>
      <c r="AM728" s="62"/>
      <c r="AN728" s="62"/>
      <c r="AO728" s="62"/>
    </row>
    <row r="729">
      <c r="A729" s="62"/>
      <c r="B729" s="62"/>
      <c r="C729" s="61"/>
      <c r="D729" s="62"/>
      <c r="E729" s="62"/>
      <c r="F729" s="62" t="b">
        <v>0</v>
      </c>
      <c r="G729" s="62"/>
      <c r="H729" s="61"/>
      <c r="I729" s="61"/>
      <c r="J729" s="62"/>
      <c r="K729" s="62"/>
      <c r="L729" s="62"/>
      <c r="M729" s="62"/>
      <c r="N729" s="62"/>
      <c r="O729" s="62" t="b">
        <v>0</v>
      </c>
      <c r="P729" s="62"/>
      <c r="Q729" s="62"/>
      <c r="R729" s="62"/>
      <c r="S729" s="62"/>
      <c r="T729" s="62"/>
      <c r="U729" s="74"/>
      <c r="V729" s="62"/>
      <c r="W729" s="74"/>
      <c r="X729" s="62"/>
      <c r="Y729" s="61"/>
      <c r="Z729" s="62"/>
      <c r="AA729" s="62"/>
      <c r="AB729" s="62"/>
      <c r="AC729" s="62"/>
      <c r="AD729" s="62"/>
      <c r="AE729" s="62"/>
      <c r="AF729" s="62"/>
      <c r="AG729" s="62"/>
      <c r="AH729" s="62"/>
      <c r="AI729" s="62"/>
      <c r="AJ729" s="62"/>
      <c r="AK729" s="62"/>
      <c r="AL729" s="62"/>
      <c r="AM729" s="62"/>
      <c r="AN729" s="62"/>
      <c r="AO729" s="62"/>
    </row>
    <row r="730">
      <c r="A730" s="62"/>
      <c r="B730" s="62"/>
      <c r="C730" s="61"/>
      <c r="D730" s="62"/>
      <c r="E730" s="62"/>
      <c r="F730" s="62" t="b">
        <v>0</v>
      </c>
      <c r="G730" s="62"/>
      <c r="H730" s="61"/>
      <c r="I730" s="61"/>
      <c r="J730" s="62"/>
      <c r="K730" s="62"/>
      <c r="L730" s="62"/>
      <c r="M730" s="62"/>
      <c r="N730" s="62"/>
      <c r="O730" s="62" t="b">
        <v>0</v>
      </c>
      <c r="P730" s="62"/>
      <c r="Q730" s="62"/>
      <c r="R730" s="62"/>
      <c r="S730" s="62"/>
      <c r="T730" s="62"/>
      <c r="U730" s="74"/>
      <c r="V730" s="62"/>
      <c r="W730" s="74"/>
      <c r="X730" s="62"/>
      <c r="Y730" s="61"/>
      <c r="Z730" s="62"/>
      <c r="AA730" s="62"/>
      <c r="AB730" s="62"/>
      <c r="AC730" s="62"/>
      <c r="AD730" s="62"/>
      <c r="AE730" s="62"/>
      <c r="AF730" s="62"/>
      <c r="AG730" s="62"/>
      <c r="AH730" s="62"/>
      <c r="AI730" s="62"/>
      <c r="AJ730" s="62"/>
      <c r="AK730" s="62"/>
      <c r="AL730" s="62"/>
      <c r="AM730" s="62"/>
      <c r="AN730" s="62"/>
      <c r="AO730" s="62"/>
    </row>
    <row r="731">
      <c r="A731" s="62"/>
      <c r="B731" s="62"/>
      <c r="C731" s="61"/>
      <c r="D731" s="62"/>
      <c r="E731" s="62"/>
      <c r="F731" s="62" t="b">
        <v>0</v>
      </c>
      <c r="G731" s="62"/>
      <c r="H731" s="61"/>
      <c r="I731" s="61"/>
      <c r="J731" s="62"/>
      <c r="K731" s="62"/>
      <c r="L731" s="62"/>
      <c r="M731" s="62"/>
      <c r="N731" s="62"/>
      <c r="O731" s="62" t="b">
        <v>0</v>
      </c>
      <c r="P731" s="62"/>
      <c r="Q731" s="62"/>
      <c r="R731" s="62"/>
      <c r="S731" s="62"/>
      <c r="T731" s="62"/>
      <c r="U731" s="74"/>
      <c r="V731" s="62"/>
      <c r="W731" s="74"/>
      <c r="X731" s="62"/>
      <c r="Y731" s="61"/>
      <c r="Z731" s="62"/>
      <c r="AA731" s="62"/>
      <c r="AB731" s="62"/>
      <c r="AC731" s="62"/>
      <c r="AD731" s="62"/>
      <c r="AE731" s="62"/>
      <c r="AF731" s="62"/>
      <c r="AG731" s="62"/>
      <c r="AH731" s="62"/>
      <c r="AI731" s="62"/>
      <c r="AJ731" s="62"/>
      <c r="AK731" s="62"/>
      <c r="AL731" s="62"/>
      <c r="AM731" s="62"/>
      <c r="AN731" s="62"/>
      <c r="AO731" s="62"/>
    </row>
    <row r="732">
      <c r="A732" s="62"/>
      <c r="B732" s="62"/>
      <c r="C732" s="61"/>
      <c r="D732" s="62"/>
      <c r="E732" s="62"/>
      <c r="F732" s="62" t="b">
        <v>0</v>
      </c>
      <c r="G732" s="62"/>
      <c r="H732" s="61"/>
      <c r="I732" s="61"/>
      <c r="J732" s="62"/>
      <c r="K732" s="62"/>
      <c r="L732" s="62"/>
      <c r="M732" s="62"/>
      <c r="N732" s="62"/>
      <c r="O732" s="62" t="b">
        <v>0</v>
      </c>
      <c r="P732" s="62"/>
      <c r="Q732" s="62"/>
      <c r="R732" s="62"/>
      <c r="S732" s="62"/>
      <c r="T732" s="62"/>
      <c r="U732" s="74"/>
      <c r="V732" s="62"/>
      <c r="W732" s="74"/>
      <c r="X732" s="62"/>
      <c r="Y732" s="61"/>
      <c r="Z732" s="62"/>
      <c r="AA732" s="62"/>
      <c r="AB732" s="62"/>
      <c r="AC732" s="62"/>
      <c r="AD732" s="62"/>
      <c r="AE732" s="62"/>
      <c r="AF732" s="62"/>
      <c r="AG732" s="62"/>
      <c r="AH732" s="62"/>
      <c r="AI732" s="62"/>
      <c r="AJ732" s="62"/>
      <c r="AK732" s="62"/>
      <c r="AL732" s="62"/>
      <c r="AM732" s="62"/>
      <c r="AN732" s="62"/>
      <c r="AO732" s="62"/>
    </row>
    <row r="733">
      <c r="A733" s="62"/>
      <c r="B733" s="62"/>
      <c r="C733" s="61"/>
      <c r="D733" s="62"/>
      <c r="E733" s="62"/>
      <c r="F733" s="62" t="b">
        <v>0</v>
      </c>
      <c r="G733" s="62"/>
      <c r="H733" s="61"/>
      <c r="I733" s="61"/>
      <c r="J733" s="62"/>
      <c r="K733" s="62"/>
      <c r="L733" s="62"/>
      <c r="M733" s="62"/>
      <c r="N733" s="62"/>
      <c r="O733" s="62" t="b">
        <v>0</v>
      </c>
      <c r="P733" s="62"/>
      <c r="Q733" s="62"/>
      <c r="R733" s="62"/>
      <c r="S733" s="62"/>
      <c r="T733" s="62"/>
      <c r="U733" s="74"/>
      <c r="V733" s="62"/>
      <c r="W733" s="74"/>
      <c r="X733" s="62"/>
      <c r="Y733" s="61"/>
      <c r="Z733" s="62"/>
      <c r="AA733" s="62"/>
      <c r="AB733" s="62"/>
      <c r="AC733" s="62"/>
      <c r="AD733" s="62"/>
      <c r="AE733" s="62"/>
      <c r="AF733" s="62"/>
      <c r="AG733" s="62"/>
      <c r="AH733" s="62"/>
      <c r="AI733" s="62"/>
      <c r="AJ733" s="62"/>
      <c r="AK733" s="62"/>
      <c r="AL733" s="62"/>
      <c r="AM733" s="62"/>
      <c r="AN733" s="62"/>
      <c r="AO733" s="62"/>
    </row>
    <row r="734">
      <c r="A734" s="62"/>
      <c r="B734" s="62"/>
      <c r="C734" s="61"/>
      <c r="D734" s="62"/>
      <c r="E734" s="62"/>
      <c r="F734" s="62" t="b">
        <v>0</v>
      </c>
      <c r="G734" s="62"/>
      <c r="H734" s="61"/>
      <c r="I734" s="61"/>
      <c r="J734" s="62"/>
      <c r="K734" s="62"/>
      <c r="L734" s="62"/>
      <c r="M734" s="62"/>
      <c r="N734" s="62"/>
      <c r="O734" s="62" t="b">
        <v>0</v>
      </c>
      <c r="P734" s="62"/>
      <c r="Q734" s="62"/>
      <c r="R734" s="62"/>
      <c r="S734" s="62"/>
      <c r="T734" s="62"/>
      <c r="U734" s="74"/>
      <c r="V734" s="62"/>
      <c r="W734" s="74"/>
      <c r="X734" s="62"/>
      <c r="Y734" s="61"/>
      <c r="Z734" s="62"/>
      <c r="AA734" s="62"/>
      <c r="AB734" s="62"/>
      <c r="AC734" s="62"/>
      <c r="AD734" s="62"/>
      <c r="AE734" s="62"/>
      <c r="AF734" s="62"/>
      <c r="AG734" s="62"/>
      <c r="AH734" s="62"/>
      <c r="AI734" s="62"/>
      <c r="AJ734" s="62"/>
      <c r="AK734" s="62"/>
      <c r="AL734" s="62"/>
      <c r="AM734" s="62"/>
      <c r="AN734" s="62"/>
      <c r="AO734" s="62"/>
    </row>
    <row r="735">
      <c r="A735" s="62"/>
      <c r="B735" s="62"/>
      <c r="C735" s="61"/>
      <c r="D735" s="62"/>
      <c r="E735" s="62"/>
      <c r="F735" s="62" t="b">
        <v>0</v>
      </c>
      <c r="G735" s="62"/>
      <c r="H735" s="61"/>
      <c r="I735" s="61"/>
      <c r="J735" s="62"/>
      <c r="K735" s="62"/>
      <c r="L735" s="62"/>
      <c r="M735" s="62"/>
      <c r="N735" s="62"/>
      <c r="O735" s="62" t="b">
        <v>0</v>
      </c>
      <c r="P735" s="62"/>
      <c r="Q735" s="62"/>
      <c r="R735" s="62"/>
      <c r="S735" s="62"/>
      <c r="T735" s="62"/>
      <c r="U735" s="74"/>
      <c r="V735" s="62"/>
      <c r="W735" s="74"/>
      <c r="X735" s="62"/>
      <c r="Y735" s="61"/>
      <c r="Z735" s="62"/>
      <c r="AA735" s="62"/>
      <c r="AB735" s="62"/>
      <c r="AC735" s="62"/>
      <c r="AD735" s="62"/>
      <c r="AE735" s="62"/>
      <c r="AF735" s="62"/>
      <c r="AG735" s="62"/>
      <c r="AH735" s="62"/>
      <c r="AI735" s="62"/>
      <c r="AJ735" s="62"/>
      <c r="AK735" s="62"/>
      <c r="AL735" s="62"/>
      <c r="AM735" s="62"/>
      <c r="AN735" s="62"/>
      <c r="AO735" s="62"/>
    </row>
    <row r="736">
      <c r="A736" s="62"/>
      <c r="B736" s="62"/>
      <c r="C736" s="61"/>
      <c r="D736" s="62"/>
      <c r="E736" s="62"/>
      <c r="F736" s="62" t="b">
        <v>0</v>
      </c>
      <c r="G736" s="62"/>
      <c r="H736" s="61"/>
      <c r="I736" s="61"/>
      <c r="J736" s="62"/>
      <c r="K736" s="62"/>
      <c r="L736" s="62"/>
      <c r="M736" s="62"/>
      <c r="N736" s="62"/>
      <c r="O736" s="62" t="b">
        <v>0</v>
      </c>
      <c r="P736" s="62"/>
      <c r="Q736" s="62"/>
      <c r="R736" s="62"/>
      <c r="S736" s="62"/>
      <c r="T736" s="62"/>
      <c r="U736" s="74"/>
      <c r="V736" s="62"/>
      <c r="W736" s="74"/>
      <c r="X736" s="62"/>
      <c r="Y736" s="61"/>
      <c r="Z736" s="62"/>
      <c r="AA736" s="62"/>
      <c r="AB736" s="62"/>
      <c r="AC736" s="62"/>
      <c r="AD736" s="62"/>
      <c r="AE736" s="62"/>
      <c r="AF736" s="62"/>
      <c r="AG736" s="62"/>
      <c r="AH736" s="62"/>
      <c r="AI736" s="62"/>
      <c r="AJ736" s="62"/>
      <c r="AK736" s="62"/>
      <c r="AL736" s="62"/>
      <c r="AM736" s="62"/>
      <c r="AN736" s="62"/>
      <c r="AO736" s="62"/>
    </row>
    <row r="737">
      <c r="A737" s="62"/>
      <c r="B737" s="62"/>
      <c r="C737" s="61"/>
      <c r="D737" s="62"/>
      <c r="E737" s="62"/>
      <c r="F737" s="62" t="b">
        <v>0</v>
      </c>
      <c r="G737" s="62"/>
      <c r="H737" s="61"/>
      <c r="I737" s="61"/>
      <c r="J737" s="62"/>
      <c r="K737" s="62"/>
      <c r="L737" s="62"/>
      <c r="M737" s="62"/>
      <c r="N737" s="62"/>
      <c r="O737" s="62" t="b">
        <v>0</v>
      </c>
      <c r="P737" s="62"/>
      <c r="Q737" s="62"/>
      <c r="R737" s="62"/>
      <c r="S737" s="62"/>
      <c r="T737" s="62"/>
      <c r="U737" s="74"/>
      <c r="V737" s="62"/>
      <c r="W737" s="74"/>
      <c r="X737" s="62"/>
      <c r="Y737" s="61"/>
      <c r="Z737" s="62"/>
      <c r="AA737" s="62"/>
      <c r="AB737" s="62"/>
      <c r="AC737" s="62"/>
      <c r="AD737" s="62"/>
      <c r="AE737" s="62"/>
      <c r="AF737" s="62"/>
      <c r="AG737" s="62"/>
      <c r="AH737" s="62"/>
      <c r="AI737" s="62"/>
      <c r="AJ737" s="62"/>
      <c r="AK737" s="62"/>
      <c r="AL737" s="62"/>
      <c r="AM737" s="62"/>
      <c r="AN737" s="62"/>
      <c r="AO737" s="62"/>
    </row>
    <row r="738">
      <c r="A738" s="62"/>
      <c r="B738" s="62"/>
      <c r="C738" s="61"/>
      <c r="D738" s="62"/>
      <c r="E738" s="62"/>
      <c r="F738" s="62" t="b">
        <v>0</v>
      </c>
      <c r="G738" s="62"/>
      <c r="H738" s="61"/>
      <c r="I738" s="61"/>
      <c r="J738" s="62"/>
      <c r="K738" s="62"/>
      <c r="L738" s="62"/>
      <c r="M738" s="62"/>
      <c r="N738" s="62"/>
      <c r="O738" s="62" t="b">
        <v>0</v>
      </c>
      <c r="P738" s="62"/>
      <c r="Q738" s="62"/>
      <c r="R738" s="62"/>
      <c r="S738" s="62"/>
      <c r="T738" s="62"/>
      <c r="U738" s="74"/>
      <c r="V738" s="62"/>
      <c r="W738" s="74"/>
      <c r="X738" s="62"/>
      <c r="Y738" s="61"/>
      <c r="Z738" s="62"/>
      <c r="AA738" s="62"/>
      <c r="AB738" s="62"/>
      <c r="AC738" s="62"/>
      <c r="AD738" s="62"/>
      <c r="AE738" s="62"/>
      <c r="AF738" s="62"/>
      <c r="AG738" s="62"/>
      <c r="AH738" s="62"/>
      <c r="AI738" s="62"/>
      <c r="AJ738" s="62"/>
      <c r="AK738" s="62"/>
      <c r="AL738" s="62"/>
      <c r="AM738" s="62"/>
      <c r="AN738" s="62"/>
      <c r="AO738" s="62"/>
    </row>
    <row r="739">
      <c r="A739" s="62"/>
      <c r="B739" s="62"/>
      <c r="C739" s="61"/>
      <c r="D739" s="62"/>
      <c r="E739" s="62"/>
      <c r="F739" s="62" t="b">
        <v>0</v>
      </c>
      <c r="G739" s="62"/>
      <c r="H739" s="61"/>
      <c r="I739" s="61"/>
      <c r="J739" s="62"/>
      <c r="K739" s="62"/>
      <c r="L739" s="62"/>
      <c r="M739" s="62"/>
      <c r="N739" s="62"/>
      <c r="O739" s="62" t="b">
        <v>0</v>
      </c>
      <c r="P739" s="62"/>
      <c r="Q739" s="62"/>
      <c r="R739" s="62"/>
      <c r="S739" s="62"/>
      <c r="T739" s="62"/>
      <c r="U739" s="74"/>
      <c r="V739" s="62"/>
      <c r="W739" s="74"/>
      <c r="X739" s="62"/>
      <c r="Y739" s="61"/>
      <c r="Z739" s="62"/>
      <c r="AA739" s="62"/>
      <c r="AB739" s="62"/>
      <c r="AC739" s="62"/>
      <c r="AD739" s="62"/>
      <c r="AE739" s="62"/>
      <c r="AF739" s="62"/>
      <c r="AG739" s="62"/>
      <c r="AH739" s="62"/>
      <c r="AI739" s="62"/>
      <c r="AJ739" s="62"/>
      <c r="AK739" s="62"/>
      <c r="AL739" s="62"/>
      <c r="AM739" s="62"/>
      <c r="AN739" s="62"/>
      <c r="AO739" s="62"/>
    </row>
    <row r="740">
      <c r="A740" s="62"/>
      <c r="B740" s="62"/>
      <c r="C740" s="61"/>
      <c r="D740" s="62"/>
      <c r="E740" s="62"/>
      <c r="F740" s="62" t="b">
        <v>0</v>
      </c>
      <c r="G740" s="62"/>
      <c r="H740" s="61"/>
      <c r="I740" s="61"/>
      <c r="J740" s="62"/>
      <c r="K740" s="62"/>
      <c r="L740" s="62"/>
      <c r="M740" s="62"/>
      <c r="N740" s="62"/>
      <c r="O740" s="62" t="b">
        <v>0</v>
      </c>
      <c r="P740" s="62"/>
      <c r="Q740" s="62"/>
      <c r="R740" s="62"/>
      <c r="S740" s="62"/>
      <c r="T740" s="62"/>
      <c r="U740" s="74"/>
      <c r="V740" s="62"/>
      <c r="W740" s="74"/>
      <c r="X740" s="62"/>
      <c r="Y740" s="61"/>
      <c r="Z740" s="62"/>
      <c r="AA740" s="62"/>
      <c r="AB740" s="62"/>
      <c r="AC740" s="62"/>
      <c r="AD740" s="62"/>
      <c r="AE740" s="62"/>
      <c r="AF740" s="62"/>
      <c r="AG740" s="62"/>
      <c r="AH740" s="62"/>
      <c r="AI740" s="62"/>
      <c r="AJ740" s="62"/>
      <c r="AK740" s="62"/>
      <c r="AL740" s="62"/>
      <c r="AM740" s="62"/>
      <c r="AN740" s="62"/>
      <c r="AO740" s="62"/>
    </row>
    <row r="741">
      <c r="A741" s="62"/>
      <c r="B741" s="62"/>
      <c r="C741" s="61"/>
      <c r="D741" s="62"/>
      <c r="E741" s="62"/>
      <c r="F741" s="62" t="b">
        <v>0</v>
      </c>
      <c r="G741" s="62"/>
      <c r="H741" s="61"/>
      <c r="I741" s="61"/>
      <c r="J741" s="62"/>
      <c r="K741" s="62"/>
      <c r="L741" s="62"/>
      <c r="M741" s="62"/>
      <c r="N741" s="62"/>
      <c r="O741" s="62" t="b">
        <v>0</v>
      </c>
      <c r="P741" s="62"/>
      <c r="Q741" s="62"/>
      <c r="R741" s="62"/>
      <c r="S741" s="62"/>
      <c r="T741" s="62"/>
      <c r="U741" s="74"/>
      <c r="V741" s="62"/>
      <c r="W741" s="74"/>
      <c r="X741" s="62"/>
      <c r="Y741" s="61"/>
      <c r="Z741" s="62"/>
      <c r="AA741" s="62"/>
      <c r="AB741" s="62"/>
      <c r="AC741" s="62"/>
      <c r="AD741" s="62"/>
      <c r="AE741" s="62"/>
      <c r="AF741" s="62"/>
      <c r="AG741" s="62"/>
      <c r="AH741" s="62"/>
      <c r="AI741" s="62"/>
      <c r="AJ741" s="62"/>
      <c r="AK741" s="62"/>
      <c r="AL741" s="62"/>
      <c r="AM741" s="62"/>
      <c r="AN741" s="62"/>
      <c r="AO741" s="62"/>
    </row>
    <row r="742">
      <c r="A742" s="62"/>
      <c r="B742" s="62"/>
      <c r="C742" s="61"/>
      <c r="D742" s="62"/>
      <c r="E742" s="62"/>
      <c r="F742" s="62" t="b">
        <v>0</v>
      </c>
      <c r="G742" s="62"/>
      <c r="H742" s="61"/>
      <c r="I742" s="61"/>
      <c r="J742" s="62"/>
      <c r="K742" s="62"/>
      <c r="L742" s="62"/>
      <c r="M742" s="62"/>
      <c r="N742" s="62"/>
      <c r="O742" s="62" t="b">
        <v>0</v>
      </c>
      <c r="P742" s="62"/>
      <c r="Q742" s="62"/>
      <c r="R742" s="62"/>
      <c r="S742" s="62"/>
      <c r="T742" s="62"/>
      <c r="U742" s="74"/>
      <c r="V742" s="62"/>
      <c r="W742" s="74"/>
      <c r="X742" s="62"/>
      <c r="Y742" s="61"/>
      <c r="Z742" s="62"/>
      <c r="AA742" s="62"/>
      <c r="AB742" s="62"/>
      <c r="AC742" s="62"/>
      <c r="AD742" s="62"/>
      <c r="AE742" s="62"/>
      <c r="AF742" s="62"/>
      <c r="AG742" s="62"/>
      <c r="AH742" s="62"/>
      <c r="AI742" s="62"/>
      <c r="AJ742" s="62"/>
      <c r="AK742" s="62"/>
      <c r="AL742" s="62"/>
      <c r="AM742" s="62"/>
      <c r="AN742" s="62"/>
      <c r="AO742" s="62"/>
    </row>
    <row r="743">
      <c r="A743" s="62"/>
      <c r="B743" s="62"/>
      <c r="C743" s="61"/>
      <c r="D743" s="62"/>
      <c r="E743" s="62"/>
      <c r="F743" s="62" t="b">
        <v>0</v>
      </c>
      <c r="G743" s="62"/>
      <c r="H743" s="61"/>
      <c r="I743" s="61"/>
      <c r="J743" s="62"/>
      <c r="K743" s="62"/>
      <c r="L743" s="62"/>
      <c r="M743" s="62"/>
      <c r="N743" s="62"/>
      <c r="O743" s="62" t="b">
        <v>0</v>
      </c>
      <c r="P743" s="62"/>
      <c r="Q743" s="62"/>
      <c r="R743" s="62"/>
      <c r="S743" s="62"/>
      <c r="T743" s="62"/>
      <c r="U743" s="74"/>
      <c r="V743" s="62"/>
      <c r="W743" s="74"/>
      <c r="X743" s="62"/>
      <c r="Y743" s="61"/>
      <c r="Z743" s="62"/>
      <c r="AA743" s="62"/>
      <c r="AB743" s="62"/>
      <c r="AC743" s="62"/>
      <c r="AD743" s="62"/>
      <c r="AE743" s="62"/>
      <c r="AF743" s="62"/>
      <c r="AG743" s="62"/>
      <c r="AH743" s="62"/>
      <c r="AI743" s="62"/>
      <c r="AJ743" s="62"/>
      <c r="AK743" s="62"/>
      <c r="AL743" s="62"/>
      <c r="AM743" s="62"/>
      <c r="AN743" s="62"/>
      <c r="AO743" s="62"/>
    </row>
    <row r="744">
      <c r="A744" s="62"/>
      <c r="B744" s="62"/>
      <c r="C744" s="61"/>
      <c r="D744" s="62"/>
      <c r="E744" s="62"/>
      <c r="F744" s="62" t="b">
        <v>0</v>
      </c>
      <c r="G744" s="62"/>
      <c r="H744" s="61"/>
      <c r="I744" s="61"/>
      <c r="J744" s="62"/>
      <c r="K744" s="62"/>
      <c r="L744" s="62"/>
      <c r="M744" s="62"/>
      <c r="N744" s="62"/>
      <c r="O744" s="62" t="b">
        <v>0</v>
      </c>
      <c r="P744" s="62"/>
      <c r="Q744" s="62"/>
      <c r="R744" s="62"/>
      <c r="S744" s="62"/>
      <c r="T744" s="62"/>
      <c r="U744" s="74"/>
      <c r="V744" s="62"/>
      <c r="W744" s="74"/>
      <c r="X744" s="62"/>
      <c r="Y744" s="61"/>
      <c r="Z744" s="62"/>
      <c r="AA744" s="62"/>
      <c r="AB744" s="62"/>
      <c r="AC744" s="62"/>
      <c r="AD744" s="62"/>
      <c r="AE744" s="62"/>
      <c r="AF744" s="62"/>
      <c r="AG744" s="62"/>
      <c r="AH744" s="62"/>
      <c r="AI744" s="62"/>
      <c r="AJ744" s="62"/>
      <c r="AK744" s="62"/>
      <c r="AL744" s="62"/>
      <c r="AM744" s="62"/>
      <c r="AN744" s="62"/>
      <c r="AO744" s="62"/>
    </row>
    <row r="745">
      <c r="A745" s="62"/>
      <c r="B745" s="62"/>
      <c r="C745" s="61"/>
      <c r="D745" s="62"/>
      <c r="E745" s="62"/>
      <c r="F745" s="62" t="b">
        <v>0</v>
      </c>
      <c r="G745" s="62"/>
      <c r="H745" s="61"/>
      <c r="I745" s="61"/>
      <c r="J745" s="62"/>
      <c r="K745" s="62"/>
      <c r="L745" s="62"/>
      <c r="M745" s="62"/>
      <c r="N745" s="62"/>
      <c r="O745" s="62" t="b">
        <v>0</v>
      </c>
      <c r="P745" s="62"/>
      <c r="Q745" s="62"/>
      <c r="R745" s="62"/>
      <c r="S745" s="62"/>
      <c r="T745" s="62"/>
      <c r="U745" s="74"/>
      <c r="V745" s="62"/>
      <c r="W745" s="74"/>
      <c r="X745" s="62"/>
      <c r="Y745" s="61"/>
      <c r="Z745" s="62"/>
      <c r="AA745" s="62"/>
      <c r="AB745" s="62"/>
      <c r="AC745" s="62"/>
      <c r="AD745" s="62"/>
      <c r="AE745" s="62"/>
      <c r="AF745" s="62"/>
      <c r="AG745" s="62"/>
      <c r="AH745" s="62"/>
      <c r="AI745" s="62"/>
      <c r="AJ745" s="62"/>
      <c r="AK745" s="62"/>
      <c r="AL745" s="62"/>
      <c r="AM745" s="62"/>
      <c r="AN745" s="62"/>
      <c r="AO745" s="62"/>
    </row>
    <row r="746">
      <c r="A746" s="62"/>
      <c r="B746" s="62"/>
      <c r="C746" s="61"/>
      <c r="D746" s="62"/>
      <c r="E746" s="62"/>
      <c r="F746" s="62" t="b">
        <v>0</v>
      </c>
      <c r="G746" s="62"/>
      <c r="H746" s="61"/>
      <c r="I746" s="61"/>
      <c r="J746" s="62"/>
      <c r="K746" s="62"/>
      <c r="L746" s="62"/>
      <c r="M746" s="62"/>
      <c r="N746" s="62"/>
      <c r="O746" s="62" t="b">
        <v>0</v>
      </c>
      <c r="P746" s="62"/>
      <c r="Q746" s="62"/>
      <c r="R746" s="62"/>
      <c r="S746" s="62"/>
      <c r="T746" s="62"/>
      <c r="U746" s="74"/>
      <c r="V746" s="62"/>
      <c r="W746" s="74"/>
      <c r="X746" s="62"/>
      <c r="Y746" s="61"/>
      <c r="Z746" s="62"/>
      <c r="AA746" s="62"/>
      <c r="AB746" s="62"/>
      <c r="AC746" s="62"/>
      <c r="AD746" s="62"/>
      <c r="AE746" s="62"/>
      <c r="AF746" s="62"/>
      <c r="AG746" s="62"/>
      <c r="AH746" s="62"/>
      <c r="AI746" s="62"/>
      <c r="AJ746" s="62"/>
      <c r="AK746" s="62"/>
      <c r="AL746" s="62"/>
      <c r="AM746" s="62"/>
      <c r="AN746" s="62"/>
      <c r="AO746" s="62"/>
    </row>
    <row r="747">
      <c r="A747" s="62"/>
      <c r="B747" s="62"/>
      <c r="C747" s="61"/>
      <c r="D747" s="62"/>
      <c r="E747" s="62"/>
      <c r="F747" s="62" t="b">
        <v>0</v>
      </c>
      <c r="G747" s="62"/>
      <c r="H747" s="61"/>
      <c r="I747" s="61"/>
      <c r="J747" s="62"/>
      <c r="K747" s="62"/>
      <c r="L747" s="62"/>
      <c r="M747" s="62"/>
      <c r="N747" s="62"/>
      <c r="O747" s="62" t="b">
        <v>0</v>
      </c>
      <c r="P747" s="62"/>
      <c r="Q747" s="62"/>
      <c r="R747" s="62"/>
      <c r="S747" s="62"/>
      <c r="T747" s="62"/>
      <c r="U747" s="74"/>
      <c r="V747" s="62"/>
      <c r="W747" s="74"/>
      <c r="X747" s="62"/>
      <c r="Y747" s="61"/>
      <c r="Z747" s="62"/>
      <c r="AA747" s="62"/>
      <c r="AB747" s="62"/>
      <c r="AC747" s="62"/>
      <c r="AD747" s="62"/>
      <c r="AE747" s="62"/>
      <c r="AF747" s="62"/>
      <c r="AG747" s="62"/>
      <c r="AH747" s="62"/>
      <c r="AI747" s="62"/>
      <c r="AJ747" s="62"/>
      <c r="AK747" s="62"/>
      <c r="AL747" s="62"/>
      <c r="AM747" s="62"/>
      <c r="AN747" s="62"/>
      <c r="AO747" s="62"/>
    </row>
    <row r="748">
      <c r="A748" s="62"/>
      <c r="B748" s="62"/>
      <c r="C748" s="61"/>
      <c r="D748" s="62"/>
      <c r="E748" s="62"/>
      <c r="F748" s="62" t="b">
        <v>0</v>
      </c>
      <c r="G748" s="62"/>
      <c r="H748" s="61"/>
      <c r="I748" s="61"/>
      <c r="J748" s="62"/>
      <c r="K748" s="62"/>
      <c r="L748" s="62"/>
      <c r="M748" s="62"/>
      <c r="N748" s="62"/>
      <c r="O748" s="62" t="b">
        <v>0</v>
      </c>
      <c r="P748" s="62"/>
      <c r="Q748" s="62"/>
      <c r="R748" s="62"/>
      <c r="S748" s="62"/>
      <c r="T748" s="62"/>
      <c r="U748" s="74"/>
      <c r="V748" s="62"/>
      <c r="W748" s="74"/>
      <c r="X748" s="62"/>
      <c r="Y748" s="61"/>
      <c r="Z748" s="62"/>
      <c r="AA748" s="62"/>
      <c r="AB748" s="62"/>
      <c r="AC748" s="62"/>
      <c r="AD748" s="62"/>
      <c r="AE748" s="62"/>
      <c r="AF748" s="62"/>
      <c r="AG748" s="62"/>
      <c r="AH748" s="62"/>
      <c r="AI748" s="62"/>
      <c r="AJ748" s="62"/>
      <c r="AK748" s="62"/>
      <c r="AL748" s="62"/>
      <c r="AM748" s="62"/>
      <c r="AN748" s="62"/>
      <c r="AO748" s="62"/>
    </row>
    <row r="749">
      <c r="A749" s="62"/>
      <c r="B749" s="62"/>
      <c r="C749" s="61"/>
      <c r="D749" s="62"/>
      <c r="E749" s="62"/>
      <c r="F749" s="62" t="b">
        <v>0</v>
      </c>
      <c r="G749" s="62"/>
      <c r="H749" s="61"/>
      <c r="I749" s="61"/>
      <c r="J749" s="62"/>
      <c r="K749" s="62"/>
      <c r="L749" s="62"/>
      <c r="M749" s="62"/>
      <c r="N749" s="62"/>
      <c r="O749" s="62" t="b">
        <v>0</v>
      </c>
      <c r="P749" s="62"/>
      <c r="Q749" s="62"/>
      <c r="R749" s="62"/>
      <c r="S749" s="62"/>
      <c r="T749" s="62"/>
      <c r="U749" s="74"/>
      <c r="V749" s="62"/>
      <c r="W749" s="74"/>
      <c r="X749" s="62"/>
      <c r="Y749" s="61"/>
      <c r="Z749" s="62"/>
      <c r="AA749" s="62"/>
      <c r="AB749" s="62"/>
      <c r="AC749" s="62"/>
      <c r="AD749" s="62"/>
      <c r="AE749" s="62"/>
      <c r="AF749" s="62"/>
      <c r="AG749" s="62"/>
      <c r="AH749" s="62"/>
      <c r="AI749" s="62"/>
      <c r="AJ749" s="62"/>
      <c r="AK749" s="62"/>
      <c r="AL749" s="62"/>
      <c r="AM749" s="62"/>
      <c r="AN749" s="62"/>
      <c r="AO749" s="62"/>
    </row>
    <row r="750">
      <c r="A750" s="62"/>
      <c r="B750" s="62"/>
      <c r="C750" s="61"/>
      <c r="D750" s="62"/>
      <c r="E750" s="62"/>
      <c r="F750" s="62" t="b">
        <v>0</v>
      </c>
      <c r="G750" s="62"/>
      <c r="H750" s="61"/>
      <c r="I750" s="61"/>
      <c r="J750" s="62"/>
      <c r="K750" s="62"/>
      <c r="L750" s="62"/>
      <c r="M750" s="62"/>
      <c r="N750" s="62"/>
      <c r="O750" s="62" t="b">
        <v>0</v>
      </c>
      <c r="P750" s="62"/>
      <c r="Q750" s="62"/>
      <c r="R750" s="62"/>
      <c r="S750" s="62"/>
      <c r="T750" s="62"/>
      <c r="U750" s="74"/>
      <c r="V750" s="62"/>
      <c r="W750" s="74"/>
      <c r="X750" s="62"/>
      <c r="Y750" s="61"/>
      <c r="Z750" s="62"/>
      <c r="AA750" s="62"/>
      <c r="AB750" s="62"/>
      <c r="AC750" s="62"/>
      <c r="AD750" s="62"/>
      <c r="AE750" s="62"/>
      <c r="AF750" s="62"/>
      <c r="AG750" s="62"/>
      <c r="AH750" s="62"/>
      <c r="AI750" s="62"/>
      <c r="AJ750" s="62"/>
      <c r="AK750" s="62"/>
      <c r="AL750" s="62"/>
      <c r="AM750" s="62"/>
      <c r="AN750" s="62"/>
      <c r="AO750" s="62"/>
    </row>
    <row r="751">
      <c r="A751" s="62"/>
      <c r="B751" s="62"/>
      <c r="C751" s="61"/>
      <c r="D751" s="62"/>
      <c r="E751" s="62"/>
      <c r="F751" s="62" t="b">
        <v>0</v>
      </c>
      <c r="G751" s="62"/>
      <c r="H751" s="61"/>
      <c r="I751" s="61"/>
      <c r="J751" s="62"/>
      <c r="K751" s="62"/>
      <c r="L751" s="62"/>
      <c r="M751" s="62"/>
      <c r="N751" s="62"/>
      <c r="O751" s="62" t="b">
        <v>0</v>
      </c>
      <c r="P751" s="62"/>
      <c r="Q751" s="62"/>
      <c r="R751" s="62"/>
      <c r="S751" s="62"/>
      <c r="T751" s="62"/>
      <c r="U751" s="74"/>
      <c r="V751" s="62"/>
      <c r="W751" s="74"/>
      <c r="X751" s="62"/>
      <c r="Y751" s="61"/>
      <c r="Z751" s="62"/>
      <c r="AA751" s="62"/>
      <c r="AB751" s="62"/>
      <c r="AC751" s="62"/>
      <c r="AD751" s="62"/>
      <c r="AE751" s="62"/>
      <c r="AF751" s="62"/>
      <c r="AG751" s="62"/>
      <c r="AH751" s="62"/>
      <c r="AI751" s="62"/>
      <c r="AJ751" s="62"/>
      <c r="AK751" s="62"/>
      <c r="AL751" s="62"/>
      <c r="AM751" s="62"/>
      <c r="AN751" s="62"/>
      <c r="AO751" s="62"/>
    </row>
    <row r="752">
      <c r="A752" s="62"/>
      <c r="B752" s="62"/>
      <c r="C752" s="61"/>
      <c r="D752" s="62"/>
      <c r="E752" s="62"/>
      <c r="F752" s="62" t="b">
        <v>0</v>
      </c>
      <c r="G752" s="62"/>
      <c r="H752" s="61"/>
      <c r="I752" s="61"/>
      <c r="J752" s="62"/>
      <c r="K752" s="62"/>
      <c r="L752" s="62"/>
      <c r="M752" s="62"/>
      <c r="N752" s="62"/>
      <c r="O752" s="62" t="b">
        <v>0</v>
      </c>
      <c r="P752" s="62"/>
      <c r="Q752" s="62"/>
      <c r="R752" s="62"/>
      <c r="S752" s="62"/>
      <c r="T752" s="62"/>
      <c r="U752" s="74"/>
      <c r="V752" s="62"/>
      <c r="W752" s="74"/>
      <c r="X752" s="62"/>
      <c r="Y752" s="61"/>
      <c r="Z752" s="62"/>
      <c r="AA752" s="62"/>
      <c r="AB752" s="62"/>
      <c r="AC752" s="62"/>
      <c r="AD752" s="62"/>
      <c r="AE752" s="62"/>
      <c r="AF752" s="62"/>
      <c r="AG752" s="62"/>
      <c r="AH752" s="62"/>
      <c r="AI752" s="62"/>
      <c r="AJ752" s="62"/>
      <c r="AK752" s="62"/>
      <c r="AL752" s="62"/>
      <c r="AM752" s="62"/>
      <c r="AN752" s="62"/>
      <c r="AO752" s="62"/>
    </row>
    <row r="753">
      <c r="A753" s="62"/>
      <c r="B753" s="62"/>
      <c r="C753" s="61"/>
      <c r="D753" s="62"/>
      <c r="E753" s="62"/>
      <c r="F753" s="62" t="b">
        <v>0</v>
      </c>
      <c r="G753" s="62"/>
      <c r="H753" s="61"/>
      <c r="I753" s="61"/>
      <c r="J753" s="62"/>
      <c r="K753" s="62"/>
      <c r="L753" s="62"/>
      <c r="M753" s="62"/>
      <c r="N753" s="62"/>
      <c r="O753" s="62" t="b">
        <v>0</v>
      </c>
      <c r="P753" s="62"/>
      <c r="Q753" s="62"/>
      <c r="R753" s="62"/>
      <c r="S753" s="62"/>
      <c r="T753" s="62"/>
      <c r="U753" s="74"/>
      <c r="V753" s="62"/>
      <c r="W753" s="74"/>
      <c r="X753" s="62"/>
      <c r="Y753" s="61"/>
      <c r="Z753" s="62"/>
      <c r="AA753" s="62"/>
      <c r="AB753" s="62"/>
      <c r="AC753" s="62"/>
      <c r="AD753" s="62"/>
      <c r="AE753" s="62"/>
      <c r="AF753" s="62"/>
      <c r="AG753" s="62"/>
      <c r="AH753" s="62"/>
      <c r="AI753" s="62"/>
      <c r="AJ753" s="62"/>
      <c r="AK753" s="62"/>
      <c r="AL753" s="62"/>
      <c r="AM753" s="62"/>
      <c r="AN753" s="62"/>
      <c r="AO753" s="62"/>
    </row>
    <row r="754">
      <c r="A754" s="62"/>
      <c r="B754" s="62"/>
      <c r="C754" s="61"/>
      <c r="D754" s="62"/>
      <c r="E754" s="62"/>
      <c r="F754" s="62" t="b">
        <v>0</v>
      </c>
      <c r="G754" s="62"/>
      <c r="H754" s="61"/>
      <c r="I754" s="61"/>
      <c r="J754" s="62"/>
      <c r="K754" s="62"/>
      <c r="L754" s="62"/>
      <c r="M754" s="62"/>
      <c r="N754" s="62"/>
      <c r="O754" s="62" t="b">
        <v>0</v>
      </c>
      <c r="P754" s="62"/>
      <c r="Q754" s="62"/>
      <c r="R754" s="62"/>
      <c r="S754" s="62"/>
      <c r="T754" s="62"/>
      <c r="U754" s="74"/>
      <c r="V754" s="62"/>
      <c r="W754" s="74"/>
      <c r="X754" s="62"/>
      <c r="Y754" s="61"/>
      <c r="Z754" s="62"/>
      <c r="AA754" s="62"/>
      <c r="AB754" s="62"/>
      <c r="AC754" s="62"/>
      <c r="AD754" s="62"/>
      <c r="AE754" s="62"/>
      <c r="AF754" s="62"/>
      <c r="AG754" s="62"/>
      <c r="AH754" s="62"/>
      <c r="AI754" s="62"/>
      <c r="AJ754" s="62"/>
      <c r="AK754" s="62"/>
      <c r="AL754" s="62"/>
      <c r="AM754" s="62"/>
      <c r="AN754" s="62"/>
      <c r="AO754" s="62"/>
    </row>
    <row r="755">
      <c r="A755" s="62"/>
      <c r="B755" s="62"/>
      <c r="C755" s="61"/>
      <c r="D755" s="62"/>
      <c r="E755" s="62"/>
      <c r="F755" s="62" t="b">
        <v>0</v>
      </c>
      <c r="G755" s="62"/>
      <c r="H755" s="61"/>
      <c r="I755" s="61"/>
      <c r="J755" s="62"/>
      <c r="K755" s="62"/>
      <c r="L755" s="62"/>
      <c r="M755" s="62"/>
      <c r="N755" s="62"/>
      <c r="O755" s="62" t="b">
        <v>0</v>
      </c>
      <c r="P755" s="62"/>
      <c r="Q755" s="62"/>
      <c r="R755" s="62"/>
      <c r="S755" s="62"/>
      <c r="T755" s="62"/>
      <c r="U755" s="74"/>
      <c r="V755" s="62"/>
      <c r="W755" s="74"/>
      <c r="X755" s="62"/>
      <c r="Y755" s="61"/>
      <c r="Z755" s="62"/>
      <c r="AA755" s="62"/>
      <c r="AB755" s="62"/>
      <c r="AC755" s="62"/>
      <c r="AD755" s="62"/>
      <c r="AE755" s="62"/>
      <c r="AF755" s="62"/>
      <c r="AG755" s="62"/>
      <c r="AH755" s="62"/>
      <c r="AI755" s="62"/>
      <c r="AJ755" s="62"/>
      <c r="AK755" s="62"/>
      <c r="AL755" s="62"/>
      <c r="AM755" s="62"/>
      <c r="AN755" s="62"/>
      <c r="AO755" s="62"/>
    </row>
    <row r="756">
      <c r="A756" s="62"/>
      <c r="B756" s="62"/>
      <c r="C756" s="61"/>
      <c r="D756" s="62"/>
      <c r="E756" s="62"/>
      <c r="F756" s="62" t="b">
        <v>0</v>
      </c>
      <c r="G756" s="62"/>
      <c r="H756" s="61"/>
      <c r="I756" s="61"/>
      <c r="J756" s="62"/>
      <c r="K756" s="62"/>
      <c r="L756" s="62"/>
      <c r="M756" s="62"/>
      <c r="N756" s="62"/>
      <c r="O756" s="62" t="b">
        <v>0</v>
      </c>
      <c r="P756" s="62"/>
      <c r="Q756" s="62"/>
      <c r="R756" s="62"/>
      <c r="S756" s="62"/>
      <c r="T756" s="62"/>
      <c r="U756" s="74"/>
      <c r="V756" s="62"/>
      <c r="W756" s="74"/>
      <c r="X756" s="62"/>
      <c r="Y756" s="61"/>
      <c r="Z756" s="62"/>
      <c r="AA756" s="62"/>
      <c r="AB756" s="62"/>
      <c r="AC756" s="62"/>
      <c r="AD756" s="62"/>
      <c r="AE756" s="62"/>
      <c r="AF756" s="62"/>
      <c r="AG756" s="62"/>
      <c r="AH756" s="62"/>
      <c r="AI756" s="62"/>
      <c r="AJ756" s="62"/>
      <c r="AK756" s="62"/>
      <c r="AL756" s="62"/>
      <c r="AM756" s="62"/>
      <c r="AN756" s="62"/>
      <c r="AO756" s="62"/>
    </row>
    <row r="757">
      <c r="A757" s="62"/>
      <c r="B757" s="62"/>
      <c r="C757" s="61"/>
      <c r="D757" s="62"/>
      <c r="E757" s="62"/>
      <c r="F757" s="62" t="b">
        <v>0</v>
      </c>
      <c r="G757" s="62"/>
      <c r="H757" s="61"/>
      <c r="I757" s="61"/>
      <c r="J757" s="62"/>
      <c r="K757" s="62"/>
      <c r="L757" s="62"/>
      <c r="M757" s="62"/>
      <c r="N757" s="62"/>
      <c r="O757" s="62" t="b">
        <v>0</v>
      </c>
      <c r="P757" s="62"/>
      <c r="Q757" s="62"/>
      <c r="R757" s="62"/>
      <c r="S757" s="62"/>
      <c r="T757" s="62"/>
      <c r="U757" s="74"/>
      <c r="V757" s="62"/>
      <c r="W757" s="74"/>
      <c r="X757" s="62"/>
      <c r="Y757" s="61"/>
      <c r="Z757" s="62"/>
      <c r="AA757" s="62"/>
      <c r="AB757" s="62"/>
      <c r="AC757" s="62"/>
      <c r="AD757" s="62"/>
      <c r="AE757" s="62"/>
      <c r="AF757" s="62"/>
      <c r="AG757" s="62"/>
      <c r="AH757" s="62"/>
      <c r="AI757" s="62"/>
      <c r="AJ757" s="62"/>
      <c r="AK757" s="62"/>
      <c r="AL757" s="62"/>
      <c r="AM757" s="62"/>
      <c r="AN757" s="62"/>
      <c r="AO757" s="62"/>
    </row>
    <row r="758">
      <c r="A758" s="62"/>
      <c r="B758" s="62"/>
      <c r="C758" s="61"/>
      <c r="D758" s="62"/>
      <c r="E758" s="62"/>
      <c r="F758" s="62" t="b">
        <v>0</v>
      </c>
      <c r="G758" s="62"/>
      <c r="H758" s="61"/>
      <c r="I758" s="61"/>
      <c r="J758" s="62"/>
      <c r="K758" s="62"/>
      <c r="L758" s="62"/>
      <c r="M758" s="62"/>
      <c r="N758" s="62"/>
      <c r="O758" s="62" t="b">
        <v>0</v>
      </c>
      <c r="P758" s="62"/>
      <c r="Q758" s="62"/>
      <c r="R758" s="62"/>
      <c r="S758" s="62"/>
      <c r="T758" s="62"/>
      <c r="U758" s="74"/>
      <c r="V758" s="62"/>
      <c r="W758" s="74"/>
      <c r="X758" s="62"/>
      <c r="Y758" s="61"/>
      <c r="Z758" s="62"/>
      <c r="AA758" s="62"/>
      <c r="AB758" s="62"/>
      <c r="AC758" s="62"/>
      <c r="AD758" s="62"/>
      <c r="AE758" s="62"/>
      <c r="AF758" s="62"/>
      <c r="AG758" s="62"/>
      <c r="AH758" s="62"/>
      <c r="AI758" s="62"/>
      <c r="AJ758" s="62"/>
      <c r="AK758" s="62"/>
      <c r="AL758" s="62"/>
      <c r="AM758" s="62"/>
      <c r="AN758" s="62"/>
      <c r="AO758" s="62"/>
    </row>
    <row r="759">
      <c r="A759" s="62"/>
      <c r="B759" s="62"/>
      <c r="C759" s="61"/>
      <c r="D759" s="62"/>
      <c r="E759" s="62"/>
      <c r="F759" s="62" t="b">
        <v>0</v>
      </c>
      <c r="G759" s="62"/>
      <c r="H759" s="61"/>
      <c r="I759" s="61"/>
      <c r="J759" s="62"/>
      <c r="K759" s="62"/>
      <c r="L759" s="62"/>
      <c r="M759" s="62"/>
      <c r="N759" s="62"/>
      <c r="O759" s="62" t="b">
        <v>0</v>
      </c>
      <c r="P759" s="62"/>
      <c r="Q759" s="62"/>
      <c r="R759" s="62"/>
      <c r="S759" s="62"/>
      <c r="T759" s="62"/>
      <c r="U759" s="74"/>
      <c r="V759" s="62"/>
      <c r="W759" s="74"/>
      <c r="X759" s="62"/>
      <c r="Y759" s="61"/>
      <c r="Z759" s="62"/>
      <c r="AA759" s="62"/>
      <c r="AB759" s="62"/>
      <c r="AC759" s="62"/>
      <c r="AD759" s="62"/>
      <c r="AE759" s="62"/>
      <c r="AF759" s="62"/>
      <c r="AG759" s="62"/>
      <c r="AH759" s="62"/>
      <c r="AI759" s="62"/>
      <c r="AJ759" s="62"/>
      <c r="AK759" s="62"/>
      <c r="AL759" s="62"/>
      <c r="AM759" s="62"/>
      <c r="AN759" s="62"/>
      <c r="AO759" s="62"/>
    </row>
    <row r="760">
      <c r="A760" s="62"/>
      <c r="B760" s="62"/>
      <c r="C760" s="61"/>
      <c r="D760" s="62"/>
      <c r="E760" s="62"/>
      <c r="F760" s="62" t="b">
        <v>0</v>
      </c>
      <c r="G760" s="62"/>
      <c r="H760" s="61"/>
      <c r="I760" s="61"/>
      <c r="J760" s="62"/>
      <c r="K760" s="62"/>
      <c r="L760" s="62"/>
      <c r="M760" s="62"/>
      <c r="N760" s="62"/>
      <c r="O760" s="62" t="b">
        <v>0</v>
      </c>
      <c r="P760" s="62"/>
      <c r="Q760" s="62"/>
      <c r="R760" s="62"/>
      <c r="S760" s="62"/>
      <c r="T760" s="62"/>
      <c r="U760" s="74"/>
      <c r="V760" s="62"/>
      <c r="W760" s="74"/>
      <c r="X760" s="62"/>
      <c r="Y760" s="61"/>
      <c r="Z760" s="62"/>
      <c r="AA760" s="62"/>
      <c r="AB760" s="62"/>
      <c r="AC760" s="62"/>
      <c r="AD760" s="62"/>
      <c r="AE760" s="62"/>
      <c r="AF760" s="62"/>
      <c r="AG760" s="62"/>
      <c r="AH760" s="62"/>
      <c r="AI760" s="62"/>
      <c r="AJ760" s="62"/>
      <c r="AK760" s="62"/>
      <c r="AL760" s="62"/>
      <c r="AM760" s="62"/>
      <c r="AN760" s="62"/>
      <c r="AO760" s="62"/>
    </row>
    <row r="761">
      <c r="A761" s="62"/>
      <c r="B761" s="62"/>
      <c r="C761" s="61"/>
      <c r="D761" s="62"/>
      <c r="E761" s="62"/>
      <c r="F761" s="62" t="b">
        <v>0</v>
      </c>
      <c r="G761" s="62"/>
      <c r="H761" s="61"/>
      <c r="I761" s="61"/>
      <c r="J761" s="62"/>
      <c r="K761" s="62"/>
      <c r="L761" s="62"/>
      <c r="M761" s="62"/>
      <c r="N761" s="62"/>
      <c r="O761" s="62" t="b">
        <v>0</v>
      </c>
      <c r="P761" s="62"/>
      <c r="Q761" s="62"/>
      <c r="R761" s="62"/>
      <c r="S761" s="62"/>
      <c r="T761" s="62"/>
      <c r="U761" s="74"/>
      <c r="V761" s="62"/>
      <c r="W761" s="74"/>
      <c r="X761" s="62"/>
      <c r="Y761" s="61"/>
      <c r="Z761" s="62"/>
      <c r="AA761" s="62"/>
      <c r="AB761" s="62"/>
      <c r="AC761" s="62"/>
      <c r="AD761" s="62"/>
      <c r="AE761" s="62"/>
      <c r="AF761" s="62"/>
      <c r="AG761" s="62"/>
      <c r="AH761" s="62"/>
      <c r="AI761" s="62"/>
      <c r="AJ761" s="62"/>
      <c r="AK761" s="62"/>
      <c r="AL761" s="62"/>
      <c r="AM761" s="62"/>
      <c r="AN761" s="62"/>
      <c r="AO761" s="62"/>
    </row>
    <row r="762">
      <c r="A762" s="62"/>
      <c r="B762" s="62"/>
      <c r="C762" s="61"/>
      <c r="D762" s="62"/>
      <c r="E762" s="62"/>
      <c r="F762" s="62" t="b">
        <v>0</v>
      </c>
      <c r="G762" s="62"/>
      <c r="H762" s="61"/>
      <c r="I762" s="61"/>
      <c r="J762" s="62"/>
      <c r="K762" s="62"/>
      <c r="L762" s="62"/>
      <c r="M762" s="62"/>
      <c r="N762" s="62"/>
      <c r="O762" s="62" t="b">
        <v>0</v>
      </c>
      <c r="P762" s="62"/>
      <c r="Q762" s="62"/>
      <c r="R762" s="62"/>
      <c r="S762" s="62"/>
      <c r="T762" s="62"/>
      <c r="U762" s="74"/>
      <c r="V762" s="62"/>
      <c r="W762" s="74"/>
      <c r="X762" s="62"/>
      <c r="Y762" s="61"/>
      <c r="Z762" s="62"/>
      <c r="AA762" s="62"/>
      <c r="AB762" s="62"/>
      <c r="AC762" s="62"/>
      <c r="AD762" s="62"/>
      <c r="AE762" s="62"/>
      <c r="AF762" s="62"/>
      <c r="AG762" s="62"/>
      <c r="AH762" s="62"/>
      <c r="AI762" s="62"/>
      <c r="AJ762" s="62"/>
      <c r="AK762" s="62"/>
      <c r="AL762" s="62"/>
      <c r="AM762" s="62"/>
      <c r="AN762" s="62"/>
      <c r="AO762" s="62"/>
    </row>
    <row r="763">
      <c r="A763" s="62"/>
      <c r="B763" s="62"/>
      <c r="C763" s="61"/>
      <c r="D763" s="62"/>
      <c r="E763" s="62"/>
      <c r="F763" s="62" t="b">
        <v>0</v>
      </c>
      <c r="G763" s="62"/>
      <c r="H763" s="61"/>
      <c r="I763" s="61"/>
      <c r="J763" s="62"/>
      <c r="K763" s="62"/>
      <c r="L763" s="62"/>
      <c r="M763" s="62"/>
      <c r="N763" s="62"/>
      <c r="O763" s="62" t="b">
        <v>0</v>
      </c>
      <c r="P763" s="62"/>
      <c r="Q763" s="62"/>
      <c r="R763" s="62"/>
      <c r="S763" s="62"/>
      <c r="T763" s="62"/>
      <c r="U763" s="74"/>
      <c r="V763" s="62"/>
      <c r="W763" s="74"/>
      <c r="X763" s="62"/>
      <c r="Y763" s="61"/>
      <c r="Z763" s="62"/>
      <c r="AA763" s="62"/>
      <c r="AB763" s="62"/>
      <c r="AC763" s="62"/>
      <c r="AD763" s="62"/>
      <c r="AE763" s="62"/>
      <c r="AF763" s="62"/>
      <c r="AG763" s="62"/>
      <c r="AH763" s="62"/>
      <c r="AI763" s="62"/>
      <c r="AJ763" s="62"/>
      <c r="AK763" s="62"/>
      <c r="AL763" s="62"/>
      <c r="AM763" s="62"/>
      <c r="AN763" s="62"/>
      <c r="AO763" s="62"/>
    </row>
    <row r="764">
      <c r="A764" s="62"/>
      <c r="B764" s="62"/>
      <c r="C764" s="61"/>
      <c r="D764" s="62"/>
      <c r="E764" s="62"/>
      <c r="F764" s="62" t="b">
        <v>0</v>
      </c>
      <c r="G764" s="62"/>
      <c r="H764" s="61"/>
      <c r="I764" s="61"/>
      <c r="J764" s="62"/>
      <c r="K764" s="62"/>
      <c r="L764" s="62"/>
      <c r="M764" s="62"/>
      <c r="N764" s="62"/>
      <c r="O764" s="62" t="b">
        <v>0</v>
      </c>
      <c r="P764" s="62"/>
      <c r="Q764" s="62"/>
      <c r="R764" s="62"/>
      <c r="S764" s="62"/>
      <c r="T764" s="62"/>
      <c r="U764" s="74"/>
      <c r="V764" s="62"/>
      <c r="W764" s="74"/>
      <c r="X764" s="62"/>
      <c r="Y764" s="61"/>
      <c r="Z764" s="62"/>
      <c r="AA764" s="62"/>
      <c r="AB764" s="62"/>
      <c r="AC764" s="62"/>
      <c r="AD764" s="62"/>
      <c r="AE764" s="62"/>
      <c r="AF764" s="62"/>
      <c r="AG764" s="62"/>
      <c r="AH764" s="62"/>
      <c r="AI764" s="62"/>
      <c r="AJ764" s="62"/>
      <c r="AK764" s="62"/>
      <c r="AL764" s="62"/>
      <c r="AM764" s="62"/>
      <c r="AN764" s="62"/>
      <c r="AO764" s="62"/>
    </row>
    <row r="765">
      <c r="A765" s="62"/>
      <c r="B765" s="62"/>
      <c r="C765" s="61"/>
      <c r="D765" s="62"/>
      <c r="E765" s="62"/>
      <c r="F765" s="62" t="b">
        <v>0</v>
      </c>
      <c r="G765" s="62"/>
      <c r="H765" s="61"/>
      <c r="I765" s="61"/>
      <c r="J765" s="62"/>
      <c r="K765" s="62"/>
      <c r="L765" s="62"/>
      <c r="M765" s="62"/>
      <c r="N765" s="62"/>
      <c r="O765" s="62" t="b">
        <v>0</v>
      </c>
      <c r="P765" s="62"/>
      <c r="Q765" s="62"/>
      <c r="R765" s="62"/>
      <c r="S765" s="62"/>
      <c r="T765" s="62"/>
      <c r="U765" s="74"/>
      <c r="V765" s="62"/>
      <c r="W765" s="74"/>
      <c r="X765" s="62"/>
      <c r="Y765" s="61"/>
      <c r="Z765" s="62"/>
      <c r="AA765" s="62"/>
      <c r="AB765" s="62"/>
      <c r="AC765" s="62"/>
      <c r="AD765" s="62"/>
      <c r="AE765" s="62"/>
      <c r="AF765" s="62"/>
      <c r="AG765" s="62"/>
      <c r="AH765" s="62"/>
      <c r="AI765" s="62"/>
      <c r="AJ765" s="62"/>
      <c r="AK765" s="62"/>
      <c r="AL765" s="62"/>
      <c r="AM765" s="62"/>
      <c r="AN765" s="62"/>
      <c r="AO765" s="62"/>
    </row>
    <row r="766">
      <c r="A766" s="62"/>
      <c r="B766" s="62"/>
      <c r="C766" s="61"/>
      <c r="D766" s="62"/>
      <c r="E766" s="62"/>
      <c r="F766" s="62" t="b">
        <v>0</v>
      </c>
      <c r="G766" s="62"/>
      <c r="H766" s="61"/>
      <c r="I766" s="61"/>
      <c r="J766" s="62"/>
      <c r="K766" s="62"/>
      <c r="L766" s="62"/>
      <c r="M766" s="62"/>
      <c r="N766" s="62"/>
      <c r="O766" s="62" t="b">
        <v>0</v>
      </c>
      <c r="P766" s="62"/>
      <c r="Q766" s="62"/>
      <c r="R766" s="62"/>
      <c r="S766" s="62"/>
      <c r="T766" s="62"/>
      <c r="U766" s="74"/>
      <c r="V766" s="62"/>
      <c r="W766" s="74"/>
      <c r="X766" s="62"/>
      <c r="Y766" s="61"/>
      <c r="Z766" s="62"/>
      <c r="AA766" s="62"/>
      <c r="AB766" s="62"/>
      <c r="AC766" s="62"/>
      <c r="AD766" s="62"/>
      <c r="AE766" s="62"/>
      <c r="AF766" s="62"/>
      <c r="AG766" s="62"/>
      <c r="AH766" s="62"/>
      <c r="AI766" s="62"/>
      <c r="AJ766" s="62"/>
      <c r="AK766" s="62"/>
      <c r="AL766" s="62"/>
      <c r="AM766" s="62"/>
      <c r="AN766" s="62"/>
      <c r="AO766" s="62"/>
    </row>
    <row r="767">
      <c r="A767" s="62"/>
      <c r="B767" s="62"/>
      <c r="C767" s="61"/>
      <c r="D767" s="62"/>
      <c r="E767" s="62"/>
      <c r="F767" s="62" t="b">
        <v>0</v>
      </c>
      <c r="G767" s="62"/>
      <c r="H767" s="61"/>
      <c r="I767" s="61"/>
      <c r="J767" s="62"/>
      <c r="K767" s="62"/>
      <c r="L767" s="62"/>
      <c r="M767" s="62"/>
      <c r="N767" s="62"/>
      <c r="O767" s="62" t="b">
        <v>0</v>
      </c>
      <c r="P767" s="62"/>
      <c r="Q767" s="62"/>
      <c r="R767" s="62"/>
      <c r="S767" s="62"/>
      <c r="T767" s="62"/>
      <c r="U767" s="74"/>
      <c r="V767" s="62"/>
      <c r="W767" s="74"/>
      <c r="X767" s="62"/>
      <c r="Y767" s="61"/>
      <c r="Z767" s="62"/>
      <c r="AA767" s="62"/>
      <c r="AB767" s="62"/>
      <c r="AC767" s="62"/>
      <c r="AD767" s="62"/>
      <c r="AE767" s="62"/>
      <c r="AF767" s="62"/>
      <c r="AG767" s="62"/>
      <c r="AH767" s="62"/>
      <c r="AI767" s="62"/>
      <c r="AJ767" s="62"/>
      <c r="AK767" s="62"/>
      <c r="AL767" s="62"/>
      <c r="AM767" s="62"/>
      <c r="AN767" s="62"/>
      <c r="AO767" s="62"/>
    </row>
    <row r="768">
      <c r="A768" s="62"/>
      <c r="B768" s="62"/>
      <c r="C768" s="61"/>
      <c r="D768" s="62"/>
      <c r="E768" s="62"/>
      <c r="F768" s="62" t="b">
        <v>0</v>
      </c>
      <c r="G768" s="62"/>
      <c r="H768" s="61"/>
      <c r="I768" s="61"/>
      <c r="J768" s="62"/>
      <c r="K768" s="62"/>
      <c r="L768" s="62"/>
      <c r="M768" s="62"/>
      <c r="N768" s="62"/>
      <c r="O768" s="62" t="b">
        <v>0</v>
      </c>
      <c r="P768" s="62"/>
      <c r="Q768" s="62"/>
      <c r="R768" s="62"/>
      <c r="S768" s="62"/>
      <c r="T768" s="62"/>
      <c r="U768" s="74"/>
      <c r="V768" s="62"/>
      <c r="W768" s="74"/>
      <c r="X768" s="62"/>
      <c r="Y768" s="61"/>
      <c r="Z768" s="62"/>
      <c r="AA768" s="62"/>
      <c r="AB768" s="62"/>
      <c r="AC768" s="62"/>
      <c r="AD768" s="62"/>
      <c r="AE768" s="62"/>
      <c r="AF768" s="62"/>
      <c r="AG768" s="62"/>
      <c r="AH768" s="62"/>
      <c r="AI768" s="62"/>
      <c r="AJ768" s="62"/>
      <c r="AK768" s="62"/>
      <c r="AL768" s="62"/>
      <c r="AM768" s="62"/>
      <c r="AN768" s="62"/>
      <c r="AO768" s="62"/>
    </row>
    <row r="769">
      <c r="A769" s="62"/>
      <c r="B769" s="62"/>
      <c r="C769" s="61"/>
      <c r="D769" s="62"/>
      <c r="E769" s="62"/>
      <c r="F769" s="62" t="b">
        <v>0</v>
      </c>
      <c r="G769" s="62"/>
      <c r="H769" s="61"/>
      <c r="I769" s="61"/>
      <c r="J769" s="62"/>
      <c r="K769" s="62"/>
      <c r="L769" s="62"/>
      <c r="M769" s="62"/>
      <c r="N769" s="62"/>
      <c r="O769" s="62" t="b">
        <v>0</v>
      </c>
      <c r="P769" s="62"/>
      <c r="Q769" s="62"/>
      <c r="R769" s="62"/>
      <c r="S769" s="62"/>
      <c r="T769" s="62"/>
      <c r="U769" s="74"/>
      <c r="V769" s="62"/>
      <c r="W769" s="74"/>
      <c r="X769" s="62"/>
      <c r="Y769" s="61"/>
      <c r="Z769" s="62"/>
      <c r="AA769" s="62"/>
      <c r="AB769" s="62"/>
      <c r="AC769" s="62"/>
      <c r="AD769" s="62"/>
      <c r="AE769" s="62"/>
      <c r="AF769" s="62"/>
      <c r="AG769" s="62"/>
      <c r="AH769" s="62"/>
      <c r="AI769" s="62"/>
      <c r="AJ769" s="62"/>
      <c r="AK769" s="62"/>
      <c r="AL769" s="62"/>
      <c r="AM769" s="62"/>
      <c r="AN769" s="62"/>
      <c r="AO769" s="62"/>
    </row>
    <row r="770">
      <c r="A770" s="62"/>
      <c r="B770" s="62"/>
      <c r="C770" s="61"/>
      <c r="D770" s="62"/>
      <c r="E770" s="62"/>
      <c r="F770" s="62" t="b">
        <v>0</v>
      </c>
      <c r="G770" s="62"/>
      <c r="H770" s="61"/>
      <c r="I770" s="61"/>
      <c r="J770" s="62"/>
      <c r="K770" s="62"/>
      <c r="L770" s="62"/>
      <c r="M770" s="62"/>
      <c r="N770" s="62"/>
      <c r="O770" s="62" t="b">
        <v>0</v>
      </c>
      <c r="P770" s="62"/>
      <c r="Q770" s="62"/>
      <c r="R770" s="62"/>
      <c r="S770" s="62"/>
      <c r="T770" s="62"/>
      <c r="U770" s="74"/>
      <c r="V770" s="62"/>
      <c r="W770" s="74"/>
      <c r="X770" s="62"/>
      <c r="Y770" s="61"/>
      <c r="Z770" s="62"/>
      <c r="AA770" s="62"/>
      <c r="AB770" s="62"/>
      <c r="AC770" s="62"/>
      <c r="AD770" s="62"/>
      <c r="AE770" s="62"/>
      <c r="AF770" s="62"/>
      <c r="AG770" s="62"/>
      <c r="AH770" s="62"/>
      <c r="AI770" s="62"/>
      <c r="AJ770" s="62"/>
      <c r="AK770" s="62"/>
      <c r="AL770" s="62"/>
      <c r="AM770" s="62"/>
      <c r="AN770" s="62"/>
      <c r="AO770" s="62"/>
    </row>
    <row r="771">
      <c r="A771" s="62"/>
      <c r="B771" s="62"/>
      <c r="C771" s="61"/>
      <c r="D771" s="62"/>
      <c r="E771" s="62"/>
      <c r="F771" s="62" t="b">
        <v>0</v>
      </c>
      <c r="G771" s="62"/>
      <c r="H771" s="61"/>
      <c r="I771" s="61"/>
      <c r="J771" s="62"/>
      <c r="K771" s="62"/>
      <c r="L771" s="62"/>
      <c r="M771" s="62"/>
      <c r="N771" s="62"/>
      <c r="O771" s="62" t="b">
        <v>0</v>
      </c>
      <c r="P771" s="62"/>
      <c r="Q771" s="62"/>
      <c r="R771" s="62"/>
      <c r="S771" s="62"/>
      <c r="T771" s="62"/>
      <c r="U771" s="74"/>
      <c r="V771" s="62"/>
      <c r="W771" s="74"/>
      <c r="X771" s="62"/>
      <c r="Y771" s="61"/>
      <c r="Z771" s="62"/>
      <c r="AA771" s="62"/>
      <c r="AB771" s="62"/>
      <c r="AC771" s="62"/>
      <c r="AD771" s="62"/>
      <c r="AE771" s="62"/>
      <c r="AF771" s="62"/>
      <c r="AG771" s="62"/>
      <c r="AH771" s="62"/>
      <c r="AI771" s="62"/>
      <c r="AJ771" s="62"/>
      <c r="AK771" s="62"/>
      <c r="AL771" s="62"/>
      <c r="AM771" s="62"/>
      <c r="AN771" s="62"/>
      <c r="AO771" s="62"/>
    </row>
    <row r="772">
      <c r="A772" s="62"/>
      <c r="B772" s="62"/>
      <c r="C772" s="61"/>
      <c r="D772" s="62"/>
      <c r="E772" s="62"/>
      <c r="F772" s="62" t="b">
        <v>0</v>
      </c>
      <c r="G772" s="62"/>
      <c r="H772" s="61"/>
      <c r="I772" s="61"/>
      <c r="J772" s="62"/>
      <c r="K772" s="62"/>
      <c r="L772" s="62"/>
      <c r="M772" s="62"/>
      <c r="N772" s="62"/>
      <c r="O772" s="62" t="b">
        <v>0</v>
      </c>
      <c r="P772" s="62"/>
      <c r="Q772" s="62"/>
      <c r="R772" s="62"/>
      <c r="S772" s="62"/>
      <c r="T772" s="62"/>
      <c r="U772" s="74"/>
      <c r="V772" s="62"/>
      <c r="W772" s="74"/>
      <c r="X772" s="62"/>
      <c r="Y772" s="61"/>
      <c r="Z772" s="62"/>
      <c r="AA772" s="62"/>
      <c r="AB772" s="62"/>
      <c r="AC772" s="62"/>
      <c r="AD772" s="62"/>
      <c r="AE772" s="62"/>
      <c r="AF772" s="62"/>
      <c r="AG772" s="62"/>
      <c r="AH772" s="62"/>
      <c r="AI772" s="62"/>
      <c r="AJ772" s="62"/>
      <c r="AK772" s="62"/>
      <c r="AL772" s="62"/>
      <c r="AM772" s="62"/>
      <c r="AN772" s="62"/>
      <c r="AO772" s="62"/>
    </row>
    <row r="773">
      <c r="A773" s="62"/>
      <c r="B773" s="62"/>
      <c r="C773" s="61"/>
      <c r="D773" s="62"/>
      <c r="E773" s="62"/>
      <c r="F773" s="62" t="b">
        <v>0</v>
      </c>
      <c r="G773" s="62"/>
      <c r="H773" s="61"/>
      <c r="I773" s="61"/>
      <c r="J773" s="62"/>
      <c r="K773" s="62"/>
      <c r="L773" s="62"/>
      <c r="M773" s="62"/>
      <c r="N773" s="62"/>
      <c r="O773" s="62" t="b">
        <v>0</v>
      </c>
      <c r="P773" s="62"/>
      <c r="Q773" s="62"/>
      <c r="R773" s="62"/>
      <c r="S773" s="62"/>
      <c r="T773" s="62"/>
      <c r="U773" s="74"/>
      <c r="V773" s="62"/>
      <c r="W773" s="74"/>
      <c r="X773" s="62"/>
      <c r="Y773" s="61"/>
      <c r="Z773" s="62"/>
      <c r="AA773" s="62"/>
      <c r="AB773" s="62"/>
      <c r="AC773" s="62"/>
      <c r="AD773" s="62"/>
      <c r="AE773" s="62"/>
      <c r="AF773" s="62"/>
      <c r="AG773" s="62"/>
      <c r="AH773" s="62"/>
      <c r="AI773" s="62"/>
      <c r="AJ773" s="62"/>
      <c r="AK773" s="62"/>
      <c r="AL773" s="62"/>
      <c r="AM773" s="62"/>
      <c r="AN773" s="62"/>
      <c r="AO773" s="62"/>
    </row>
    <row r="774">
      <c r="A774" s="62"/>
      <c r="B774" s="62"/>
      <c r="C774" s="61"/>
      <c r="D774" s="62"/>
      <c r="E774" s="62"/>
      <c r="F774" s="62" t="b">
        <v>0</v>
      </c>
      <c r="G774" s="62"/>
      <c r="H774" s="61"/>
      <c r="I774" s="61"/>
      <c r="J774" s="62"/>
      <c r="K774" s="62"/>
      <c r="L774" s="62"/>
      <c r="M774" s="62"/>
      <c r="N774" s="62"/>
      <c r="O774" s="62" t="b">
        <v>0</v>
      </c>
      <c r="P774" s="62"/>
      <c r="Q774" s="62"/>
      <c r="R774" s="62"/>
      <c r="S774" s="62"/>
      <c r="T774" s="62"/>
      <c r="U774" s="74"/>
      <c r="V774" s="62"/>
      <c r="W774" s="74"/>
      <c r="X774" s="62"/>
      <c r="Y774" s="61"/>
      <c r="Z774" s="62"/>
      <c r="AA774" s="62"/>
      <c r="AB774" s="62"/>
      <c r="AC774" s="62"/>
      <c r="AD774" s="62"/>
      <c r="AE774" s="62"/>
      <c r="AF774" s="62"/>
      <c r="AG774" s="62"/>
      <c r="AH774" s="62"/>
      <c r="AI774" s="62"/>
      <c r="AJ774" s="62"/>
      <c r="AK774" s="62"/>
      <c r="AL774" s="62"/>
      <c r="AM774" s="62"/>
      <c r="AN774" s="62"/>
      <c r="AO774" s="62"/>
    </row>
    <row r="775">
      <c r="A775" s="62"/>
      <c r="B775" s="62"/>
      <c r="C775" s="61"/>
      <c r="D775" s="62"/>
      <c r="E775" s="62"/>
      <c r="F775" s="62" t="b">
        <v>0</v>
      </c>
      <c r="G775" s="62"/>
      <c r="H775" s="61"/>
      <c r="I775" s="61"/>
      <c r="J775" s="62"/>
      <c r="K775" s="62"/>
      <c r="L775" s="62"/>
      <c r="M775" s="62"/>
      <c r="N775" s="62"/>
      <c r="O775" s="62" t="b">
        <v>0</v>
      </c>
      <c r="P775" s="62"/>
      <c r="Q775" s="62"/>
      <c r="R775" s="62"/>
      <c r="S775" s="62"/>
      <c r="T775" s="62"/>
      <c r="U775" s="74"/>
      <c r="V775" s="62"/>
      <c r="W775" s="74"/>
      <c r="X775" s="62"/>
      <c r="Y775" s="61"/>
      <c r="Z775" s="62"/>
      <c r="AA775" s="62"/>
      <c r="AB775" s="62"/>
      <c r="AC775" s="62"/>
      <c r="AD775" s="62"/>
      <c r="AE775" s="62"/>
      <c r="AF775" s="62"/>
      <c r="AG775" s="62"/>
      <c r="AH775" s="62"/>
      <c r="AI775" s="62"/>
      <c r="AJ775" s="62"/>
      <c r="AK775" s="62"/>
      <c r="AL775" s="62"/>
      <c r="AM775" s="62"/>
      <c r="AN775" s="62"/>
      <c r="AO775" s="62"/>
    </row>
    <row r="776">
      <c r="A776" s="62"/>
      <c r="B776" s="62"/>
      <c r="C776" s="61"/>
      <c r="D776" s="62"/>
      <c r="E776" s="62"/>
      <c r="F776" s="62" t="b">
        <v>0</v>
      </c>
      <c r="G776" s="62"/>
      <c r="H776" s="61"/>
      <c r="I776" s="61"/>
      <c r="J776" s="62"/>
      <c r="K776" s="62"/>
      <c r="L776" s="62"/>
      <c r="M776" s="62"/>
      <c r="N776" s="62"/>
      <c r="O776" s="62" t="b">
        <v>0</v>
      </c>
      <c r="P776" s="62"/>
      <c r="Q776" s="62"/>
      <c r="R776" s="62"/>
      <c r="S776" s="62"/>
      <c r="T776" s="62"/>
      <c r="U776" s="74"/>
      <c r="V776" s="62"/>
      <c r="W776" s="74"/>
      <c r="X776" s="62"/>
      <c r="Y776" s="61"/>
      <c r="Z776" s="62"/>
      <c r="AA776" s="62"/>
      <c r="AB776" s="62"/>
      <c r="AC776" s="62"/>
      <c r="AD776" s="62"/>
      <c r="AE776" s="62"/>
      <c r="AF776" s="62"/>
      <c r="AG776" s="62"/>
      <c r="AH776" s="62"/>
      <c r="AI776" s="62"/>
      <c r="AJ776" s="62"/>
      <c r="AK776" s="62"/>
      <c r="AL776" s="62"/>
      <c r="AM776" s="62"/>
      <c r="AN776" s="62"/>
      <c r="AO776" s="62"/>
    </row>
    <row r="777">
      <c r="A777" s="62"/>
      <c r="B777" s="62"/>
      <c r="C777" s="61"/>
      <c r="D777" s="62"/>
      <c r="E777" s="62"/>
      <c r="F777" s="62" t="b">
        <v>0</v>
      </c>
      <c r="G777" s="62"/>
      <c r="H777" s="61"/>
      <c r="I777" s="61"/>
      <c r="J777" s="62"/>
      <c r="K777" s="62"/>
      <c r="L777" s="62"/>
      <c r="M777" s="62"/>
      <c r="N777" s="62"/>
      <c r="O777" s="62" t="b">
        <v>0</v>
      </c>
      <c r="P777" s="62"/>
      <c r="Q777" s="62"/>
      <c r="R777" s="62"/>
      <c r="S777" s="62"/>
      <c r="T777" s="62"/>
      <c r="U777" s="74"/>
      <c r="V777" s="62"/>
      <c r="W777" s="74"/>
      <c r="X777" s="62"/>
      <c r="Y777" s="61"/>
      <c r="Z777" s="62"/>
      <c r="AA777" s="62"/>
      <c r="AB777" s="62"/>
      <c r="AC777" s="62"/>
      <c r="AD777" s="62"/>
      <c r="AE777" s="62"/>
      <c r="AF777" s="62"/>
      <c r="AG777" s="62"/>
      <c r="AH777" s="62"/>
      <c r="AI777" s="62"/>
      <c r="AJ777" s="62"/>
      <c r="AK777" s="62"/>
      <c r="AL777" s="62"/>
      <c r="AM777" s="62"/>
      <c r="AN777" s="62"/>
      <c r="AO777" s="62"/>
    </row>
    <row r="778">
      <c r="A778" s="62"/>
      <c r="B778" s="62"/>
      <c r="C778" s="61"/>
      <c r="D778" s="62"/>
      <c r="E778" s="62"/>
      <c r="F778" s="62" t="b">
        <v>0</v>
      </c>
      <c r="G778" s="62"/>
      <c r="H778" s="61"/>
      <c r="I778" s="61"/>
      <c r="J778" s="62"/>
      <c r="K778" s="62"/>
      <c r="L778" s="62"/>
      <c r="M778" s="62"/>
      <c r="N778" s="62"/>
      <c r="O778" s="62" t="b">
        <v>0</v>
      </c>
      <c r="P778" s="62"/>
      <c r="Q778" s="62"/>
      <c r="R778" s="62"/>
      <c r="S778" s="62"/>
      <c r="T778" s="62"/>
      <c r="U778" s="74"/>
      <c r="V778" s="62"/>
      <c r="W778" s="74"/>
      <c r="X778" s="62"/>
      <c r="Y778" s="61"/>
      <c r="Z778" s="62"/>
      <c r="AA778" s="62"/>
      <c r="AB778" s="62"/>
      <c r="AC778" s="62"/>
      <c r="AD778" s="62"/>
      <c r="AE778" s="62"/>
      <c r="AF778" s="62"/>
      <c r="AG778" s="62"/>
      <c r="AH778" s="62"/>
      <c r="AI778" s="62"/>
      <c r="AJ778" s="62"/>
      <c r="AK778" s="62"/>
      <c r="AL778" s="62"/>
      <c r="AM778" s="62"/>
      <c r="AN778" s="62"/>
      <c r="AO778" s="62"/>
    </row>
    <row r="779">
      <c r="A779" s="62"/>
      <c r="B779" s="62"/>
      <c r="C779" s="61"/>
      <c r="D779" s="62"/>
      <c r="E779" s="62"/>
      <c r="F779" s="62" t="b">
        <v>0</v>
      </c>
      <c r="G779" s="62"/>
      <c r="H779" s="61"/>
      <c r="I779" s="61"/>
      <c r="J779" s="62"/>
      <c r="K779" s="62"/>
      <c r="L779" s="62"/>
      <c r="M779" s="62"/>
      <c r="N779" s="62"/>
      <c r="O779" s="62" t="b">
        <v>0</v>
      </c>
      <c r="P779" s="62"/>
      <c r="Q779" s="62"/>
      <c r="R779" s="62"/>
      <c r="S779" s="62"/>
      <c r="T779" s="62"/>
      <c r="U779" s="74"/>
      <c r="V779" s="62"/>
      <c r="W779" s="74"/>
      <c r="X779" s="62"/>
      <c r="Y779" s="61"/>
      <c r="Z779" s="62"/>
      <c r="AA779" s="62"/>
      <c r="AB779" s="62"/>
      <c r="AC779" s="62"/>
      <c r="AD779" s="62"/>
      <c r="AE779" s="62"/>
      <c r="AF779" s="62"/>
      <c r="AG779" s="62"/>
      <c r="AH779" s="62"/>
      <c r="AI779" s="62"/>
      <c r="AJ779" s="62"/>
      <c r="AK779" s="62"/>
      <c r="AL779" s="62"/>
      <c r="AM779" s="62"/>
      <c r="AN779" s="62"/>
      <c r="AO779" s="62"/>
    </row>
    <row r="780">
      <c r="A780" s="62"/>
      <c r="B780" s="62"/>
      <c r="C780" s="61"/>
      <c r="D780" s="62"/>
      <c r="E780" s="62"/>
      <c r="F780" s="62" t="b">
        <v>0</v>
      </c>
      <c r="G780" s="62"/>
      <c r="H780" s="61"/>
      <c r="I780" s="61"/>
      <c r="J780" s="62"/>
      <c r="K780" s="62"/>
      <c r="L780" s="62"/>
      <c r="M780" s="62"/>
      <c r="N780" s="62"/>
      <c r="O780" s="62" t="b">
        <v>0</v>
      </c>
      <c r="P780" s="62"/>
      <c r="Q780" s="62"/>
      <c r="R780" s="62"/>
      <c r="S780" s="62"/>
      <c r="T780" s="62"/>
      <c r="U780" s="74"/>
      <c r="V780" s="62"/>
      <c r="W780" s="74"/>
      <c r="X780" s="62"/>
      <c r="Y780" s="61"/>
      <c r="Z780" s="62"/>
      <c r="AA780" s="62"/>
      <c r="AB780" s="62"/>
      <c r="AC780" s="62"/>
      <c r="AD780" s="62"/>
      <c r="AE780" s="62"/>
      <c r="AF780" s="62"/>
      <c r="AG780" s="62"/>
      <c r="AH780" s="62"/>
      <c r="AI780" s="62"/>
      <c r="AJ780" s="62"/>
      <c r="AK780" s="62"/>
      <c r="AL780" s="62"/>
      <c r="AM780" s="62"/>
      <c r="AN780" s="62"/>
      <c r="AO780" s="62"/>
    </row>
    <row r="781">
      <c r="A781" s="62"/>
      <c r="B781" s="62"/>
      <c r="C781" s="61"/>
      <c r="D781" s="62"/>
      <c r="E781" s="62"/>
      <c r="F781" s="62" t="b">
        <v>0</v>
      </c>
      <c r="G781" s="62"/>
      <c r="H781" s="61"/>
      <c r="I781" s="61"/>
      <c r="J781" s="62"/>
      <c r="K781" s="62"/>
      <c r="L781" s="62"/>
      <c r="M781" s="62"/>
      <c r="N781" s="62"/>
      <c r="O781" s="62" t="b">
        <v>0</v>
      </c>
      <c r="P781" s="62"/>
      <c r="Q781" s="62"/>
      <c r="R781" s="62"/>
      <c r="S781" s="62"/>
      <c r="T781" s="62"/>
      <c r="U781" s="74"/>
      <c r="V781" s="62"/>
      <c r="W781" s="74"/>
      <c r="X781" s="62"/>
      <c r="Y781" s="61"/>
      <c r="Z781" s="62"/>
      <c r="AA781" s="62"/>
      <c r="AB781" s="62"/>
      <c r="AC781" s="62"/>
      <c r="AD781" s="62"/>
      <c r="AE781" s="62"/>
      <c r="AF781" s="62"/>
      <c r="AG781" s="62"/>
      <c r="AH781" s="62"/>
      <c r="AI781" s="62"/>
      <c r="AJ781" s="62"/>
      <c r="AK781" s="62"/>
      <c r="AL781" s="62"/>
      <c r="AM781" s="62"/>
      <c r="AN781" s="62"/>
      <c r="AO781" s="62"/>
    </row>
    <row r="782">
      <c r="A782" s="62"/>
      <c r="B782" s="62"/>
      <c r="C782" s="61"/>
      <c r="D782" s="62"/>
      <c r="E782" s="62"/>
      <c r="F782" s="62" t="b">
        <v>0</v>
      </c>
      <c r="G782" s="62"/>
      <c r="H782" s="61"/>
      <c r="I782" s="61"/>
      <c r="J782" s="62"/>
      <c r="K782" s="62"/>
      <c r="L782" s="62"/>
      <c r="M782" s="62"/>
      <c r="N782" s="62"/>
      <c r="O782" s="62" t="b">
        <v>0</v>
      </c>
      <c r="P782" s="62"/>
      <c r="Q782" s="62"/>
      <c r="R782" s="62"/>
      <c r="S782" s="62"/>
      <c r="T782" s="62"/>
      <c r="U782" s="74"/>
      <c r="V782" s="62"/>
      <c r="W782" s="74"/>
      <c r="X782" s="62"/>
      <c r="Y782" s="61"/>
      <c r="Z782" s="62"/>
      <c r="AA782" s="62"/>
      <c r="AB782" s="62"/>
      <c r="AC782" s="62"/>
      <c r="AD782" s="62"/>
      <c r="AE782" s="62"/>
      <c r="AF782" s="62"/>
      <c r="AG782" s="62"/>
      <c r="AH782" s="62"/>
      <c r="AI782" s="62"/>
      <c r="AJ782" s="62"/>
      <c r="AK782" s="62"/>
      <c r="AL782" s="62"/>
      <c r="AM782" s="62"/>
      <c r="AN782" s="62"/>
      <c r="AO782" s="62"/>
    </row>
    <row r="783">
      <c r="A783" s="62"/>
      <c r="B783" s="62"/>
      <c r="C783" s="61"/>
      <c r="D783" s="62"/>
      <c r="E783" s="62"/>
      <c r="F783" s="62" t="b">
        <v>0</v>
      </c>
      <c r="G783" s="62"/>
      <c r="H783" s="61"/>
      <c r="I783" s="61"/>
      <c r="J783" s="62"/>
      <c r="K783" s="62"/>
      <c r="L783" s="62"/>
      <c r="M783" s="62"/>
      <c r="N783" s="62"/>
      <c r="O783" s="62" t="b">
        <v>0</v>
      </c>
      <c r="P783" s="62"/>
      <c r="Q783" s="62"/>
      <c r="R783" s="62"/>
      <c r="S783" s="62"/>
      <c r="T783" s="62"/>
      <c r="U783" s="74"/>
      <c r="V783" s="62"/>
      <c r="W783" s="74"/>
      <c r="X783" s="62"/>
      <c r="Y783" s="61"/>
      <c r="Z783" s="62"/>
      <c r="AA783" s="62"/>
      <c r="AB783" s="62"/>
      <c r="AC783" s="62"/>
      <c r="AD783" s="62"/>
      <c r="AE783" s="62"/>
      <c r="AF783" s="62"/>
      <c r="AG783" s="62"/>
      <c r="AH783" s="62"/>
      <c r="AI783" s="62"/>
      <c r="AJ783" s="62"/>
      <c r="AK783" s="62"/>
      <c r="AL783" s="62"/>
      <c r="AM783" s="62"/>
      <c r="AN783" s="62"/>
      <c r="AO783" s="62"/>
    </row>
    <row r="784">
      <c r="A784" s="62"/>
      <c r="B784" s="62"/>
      <c r="C784" s="61"/>
      <c r="D784" s="62"/>
      <c r="E784" s="62"/>
      <c r="F784" s="62" t="b">
        <v>0</v>
      </c>
      <c r="G784" s="62"/>
      <c r="H784" s="61"/>
      <c r="I784" s="61"/>
      <c r="J784" s="62"/>
      <c r="K784" s="62"/>
      <c r="L784" s="62"/>
      <c r="M784" s="62"/>
      <c r="N784" s="62"/>
      <c r="O784" s="62" t="b">
        <v>0</v>
      </c>
      <c r="P784" s="62"/>
      <c r="Q784" s="62"/>
      <c r="R784" s="62"/>
      <c r="S784" s="62"/>
      <c r="T784" s="62"/>
      <c r="U784" s="74"/>
      <c r="V784" s="62"/>
      <c r="W784" s="74"/>
      <c r="X784" s="62"/>
      <c r="Y784" s="61"/>
      <c r="Z784" s="62"/>
      <c r="AA784" s="62"/>
      <c r="AB784" s="62"/>
      <c r="AC784" s="62"/>
      <c r="AD784" s="62"/>
      <c r="AE784" s="62"/>
      <c r="AF784" s="62"/>
      <c r="AG784" s="62"/>
      <c r="AH784" s="62"/>
      <c r="AI784" s="62"/>
      <c r="AJ784" s="62"/>
      <c r="AK784" s="62"/>
      <c r="AL784" s="62"/>
      <c r="AM784" s="62"/>
      <c r="AN784" s="62"/>
      <c r="AO784" s="62"/>
    </row>
    <row r="785">
      <c r="A785" s="62"/>
      <c r="B785" s="62"/>
      <c r="C785" s="61"/>
      <c r="D785" s="62"/>
      <c r="E785" s="62"/>
      <c r="F785" s="62" t="b">
        <v>0</v>
      </c>
      <c r="G785" s="62"/>
      <c r="H785" s="61"/>
      <c r="I785" s="61"/>
      <c r="J785" s="62"/>
      <c r="K785" s="62"/>
      <c r="L785" s="62"/>
      <c r="M785" s="62"/>
      <c r="N785" s="62"/>
      <c r="O785" s="62" t="b">
        <v>0</v>
      </c>
      <c r="P785" s="62"/>
      <c r="Q785" s="62"/>
      <c r="R785" s="62"/>
      <c r="S785" s="62"/>
      <c r="T785" s="62"/>
      <c r="U785" s="74"/>
      <c r="V785" s="62"/>
      <c r="W785" s="74"/>
      <c r="X785" s="62"/>
      <c r="Y785" s="61"/>
      <c r="Z785" s="62"/>
      <c r="AA785" s="62"/>
      <c r="AB785" s="62"/>
      <c r="AC785" s="62"/>
      <c r="AD785" s="62"/>
      <c r="AE785" s="62"/>
      <c r="AF785" s="62"/>
      <c r="AG785" s="62"/>
      <c r="AH785" s="62"/>
      <c r="AI785" s="62"/>
      <c r="AJ785" s="62"/>
      <c r="AK785" s="62"/>
      <c r="AL785" s="62"/>
      <c r="AM785" s="62"/>
      <c r="AN785" s="62"/>
      <c r="AO785" s="62"/>
    </row>
    <row r="786">
      <c r="A786" s="62"/>
      <c r="B786" s="62"/>
      <c r="C786" s="61"/>
      <c r="D786" s="62"/>
      <c r="E786" s="62"/>
      <c r="F786" s="62" t="b">
        <v>0</v>
      </c>
      <c r="G786" s="62"/>
      <c r="H786" s="61"/>
      <c r="I786" s="61"/>
      <c r="J786" s="62"/>
      <c r="K786" s="62"/>
      <c r="L786" s="62"/>
      <c r="M786" s="62"/>
      <c r="N786" s="62"/>
      <c r="O786" s="62" t="b">
        <v>0</v>
      </c>
      <c r="P786" s="62"/>
      <c r="Q786" s="62"/>
      <c r="R786" s="62"/>
      <c r="S786" s="62"/>
      <c r="T786" s="62"/>
      <c r="U786" s="74"/>
      <c r="V786" s="62"/>
      <c r="W786" s="74"/>
      <c r="X786" s="62"/>
      <c r="Y786" s="61"/>
      <c r="Z786" s="62"/>
      <c r="AA786" s="62"/>
      <c r="AB786" s="62"/>
      <c r="AC786" s="62"/>
      <c r="AD786" s="62"/>
      <c r="AE786" s="62"/>
      <c r="AF786" s="62"/>
      <c r="AG786" s="62"/>
      <c r="AH786" s="62"/>
      <c r="AI786" s="62"/>
      <c r="AJ786" s="62"/>
      <c r="AK786" s="62"/>
      <c r="AL786" s="62"/>
      <c r="AM786" s="62"/>
      <c r="AN786" s="62"/>
      <c r="AO786" s="62"/>
    </row>
    <row r="787">
      <c r="A787" s="62"/>
      <c r="B787" s="62"/>
      <c r="C787" s="61"/>
      <c r="D787" s="62"/>
      <c r="E787" s="62"/>
      <c r="F787" s="62" t="b">
        <v>0</v>
      </c>
      <c r="G787" s="62"/>
      <c r="H787" s="61"/>
      <c r="I787" s="61"/>
      <c r="J787" s="62"/>
      <c r="K787" s="62"/>
      <c r="L787" s="62"/>
      <c r="M787" s="62"/>
      <c r="N787" s="62"/>
      <c r="O787" s="62" t="b">
        <v>0</v>
      </c>
      <c r="P787" s="62"/>
      <c r="Q787" s="62"/>
      <c r="R787" s="62"/>
      <c r="S787" s="62"/>
      <c r="T787" s="62"/>
      <c r="U787" s="74"/>
      <c r="V787" s="62"/>
      <c r="W787" s="74"/>
      <c r="X787" s="62"/>
      <c r="Y787" s="61"/>
      <c r="Z787" s="62"/>
      <c r="AA787" s="62"/>
      <c r="AB787" s="62"/>
      <c r="AC787" s="62"/>
      <c r="AD787" s="62"/>
      <c r="AE787" s="62"/>
      <c r="AF787" s="62"/>
      <c r="AG787" s="62"/>
      <c r="AH787" s="62"/>
      <c r="AI787" s="62"/>
      <c r="AJ787" s="62"/>
      <c r="AK787" s="62"/>
      <c r="AL787" s="62"/>
      <c r="AM787" s="62"/>
      <c r="AN787" s="62"/>
      <c r="AO787" s="62"/>
    </row>
    <row r="788">
      <c r="A788" s="62"/>
      <c r="B788" s="62"/>
      <c r="C788" s="61"/>
      <c r="D788" s="62"/>
      <c r="E788" s="62"/>
      <c r="F788" s="62" t="b">
        <v>0</v>
      </c>
      <c r="G788" s="62"/>
      <c r="H788" s="61"/>
      <c r="I788" s="61"/>
      <c r="J788" s="62"/>
      <c r="K788" s="62"/>
      <c r="L788" s="62"/>
      <c r="M788" s="62"/>
      <c r="N788" s="62"/>
      <c r="O788" s="62" t="b">
        <v>0</v>
      </c>
      <c r="P788" s="62"/>
      <c r="Q788" s="62"/>
      <c r="R788" s="62"/>
      <c r="S788" s="62"/>
      <c r="T788" s="62"/>
      <c r="U788" s="74"/>
      <c r="V788" s="62"/>
      <c r="W788" s="74"/>
      <c r="X788" s="62"/>
      <c r="Y788" s="61"/>
      <c r="Z788" s="62"/>
      <c r="AA788" s="62"/>
      <c r="AB788" s="62"/>
      <c r="AC788" s="62"/>
      <c r="AD788" s="62"/>
      <c r="AE788" s="62"/>
      <c r="AF788" s="62"/>
      <c r="AG788" s="62"/>
      <c r="AH788" s="62"/>
      <c r="AI788" s="62"/>
      <c r="AJ788" s="62"/>
      <c r="AK788" s="62"/>
      <c r="AL788" s="62"/>
      <c r="AM788" s="62"/>
      <c r="AN788" s="62"/>
      <c r="AO788" s="62"/>
    </row>
    <row r="789">
      <c r="A789" s="62"/>
      <c r="B789" s="62"/>
      <c r="C789" s="61"/>
      <c r="D789" s="62"/>
      <c r="E789" s="62"/>
      <c r="F789" s="62" t="b">
        <v>0</v>
      </c>
      <c r="G789" s="62"/>
      <c r="H789" s="61"/>
      <c r="I789" s="61"/>
      <c r="J789" s="62"/>
      <c r="K789" s="62"/>
      <c r="L789" s="62"/>
      <c r="M789" s="62"/>
      <c r="N789" s="62"/>
      <c r="O789" s="62" t="b">
        <v>0</v>
      </c>
      <c r="P789" s="62"/>
      <c r="Q789" s="62"/>
      <c r="R789" s="62"/>
      <c r="S789" s="62"/>
      <c r="T789" s="62"/>
      <c r="U789" s="74"/>
      <c r="V789" s="62"/>
      <c r="W789" s="74"/>
      <c r="X789" s="62"/>
      <c r="Y789" s="61"/>
      <c r="Z789" s="62"/>
      <c r="AA789" s="62"/>
      <c r="AB789" s="62"/>
      <c r="AC789" s="62"/>
      <c r="AD789" s="62"/>
      <c r="AE789" s="62"/>
      <c r="AF789" s="62"/>
      <c r="AG789" s="62"/>
      <c r="AH789" s="62"/>
      <c r="AI789" s="62"/>
      <c r="AJ789" s="62"/>
      <c r="AK789" s="62"/>
      <c r="AL789" s="62"/>
      <c r="AM789" s="62"/>
      <c r="AN789" s="62"/>
      <c r="AO789" s="62"/>
    </row>
    <row r="790">
      <c r="A790" s="62"/>
      <c r="B790" s="62"/>
      <c r="C790" s="61"/>
      <c r="D790" s="62"/>
      <c r="E790" s="62"/>
      <c r="F790" s="62" t="b">
        <v>0</v>
      </c>
      <c r="G790" s="62"/>
      <c r="H790" s="61"/>
      <c r="I790" s="61"/>
      <c r="J790" s="62"/>
      <c r="K790" s="62"/>
      <c r="L790" s="62"/>
      <c r="M790" s="62"/>
      <c r="N790" s="62"/>
      <c r="O790" s="62" t="b">
        <v>0</v>
      </c>
      <c r="P790" s="62"/>
      <c r="Q790" s="62"/>
      <c r="R790" s="62"/>
      <c r="S790" s="62"/>
      <c r="T790" s="62"/>
      <c r="U790" s="74"/>
      <c r="V790" s="62"/>
      <c r="W790" s="74"/>
      <c r="X790" s="62"/>
      <c r="Y790" s="61"/>
      <c r="Z790" s="62"/>
      <c r="AA790" s="62"/>
      <c r="AB790" s="62"/>
      <c r="AC790" s="62"/>
      <c r="AD790" s="62"/>
      <c r="AE790" s="62"/>
      <c r="AF790" s="62"/>
      <c r="AG790" s="62"/>
      <c r="AH790" s="62"/>
      <c r="AI790" s="62"/>
      <c r="AJ790" s="62"/>
      <c r="AK790" s="62"/>
      <c r="AL790" s="62"/>
      <c r="AM790" s="62"/>
      <c r="AN790" s="62"/>
      <c r="AO790" s="62"/>
    </row>
    <row r="791">
      <c r="A791" s="62"/>
      <c r="B791" s="62"/>
      <c r="C791" s="61"/>
      <c r="D791" s="62"/>
      <c r="E791" s="62"/>
      <c r="F791" s="62" t="b">
        <v>0</v>
      </c>
      <c r="G791" s="62"/>
      <c r="H791" s="61"/>
      <c r="I791" s="61"/>
      <c r="J791" s="62"/>
      <c r="K791" s="62"/>
      <c r="L791" s="62"/>
      <c r="M791" s="62"/>
      <c r="N791" s="62"/>
      <c r="O791" s="62" t="b">
        <v>0</v>
      </c>
      <c r="P791" s="62"/>
      <c r="Q791" s="62"/>
      <c r="R791" s="62"/>
      <c r="S791" s="62"/>
      <c r="T791" s="62"/>
      <c r="U791" s="74"/>
      <c r="V791" s="62"/>
      <c r="W791" s="74"/>
      <c r="X791" s="62"/>
      <c r="Y791" s="61"/>
      <c r="Z791" s="62"/>
      <c r="AA791" s="62"/>
      <c r="AB791" s="62"/>
      <c r="AC791" s="62"/>
      <c r="AD791" s="62"/>
      <c r="AE791" s="62"/>
      <c r="AF791" s="62"/>
      <c r="AG791" s="62"/>
      <c r="AH791" s="62"/>
      <c r="AI791" s="62"/>
      <c r="AJ791" s="62"/>
      <c r="AK791" s="62"/>
      <c r="AL791" s="62"/>
      <c r="AM791" s="62"/>
      <c r="AN791" s="62"/>
      <c r="AO791" s="62"/>
    </row>
    <row r="792">
      <c r="A792" s="62"/>
      <c r="B792" s="62"/>
      <c r="C792" s="61"/>
      <c r="D792" s="62"/>
      <c r="E792" s="62"/>
      <c r="F792" s="62" t="b">
        <v>0</v>
      </c>
      <c r="G792" s="62"/>
      <c r="H792" s="61"/>
      <c r="I792" s="61"/>
      <c r="J792" s="62"/>
      <c r="K792" s="62"/>
      <c r="L792" s="62"/>
      <c r="M792" s="62"/>
      <c r="N792" s="62"/>
      <c r="O792" s="62" t="b">
        <v>0</v>
      </c>
      <c r="P792" s="62"/>
      <c r="Q792" s="62"/>
      <c r="R792" s="62"/>
      <c r="S792" s="62"/>
      <c r="T792" s="62"/>
      <c r="U792" s="74"/>
      <c r="V792" s="62"/>
      <c r="W792" s="74"/>
      <c r="X792" s="62"/>
      <c r="Y792" s="61"/>
      <c r="Z792" s="62"/>
      <c r="AA792" s="62"/>
      <c r="AB792" s="62"/>
      <c r="AC792" s="62"/>
      <c r="AD792" s="62"/>
      <c r="AE792" s="62"/>
      <c r="AF792" s="62"/>
      <c r="AG792" s="62"/>
      <c r="AH792" s="62"/>
      <c r="AI792" s="62"/>
      <c r="AJ792" s="62"/>
      <c r="AK792" s="62"/>
      <c r="AL792" s="62"/>
      <c r="AM792" s="62"/>
      <c r="AN792" s="62"/>
      <c r="AO792" s="62"/>
    </row>
    <row r="793">
      <c r="A793" s="62"/>
      <c r="B793" s="62"/>
      <c r="C793" s="61"/>
      <c r="D793" s="62"/>
      <c r="E793" s="62"/>
      <c r="F793" s="62" t="b">
        <v>0</v>
      </c>
      <c r="G793" s="62"/>
      <c r="H793" s="61"/>
      <c r="I793" s="61"/>
      <c r="J793" s="62"/>
      <c r="K793" s="62"/>
      <c r="L793" s="62"/>
      <c r="M793" s="62"/>
      <c r="N793" s="62"/>
      <c r="O793" s="62" t="b">
        <v>0</v>
      </c>
      <c r="P793" s="62"/>
      <c r="Q793" s="62"/>
      <c r="R793" s="62"/>
      <c r="S793" s="62"/>
      <c r="T793" s="62"/>
      <c r="U793" s="74"/>
      <c r="V793" s="62"/>
      <c r="W793" s="74"/>
      <c r="X793" s="62"/>
      <c r="Y793" s="61"/>
      <c r="Z793" s="62"/>
      <c r="AA793" s="62"/>
      <c r="AB793" s="62"/>
      <c r="AC793" s="62"/>
      <c r="AD793" s="62"/>
      <c r="AE793" s="62"/>
      <c r="AF793" s="62"/>
      <c r="AG793" s="62"/>
      <c r="AH793" s="62"/>
      <c r="AI793" s="62"/>
      <c r="AJ793" s="62"/>
      <c r="AK793" s="62"/>
      <c r="AL793" s="62"/>
      <c r="AM793" s="62"/>
      <c r="AN793" s="62"/>
      <c r="AO793" s="62"/>
    </row>
    <row r="794">
      <c r="A794" s="62"/>
      <c r="B794" s="62"/>
      <c r="C794" s="61"/>
      <c r="D794" s="62"/>
      <c r="E794" s="62"/>
      <c r="F794" s="62" t="b">
        <v>0</v>
      </c>
      <c r="G794" s="62"/>
      <c r="H794" s="61"/>
      <c r="I794" s="61"/>
      <c r="J794" s="62"/>
      <c r="K794" s="62"/>
      <c r="L794" s="62"/>
      <c r="M794" s="62"/>
      <c r="N794" s="62"/>
      <c r="O794" s="62" t="b">
        <v>0</v>
      </c>
      <c r="P794" s="62"/>
      <c r="Q794" s="62"/>
      <c r="R794" s="62"/>
      <c r="S794" s="62"/>
      <c r="T794" s="62"/>
      <c r="U794" s="74"/>
      <c r="V794" s="62"/>
      <c r="W794" s="74"/>
      <c r="X794" s="62"/>
      <c r="Y794" s="61"/>
      <c r="Z794" s="62"/>
      <c r="AA794" s="62"/>
      <c r="AB794" s="62"/>
      <c r="AC794" s="62"/>
      <c r="AD794" s="62"/>
      <c r="AE794" s="62"/>
      <c r="AF794" s="62"/>
      <c r="AG794" s="62"/>
      <c r="AH794" s="62"/>
      <c r="AI794" s="62"/>
      <c r="AJ794" s="62"/>
      <c r="AK794" s="62"/>
      <c r="AL794" s="62"/>
      <c r="AM794" s="62"/>
      <c r="AN794" s="62"/>
      <c r="AO794" s="62"/>
    </row>
    <row r="795">
      <c r="A795" s="62"/>
      <c r="B795" s="62"/>
      <c r="C795" s="61"/>
      <c r="D795" s="62"/>
      <c r="E795" s="62"/>
      <c r="F795" s="62" t="b">
        <v>0</v>
      </c>
      <c r="G795" s="62"/>
      <c r="H795" s="61"/>
      <c r="I795" s="61"/>
      <c r="J795" s="62"/>
      <c r="K795" s="62"/>
      <c r="L795" s="62"/>
      <c r="M795" s="62"/>
      <c r="N795" s="62"/>
      <c r="O795" s="62" t="b">
        <v>0</v>
      </c>
      <c r="P795" s="62"/>
      <c r="Q795" s="62"/>
      <c r="R795" s="62"/>
      <c r="S795" s="62"/>
      <c r="T795" s="62"/>
      <c r="U795" s="74"/>
      <c r="V795" s="62"/>
      <c r="W795" s="74"/>
      <c r="X795" s="62"/>
      <c r="Y795" s="61"/>
      <c r="Z795" s="62"/>
      <c r="AA795" s="62"/>
      <c r="AB795" s="62"/>
      <c r="AC795" s="62"/>
      <c r="AD795" s="62"/>
      <c r="AE795" s="62"/>
      <c r="AF795" s="62"/>
      <c r="AG795" s="62"/>
      <c r="AH795" s="62"/>
      <c r="AI795" s="62"/>
      <c r="AJ795" s="62"/>
      <c r="AK795" s="62"/>
      <c r="AL795" s="62"/>
      <c r="AM795" s="62"/>
      <c r="AN795" s="62"/>
      <c r="AO795" s="62"/>
    </row>
    <row r="796">
      <c r="A796" s="62"/>
      <c r="B796" s="62"/>
      <c r="C796" s="61"/>
      <c r="D796" s="62"/>
      <c r="E796" s="62"/>
      <c r="F796" s="62" t="b">
        <v>0</v>
      </c>
      <c r="G796" s="62"/>
      <c r="H796" s="61"/>
      <c r="I796" s="61"/>
      <c r="J796" s="62"/>
      <c r="K796" s="62"/>
      <c r="L796" s="62"/>
      <c r="M796" s="62"/>
      <c r="N796" s="62"/>
      <c r="O796" s="62" t="b">
        <v>0</v>
      </c>
      <c r="P796" s="62"/>
      <c r="Q796" s="62"/>
      <c r="R796" s="62"/>
      <c r="S796" s="62"/>
      <c r="T796" s="62"/>
      <c r="U796" s="74"/>
      <c r="V796" s="62"/>
      <c r="W796" s="74"/>
      <c r="X796" s="62"/>
      <c r="Y796" s="61"/>
      <c r="Z796" s="62"/>
      <c r="AA796" s="62"/>
      <c r="AB796" s="62"/>
      <c r="AC796" s="62"/>
      <c r="AD796" s="62"/>
      <c r="AE796" s="62"/>
      <c r="AF796" s="62"/>
      <c r="AG796" s="62"/>
      <c r="AH796" s="62"/>
      <c r="AI796" s="62"/>
      <c r="AJ796" s="62"/>
      <c r="AK796" s="62"/>
      <c r="AL796" s="62"/>
      <c r="AM796" s="62"/>
      <c r="AN796" s="62"/>
      <c r="AO796" s="62"/>
    </row>
    <row r="797">
      <c r="A797" s="62"/>
      <c r="B797" s="62"/>
      <c r="C797" s="61"/>
      <c r="D797" s="62"/>
      <c r="E797" s="62"/>
      <c r="F797" s="62" t="b">
        <v>0</v>
      </c>
      <c r="G797" s="62"/>
      <c r="H797" s="61"/>
      <c r="I797" s="61"/>
      <c r="J797" s="62"/>
      <c r="K797" s="62"/>
      <c r="L797" s="62"/>
      <c r="M797" s="62"/>
      <c r="N797" s="62"/>
      <c r="O797" s="62" t="b">
        <v>0</v>
      </c>
      <c r="P797" s="62"/>
      <c r="Q797" s="62"/>
      <c r="R797" s="62"/>
      <c r="S797" s="62"/>
      <c r="T797" s="62"/>
      <c r="U797" s="74"/>
      <c r="V797" s="62"/>
      <c r="W797" s="74"/>
      <c r="X797" s="62"/>
      <c r="Y797" s="61"/>
      <c r="Z797" s="62"/>
      <c r="AA797" s="62"/>
      <c r="AB797" s="62"/>
      <c r="AC797" s="62"/>
      <c r="AD797" s="62"/>
      <c r="AE797" s="62"/>
      <c r="AF797" s="62"/>
      <c r="AG797" s="62"/>
      <c r="AH797" s="62"/>
      <c r="AI797" s="62"/>
      <c r="AJ797" s="62"/>
      <c r="AK797" s="62"/>
      <c r="AL797" s="62"/>
      <c r="AM797" s="62"/>
      <c r="AN797" s="62"/>
      <c r="AO797" s="62"/>
    </row>
    <row r="798">
      <c r="A798" s="62"/>
      <c r="B798" s="62"/>
      <c r="C798" s="61"/>
      <c r="D798" s="62"/>
      <c r="E798" s="62"/>
      <c r="F798" s="62" t="b">
        <v>0</v>
      </c>
      <c r="G798" s="62"/>
      <c r="H798" s="61"/>
      <c r="I798" s="61"/>
      <c r="J798" s="62"/>
      <c r="K798" s="62"/>
      <c r="L798" s="62"/>
      <c r="M798" s="62"/>
      <c r="N798" s="62"/>
      <c r="O798" s="62" t="b">
        <v>0</v>
      </c>
      <c r="P798" s="62"/>
      <c r="Q798" s="62"/>
      <c r="R798" s="62"/>
      <c r="S798" s="62"/>
      <c r="T798" s="62"/>
      <c r="U798" s="74"/>
      <c r="V798" s="62"/>
      <c r="W798" s="74"/>
      <c r="X798" s="62"/>
      <c r="Y798" s="61"/>
      <c r="Z798" s="62"/>
      <c r="AA798" s="62"/>
      <c r="AB798" s="62"/>
      <c r="AC798" s="62"/>
      <c r="AD798" s="62"/>
      <c r="AE798" s="62"/>
      <c r="AF798" s="62"/>
      <c r="AG798" s="62"/>
      <c r="AH798" s="62"/>
      <c r="AI798" s="62"/>
      <c r="AJ798" s="62"/>
      <c r="AK798" s="62"/>
      <c r="AL798" s="62"/>
      <c r="AM798" s="62"/>
      <c r="AN798" s="62"/>
      <c r="AO798" s="62"/>
    </row>
    <row r="799">
      <c r="A799" s="62"/>
      <c r="B799" s="62"/>
      <c r="C799" s="61"/>
      <c r="D799" s="62"/>
      <c r="E799" s="62"/>
      <c r="F799" s="62" t="b">
        <v>0</v>
      </c>
      <c r="G799" s="62"/>
      <c r="H799" s="61"/>
      <c r="I799" s="61"/>
      <c r="J799" s="62"/>
      <c r="K799" s="62"/>
      <c r="L799" s="62"/>
      <c r="M799" s="62"/>
      <c r="N799" s="62"/>
      <c r="O799" s="62" t="b">
        <v>0</v>
      </c>
      <c r="P799" s="62"/>
      <c r="Q799" s="62"/>
      <c r="R799" s="62"/>
      <c r="S799" s="62"/>
      <c r="T799" s="62"/>
      <c r="U799" s="74"/>
      <c r="V799" s="62"/>
      <c r="W799" s="74"/>
      <c r="X799" s="62"/>
      <c r="Y799" s="61"/>
      <c r="Z799" s="62"/>
      <c r="AA799" s="62"/>
      <c r="AB799" s="62"/>
      <c r="AC799" s="62"/>
      <c r="AD799" s="62"/>
      <c r="AE799" s="62"/>
      <c r="AF799" s="62"/>
      <c r="AG799" s="62"/>
      <c r="AH799" s="62"/>
      <c r="AI799" s="62"/>
      <c r="AJ799" s="62"/>
      <c r="AK799" s="62"/>
      <c r="AL799" s="62"/>
      <c r="AM799" s="62"/>
      <c r="AN799" s="62"/>
      <c r="AO799" s="62"/>
    </row>
    <row r="800">
      <c r="A800" s="62"/>
      <c r="B800" s="62"/>
      <c r="C800" s="61"/>
      <c r="D800" s="62"/>
      <c r="E800" s="62"/>
      <c r="F800" s="62" t="b">
        <v>0</v>
      </c>
      <c r="G800" s="62"/>
      <c r="H800" s="61"/>
      <c r="I800" s="61"/>
      <c r="J800" s="62"/>
      <c r="K800" s="62"/>
      <c r="L800" s="62"/>
      <c r="M800" s="62"/>
      <c r="N800" s="62"/>
      <c r="O800" s="62" t="b">
        <v>0</v>
      </c>
      <c r="P800" s="62"/>
      <c r="Q800" s="62"/>
      <c r="R800" s="62"/>
      <c r="S800" s="62"/>
      <c r="T800" s="62"/>
      <c r="U800" s="74"/>
      <c r="V800" s="62"/>
      <c r="W800" s="74"/>
      <c r="X800" s="62"/>
      <c r="Y800" s="61"/>
      <c r="Z800" s="62"/>
      <c r="AA800" s="62"/>
      <c r="AB800" s="62"/>
      <c r="AC800" s="62"/>
      <c r="AD800" s="62"/>
      <c r="AE800" s="62"/>
      <c r="AF800" s="62"/>
      <c r="AG800" s="62"/>
      <c r="AH800" s="62"/>
      <c r="AI800" s="62"/>
      <c r="AJ800" s="62"/>
      <c r="AK800" s="62"/>
      <c r="AL800" s="62"/>
      <c r="AM800" s="62"/>
      <c r="AN800" s="62"/>
      <c r="AO800" s="62"/>
    </row>
    <row r="801">
      <c r="A801" s="62"/>
      <c r="B801" s="62"/>
      <c r="C801" s="61"/>
      <c r="D801" s="62"/>
      <c r="E801" s="62"/>
      <c r="F801" s="62" t="b">
        <v>0</v>
      </c>
      <c r="G801" s="62"/>
      <c r="H801" s="61"/>
      <c r="I801" s="61"/>
      <c r="J801" s="62"/>
      <c r="K801" s="62"/>
      <c r="L801" s="62"/>
      <c r="M801" s="62"/>
      <c r="N801" s="62"/>
      <c r="O801" s="62" t="b">
        <v>0</v>
      </c>
      <c r="P801" s="62"/>
      <c r="Q801" s="62"/>
      <c r="R801" s="62"/>
      <c r="S801" s="62"/>
      <c r="T801" s="62"/>
      <c r="U801" s="74"/>
      <c r="V801" s="62"/>
      <c r="W801" s="74"/>
      <c r="X801" s="62"/>
      <c r="Y801" s="61"/>
      <c r="Z801" s="62"/>
      <c r="AA801" s="62"/>
      <c r="AB801" s="62"/>
      <c r="AC801" s="62"/>
      <c r="AD801" s="62"/>
      <c r="AE801" s="62"/>
      <c r="AF801" s="62"/>
      <c r="AG801" s="62"/>
      <c r="AH801" s="62"/>
      <c r="AI801" s="62"/>
      <c r="AJ801" s="62"/>
      <c r="AK801" s="62"/>
      <c r="AL801" s="62"/>
      <c r="AM801" s="62"/>
      <c r="AN801" s="62"/>
      <c r="AO801" s="62"/>
    </row>
    <row r="802">
      <c r="A802" s="62"/>
      <c r="B802" s="62"/>
      <c r="C802" s="61"/>
      <c r="D802" s="62"/>
      <c r="E802" s="62"/>
      <c r="F802" s="62" t="b">
        <v>0</v>
      </c>
      <c r="G802" s="62"/>
      <c r="H802" s="61"/>
      <c r="I802" s="61"/>
      <c r="J802" s="62"/>
      <c r="K802" s="62"/>
      <c r="L802" s="62"/>
      <c r="M802" s="62"/>
      <c r="N802" s="62"/>
      <c r="O802" s="62" t="b">
        <v>0</v>
      </c>
      <c r="P802" s="62"/>
      <c r="Q802" s="62"/>
      <c r="R802" s="62"/>
      <c r="S802" s="62"/>
      <c r="T802" s="62"/>
      <c r="U802" s="74"/>
      <c r="V802" s="62"/>
      <c r="W802" s="74"/>
      <c r="X802" s="62"/>
      <c r="Y802" s="61"/>
      <c r="Z802" s="62"/>
      <c r="AA802" s="62"/>
      <c r="AB802" s="62"/>
      <c r="AC802" s="62"/>
      <c r="AD802" s="62"/>
      <c r="AE802" s="62"/>
      <c r="AF802" s="62"/>
      <c r="AG802" s="62"/>
      <c r="AH802" s="62"/>
      <c r="AI802" s="62"/>
      <c r="AJ802" s="62"/>
      <c r="AK802" s="62"/>
      <c r="AL802" s="62"/>
      <c r="AM802" s="62"/>
      <c r="AN802" s="62"/>
      <c r="AO802" s="62"/>
    </row>
    <row r="803">
      <c r="A803" s="62"/>
      <c r="B803" s="62"/>
      <c r="C803" s="61"/>
      <c r="D803" s="62"/>
      <c r="E803" s="62"/>
      <c r="F803" s="62" t="b">
        <v>0</v>
      </c>
      <c r="G803" s="62"/>
      <c r="H803" s="61"/>
      <c r="I803" s="61"/>
      <c r="J803" s="62"/>
      <c r="K803" s="62"/>
      <c r="L803" s="62"/>
      <c r="M803" s="62"/>
      <c r="N803" s="62"/>
      <c r="O803" s="62" t="b">
        <v>0</v>
      </c>
      <c r="P803" s="62"/>
      <c r="Q803" s="62"/>
      <c r="R803" s="62"/>
      <c r="S803" s="62"/>
      <c r="T803" s="62"/>
      <c r="U803" s="74"/>
      <c r="V803" s="62"/>
      <c r="W803" s="74"/>
      <c r="X803" s="62"/>
      <c r="Y803" s="61"/>
      <c r="Z803" s="62"/>
      <c r="AA803" s="62"/>
      <c r="AB803" s="62"/>
      <c r="AC803" s="62"/>
      <c r="AD803" s="62"/>
      <c r="AE803" s="62"/>
      <c r="AF803" s="62"/>
      <c r="AG803" s="62"/>
      <c r="AH803" s="62"/>
      <c r="AI803" s="62"/>
      <c r="AJ803" s="62"/>
      <c r="AK803" s="62"/>
      <c r="AL803" s="62"/>
      <c r="AM803" s="62"/>
      <c r="AN803" s="62"/>
      <c r="AO803" s="62"/>
    </row>
    <row r="804">
      <c r="A804" s="62"/>
      <c r="B804" s="62"/>
      <c r="C804" s="61"/>
      <c r="D804" s="62"/>
      <c r="E804" s="62"/>
      <c r="F804" s="62" t="b">
        <v>0</v>
      </c>
      <c r="G804" s="62"/>
      <c r="H804" s="61"/>
      <c r="I804" s="61"/>
      <c r="J804" s="62"/>
      <c r="K804" s="62"/>
      <c r="L804" s="62"/>
      <c r="M804" s="62"/>
      <c r="N804" s="62"/>
      <c r="O804" s="62" t="b">
        <v>0</v>
      </c>
      <c r="P804" s="62"/>
      <c r="Q804" s="62"/>
      <c r="R804" s="62"/>
      <c r="S804" s="62"/>
      <c r="T804" s="62"/>
      <c r="U804" s="74"/>
      <c r="V804" s="62"/>
      <c r="W804" s="74"/>
      <c r="X804" s="62"/>
      <c r="Y804" s="61"/>
      <c r="Z804" s="62"/>
      <c r="AA804" s="62"/>
      <c r="AB804" s="62"/>
      <c r="AC804" s="62"/>
      <c r="AD804" s="62"/>
      <c r="AE804" s="62"/>
      <c r="AF804" s="62"/>
      <c r="AG804" s="62"/>
      <c r="AH804" s="62"/>
      <c r="AI804" s="62"/>
      <c r="AJ804" s="62"/>
      <c r="AK804" s="62"/>
      <c r="AL804" s="62"/>
      <c r="AM804" s="62"/>
      <c r="AN804" s="62"/>
      <c r="AO804" s="62"/>
    </row>
    <row r="805">
      <c r="A805" s="62"/>
      <c r="B805" s="62"/>
      <c r="C805" s="61"/>
      <c r="D805" s="62"/>
      <c r="E805" s="62"/>
      <c r="F805" s="62" t="b">
        <v>0</v>
      </c>
      <c r="G805" s="62"/>
      <c r="H805" s="61"/>
      <c r="I805" s="61"/>
      <c r="J805" s="62"/>
      <c r="K805" s="62"/>
      <c r="L805" s="62"/>
      <c r="M805" s="62"/>
      <c r="N805" s="62"/>
      <c r="O805" s="62" t="b">
        <v>0</v>
      </c>
      <c r="P805" s="62"/>
      <c r="Q805" s="62"/>
      <c r="R805" s="62"/>
      <c r="S805" s="62"/>
      <c r="T805" s="62"/>
      <c r="U805" s="74"/>
      <c r="V805" s="62"/>
      <c r="W805" s="74"/>
      <c r="X805" s="62"/>
      <c r="Y805" s="61"/>
      <c r="Z805" s="62"/>
      <c r="AA805" s="62"/>
      <c r="AB805" s="62"/>
      <c r="AC805" s="62"/>
      <c r="AD805" s="62"/>
      <c r="AE805" s="62"/>
      <c r="AF805" s="62"/>
      <c r="AG805" s="62"/>
      <c r="AH805" s="62"/>
      <c r="AI805" s="62"/>
      <c r="AJ805" s="62"/>
      <c r="AK805" s="62"/>
      <c r="AL805" s="62"/>
      <c r="AM805" s="62"/>
      <c r="AN805" s="62"/>
      <c r="AO805" s="62"/>
    </row>
    <row r="806">
      <c r="A806" s="62"/>
      <c r="B806" s="62"/>
      <c r="C806" s="61"/>
      <c r="D806" s="62"/>
      <c r="E806" s="62"/>
      <c r="F806" s="62" t="b">
        <v>0</v>
      </c>
      <c r="G806" s="62"/>
      <c r="H806" s="61"/>
      <c r="I806" s="61"/>
      <c r="J806" s="62"/>
      <c r="K806" s="62"/>
      <c r="L806" s="62"/>
      <c r="M806" s="62"/>
      <c r="N806" s="62"/>
      <c r="O806" s="62" t="b">
        <v>0</v>
      </c>
      <c r="P806" s="62"/>
      <c r="Q806" s="62"/>
      <c r="R806" s="62"/>
      <c r="S806" s="62"/>
      <c r="T806" s="62"/>
      <c r="U806" s="74"/>
      <c r="V806" s="62"/>
      <c r="W806" s="74"/>
      <c r="X806" s="62"/>
      <c r="Y806" s="61"/>
      <c r="Z806" s="62"/>
      <c r="AA806" s="62"/>
      <c r="AB806" s="62"/>
      <c r="AC806" s="62"/>
      <c r="AD806" s="62"/>
      <c r="AE806" s="62"/>
      <c r="AF806" s="62"/>
      <c r="AG806" s="62"/>
      <c r="AH806" s="62"/>
      <c r="AI806" s="62"/>
      <c r="AJ806" s="62"/>
      <c r="AK806" s="62"/>
      <c r="AL806" s="62"/>
      <c r="AM806" s="62"/>
      <c r="AN806" s="62"/>
      <c r="AO806" s="62"/>
    </row>
    <row r="807">
      <c r="A807" s="62"/>
      <c r="B807" s="62"/>
      <c r="C807" s="61"/>
      <c r="D807" s="62"/>
      <c r="E807" s="62"/>
      <c r="F807" s="62" t="b">
        <v>0</v>
      </c>
      <c r="G807" s="62"/>
      <c r="H807" s="61"/>
      <c r="I807" s="61"/>
      <c r="J807" s="62"/>
      <c r="K807" s="62"/>
      <c r="L807" s="62"/>
      <c r="M807" s="62"/>
      <c r="N807" s="62"/>
      <c r="O807" s="62" t="b">
        <v>0</v>
      </c>
      <c r="P807" s="62"/>
      <c r="Q807" s="62"/>
      <c r="R807" s="62"/>
      <c r="S807" s="62"/>
      <c r="T807" s="62"/>
      <c r="U807" s="74"/>
      <c r="V807" s="62"/>
      <c r="W807" s="74"/>
      <c r="X807" s="62"/>
      <c r="Y807" s="61"/>
      <c r="Z807" s="62"/>
      <c r="AA807" s="62"/>
      <c r="AB807" s="62"/>
      <c r="AC807" s="62"/>
      <c r="AD807" s="62"/>
      <c r="AE807" s="62"/>
      <c r="AF807" s="62"/>
      <c r="AG807" s="62"/>
      <c r="AH807" s="62"/>
      <c r="AI807" s="62"/>
      <c r="AJ807" s="62"/>
      <c r="AK807" s="62"/>
      <c r="AL807" s="62"/>
      <c r="AM807" s="62"/>
      <c r="AN807" s="62"/>
      <c r="AO807" s="62"/>
    </row>
    <row r="808">
      <c r="A808" s="62"/>
      <c r="B808" s="62"/>
      <c r="C808" s="61"/>
      <c r="D808" s="62"/>
      <c r="E808" s="62"/>
      <c r="F808" s="62" t="b">
        <v>0</v>
      </c>
      <c r="G808" s="62"/>
      <c r="H808" s="61"/>
      <c r="I808" s="61"/>
      <c r="J808" s="62"/>
      <c r="K808" s="62"/>
      <c r="L808" s="62"/>
      <c r="M808" s="62"/>
      <c r="N808" s="62"/>
      <c r="O808" s="62" t="b">
        <v>0</v>
      </c>
      <c r="P808" s="62"/>
      <c r="Q808" s="62"/>
      <c r="R808" s="62"/>
      <c r="S808" s="62"/>
      <c r="T808" s="62"/>
      <c r="U808" s="74"/>
      <c r="V808" s="62"/>
      <c r="W808" s="74"/>
      <c r="X808" s="62"/>
      <c r="Y808" s="61"/>
      <c r="Z808" s="62"/>
      <c r="AA808" s="62"/>
      <c r="AB808" s="62"/>
      <c r="AC808" s="62"/>
      <c r="AD808" s="62"/>
      <c r="AE808" s="62"/>
      <c r="AF808" s="62"/>
      <c r="AG808" s="62"/>
      <c r="AH808" s="62"/>
      <c r="AI808" s="62"/>
      <c r="AJ808" s="62"/>
      <c r="AK808" s="62"/>
      <c r="AL808" s="62"/>
      <c r="AM808" s="62"/>
      <c r="AN808" s="62"/>
      <c r="AO808" s="62"/>
    </row>
    <row r="809">
      <c r="A809" s="62"/>
      <c r="B809" s="62"/>
      <c r="C809" s="61"/>
      <c r="D809" s="62"/>
      <c r="E809" s="62"/>
      <c r="F809" s="62" t="b">
        <v>0</v>
      </c>
      <c r="G809" s="62"/>
      <c r="H809" s="61"/>
      <c r="I809" s="61"/>
      <c r="J809" s="62"/>
      <c r="K809" s="62"/>
      <c r="L809" s="62"/>
      <c r="M809" s="62"/>
      <c r="N809" s="62"/>
      <c r="O809" s="62" t="b">
        <v>0</v>
      </c>
      <c r="P809" s="62"/>
      <c r="Q809" s="62"/>
      <c r="R809" s="62"/>
      <c r="S809" s="62"/>
      <c r="T809" s="62"/>
      <c r="U809" s="74"/>
      <c r="V809" s="62"/>
      <c r="W809" s="74"/>
      <c r="X809" s="62"/>
      <c r="Y809" s="61"/>
      <c r="Z809" s="62"/>
      <c r="AA809" s="62"/>
      <c r="AB809" s="62"/>
      <c r="AC809" s="62"/>
      <c r="AD809" s="62"/>
      <c r="AE809" s="62"/>
      <c r="AF809" s="62"/>
      <c r="AG809" s="62"/>
      <c r="AH809" s="62"/>
      <c r="AI809" s="62"/>
      <c r="AJ809" s="62"/>
      <c r="AK809" s="62"/>
      <c r="AL809" s="62"/>
      <c r="AM809" s="62"/>
      <c r="AN809" s="62"/>
      <c r="AO809" s="62"/>
    </row>
    <row r="810">
      <c r="A810" s="62"/>
      <c r="B810" s="62"/>
      <c r="C810" s="61"/>
      <c r="D810" s="62"/>
      <c r="E810" s="62"/>
      <c r="F810" s="62" t="b">
        <v>0</v>
      </c>
      <c r="G810" s="62"/>
      <c r="H810" s="61"/>
      <c r="I810" s="61"/>
      <c r="J810" s="62"/>
      <c r="K810" s="62"/>
      <c r="L810" s="62"/>
      <c r="M810" s="62"/>
      <c r="N810" s="62"/>
      <c r="O810" s="62" t="b">
        <v>0</v>
      </c>
      <c r="P810" s="62"/>
      <c r="Q810" s="62"/>
      <c r="R810" s="62"/>
      <c r="S810" s="62"/>
      <c r="T810" s="62"/>
      <c r="U810" s="74"/>
      <c r="V810" s="62"/>
      <c r="W810" s="74"/>
      <c r="X810" s="62"/>
      <c r="Y810" s="61"/>
      <c r="Z810" s="62"/>
      <c r="AA810" s="62"/>
      <c r="AB810" s="62"/>
      <c r="AC810" s="62"/>
      <c r="AD810" s="62"/>
      <c r="AE810" s="62"/>
      <c r="AF810" s="62"/>
      <c r="AG810" s="62"/>
      <c r="AH810" s="62"/>
      <c r="AI810" s="62"/>
      <c r="AJ810" s="62"/>
      <c r="AK810" s="62"/>
      <c r="AL810" s="62"/>
      <c r="AM810" s="62"/>
      <c r="AN810" s="62"/>
      <c r="AO810" s="62"/>
    </row>
    <row r="811">
      <c r="A811" s="62"/>
      <c r="B811" s="62"/>
      <c r="C811" s="61"/>
      <c r="D811" s="62"/>
      <c r="E811" s="62"/>
      <c r="F811" s="62" t="b">
        <v>0</v>
      </c>
      <c r="G811" s="62"/>
      <c r="H811" s="61"/>
      <c r="I811" s="61"/>
      <c r="J811" s="62"/>
      <c r="K811" s="62"/>
      <c r="L811" s="62"/>
      <c r="M811" s="62"/>
      <c r="N811" s="62"/>
      <c r="O811" s="62" t="b">
        <v>0</v>
      </c>
      <c r="P811" s="62"/>
      <c r="Q811" s="62"/>
      <c r="R811" s="62"/>
      <c r="S811" s="62"/>
      <c r="T811" s="62"/>
      <c r="U811" s="74"/>
      <c r="V811" s="62"/>
      <c r="W811" s="74"/>
      <c r="X811" s="62"/>
      <c r="Y811" s="61"/>
      <c r="Z811" s="62"/>
      <c r="AA811" s="62"/>
      <c r="AB811" s="62"/>
      <c r="AC811" s="62"/>
      <c r="AD811" s="62"/>
      <c r="AE811" s="62"/>
      <c r="AF811" s="62"/>
      <c r="AG811" s="62"/>
      <c r="AH811" s="62"/>
      <c r="AI811" s="62"/>
      <c r="AJ811" s="62"/>
      <c r="AK811" s="62"/>
      <c r="AL811" s="62"/>
      <c r="AM811" s="62"/>
      <c r="AN811" s="62"/>
      <c r="AO811" s="62"/>
    </row>
    <row r="812">
      <c r="A812" s="62"/>
      <c r="B812" s="62"/>
      <c r="C812" s="61"/>
      <c r="D812" s="62"/>
      <c r="E812" s="62"/>
      <c r="F812" s="62" t="b">
        <v>0</v>
      </c>
      <c r="G812" s="62"/>
      <c r="H812" s="61"/>
      <c r="I812" s="61"/>
      <c r="J812" s="62"/>
      <c r="K812" s="62"/>
      <c r="L812" s="62"/>
      <c r="M812" s="62"/>
      <c r="N812" s="62"/>
      <c r="O812" s="62" t="b">
        <v>0</v>
      </c>
      <c r="P812" s="62"/>
      <c r="Q812" s="62"/>
      <c r="R812" s="62"/>
      <c r="S812" s="62"/>
      <c r="T812" s="62"/>
      <c r="U812" s="74"/>
      <c r="V812" s="62"/>
      <c r="W812" s="74"/>
      <c r="X812" s="62"/>
      <c r="Y812" s="61"/>
      <c r="Z812" s="62"/>
      <c r="AA812" s="62"/>
      <c r="AB812" s="62"/>
      <c r="AC812" s="62"/>
      <c r="AD812" s="62"/>
      <c r="AE812" s="62"/>
      <c r="AF812" s="62"/>
      <c r="AG812" s="62"/>
      <c r="AH812" s="62"/>
      <c r="AI812" s="62"/>
      <c r="AJ812" s="62"/>
      <c r="AK812" s="62"/>
      <c r="AL812" s="62"/>
      <c r="AM812" s="62"/>
      <c r="AN812" s="62"/>
      <c r="AO812" s="62"/>
    </row>
    <row r="813">
      <c r="A813" s="62"/>
      <c r="B813" s="62"/>
      <c r="C813" s="61"/>
      <c r="D813" s="62"/>
      <c r="E813" s="62"/>
      <c r="F813" s="62" t="b">
        <v>0</v>
      </c>
      <c r="G813" s="62"/>
      <c r="H813" s="61"/>
      <c r="I813" s="61"/>
      <c r="J813" s="62"/>
      <c r="K813" s="62"/>
      <c r="L813" s="62"/>
      <c r="M813" s="62"/>
      <c r="N813" s="62"/>
      <c r="O813" s="62" t="b">
        <v>0</v>
      </c>
      <c r="P813" s="62"/>
      <c r="Q813" s="62"/>
      <c r="R813" s="62"/>
      <c r="S813" s="62"/>
      <c r="T813" s="62"/>
      <c r="U813" s="74"/>
      <c r="V813" s="62"/>
      <c r="W813" s="74"/>
      <c r="X813" s="62"/>
      <c r="Y813" s="61"/>
      <c r="Z813" s="62"/>
      <c r="AA813" s="62"/>
      <c r="AB813" s="62"/>
      <c r="AC813" s="62"/>
      <c r="AD813" s="62"/>
      <c r="AE813" s="62"/>
      <c r="AF813" s="62"/>
      <c r="AG813" s="62"/>
      <c r="AH813" s="62"/>
      <c r="AI813" s="62"/>
      <c r="AJ813" s="62"/>
      <c r="AK813" s="62"/>
      <c r="AL813" s="62"/>
      <c r="AM813" s="62"/>
      <c r="AN813" s="62"/>
      <c r="AO813" s="62"/>
    </row>
    <row r="814">
      <c r="A814" s="62"/>
      <c r="B814" s="62"/>
      <c r="C814" s="61"/>
      <c r="D814" s="62"/>
      <c r="E814" s="62"/>
      <c r="F814" s="62" t="b">
        <v>0</v>
      </c>
      <c r="G814" s="62"/>
      <c r="H814" s="61"/>
      <c r="I814" s="61"/>
      <c r="J814" s="62"/>
      <c r="K814" s="62"/>
      <c r="L814" s="62"/>
      <c r="M814" s="62"/>
      <c r="N814" s="62"/>
      <c r="O814" s="62" t="b">
        <v>0</v>
      </c>
      <c r="P814" s="62"/>
      <c r="Q814" s="62"/>
      <c r="R814" s="62"/>
      <c r="S814" s="62"/>
      <c r="T814" s="62"/>
      <c r="U814" s="74"/>
      <c r="V814" s="62"/>
      <c r="W814" s="74"/>
      <c r="X814" s="62"/>
      <c r="Y814" s="61"/>
      <c r="Z814" s="62"/>
      <c r="AA814" s="62"/>
      <c r="AB814" s="62"/>
      <c r="AC814" s="62"/>
      <c r="AD814" s="62"/>
      <c r="AE814" s="62"/>
      <c r="AF814" s="62"/>
      <c r="AG814" s="62"/>
      <c r="AH814" s="62"/>
      <c r="AI814" s="62"/>
      <c r="AJ814" s="62"/>
      <c r="AK814" s="62"/>
      <c r="AL814" s="62"/>
      <c r="AM814" s="62"/>
      <c r="AN814" s="62"/>
      <c r="AO814" s="62"/>
    </row>
    <row r="815">
      <c r="A815" s="62"/>
      <c r="B815" s="62"/>
      <c r="C815" s="61"/>
      <c r="D815" s="62"/>
      <c r="E815" s="62"/>
      <c r="F815" s="62" t="b">
        <v>0</v>
      </c>
      <c r="G815" s="62"/>
      <c r="H815" s="61"/>
      <c r="I815" s="61"/>
      <c r="J815" s="62"/>
      <c r="K815" s="62"/>
      <c r="L815" s="62"/>
      <c r="M815" s="62"/>
      <c r="N815" s="62"/>
      <c r="O815" s="62" t="b">
        <v>0</v>
      </c>
      <c r="P815" s="62"/>
      <c r="Q815" s="62"/>
      <c r="R815" s="62"/>
      <c r="S815" s="62"/>
      <c r="T815" s="62"/>
      <c r="U815" s="74"/>
      <c r="V815" s="62"/>
      <c r="W815" s="74"/>
      <c r="X815" s="62"/>
      <c r="Y815" s="61"/>
      <c r="Z815" s="62"/>
      <c r="AA815" s="62"/>
      <c r="AB815" s="62"/>
      <c r="AC815" s="62"/>
      <c r="AD815" s="62"/>
      <c r="AE815" s="62"/>
      <c r="AF815" s="62"/>
      <c r="AG815" s="62"/>
      <c r="AH815" s="62"/>
      <c r="AI815" s="62"/>
      <c r="AJ815" s="62"/>
      <c r="AK815" s="62"/>
      <c r="AL815" s="62"/>
      <c r="AM815" s="62"/>
      <c r="AN815" s="62"/>
      <c r="AO815" s="62"/>
    </row>
    <row r="816">
      <c r="A816" s="62"/>
      <c r="B816" s="62"/>
      <c r="C816" s="61"/>
      <c r="D816" s="62"/>
      <c r="E816" s="62"/>
      <c r="F816" s="62" t="b">
        <v>0</v>
      </c>
      <c r="G816" s="62"/>
      <c r="H816" s="61"/>
      <c r="I816" s="61"/>
      <c r="J816" s="62"/>
      <c r="K816" s="62"/>
      <c r="L816" s="62"/>
      <c r="M816" s="62"/>
      <c r="N816" s="62"/>
      <c r="O816" s="62" t="b">
        <v>0</v>
      </c>
      <c r="P816" s="62"/>
      <c r="Q816" s="62"/>
      <c r="R816" s="62"/>
      <c r="S816" s="62"/>
      <c r="T816" s="62"/>
      <c r="U816" s="74"/>
      <c r="V816" s="62"/>
      <c r="W816" s="74"/>
      <c r="X816" s="62"/>
      <c r="Y816" s="61"/>
      <c r="Z816" s="62"/>
      <c r="AA816" s="62"/>
      <c r="AB816" s="62"/>
      <c r="AC816" s="62"/>
      <c r="AD816" s="62"/>
      <c r="AE816" s="62"/>
      <c r="AF816" s="62"/>
      <c r="AG816" s="62"/>
      <c r="AH816" s="62"/>
      <c r="AI816" s="62"/>
      <c r="AJ816" s="62"/>
      <c r="AK816" s="62"/>
      <c r="AL816" s="62"/>
      <c r="AM816" s="62"/>
      <c r="AN816" s="62"/>
      <c r="AO816" s="62"/>
    </row>
    <row r="817">
      <c r="A817" s="62"/>
      <c r="B817" s="62"/>
      <c r="C817" s="61"/>
      <c r="D817" s="62"/>
      <c r="E817" s="62"/>
      <c r="F817" s="62" t="b">
        <v>0</v>
      </c>
      <c r="G817" s="62"/>
      <c r="H817" s="61"/>
      <c r="I817" s="61"/>
      <c r="J817" s="62"/>
      <c r="K817" s="62"/>
      <c r="L817" s="62"/>
      <c r="M817" s="62"/>
      <c r="N817" s="62"/>
      <c r="O817" s="62" t="b">
        <v>0</v>
      </c>
      <c r="P817" s="62"/>
      <c r="Q817" s="62"/>
      <c r="R817" s="62"/>
      <c r="S817" s="62"/>
      <c r="T817" s="62"/>
      <c r="U817" s="74"/>
      <c r="V817" s="62"/>
      <c r="W817" s="74"/>
      <c r="X817" s="62"/>
      <c r="Y817" s="61"/>
      <c r="Z817" s="62"/>
      <c r="AA817" s="62"/>
      <c r="AB817" s="62"/>
      <c r="AC817" s="62"/>
      <c r="AD817" s="62"/>
      <c r="AE817" s="62"/>
      <c r="AF817" s="62"/>
      <c r="AG817" s="62"/>
      <c r="AH817" s="62"/>
      <c r="AI817" s="62"/>
      <c r="AJ817" s="62"/>
      <c r="AK817" s="62"/>
      <c r="AL817" s="62"/>
      <c r="AM817" s="62"/>
      <c r="AN817" s="62"/>
      <c r="AO817" s="62"/>
    </row>
    <row r="818">
      <c r="A818" s="62"/>
      <c r="B818" s="62"/>
      <c r="C818" s="61"/>
      <c r="D818" s="62"/>
      <c r="E818" s="62"/>
      <c r="F818" s="62" t="b">
        <v>0</v>
      </c>
      <c r="G818" s="62"/>
      <c r="H818" s="61"/>
      <c r="I818" s="61"/>
      <c r="J818" s="62"/>
      <c r="K818" s="62"/>
      <c r="L818" s="62"/>
      <c r="M818" s="62"/>
      <c r="N818" s="62"/>
      <c r="O818" s="62" t="b">
        <v>0</v>
      </c>
      <c r="P818" s="62"/>
      <c r="Q818" s="62"/>
      <c r="R818" s="62"/>
      <c r="S818" s="62"/>
      <c r="T818" s="62"/>
      <c r="U818" s="74"/>
      <c r="V818" s="62"/>
      <c r="W818" s="74"/>
      <c r="X818" s="62"/>
      <c r="Y818" s="61"/>
      <c r="Z818" s="62"/>
      <c r="AA818" s="62"/>
      <c r="AB818" s="62"/>
      <c r="AC818" s="62"/>
      <c r="AD818" s="62"/>
      <c r="AE818" s="62"/>
      <c r="AF818" s="62"/>
      <c r="AG818" s="62"/>
      <c r="AH818" s="62"/>
      <c r="AI818" s="62"/>
      <c r="AJ818" s="62"/>
      <c r="AK818" s="62"/>
      <c r="AL818" s="62"/>
      <c r="AM818" s="62"/>
      <c r="AN818" s="62"/>
      <c r="AO818" s="62"/>
    </row>
    <row r="819">
      <c r="A819" s="62"/>
      <c r="B819" s="62"/>
      <c r="C819" s="61"/>
      <c r="D819" s="62"/>
      <c r="E819" s="62"/>
      <c r="F819" s="62" t="b">
        <v>0</v>
      </c>
      <c r="G819" s="62"/>
      <c r="H819" s="61"/>
      <c r="I819" s="61"/>
      <c r="J819" s="62"/>
      <c r="K819" s="62"/>
      <c r="L819" s="62"/>
      <c r="M819" s="62"/>
      <c r="N819" s="62"/>
      <c r="O819" s="62" t="b">
        <v>0</v>
      </c>
      <c r="P819" s="62"/>
      <c r="Q819" s="62"/>
      <c r="R819" s="62"/>
      <c r="S819" s="62"/>
      <c r="T819" s="62"/>
      <c r="U819" s="74"/>
      <c r="V819" s="62"/>
      <c r="W819" s="74"/>
      <c r="X819" s="62"/>
      <c r="Y819" s="61"/>
      <c r="Z819" s="62"/>
      <c r="AA819" s="62"/>
      <c r="AB819" s="62"/>
      <c r="AC819" s="62"/>
      <c r="AD819" s="62"/>
      <c r="AE819" s="62"/>
      <c r="AF819" s="62"/>
      <c r="AG819" s="62"/>
      <c r="AH819" s="62"/>
      <c r="AI819" s="62"/>
      <c r="AJ819" s="62"/>
      <c r="AK819" s="62"/>
      <c r="AL819" s="62"/>
      <c r="AM819" s="62"/>
      <c r="AN819" s="62"/>
      <c r="AO819" s="62"/>
    </row>
    <row r="820">
      <c r="A820" s="62"/>
      <c r="B820" s="62"/>
      <c r="C820" s="61"/>
      <c r="D820" s="62"/>
      <c r="E820" s="62"/>
      <c r="F820" s="62" t="b">
        <v>0</v>
      </c>
      <c r="G820" s="62"/>
      <c r="H820" s="61"/>
      <c r="I820" s="61"/>
      <c r="J820" s="62"/>
      <c r="K820" s="62"/>
      <c r="L820" s="62"/>
      <c r="M820" s="62"/>
      <c r="N820" s="62"/>
      <c r="O820" s="62" t="b">
        <v>0</v>
      </c>
      <c r="P820" s="62"/>
      <c r="Q820" s="62"/>
      <c r="R820" s="62"/>
      <c r="S820" s="62"/>
      <c r="T820" s="62"/>
      <c r="U820" s="74"/>
      <c r="V820" s="62"/>
      <c r="W820" s="74"/>
      <c r="X820" s="62"/>
      <c r="Y820" s="61"/>
      <c r="Z820" s="62"/>
      <c r="AA820" s="62"/>
      <c r="AB820" s="62"/>
      <c r="AC820" s="62"/>
      <c r="AD820" s="62"/>
      <c r="AE820" s="62"/>
      <c r="AF820" s="62"/>
      <c r="AG820" s="62"/>
      <c r="AH820" s="62"/>
      <c r="AI820" s="62"/>
      <c r="AJ820" s="62"/>
      <c r="AK820" s="62"/>
      <c r="AL820" s="62"/>
      <c r="AM820" s="62"/>
      <c r="AN820" s="62"/>
      <c r="AO820" s="62"/>
    </row>
    <row r="821">
      <c r="A821" s="62"/>
      <c r="B821" s="62"/>
      <c r="C821" s="61"/>
      <c r="D821" s="62"/>
      <c r="E821" s="62"/>
      <c r="F821" s="62" t="b">
        <v>0</v>
      </c>
      <c r="G821" s="62"/>
      <c r="H821" s="61"/>
      <c r="I821" s="61"/>
      <c r="J821" s="62"/>
      <c r="K821" s="62"/>
      <c r="L821" s="62"/>
      <c r="M821" s="62"/>
      <c r="N821" s="62"/>
      <c r="O821" s="62" t="b">
        <v>0</v>
      </c>
      <c r="P821" s="62"/>
      <c r="Q821" s="62"/>
      <c r="R821" s="62"/>
      <c r="S821" s="62"/>
      <c r="T821" s="62"/>
      <c r="U821" s="74"/>
      <c r="V821" s="62"/>
      <c r="W821" s="74"/>
      <c r="X821" s="62"/>
      <c r="Y821" s="61"/>
      <c r="Z821" s="62"/>
      <c r="AA821" s="62"/>
      <c r="AB821" s="62"/>
      <c r="AC821" s="62"/>
      <c r="AD821" s="62"/>
      <c r="AE821" s="62"/>
      <c r="AF821" s="62"/>
      <c r="AG821" s="62"/>
      <c r="AH821" s="62"/>
      <c r="AI821" s="62"/>
      <c r="AJ821" s="62"/>
      <c r="AK821" s="62"/>
      <c r="AL821" s="62"/>
      <c r="AM821" s="62"/>
      <c r="AN821" s="62"/>
      <c r="AO821" s="62"/>
    </row>
    <row r="822">
      <c r="A822" s="62"/>
      <c r="B822" s="62"/>
      <c r="C822" s="61"/>
      <c r="D822" s="62"/>
      <c r="E822" s="62"/>
      <c r="F822" s="62" t="b">
        <v>0</v>
      </c>
      <c r="G822" s="62"/>
      <c r="H822" s="61"/>
      <c r="I822" s="61"/>
      <c r="J822" s="62"/>
      <c r="K822" s="62"/>
      <c r="L822" s="62"/>
      <c r="M822" s="62"/>
      <c r="N822" s="62"/>
      <c r="O822" s="62" t="b">
        <v>0</v>
      </c>
      <c r="P822" s="62"/>
      <c r="Q822" s="62"/>
      <c r="R822" s="62"/>
      <c r="S822" s="62"/>
      <c r="T822" s="62"/>
      <c r="U822" s="74"/>
      <c r="V822" s="62"/>
      <c r="W822" s="74"/>
      <c r="X822" s="62"/>
      <c r="Y822" s="61"/>
      <c r="Z822" s="62"/>
      <c r="AA822" s="62"/>
      <c r="AB822" s="62"/>
      <c r="AC822" s="62"/>
      <c r="AD822" s="62"/>
      <c r="AE822" s="62"/>
      <c r="AF822" s="62"/>
      <c r="AG822" s="62"/>
      <c r="AH822" s="62"/>
      <c r="AI822" s="62"/>
      <c r="AJ822" s="62"/>
      <c r="AK822" s="62"/>
      <c r="AL822" s="62"/>
      <c r="AM822" s="62"/>
      <c r="AN822" s="62"/>
      <c r="AO822" s="62"/>
    </row>
    <row r="823">
      <c r="A823" s="62"/>
      <c r="B823" s="62"/>
      <c r="C823" s="61"/>
      <c r="D823" s="62"/>
      <c r="E823" s="62"/>
      <c r="F823" s="62" t="b">
        <v>0</v>
      </c>
      <c r="G823" s="62"/>
      <c r="H823" s="61"/>
      <c r="I823" s="61"/>
      <c r="J823" s="62"/>
      <c r="K823" s="62"/>
      <c r="L823" s="62"/>
      <c r="M823" s="62"/>
      <c r="N823" s="62"/>
      <c r="O823" s="62" t="b">
        <v>0</v>
      </c>
      <c r="P823" s="62"/>
      <c r="Q823" s="62"/>
      <c r="R823" s="62"/>
      <c r="S823" s="62"/>
      <c r="T823" s="62"/>
      <c r="U823" s="74"/>
      <c r="V823" s="62"/>
      <c r="W823" s="74"/>
      <c r="X823" s="62"/>
      <c r="Y823" s="61"/>
      <c r="Z823" s="62"/>
      <c r="AA823" s="62"/>
      <c r="AB823" s="62"/>
      <c r="AC823" s="62"/>
      <c r="AD823" s="62"/>
      <c r="AE823" s="62"/>
      <c r="AF823" s="62"/>
      <c r="AG823" s="62"/>
      <c r="AH823" s="62"/>
      <c r="AI823" s="62"/>
      <c r="AJ823" s="62"/>
      <c r="AK823" s="62"/>
      <c r="AL823" s="62"/>
      <c r="AM823" s="62"/>
      <c r="AN823" s="62"/>
      <c r="AO823" s="62"/>
    </row>
    <row r="824">
      <c r="A824" s="62"/>
      <c r="B824" s="62"/>
      <c r="C824" s="61"/>
      <c r="D824" s="62"/>
      <c r="E824" s="62"/>
      <c r="F824" s="62" t="b">
        <v>0</v>
      </c>
      <c r="G824" s="62"/>
      <c r="H824" s="61"/>
      <c r="I824" s="61"/>
      <c r="J824" s="62"/>
      <c r="K824" s="62"/>
      <c r="L824" s="62"/>
      <c r="M824" s="62"/>
      <c r="N824" s="62"/>
      <c r="O824" s="62" t="b">
        <v>0</v>
      </c>
      <c r="P824" s="62"/>
      <c r="Q824" s="62"/>
      <c r="R824" s="62"/>
      <c r="S824" s="62"/>
      <c r="T824" s="62"/>
      <c r="U824" s="74"/>
      <c r="V824" s="62"/>
      <c r="W824" s="74"/>
      <c r="X824" s="62"/>
      <c r="Y824" s="61"/>
      <c r="Z824" s="62"/>
      <c r="AA824" s="62"/>
      <c r="AB824" s="62"/>
      <c r="AC824" s="62"/>
      <c r="AD824" s="62"/>
      <c r="AE824" s="62"/>
      <c r="AF824" s="62"/>
      <c r="AG824" s="62"/>
      <c r="AH824" s="62"/>
      <c r="AI824" s="62"/>
      <c r="AJ824" s="62"/>
      <c r="AK824" s="62"/>
      <c r="AL824" s="62"/>
      <c r="AM824" s="62"/>
      <c r="AN824" s="62"/>
      <c r="AO824" s="62"/>
    </row>
    <row r="825">
      <c r="A825" s="62"/>
      <c r="B825" s="62"/>
      <c r="C825" s="61"/>
      <c r="D825" s="62"/>
      <c r="E825" s="62"/>
      <c r="F825" s="62" t="b">
        <v>0</v>
      </c>
      <c r="G825" s="62"/>
      <c r="H825" s="61"/>
      <c r="I825" s="61"/>
      <c r="J825" s="62"/>
      <c r="K825" s="62"/>
      <c r="L825" s="62"/>
      <c r="M825" s="62"/>
      <c r="N825" s="62"/>
      <c r="O825" s="62" t="b">
        <v>0</v>
      </c>
      <c r="P825" s="62"/>
      <c r="Q825" s="62"/>
      <c r="R825" s="62"/>
      <c r="S825" s="62"/>
      <c r="T825" s="62"/>
      <c r="U825" s="74"/>
      <c r="V825" s="62"/>
      <c r="W825" s="74"/>
      <c r="X825" s="62"/>
      <c r="Y825" s="61"/>
      <c r="Z825" s="62"/>
      <c r="AA825" s="62"/>
      <c r="AB825" s="62"/>
      <c r="AC825" s="62"/>
      <c r="AD825" s="62"/>
      <c r="AE825" s="62"/>
      <c r="AF825" s="62"/>
      <c r="AG825" s="62"/>
      <c r="AH825" s="62"/>
      <c r="AI825" s="62"/>
      <c r="AJ825" s="62"/>
      <c r="AK825" s="62"/>
      <c r="AL825" s="62"/>
      <c r="AM825" s="62"/>
      <c r="AN825" s="62"/>
      <c r="AO825" s="62"/>
    </row>
    <row r="826">
      <c r="A826" s="62"/>
      <c r="B826" s="62"/>
      <c r="C826" s="61"/>
      <c r="D826" s="62"/>
      <c r="E826" s="62"/>
      <c r="F826" s="62" t="b">
        <v>0</v>
      </c>
      <c r="G826" s="62"/>
      <c r="H826" s="61"/>
      <c r="I826" s="61"/>
      <c r="J826" s="62"/>
      <c r="K826" s="62"/>
      <c r="L826" s="62"/>
      <c r="M826" s="62"/>
      <c r="N826" s="62"/>
      <c r="O826" s="62" t="b">
        <v>0</v>
      </c>
      <c r="P826" s="62"/>
      <c r="Q826" s="62"/>
      <c r="R826" s="62"/>
      <c r="S826" s="62"/>
      <c r="T826" s="62"/>
      <c r="U826" s="74"/>
      <c r="V826" s="62"/>
      <c r="W826" s="74"/>
      <c r="X826" s="62"/>
      <c r="Y826" s="61"/>
      <c r="Z826" s="62"/>
      <c r="AA826" s="62"/>
      <c r="AB826" s="62"/>
      <c r="AC826" s="62"/>
      <c r="AD826" s="62"/>
      <c r="AE826" s="62"/>
      <c r="AF826" s="62"/>
      <c r="AG826" s="62"/>
      <c r="AH826" s="62"/>
      <c r="AI826" s="62"/>
      <c r="AJ826" s="62"/>
      <c r="AK826" s="62"/>
      <c r="AL826" s="62"/>
      <c r="AM826" s="62"/>
      <c r="AN826" s="62"/>
      <c r="AO826" s="62"/>
    </row>
    <row r="827">
      <c r="A827" s="62"/>
      <c r="B827" s="62"/>
      <c r="C827" s="61"/>
      <c r="D827" s="62"/>
      <c r="E827" s="62"/>
      <c r="F827" s="62" t="b">
        <v>0</v>
      </c>
      <c r="G827" s="62"/>
      <c r="H827" s="61"/>
      <c r="I827" s="61"/>
      <c r="J827" s="62"/>
      <c r="K827" s="62"/>
      <c r="L827" s="62"/>
      <c r="M827" s="62"/>
      <c r="N827" s="62"/>
      <c r="O827" s="62" t="b">
        <v>0</v>
      </c>
      <c r="P827" s="62"/>
      <c r="Q827" s="62"/>
      <c r="R827" s="62"/>
      <c r="S827" s="62"/>
      <c r="T827" s="62"/>
      <c r="U827" s="74"/>
      <c r="V827" s="62"/>
      <c r="W827" s="74"/>
      <c r="X827" s="62"/>
      <c r="Y827" s="61"/>
      <c r="Z827" s="62"/>
      <c r="AA827" s="62"/>
      <c r="AB827" s="62"/>
      <c r="AC827" s="62"/>
      <c r="AD827" s="62"/>
      <c r="AE827" s="62"/>
      <c r="AF827" s="62"/>
      <c r="AG827" s="62"/>
      <c r="AH827" s="62"/>
      <c r="AI827" s="62"/>
      <c r="AJ827" s="62"/>
      <c r="AK827" s="62"/>
      <c r="AL827" s="62"/>
      <c r="AM827" s="62"/>
      <c r="AN827" s="62"/>
      <c r="AO827" s="62"/>
    </row>
    <row r="828">
      <c r="A828" s="62"/>
      <c r="B828" s="62"/>
      <c r="C828" s="61"/>
      <c r="D828" s="62"/>
      <c r="E828" s="62"/>
      <c r="F828" s="62" t="b">
        <v>0</v>
      </c>
      <c r="G828" s="62"/>
      <c r="H828" s="61"/>
      <c r="I828" s="61"/>
      <c r="J828" s="62"/>
      <c r="K828" s="62"/>
      <c r="L828" s="62"/>
      <c r="M828" s="62"/>
      <c r="N828" s="62"/>
      <c r="O828" s="62" t="b">
        <v>0</v>
      </c>
      <c r="P828" s="62"/>
      <c r="Q828" s="62"/>
      <c r="R828" s="62"/>
      <c r="S828" s="62"/>
      <c r="T828" s="62"/>
      <c r="U828" s="74"/>
      <c r="V828" s="62"/>
      <c r="W828" s="74"/>
      <c r="X828" s="62"/>
      <c r="Y828" s="61"/>
      <c r="Z828" s="62"/>
      <c r="AA828" s="62"/>
      <c r="AB828" s="62"/>
      <c r="AC828" s="62"/>
      <c r="AD828" s="62"/>
      <c r="AE828" s="62"/>
      <c r="AF828" s="62"/>
      <c r="AG828" s="62"/>
      <c r="AH828" s="62"/>
      <c r="AI828" s="62"/>
      <c r="AJ828" s="62"/>
      <c r="AK828" s="62"/>
      <c r="AL828" s="62"/>
      <c r="AM828" s="62"/>
      <c r="AN828" s="62"/>
      <c r="AO828" s="62"/>
    </row>
    <row r="829">
      <c r="A829" s="62"/>
      <c r="B829" s="62"/>
      <c r="C829" s="61"/>
      <c r="D829" s="62"/>
      <c r="E829" s="62"/>
      <c r="F829" s="62" t="b">
        <v>0</v>
      </c>
      <c r="G829" s="62"/>
      <c r="H829" s="61"/>
      <c r="I829" s="61"/>
      <c r="J829" s="62"/>
      <c r="K829" s="62"/>
      <c r="L829" s="62"/>
      <c r="M829" s="62"/>
      <c r="N829" s="62"/>
      <c r="O829" s="62" t="b">
        <v>0</v>
      </c>
      <c r="P829" s="62"/>
      <c r="Q829" s="62"/>
      <c r="R829" s="62"/>
      <c r="S829" s="62"/>
      <c r="T829" s="62"/>
      <c r="U829" s="74"/>
      <c r="V829" s="62"/>
      <c r="W829" s="74"/>
      <c r="X829" s="62"/>
      <c r="Y829" s="61"/>
      <c r="Z829" s="62"/>
      <c r="AA829" s="62"/>
      <c r="AB829" s="62"/>
      <c r="AC829" s="62"/>
      <c r="AD829" s="62"/>
      <c r="AE829" s="62"/>
      <c r="AF829" s="62"/>
      <c r="AG829" s="62"/>
      <c r="AH829" s="62"/>
      <c r="AI829" s="62"/>
      <c r="AJ829" s="62"/>
      <c r="AK829" s="62"/>
      <c r="AL829" s="62"/>
      <c r="AM829" s="62"/>
      <c r="AN829" s="62"/>
      <c r="AO829" s="62"/>
    </row>
    <row r="830">
      <c r="A830" s="62"/>
      <c r="B830" s="62"/>
      <c r="C830" s="61"/>
      <c r="D830" s="62"/>
      <c r="E830" s="62"/>
      <c r="F830" s="62" t="b">
        <v>0</v>
      </c>
      <c r="G830" s="62"/>
      <c r="H830" s="61"/>
      <c r="I830" s="61"/>
      <c r="J830" s="62"/>
      <c r="K830" s="62"/>
      <c r="L830" s="62"/>
      <c r="M830" s="62"/>
      <c r="N830" s="62"/>
      <c r="O830" s="62" t="b">
        <v>0</v>
      </c>
      <c r="P830" s="62"/>
      <c r="Q830" s="62"/>
      <c r="R830" s="62"/>
      <c r="S830" s="62"/>
      <c r="T830" s="62"/>
      <c r="U830" s="74"/>
      <c r="V830" s="62"/>
      <c r="W830" s="74"/>
      <c r="X830" s="62"/>
      <c r="Y830" s="61"/>
      <c r="Z830" s="62"/>
      <c r="AA830" s="62"/>
      <c r="AB830" s="62"/>
      <c r="AC830" s="62"/>
      <c r="AD830" s="62"/>
      <c r="AE830" s="62"/>
      <c r="AF830" s="62"/>
      <c r="AG830" s="62"/>
      <c r="AH830" s="62"/>
      <c r="AI830" s="62"/>
      <c r="AJ830" s="62"/>
      <c r="AK830" s="62"/>
      <c r="AL830" s="62"/>
      <c r="AM830" s="62"/>
      <c r="AN830" s="62"/>
      <c r="AO830" s="62"/>
    </row>
    <row r="831">
      <c r="A831" s="62"/>
      <c r="B831" s="62"/>
      <c r="C831" s="61"/>
      <c r="D831" s="62"/>
      <c r="E831" s="62"/>
      <c r="F831" s="62" t="b">
        <v>0</v>
      </c>
      <c r="G831" s="62"/>
      <c r="H831" s="61"/>
      <c r="I831" s="61"/>
      <c r="J831" s="62"/>
      <c r="K831" s="62"/>
      <c r="L831" s="62"/>
      <c r="M831" s="62"/>
      <c r="N831" s="62"/>
      <c r="O831" s="62" t="b">
        <v>0</v>
      </c>
      <c r="P831" s="62"/>
      <c r="Q831" s="62"/>
      <c r="R831" s="62"/>
      <c r="S831" s="62"/>
      <c r="T831" s="62"/>
      <c r="U831" s="74"/>
      <c r="V831" s="62"/>
      <c r="W831" s="74"/>
      <c r="X831" s="62"/>
      <c r="Y831" s="61"/>
      <c r="Z831" s="62"/>
      <c r="AA831" s="62"/>
      <c r="AB831" s="62"/>
      <c r="AC831" s="62"/>
      <c r="AD831" s="62"/>
      <c r="AE831" s="62"/>
      <c r="AF831" s="62"/>
      <c r="AG831" s="62"/>
      <c r="AH831" s="62"/>
      <c r="AI831" s="62"/>
      <c r="AJ831" s="62"/>
      <c r="AK831" s="62"/>
      <c r="AL831" s="62"/>
      <c r="AM831" s="62"/>
      <c r="AN831" s="62"/>
      <c r="AO831" s="62"/>
    </row>
    <row r="832">
      <c r="A832" s="62"/>
      <c r="B832" s="62"/>
      <c r="C832" s="61"/>
      <c r="D832" s="62"/>
      <c r="E832" s="62"/>
      <c r="F832" s="62" t="b">
        <v>0</v>
      </c>
      <c r="G832" s="62"/>
      <c r="H832" s="61"/>
      <c r="I832" s="61"/>
      <c r="J832" s="62"/>
      <c r="K832" s="62"/>
      <c r="L832" s="62"/>
      <c r="M832" s="62"/>
      <c r="N832" s="62"/>
      <c r="O832" s="62" t="b">
        <v>0</v>
      </c>
      <c r="P832" s="62"/>
      <c r="Q832" s="62"/>
      <c r="R832" s="62"/>
      <c r="S832" s="62"/>
      <c r="T832" s="62"/>
      <c r="U832" s="74"/>
      <c r="V832" s="62"/>
      <c r="W832" s="74"/>
      <c r="X832" s="62"/>
      <c r="Y832" s="61"/>
      <c r="Z832" s="62"/>
      <c r="AA832" s="62"/>
      <c r="AB832" s="62"/>
      <c r="AC832" s="62"/>
      <c r="AD832" s="62"/>
      <c r="AE832" s="62"/>
      <c r="AF832" s="62"/>
      <c r="AG832" s="62"/>
      <c r="AH832" s="62"/>
      <c r="AI832" s="62"/>
      <c r="AJ832" s="62"/>
      <c r="AK832" s="62"/>
      <c r="AL832" s="62"/>
      <c r="AM832" s="62"/>
      <c r="AN832" s="62"/>
      <c r="AO832" s="62"/>
    </row>
    <row r="833">
      <c r="A833" s="62"/>
      <c r="B833" s="62"/>
      <c r="C833" s="61"/>
      <c r="D833" s="62"/>
      <c r="E833" s="62"/>
      <c r="F833" s="62" t="b">
        <v>0</v>
      </c>
      <c r="G833" s="62"/>
      <c r="H833" s="61"/>
      <c r="I833" s="61"/>
      <c r="J833" s="62"/>
      <c r="K833" s="62"/>
      <c r="L833" s="62"/>
      <c r="M833" s="62"/>
      <c r="N833" s="62"/>
      <c r="O833" s="62" t="b">
        <v>0</v>
      </c>
      <c r="P833" s="62"/>
      <c r="Q833" s="62"/>
      <c r="R833" s="62"/>
      <c r="S833" s="62"/>
      <c r="T833" s="62"/>
      <c r="U833" s="74"/>
      <c r="V833" s="62"/>
      <c r="W833" s="74"/>
      <c r="X833" s="62"/>
      <c r="Y833" s="61"/>
      <c r="Z833" s="62"/>
      <c r="AA833" s="62"/>
      <c r="AB833" s="62"/>
      <c r="AC833" s="62"/>
      <c r="AD833" s="62"/>
      <c r="AE833" s="62"/>
      <c r="AF833" s="62"/>
      <c r="AG833" s="62"/>
      <c r="AH833" s="62"/>
      <c r="AI833" s="62"/>
      <c r="AJ833" s="62"/>
      <c r="AK833" s="62"/>
      <c r="AL833" s="62"/>
      <c r="AM833" s="62"/>
      <c r="AN833" s="62"/>
      <c r="AO833" s="62"/>
    </row>
    <row r="834">
      <c r="A834" s="62"/>
      <c r="B834" s="62"/>
      <c r="C834" s="61"/>
      <c r="D834" s="62"/>
      <c r="E834" s="62"/>
      <c r="F834" s="62" t="b">
        <v>0</v>
      </c>
      <c r="G834" s="62"/>
      <c r="H834" s="61"/>
      <c r="I834" s="61"/>
      <c r="J834" s="62"/>
      <c r="K834" s="62"/>
      <c r="L834" s="62"/>
      <c r="M834" s="62"/>
      <c r="N834" s="62"/>
      <c r="O834" s="62" t="b">
        <v>0</v>
      </c>
      <c r="P834" s="62"/>
      <c r="Q834" s="62"/>
      <c r="R834" s="62"/>
      <c r="S834" s="62"/>
      <c r="T834" s="62"/>
      <c r="U834" s="74"/>
      <c r="V834" s="62"/>
      <c r="W834" s="74"/>
      <c r="X834" s="62"/>
      <c r="Y834" s="61"/>
      <c r="Z834" s="62"/>
      <c r="AA834" s="62"/>
      <c r="AB834" s="62"/>
      <c r="AC834" s="62"/>
      <c r="AD834" s="62"/>
      <c r="AE834" s="62"/>
      <c r="AF834" s="62"/>
      <c r="AG834" s="62"/>
      <c r="AH834" s="62"/>
      <c r="AI834" s="62"/>
      <c r="AJ834" s="62"/>
      <c r="AK834" s="62"/>
      <c r="AL834" s="62"/>
      <c r="AM834" s="62"/>
      <c r="AN834" s="62"/>
      <c r="AO834" s="62"/>
    </row>
    <row r="835">
      <c r="A835" s="62"/>
      <c r="B835" s="62"/>
      <c r="C835" s="61"/>
      <c r="D835" s="62"/>
      <c r="E835" s="62"/>
      <c r="F835" s="62" t="b">
        <v>0</v>
      </c>
      <c r="G835" s="62"/>
      <c r="H835" s="61"/>
      <c r="I835" s="61"/>
      <c r="J835" s="62"/>
      <c r="K835" s="62"/>
      <c r="L835" s="62"/>
      <c r="M835" s="62"/>
      <c r="N835" s="62"/>
      <c r="O835" s="62" t="b">
        <v>0</v>
      </c>
      <c r="P835" s="62"/>
      <c r="Q835" s="62"/>
      <c r="R835" s="62"/>
      <c r="S835" s="62"/>
      <c r="T835" s="62"/>
      <c r="U835" s="74"/>
      <c r="V835" s="62"/>
      <c r="W835" s="74"/>
      <c r="X835" s="62"/>
      <c r="Y835" s="61"/>
      <c r="Z835" s="62"/>
      <c r="AA835" s="62"/>
      <c r="AB835" s="62"/>
      <c r="AC835" s="62"/>
      <c r="AD835" s="62"/>
      <c r="AE835" s="62"/>
      <c r="AF835" s="62"/>
      <c r="AG835" s="62"/>
      <c r="AH835" s="62"/>
      <c r="AI835" s="62"/>
      <c r="AJ835" s="62"/>
      <c r="AK835" s="62"/>
      <c r="AL835" s="62"/>
      <c r="AM835" s="62"/>
      <c r="AN835" s="62"/>
      <c r="AO835" s="62"/>
    </row>
    <row r="836">
      <c r="A836" s="62"/>
      <c r="B836" s="62"/>
      <c r="C836" s="61"/>
      <c r="D836" s="62"/>
      <c r="E836" s="62"/>
      <c r="F836" s="62" t="b">
        <v>0</v>
      </c>
      <c r="G836" s="62"/>
      <c r="H836" s="61"/>
      <c r="I836" s="61"/>
      <c r="J836" s="62"/>
      <c r="K836" s="62"/>
      <c r="L836" s="62"/>
      <c r="M836" s="62"/>
      <c r="N836" s="62"/>
      <c r="O836" s="62" t="b">
        <v>0</v>
      </c>
      <c r="P836" s="62"/>
      <c r="Q836" s="62"/>
      <c r="R836" s="62"/>
      <c r="S836" s="62"/>
      <c r="T836" s="62"/>
      <c r="U836" s="74"/>
      <c r="V836" s="62"/>
      <c r="W836" s="74"/>
      <c r="X836" s="62"/>
      <c r="Y836" s="61"/>
      <c r="Z836" s="62"/>
      <c r="AA836" s="62"/>
      <c r="AB836" s="62"/>
      <c r="AC836" s="62"/>
      <c r="AD836" s="62"/>
      <c r="AE836" s="62"/>
      <c r="AF836" s="62"/>
      <c r="AG836" s="62"/>
      <c r="AH836" s="62"/>
      <c r="AI836" s="62"/>
      <c r="AJ836" s="62"/>
      <c r="AK836" s="62"/>
      <c r="AL836" s="62"/>
      <c r="AM836" s="62"/>
      <c r="AN836" s="62"/>
      <c r="AO836" s="62"/>
    </row>
    <row r="837">
      <c r="A837" s="62"/>
      <c r="B837" s="62"/>
      <c r="C837" s="61"/>
      <c r="D837" s="62"/>
      <c r="E837" s="62"/>
      <c r="F837" s="62" t="b">
        <v>0</v>
      </c>
      <c r="G837" s="62"/>
      <c r="H837" s="61"/>
      <c r="I837" s="61"/>
      <c r="J837" s="62"/>
      <c r="K837" s="62"/>
      <c r="L837" s="62"/>
      <c r="M837" s="62"/>
      <c r="N837" s="62"/>
      <c r="O837" s="62" t="b">
        <v>0</v>
      </c>
      <c r="P837" s="62"/>
      <c r="Q837" s="62"/>
      <c r="R837" s="62"/>
      <c r="S837" s="62"/>
      <c r="T837" s="62"/>
      <c r="U837" s="74"/>
      <c r="V837" s="62"/>
      <c r="W837" s="74"/>
      <c r="X837" s="62"/>
      <c r="Y837" s="61"/>
      <c r="Z837" s="62"/>
      <c r="AA837" s="62"/>
      <c r="AB837" s="62"/>
      <c r="AC837" s="62"/>
      <c r="AD837" s="62"/>
      <c r="AE837" s="62"/>
      <c r="AF837" s="62"/>
      <c r="AG837" s="62"/>
      <c r="AH837" s="62"/>
      <c r="AI837" s="62"/>
      <c r="AJ837" s="62"/>
      <c r="AK837" s="62"/>
      <c r="AL837" s="62"/>
      <c r="AM837" s="62"/>
      <c r="AN837" s="62"/>
      <c r="AO837" s="62"/>
    </row>
    <row r="838">
      <c r="A838" s="62"/>
      <c r="B838" s="62"/>
      <c r="C838" s="61"/>
      <c r="D838" s="62"/>
      <c r="E838" s="62"/>
      <c r="F838" s="62" t="b">
        <v>0</v>
      </c>
      <c r="G838" s="62"/>
      <c r="H838" s="61"/>
      <c r="I838" s="61"/>
      <c r="J838" s="62"/>
      <c r="K838" s="62"/>
      <c r="L838" s="62"/>
      <c r="M838" s="62"/>
      <c r="N838" s="62"/>
      <c r="O838" s="62" t="b">
        <v>0</v>
      </c>
      <c r="P838" s="62"/>
      <c r="Q838" s="62"/>
      <c r="R838" s="62"/>
      <c r="S838" s="62"/>
      <c r="T838" s="62"/>
      <c r="U838" s="74"/>
      <c r="V838" s="62"/>
      <c r="W838" s="74"/>
      <c r="X838" s="62"/>
      <c r="Y838" s="61"/>
      <c r="Z838" s="62"/>
      <c r="AA838" s="62"/>
      <c r="AB838" s="62"/>
      <c r="AC838" s="62"/>
      <c r="AD838" s="62"/>
      <c r="AE838" s="62"/>
      <c r="AF838" s="62"/>
      <c r="AG838" s="62"/>
      <c r="AH838" s="62"/>
      <c r="AI838" s="62"/>
      <c r="AJ838" s="62"/>
      <c r="AK838" s="62"/>
      <c r="AL838" s="62"/>
      <c r="AM838" s="62"/>
      <c r="AN838" s="62"/>
      <c r="AO838" s="62"/>
    </row>
    <row r="839">
      <c r="A839" s="62"/>
      <c r="B839" s="62"/>
      <c r="C839" s="61"/>
      <c r="D839" s="62"/>
      <c r="E839" s="62"/>
      <c r="F839" s="62" t="b">
        <v>0</v>
      </c>
      <c r="G839" s="62"/>
      <c r="H839" s="61"/>
      <c r="I839" s="61"/>
      <c r="J839" s="62"/>
      <c r="K839" s="62"/>
      <c r="L839" s="62"/>
      <c r="M839" s="62"/>
      <c r="N839" s="62"/>
      <c r="O839" s="62" t="b">
        <v>0</v>
      </c>
      <c r="P839" s="62"/>
      <c r="Q839" s="62"/>
      <c r="R839" s="62"/>
      <c r="S839" s="62"/>
      <c r="T839" s="62"/>
      <c r="U839" s="74"/>
      <c r="V839" s="62"/>
      <c r="W839" s="74"/>
      <c r="X839" s="62"/>
      <c r="Y839" s="61"/>
      <c r="Z839" s="62"/>
      <c r="AA839" s="62"/>
      <c r="AB839" s="62"/>
      <c r="AC839" s="62"/>
      <c r="AD839" s="62"/>
      <c r="AE839" s="62"/>
      <c r="AF839" s="62"/>
      <c r="AG839" s="62"/>
      <c r="AH839" s="62"/>
      <c r="AI839" s="62"/>
      <c r="AJ839" s="62"/>
      <c r="AK839" s="62"/>
      <c r="AL839" s="62"/>
      <c r="AM839" s="62"/>
      <c r="AN839" s="62"/>
      <c r="AO839" s="62"/>
    </row>
    <row r="840">
      <c r="A840" s="62"/>
      <c r="B840" s="62"/>
      <c r="C840" s="61"/>
      <c r="D840" s="62"/>
      <c r="E840" s="62"/>
      <c r="F840" s="62" t="b">
        <v>0</v>
      </c>
      <c r="G840" s="62"/>
      <c r="H840" s="61"/>
      <c r="I840" s="61"/>
      <c r="J840" s="62"/>
      <c r="K840" s="62"/>
      <c r="L840" s="62"/>
      <c r="M840" s="62"/>
      <c r="N840" s="62"/>
      <c r="O840" s="62" t="b">
        <v>0</v>
      </c>
      <c r="P840" s="62"/>
      <c r="Q840" s="62"/>
      <c r="R840" s="62"/>
      <c r="S840" s="62"/>
      <c r="T840" s="62"/>
      <c r="U840" s="74"/>
      <c r="V840" s="62"/>
      <c r="W840" s="74"/>
      <c r="X840" s="62"/>
      <c r="Y840" s="61"/>
      <c r="Z840" s="62"/>
      <c r="AA840" s="62"/>
      <c r="AB840" s="62"/>
      <c r="AC840" s="62"/>
      <c r="AD840" s="62"/>
      <c r="AE840" s="62"/>
      <c r="AF840" s="62"/>
      <c r="AG840" s="62"/>
      <c r="AH840" s="62"/>
      <c r="AI840" s="62"/>
      <c r="AJ840" s="62"/>
      <c r="AK840" s="62"/>
      <c r="AL840" s="62"/>
      <c r="AM840" s="62"/>
      <c r="AN840" s="62"/>
      <c r="AO840" s="62"/>
    </row>
    <row r="841">
      <c r="A841" s="62"/>
      <c r="B841" s="62"/>
      <c r="C841" s="61"/>
      <c r="D841" s="62"/>
      <c r="E841" s="62"/>
      <c r="F841" s="62" t="b">
        <v>0</v>
      </c>
      <c r="G841" s="62"/>
      <c r="H841" s="61"/>
      <c r="I841" s="61"/>
      <c r="J841" s="62"/>
      <c r="K841" s="62"/>
      <c r="L841" s="62"/>
      <c r="M841" s="62"/>
      <c r="N841" s="62"/>
      <c r="O841" s="62" t="b">
        <v>0</v>
      </c>
      <c r="P841" s="62"/>
      <c r="Q841" s="62"/>
      <c r="R841" s="62"/>
      <c r="S841" s="62"/>
      <c r="T841" s="62"/>
      <c r="U841" s="74"/>
      <c r="V841" s="62"/>
      <c r="W841" s="74"/>
      <c r="X841" s="62"/>
      <c r="Y841" s="61"/>
      <c r="Z841" s="62"/>
      <c r="AA841" s="62"/>
      <c r="AB841" s="62"/>
      <c r="AC841" s="62"/>
      <c r="AD841" s="62"/>
      <c r="AE841" s="62"/>
      <c r="AF841" s="62"/>
      <c r="AG841" s="62"/>
      <c r="AH841" s="62"/>
      <c r="AI841" s="62"/>
      <c r="AJ841" s="62"/>
      <c r="AK841" s="62"/>
      <c r="AL841" s="62"/>
      <c r="AM841" s="62"/>
      <c r="AN841" s="62"/>
      <c r="AO841" s="62"/>
    </row>
    <row r="842">
      <c r="A842" s="62"/>
      <c r="B842" s="62"/>
      <c r="C842" s="61"/>
      <c r="D842" s="62"/>
      <c r="E842" s="62"/>
      <c r="F842" s="62" t="b">
        <v>0</v>
      </c>
      <c r="G842" s="62"/>
      <c r="H842" s="61"/>
      <c r="I842" s="61"/>
      <c r="J842" s="62"/>
      <c r="K842" s="62"/>
      <c r="L842" s="62"/>
      <c r="M842" s="62"/>
      <c r="N842" s="62"/>
      <c r="O842" s="62" t="b">
        <v>0</v>
      </c>
      <c r="P842" s="62"/>
      <c r="Q842" s="62"/>
      <c r="R842" s="62"/>
      <c r="S842" s="62"/>
      <c r="T842" s="62"/>
      <c r="U842" s="74"/>
      <c r="V842" s="62"/>
      <c r="W842" s="74"/>
      <c r="X842" s="62"/>
      <c r="Y842" s="61"/>
      <c r="Z842" s="62"/>
      <c r="AA842" s="62"/>
      <c r="AB842" s="62"/>
      <c r="AC842" s="62"/>
      <c r="AD842" s="62"/>
      <c r="AE842" s="62"/>
      <c r="AF842" s="62"/>
      <c r="AG842" s="62"/>
      <c r="AH842" s="62"/>
      <c r="AI842" s="62"/>
      <c r="AJ842" s="62"/>
      <c r="AK842" s="62"/>
      <c r="AL842" s="62"/>
      <c r="AM842" s="62"/>
      <c r="AN842" s="62"/>
      <c r="AO842" s="62"/>
    </row>
    <row r="843">
      <c r="A843" s="62"/>
      <c r="B843" s="62"/>
      <c r="C843" s="61"/>
      <c r="D843" s="62"/>
      <c r="E843" s="62"/>
      <c r="F843" s="62" t="b">
        <v>0</v>
      </c>
      <c r="G843" s="62"/>
      <c r="H843" s="61"/>
      <c r="I843" s="61"/>
      <c r="J843" s="62"/>
      <c r="K843" s="62"/>
      <c r="L843" s="62"/>
      <c r="M843" s="62"/>
      <c r="N843" s="62"/>
      <c r="O843" s="62" t="b">
        <v>0</v>
      </c>
      <c r="P843" s="62"/>
      <c r="Q843" s="62"/>
      <c r="R843" s="62"/>
      <c r="S843" s="62"/>
      <c r="T843" s="62"/>
      <c r="U843" s="74"/>
      <c r="V843" s="62"/>
      <c r="W843" s="74"/>
      <c r="X843" s="62"/>
      <c r="Y843" s="61"/>
      <c r="Z843" s="62"/>
      <c r="AA843" s="62"/>
      <c r="AB843" s="62"/>
      <c r="AC843" s="62"/>
      <c r="AD843" s="62"/>
      <c r="AE843" s="62"/>
      <c r="AF843" s="62"/>
      <c r="AG843" s="62"/>
      <c r="AH843" s="62"/>
      <c r="AI843" s="62"/>
      <c r="AJ843" s="62"/>
      <c r="AK843" s="62"/>
      <c r="AL843" s="62"/>
      <c r="AM843" s="62"/>
      <c r="AN843" s="62"/>
      <c r="AO843" s="62"/>
    </row>
    <row r="844">
      <c r="A844" s="62"/>
      <c r="B844" s="62"/>
      <c r="C844" s="61"/>
      <c r="D844" s="62"/>
      <c r="E844" s="62"/>
      <c r="F844" s="62" t="b">
        <v>0</v>
      </c>
      <c r="G844" s="62"/>
      <c r="H844" s="61"/>
      <c r="I844" s="61"/>
      <c r="J844" s="62"/>
      <c r="K844" s="62"/>
      <c r="L844" s="62"/>
      <c r="M844" s="62"/>
      <c r="N844" s="62"/>
      <c r="O844" s="62" t="b">
        <v>0</v>
      </c>
      <c r="P844" s="62"/>
      <c r="Q844" s="62"/>
      <c r="R844" s="62"/>
      <c r="S844" s="62"/>
      <c r="T844" s="62"/>
      <c r="U844" s="74"/>
      <c r="V844" s="62"/>
      <c r="W844" s="74"/>
      <c r="X844" s="62"/>
      <c r="Y844" s="61"/>
      <c r="Z844" s="62"/>
      <c r="AA844" s="62"/>
      <c r="AB844" s="62"/>
      <c r="AC844" s="62"/>
      <c r="AD844" s="62"/>
      <c r="AE844" s="62"/>
      <c r="AF844" s="62"/>
      <c r="AG844" s="62"/>
      <c r="AH844" s="62"/>
      <c r="AI844" s="62"/>
      <c r="AJ844" s="62"/>
      <c r="AK844" s="62"/>
      <c r="AL844" s="62"/>
      <c r="AM844" s="62"/>
      <c r="AN844" s="62"/>
      <c r="AO844" s="62"/>
    </row>
    <row r="845">
      <c r="A845" s="62"/>
      <c r="B845" s="62"/>
      <c r="C845" s="61"/>
      <c r="D845" s="62"/>
      <c r="E845" s="62"/>
      <c r="F845" s="62" t="b">
        <v>0</v>
      </c>
      <c r="G845" s="62"/>
      <c r="H845" s="61"/>
      <c r="I845" s="61"/>
      <c r="J845" s="62"/>
      <c r="K845" s="62"/>
      <c r="L845" s="62"/>
      <c r="M845" s="62"/>
      <c r="N845" s="62"/>
      <c r="O845" s="62" t="b">
        <v>0</v>
      </c>
      <c r="P845" s="62"/>
      <c r="Q845" s="62"/>
      <c r="R845" s="62"/>
      <c r="S845" s="62"/>
      <c r="T845" s="62"/>
      <c r="U845" s="74"/>
      <c r="V845" s="62"/>
      <c r="W845" s="74"/>
      <c r="X845" s="62"/>
      <c r="Y845" s="61"/>
      <c r="Z845" s="62"/>
      <c r="AA845" s="62"/>
      <c r="AB845" s="62"/>
      <c r="AC845" s="62"/>
      <c r="AD845" s="62"/>
      <c r="AE845" s="62"/>
      <c r="AF845" s="62"/>
      <c r="AG845" s="62"/>
      <c r="AH845" s="62"/>
      <c r="AI845" s="62"/>
      <c r="AJ845" s="62"/>
      <c r="AK845" s="62"/>
      <c r="AL845" s="62"/>
      <c r="AM845" s="62"/>
      <c r="AN845" s="62"/>
      <c r="AO845" s="62"/>
    </row>
    <row r="846">
      <c r="A846" s="62"/>
      <c r="B846" s="62"/>
      <c r="C846" s="61"/>
      <c r="D846" s="62"/>
      <c r="E846" s="62"/>
      <c r="F846" s="62" t="b">
        <v>0</v>
      </c>
      <c r="G846" s="62"/>
      <c r="H846" s="61"/>
      <c r="I846" s="61"/>
      <c r="J846" s="62"/>
      <c r="K846" s="62"/>
      <c r="L846" s="62"/>
      <c r="M846" s="62"/>
      <c r="N846" s="62"/>
      <c r="O846" s="62" t="b">
        <v>0</v>
      </c>
      <c r="P846" s="62"/>
      <c r="Q846" s="62"/>
      <c r="R846" s="62"/>
      <c r="S846" s="62"/>
      <c r="T846" s="62"/>
      <c r="U846" s="74"/>
      <c r="V846" s="62"/>
      <c r="W846" s="74"/>
      <c r="X846" s="62"/>
      <c r="Y846" s="61"/>
      <c r="Z846" s="62"/>
      <c r="AA846" s="62"/>
      <c r="AB846" s="62"/>
      <c r="AC846" s="62"/>
      <c r="AD846" s="62"/>
      <c r="AE846" s="62"/>
      <c r="AF846" s="62"/>
      <c r="AG846" s="62"/>
      <c r="AH846" s="62"/>
      <c r="AI846" s="62"/>
      <c r="AJ846" s="62"/>
      <c r="AK846" s="62"/>
      <c r="AL846" s="62"/>
      <c r="AM846" s="62"/>
      <c r="AN846" s="62"/>
      <c r="AO846" s="62"/>
    </row>
    <row r="847">
      <c r="A847" s="62"/>
      <c r="B847" s="62"/>
      <c r="C847" s="61"/>
      <c r="D847" s="62"/>
      <c r="E847" s="62"/>
      <c r="F847" s="62" t="b">
        <v>0</v>
      </c>
      <c r="G847" s="62"/>
      <c r="H847" s="61"/>
      <c r="I847" s="61"/>
      <c r="J847" s="62"/>
      <c r="K847" s="62"/>
      <c r="L847" s="62"/>
      <c r="M847" s="62"/>
      <c r="N847" s="62"/>
      <c r="O847" s="62" t="b">
        <v>0</v>
      </c>
      <c r="P847" s="62"/>
      <c r="Q847" s="62"/>
      <c r="R847" s="62"/>
      <c r="S847" s="62"/>
      <c r="T847" s="62"/>
      <c r="U847" s="74"/>
      <c r="V847" s="62"/>
      <c r="W847" s="74"/>
      <c r="X847" s="62"/>
      <c r="Y847" s="61"/>
      <c r="Z847" s="62"/>
      <c r="AA847" s="62"/>
      <c r="AB847" s="62"/>
      <c r="AC847" s="62"/>
      <c r="AD847" s="62"/>
      <c r="AE847" s="62"/>
      <c r="AF847" s="62"/>
      <c r="AG847" s="62"/>
      <c r="AH847" s="62"/>
      <c r="AI847" s="62"/>
      <c r="AJ847" s="62"/>
      <c r="AK847" s="62"/>
      <c r="AL847" s="62"/>
      <c r="AM847" s="62"/>
      <c r="AN847" s="62"/>
      <c r="AO847" s="62"/>
    </row>
    <row r="848">
      <c r="A848" s="62"/>
      <c r="B848" s="62"/>
      <c r="C848" s="61"/>
      <c r="D848" s="62"/>
      <c r="E848" s="62"/>
      <c r="F848" s="62" t="b">
        <v>0</v>
      </c>
      <c r="G848" s="62"/>
      <c r="H848" s="61"/>
      <c r="I848" s="61"/>
      <c r="J848" s="62"/>
      <c r="K848" s="62"/>
      <c r="L848" s="62"/>
      <c r="M848" s="62"/>
      <c r="N848" s="62"/>
      <c r="O848" s="62" t="b">
        <v>0</v>
      </c>
      <c r="P848" s="62"/>
      <c r="Q848" s="62"/>
      <c r="R848" s="62"/>
      <c r="S848" s="62"/>
      <c r="T848" s="62"/>
      <c r="U848" s="74"/>
      <c r="V848" s="62"/>
      <c r="W848" s="74"/>
      <c r="X848" s="62"/>
      <c r="Y848" s="61"/>
      <c r="Z848" s="62"/>
      <c r="AA848" s="62"/>
      <c r="AB848" s="62"/>
      <c r="AC848" s="62"/>
      <c r="AD848" s="62"/>
      <c r="AE848" s="62"/>
      <c r="AF848" s="62"/>
      <c r="AG848" s="62"/>
      <c r="AH848" s="62"/>
      <c r="AI848" s="62"/>
      <c r="AJ848" s="62"/>
      <c r="AK848" s="62"/>
      <c r="AL848" s="62"/>
      <c r="AM848" s="62"/>
      <c r="AN848" s="62"/>
      <c r="AO848" s="62"/>
    </row>
    <row r="849">
      <c r="A849" s="62"/>
      <c r="B849" s="62"/>
      <c r="C849" s="61"/>
      <c r="D849" s="62"/>
      <c r="E849" s="62"/>
      <c r="F849" s="62" t="b">
        <v>0</v>
      </c>
      <c r="G849" s="62"/>
      <c r="H849" s="61"/>
      <c r="I849" s="61"/>
      <c r="J849" s="62"/>
      <c r="K849" s="62"/>
      <c r="L849" s="62"/>
      <c r="M849" s="62"/>
      <c r="N849" s="62"/>
      <c r="O849" s="62" t="b">
        <v>0</v>
      </c>
      <c r="P849" s="62"/>
      <c r="Q849" s="62"/>
      <c r="R849" s="62"/>
      <c r="S849" s="62"/>
      <c r="T849" s="62"/>
      <c r="U849" s="74"/>
      <c r="V849" s="62"/>
      <c r="W849" s="74"/>
      <c r="X849" s="62"/>
      <c r="Y849" s="61"/>
      <c r="Z849" s="62"/>
      <c r="AA849" s="62"/>
      <c r="AB849" s="62"/>
      <c r="AC849" s="62"/>
      <c r="AD849" s="62"/>
      <c r="AE849" s="62"/>
      <c r="AF849" s="62"/>
      <c r="AG849" s="62"/>
      <c r="AH849" s="62"/>
      <c r="AI849" s="62"/>
      <c r="AJ849" s="62"/>
      <c r="AK849" s="62"/>
      <c r="AL849" s="62"/>
      <c r="AM849" s="62"/>
      <c r="AN849" s="62"/>
      <c r="AO849" s="62"/>
    </row>
    <row r="850">
      <c r="A850" s="62"/>
      <c r="B850" s="62"/>
      <c r="C850" s="61"/>
      <c r="D850" s="62"/>
      <c r="E850" s="62"/>
      <c r="F850" s="62" t="b">
        <v>0</v>
      </c>
      <c r="G850" s="62"/>
      <c r="H850" s="61"/>
      <c r="I850" s="61"/>
      <c r="J850" s="62"/>
      <c r="K850" s="62"/>
      <c r="L850" s="62"/>
      <c r="M850" s="62"/>
      <c r="N850" s="62"/>
      <c r="O850" s="62" t="b">
        <v>0</v>
      </c>
      <c r="P850" s="62"/>
      <c r="Q850" s="62"/>
      <c r="R850" s="62"/>
      <c r="S850" s="62"/>
      <c r="T850" s="62"/>
      <c r="U850" s="74"/>
      <c r="V850" s="62"/>
      <c r="W850" s="74"/>
      <c r="X850" s="62"/>
      <c r="Y850" s="61"/>
      <c r="Z850" s="62"/>
      <c r="AA850" s="62"/>
      <c r="AB850" s="62"/>
      <c r="AC850" s="62"/>
      <c r="AD850" s="62"/>
      <c r="AE850" s="62"/>
      <c r="AF850" s="62"/>
      <c r="AG850" s="62"/>
      <c r="AH850" s="62"/>
      <c r="AI850" s="62"/>
      <c r="AJ850" s="62"/>
      <c r="AK850" s="62"/>
      <c r="AL850" s="62"/>
      <c r="AM850" s="62"/>
      <c r="AN850" s="62"/>
      <c r="AO850" s="62"/>
    </row>
    <row r="851">
      <c r="A851" s="62"/>
      <c r="B851" s="62"/>
      <c r="C851" s="61"/>
      <c r="D851" s="62"/>
      <c r="E851" s="62"/>
      <c r="F851" s="62" t="b">
        <v>0</v>
      </c>
      <c r="G851" s="62"/>
      <c r="H851" s="61"/>
      <c r="I851" s="61"/>
      <c r="J851" s="62"/>
      <c r="K851" s="62"/>
      <c r="L851" s="62"/>
      <c r="M851" s="62"/>
      <c r="N851" s="62"/>
      <c r="O851" s="62" t="b">
        <v>0</v>
      </c>
      <c r="P851" s="62"/>
      <c r="Q851" s="62"/>
      <c r="R851" s="62"/>
      <c r="S851" s="62"/>
      <c r="T851" s="62"/>
      <c r="U851" s="74"/>
      <c r="V851" s="62"/>
      <c r="W851" s="74"/>
      <c r="X851" s="62"/>
      <c r="Y851" s="61"/>
      <c r="Z851" s="62"/>
      <c r="AA851" s="62"/>
      <c r="AB851" s="62"/>
      <c r="AC851" s="62"/>
      <c r="AD851" s="62"/>
      <c r="AE851" s="62"/>
      <c r="AF851" s="62"/>
      <c r="AG851" s="62"/>
      <c r="AH851" s="62"/>
      <c r="AI851" s="62"/>
      <c r="AJ851" s="62"/>
      <c r="AK851" s="62"/>
      <c r="AL851" s="62"/>
      <c r="AM851" s="62"/>
      <c r="AN851" s="62"/>
      <c r="AO851" s="62"/>
    </row>
    <row r="852">
      <c r="A852" s="62"/>
      <c r="B852" s="62"/>
      <c r="C852" s="61"/>
      <c r="D852" s="62"/>
      <c r="E852" s="62"/>
      <c r="F852" s="62" t="b">
        <v>0</v>
      </c>
      <c r="G852" s="62"/>
      <c r="H852" s="61"/>
      <c r="I852" s="61"/>
      <c r="J852" s="62"/>
      <c r="K852" s="62"/>
      <c r="L852" s="62"/>
      <c r="M852" s="62"/>
      <c r="N852" s="62"/>
      <c r="O852" s="62" t="b">
        <v>0</v>
      </c>
      <c r="P852" s="62"/>
      <c r="Q852" s="62"/>
      <c r="R852" s="62"/>
      <c r="S852" s="62"/>
      <c r="T852" s="62"/>
      <c r="U852" s="74"/>
      <c r="V852" s="62"/>
      <c r="W852" s="74"/>
      <c r="X852" s="62"/>
      <c r="Y852" s="61"/>
      <c r="Z852" s="62"/>
      <c r="AA852" s="62"/>
      <c r="AB852" s="62"/>
      <c r="AC852" s="62"/>
      <c r="AD852" s="62"/>
      <c r="AE852" s="62"/>
      <c r="AF852" s="62"/>
      <c r="AG852" s="62"/>
      <c r="AH852" s="62"/>
      <c r="AI852" s="62"/>
      <c r="AJ852" s="62"/>
      <c r="AK852" s="62"/>
      <c r="AL852" s="62"/>
      <c r="AM852" s="62"/>
      <c r="AN852" s="62"/>
      <c r="AO852" s="62"/>
    </row>
    <row r="853">
      <c r="A853" s="62"/>
      <c r="B853" s="62"/>
      <c r="C853" s="61"/>
      <c r="D853" s="62"/>
      <c r="E853" s="62"/>
      <c r="F853" s="62" t="b">
        <v>0</v>
      </c>
      <c r="G853" s="62"/>
      <c r="H853" s="61"/>
      <c r="I853" s="61"/>
      <c r="J853" s="62"/>
      <c r="K853" s="62"/>
      <c r="L853" s="62"/>
      <c r="M853" s="62"/>
      <c r="N853" s="62"/>
      <c r="O853" s="62" t="b">
        <v>0</v>
      </c>
      <c r="P853" s="62"/>
      <c r="Q853" s="62"/>
      <c r="R853" s="62"/>
      <c r="S853" s="62"/>
      <c r="T853" s="62"/>
      <c r="U853" s="74"/>
      <c r="V853" s="62"/>
      <c r="W853" s="74"/>
      <c r="X853" s="62"/>
      <c r="Y853" s="61"/>
      <c r="Z853" s="62"/>
      <c r="AA853" s="62"/>
      <c r="AB853" s="62"/>
      <c r="AC853" s="62"/>
      <c r="AD853" s="62"/>
      <c r="AE853" s="62"/>
      <c r="AF853" s="62"/>
      <c r="AG853" s="62"/>
      <c r="AH853" s="62"/>
      <c r="AI853" s="62"/>
      <c r="AJ853" s="62"/>
      <c r="AK853" s="62"/>
      <c r="AL853" s="62"/>
      <c r="AM853" s="62"/>
      <c r="AN853" s="62"/>
      <c r="AO853" s="62"/>
    </row>
    <row r="854">
      <c r="A854" s="62"/>
      <c r="B854" s="62"/>
      <c r="C854" s="61"/>
      <c r="D854" s="62"/>
      <c r="E854" s="62"/>
      <c r="F854" s="62" t="b">
        <v>0</v>
      </c>
      <c r="G854" s="62"/>
      <c r="H854" s="61"/>
      <c r="I854" s="61"/>
      <c r="J854" s="62"/>
      <c r="K854" s="62"/>
      <c r="L854" s="62"/>
      <c r="M854" s="62"/>
      <c r="N854" s="62"/>
      <c r="O854" s="62" t="b">
        <v>0</v>
      </c>
      <c r="P854" s="62"/>
      <c r="Q854" s="62"/>
      <c r="R854" s="62"/>
      <c r="S854" s="62"/>
      <c r="T854" s="62"/>
      <c r="U854" s="74"/>
      <c r="V854" s="62"/>
      <c r="W854" s="74"/>
      <c r="X854" s="62"/>
      <c r="Y854" s="61"/>
      <c r="Z854" s="62"/>
      <c r="AA854" s="62"/>
      <c r="AB854" s="62"/>
      <c r="AC854" s="62"/>
      <c r="AD854" s="62"/>
      <c r="AE854" s="62"/>
      <c r="AF854" s="62"/>
      <c r="AG854" s="62"/>
      <c r="AH854" s="62"/>
      <c r="AI854" s="62"/>
      <c r="AJ854" s="62"/>
      <c r="AK854" s="62"/>
      <c r="AL854" s="62"/>
      <c r="AM854" s="62"/>
      <c r="AN854" s="62"/>
      <c r="AO854" s="62"/>
    </row>
    <row r="855">
      <c r="A855" s="62"/>
      <c r="B855" s="62"/>
      <c r="C855" s="61"/>
      <c r="D855" s="62"/>
      <c r="E855" s="62"/>
      <c r="F855" s="62" t="b">
        <v>0</v>
      </c>
      <c r="G855" s="62"/>
      <c r="H855" s="61"/>
      <c r="I855" s="61"/>
      <c r="J855" s="62"/>
      <c r="K855" s="62"/>
      <c r="L855" s="62"/>
      <c r="M855" s="62"/>
      <c r="N855" s="62"/>
      <c r="O855" s="62" t="b">
        <v>0</v>
      </c>
      <c r="P855" s="62"/>
      <c r="Q855" s="62"/>
      <c r="R855" s="62"/>
      <c r="S855" s="62"/>
      <c r="T855" s="62"/>
      <c r="U855" s="74"/>
      <c r="V855" s="62"/>
      <c r="W855" s="74"/>
      <c r="X855" s="62"/>
      <c r="Y855" s="61"/>
      <c r="Z855" s="62"/>
      <c r="AA855" s="62"/>
      <c r="AB855" s="62"/>
      <c r="AC855" s="62"/>
      <c r="AD855" s="62"/>
      <c r="AE855" s="62"/>
      <c r="AF855" s="62"/>
      <c r="AG855" s="62"/>
      <c r="AH855" s="62"/>
      <c r="AI855" s="62"/>
      <c r="AJ855" s="62"/>
      <c r="AK855" s="62"/>
      <c r="AL855" s="62"/>
      <c r="AM855" s="62"/>
      <c r="AN855" s="62"/>
      <c r="AO855" s="62"/>
    </row>
    <row r="856">
      <c r="A856" s="62"/>
      <c r="B856" s="62"/>
      <c r="C856" s="61"/>
      <c r="D856" s="62"/>
      <c r="E856" s="62"/>
      <c r="F856" s="62" t="b">
        <v>0</v>
      </c>
      <c r="G856" s="62"/>
      <c r="H856" s="61"/>
      <c r="I856" s="61"/>
      <c r="J856" s="62"/>
      <c r="K856" s="62"/>
      <c r="L856" s="62"/>
      <c r="M856" s="62"/>
      <c r="N856" s="62"/>
      <c r="O856" s="62" t="b">
        <v>0</v>
      </c>
      <c r="P856" s="62"/>
      <c r="Q856" s="62"/>
      <c r="R856" s="62"/>
      <c r="S856" s="62"/>
      <c r="T856" s="62"/>
      <c r="U856" s="74"/>
      <c r="V856" s="62"/>
      <c r="W856" s="74"/>
      <c r="X856" s="62"/>
      <c r="Y856" s="61"/>
      <c r="Z856" s="62"/>
      <c r="AA856" s="62"/>
      <c r="AB856" s="62"/>
      <c r="AC856" s="62"/>
      <c r="AD856" s="62"/>
      <c r="AE856" s="62"/>
      <c r="AF856" s="62"/>
      <c r="AG856" s="62"/>
      <c r="AH856" s="62"/>
      <c r="AI856" s="62"/>
      <c r="AJ856" s="62"/>
      <c r="AK856" s="62"/>
      <c r="AL856" s="62"/>
      <c r="AM856" s="62"/>
      <c r="AN856" s="62"/>
      <c r="AO856" s="62"/>
    </row>
    <row r="857">
      <c r="A857" s="62"/>
      <c r="B857" s="62"/>
      <c r="C857" s="61"/>
      <c r="D857" s="62"/>
      <c r="E857" s="62"/>
      <c r="F857" s="62" t="b">
        <v>0</v>
      </c>
      <c r="G857" s="62"/>
      <c r="H857" s="61"/>
      <c r="I857" s="61"/>
      <c r="J857" s="62"/>
      <c r="K857" s="62"/>
      <c r="L857" s="62"/>
      <c r="M857" s="62"/>
      <c r="N857" s="62"/>
      <c r="O857" s="62" t="b">
        <v>0</v>
      </c>
      <c r="P857" s="62"/>
      <c r="Q857" s="62"/>
      <c r="R857" s="62"/>
      <c r="S857" s="62"/>
      <c r="T857" s="62"/>
      <c r="U857" s="74"/>
      <c r="V857" s="62"/>
      <c r="W857" s="74"/>
      <c r="X857" s="62"/>
      <c r="Y857" s="61"/>
      <c r="Z857" s="62"/>
      <c r="AA857" s="62"/>
      <c r="AB857" s="62"/>
      <c r="AC857" s="62"/>
      <c r="AD857" s="62"/>
      <c r="AE857" s="62"/>
      <c r="AF857" s="62"/>
      <c r="AG857" s="62"/>
      <c r="AH857" s="62"/>
      <c r="AI857" s="62"/>
      <c r="AJ857" s="62"/>
      <c r="AK857" s="62"/>
      <c r="AL857" s="62"/>
      <c r="AM857" s="62"/>
      <c r="AN857" s="62"/>
      <c r="AO857" s="62"/>
    </row>
    <row r="858">
      <c r="A858" s="62"/>
      <c r="B858" s="62"/>
      <c r="C858" s="61"/>
      <c r="D858" s="62"/>
      <c r="E858" s="62"/>
      <c r="F858" s="62" t="b">
        <v>0</v>
      </c>
      <c r="G858" s="62"/>
      <c r="H858" s="61"/>
      <c r="I858" s="61"/>
      <c r="J858" s="62"/>
      <c r="K858" s="62"/>
      <c r="L858" s="62"/>
      <c r="M858" s="62"/>
      <c r="N858" s="62"/>
      <c r="O858" s="62" t="b">
        <v>0</v>
      </c>
      <c r="P858" s="62"/>
      <c r="Q858" s="62"/>
      <c r="R858" s="62"/>
      <c r="S858" s="62"/>
      <c r="T858" s="62"/>
      <c r="U858" s="74"/>
      <c r="V858" s="62"/>
      <c r="W858" s="74"/>
      <c r="X858" s="62"/>
      <c r="Y858" s="61"/>
      <c r="Z858" s="62"/>
      <c r="AA858" s="62"/>
      <c r="AB858" s="62"/>
      <c r="AC858" s="62"/>
      <c r="AD858" s="62"/>
      <c r="AE858" s="62"/>
      <c r="AF858" s="62"/>
      <c r="AG858" s="62"/>
      <c r="AH858" s="62"/>
      <c r="AI858" s="62"/>
      <c r="AJ858" s="62"/>
      <c r="AK858" s="62"/>
      <c r="AL858" s="62"/>
      <c r="AM858" s="62"/>
      <c r="AN858" s="62"/>
      <c r="AO858" s="62"/>
    </row>
    <row r="859">
      <c r="A859" s="62"/>
      <c r="B859" s="62"/>
      <c r="C859" s="61"/>
      <c r="D859" s="62"/>
      <c r="E859" s="62"/>
      <c r="F859" s="62" t="b">
        <v>0</v>
      </c>
      <c r="G859" s="62"/>
      <c r="H859" s="61"/>
      <c r="I859" s="61"/>
      <c r="J859" s="62"/>
      <c r="K859" s="62"/>
      <c r="L859" s="62"/>
      <c r="M859" s="62"/>
      <c r="N859" s="62"/>
      <c r="O859" s="62" t="b">
        <v>0</v>
      </c>
      <c r="P859" s="62"/>
      <c r="Q859" s="62"/>
      <c r="R859" s="62"/>
      <c r="S859" s="62"/>
      <c r="T859" s="62"/>
      <c r="U859" s="74"/>
      <c r="V859" s="62"/>
      <c r="W859" s="74"/>
      <c r="X859" s="62"/>
      <c r="Y859" s="61"/>
      <c r="Z859" s="62"/>
      <c r="AA859" s="62"/>
      <c r="AB859" s="62"/>
      <c r="AC859" s="62"/>
      <c r="AD859" s="62"/>
      <c r="AE859" s="62"/>
      <c r="AF859" s="62"/>
      <c r="AG859" s="62"/>
      <c r="AH859" s="62"/>
      <c r="AI859" s="62"/>
      <c r="AJ859" s="62"/>
      <c r="AK859" s="62"/>
      <c r="AL859" s="62"/>
      <c r="AM859" s="62"/>
      <c r="AN859" s="62"/>
      <c r="AO859" s="62"/>
    </row>
    <row r="860">
      <c r="A860" s="62"/>
      <c r="B860" s="62"/>
      <c r="C860" s="61"/>
      <c r="D860" s="62"/>
      <c r="E860" s="62"/>
      <c r="F860" s="62" t="b">
        <v>0</v>
      </c>
      <c r="G860" s="62"/>
      <c r="H860" s="61"/>
      <c r="I860" s="61"/>
      <c r="J860" s="62"/>
      <c r="K860" s="62"/>
      <c r="L860" s="62"/>
      <c r="M860" s="62"/>
      <c r="N860" s="62"/>
      <c r="O860" s="62" t="b">
        <v>0</v>
      </c>
      <c r="P860" s="62"/>
      <c r="Q860" s="62"/>
      <c r="R860" s="62"/>
      <c r="S860" s="62"/>
      <c r="T860" s="62"/>
      <c r="U860" s="74"/>
      <c r="V860" s="62"/>
      <c r="W860" s="74"/>
      <c r="X860" s="62"/>
      <c r="Y860" s="61"/>
      <c r="Z860" s="62"/>
      <c r="AA860" s="62"/>
      <c r="AB860" s="62"/>
      <c r="AC860" s="62"/>
      <c r="AD860" s="62"/>
      <c r="AE860" s="62"/>
      <c r="AF860" s="62"/>
      <c r="AG860" s="62"/>
      <c r="AH860" s="62"/>
      <c r="AI860" s="62"/>
      <c r="AJ860" s="62"/>
      <c r="AK860" s="62"/>
      <c r="AL860" s="62"/>
      <c r="AM860" s="62"/>
      <c r="AN860" s="62"/>
      <c r="AO860" s="62"/>
    </row>
    <row r="861">
      <c r="A861" s="62"/>
      <c r="B861" s="62"/>
      <c r="C861" s="61"/>
      <c r="D861" s="62"/>
      <c r="E861" s="62"/>
      <c r="F861" s="62" t="b">
        <v>0</v>
      </c>
      <c r="G861" s="62"/>
      <c r="H861" s="61"/>
      <c r="I861" s="61"/>
      <c r="J861" s="62"/>
      <c r="K861" s="62"/>
      <c r="L861" s="62"/>
      <c r="M861" s="62"/>
      <c r="N861" s="62"/>
      <c r="O861" s="62" t="b">
        <v>0</v>
      </c>
      <c r="P861" s="62"/>
      <c r="Q861" s="62"/>
      <c r="R861" s="62"/>
      <c r="S861" s="62"/>
      <c r="T861" s="62"/>
      <c r="U861" s="74"/>
      <c r="V861" s="62"/>
      <c r="W861" s="74"/>
      <c r="X861" s="62"/>
      <c r="Y861" s="61"/>
      <c r="Z861" s="62"/>
      <c r="AA861" s="62"/>
      <c r="AB861" s="62"/>
      <c r="AC861" s="62"/>
      <c r="AD861" s="62"/>
      <c r="AE861" s="62"/>
      <c r="AF861" s="62"/>
      <c r="AG861" s="62"/>
      <c r="AH861" s="62"/>
      <c r="AI861" s="62"/>
      <c r="AJ861" s="62"/>
      <c r="AK861" s="62"/>
      <c r="AL861" s="62"/>
      <c r="AM861" s="62"/>
      <c r="AN861" s="62"/>
      <c r="AO861" s="62"/>
    </row>
    <row r="862">
      <c r="A862" s="62"/>
      <c r="B862" s="62"/>
      <c r="C862" s="61"/>
      <c r="D862" s="62"/>
      <c r="E862" s="62"/>
      <c r="F862" s="62" t="b">
        <v>0</v>
      </c>
      <c r="G862" s="62"/>
      <c r="H862" s="61"/>
      <c r="I862" s="61"/>
      <c r="J862" s="62"/>
      <c r="K862" s="62"/>
      <c r="L862" s="62"/>
      <c r="M862" s="62"/>
      <c r="N862" s="62"/>
      <c r="O862" s="62" t="b">
        <v>0</v>
      </c>
      <c r="P862" s="62"/>
      <c r="Q862" s="62"/>
      <c r="R862" s="62"/>
      <c r="S862" s="62"/>
      <c r="T862" s="62"/>
      <c r="U862" s="74"/>
      <c r="V862" s="62"/>
      <c r="W862" s="74"/>
      <c r="X862" s="62"/>
      <c r="Y862" s="61"/>
      <c r="Z862" s="62"/>
      <c r="AA862" s="62"/>
      <c r="AB862" s="62"/>
      <c r="AC862" s="62"/>
      <c r="AD862" s="62"/>
      <c r="AE862" s="62"/>
      <c r="AF862" s="62"/>
      <c r="AG862" s="62"/>
      <c r="AH862" s="62"/>
      <c r="AI862" s="62"/>
      <c r="AJ862" s="62"/>
      <c r="AK862" s="62"/>
      <c r="AL862" s="62"/>
      <c r="AM862" s="62"/>
      <c r="AN862" s="62"/>
      <c r="AO862" s="62"/>
    </row>
    <row r="863">
      <c r="A863" s="62"/>
      <c r="B863" s="62"/>
      <c r="C863" s="61"/>
      <c r="D863" s="62"/>
      <c r="E863" s="62"/>
      <c r="F863" s="62" t="b">
        <v>0</v>
      </c>
      <c r="G863" s="62"/>
      <c r="H863" s="61"/>
      <c r="I863" s="61"/>
      <c r="J863" s="62"/>
      <c r="K863" s="62"/>
      <c r="L863" s="62"/>
      <c r="M863" s="62"/>
      <c r="N863" s="62"/>
      <c r="O863" s="62" t="b">
        <v>0</v>
      </c>
      <c r="P863" s="62"/>
      <c r="Q863" s="62"/>
      <c r="R863" s="62"/>
      <c r="S863" s="62"/>
      <c r="T863" s="62"/>
      <c r="U863" s="74"/>
      <c r="V863" s="62"/>
      <c r="W863" s="74"/>
      <c r="X863" s="62"/>
      <c r="Y863" s="61"/>
      <c r="Z863" s="62"/>
      <c r="AA863" s="62"/>
      <c r="AB863" s="62"/>
      <c r="AC863" s="62"/>
      <c r="AD863" s="62"/>
      <c r="AE863" s="62"/>
      <c r="AF863" s="62"/>
      <c r="AG863" s="62"/>
      <c r="AH863" s="62"/>
      <c r="AI863" s="62"/>
      <c r="AJ863" s="62"/>
      <c r="AK863" s="62"/>
      <c r="AL863" s="62"/>
      <c r="AM863" s="62"/>
      <c r="AN863" s="62"/>
      <c r="AO863" s="62"/>
    </row>
    <row r="864">
      <c r="A864" s="62"/>
      <c r="B864" s="62"/>
      <c r="C864" s="61"/>
      <c r="D864" s="62"/>
      <c r="E864" s="62"/>
      <c r="F864" s="62" t="b">
        <v>0</v>
      </c>
      <c r="G864" s="62"/>
      <c r="H864" s="61"/>
      <c r="I864" s="61"/>
      <c r="J864" s="62"/>
      <c r="K864" s="62"/>
      <c r="L864" s="62"/>
      <c r="M864" s="62"/>
      <c r="N864" s="62"/>
      <c r="O864" s="62" t="b">
        <v>0</v>
      </c>
      <c r="P864" s="62"/>
      <c r="Q864" s="62"/>
      <c r="R864" s="62"/>
      <c r="S864" s="62"/>
      <c r="T864" s="62"/>
      <c r="U864" s="74"/>
      <c r="V864" s="62"/>
      <c r="W864" s="74"/>
      <c r="X864" s="62"/>
      <c r="Y864" s="61"/>
      <c r="Z864" s="62"/>
      <c r="AA864" s="62"/>
      <c r="AB864" s="62"/>
      <c r="AC864" s="62"/>
      <c r="AD864" s="62"/>
      <c r="AE864" s="62"/>
      <c r="AF864" s="62"/>
      <c r="AG864" s="62"/>
      <c r="AH864" s="62"/>
      <c r="AI864" s="62"/>
      <c r="AJ864" s="62"/>
      <c r="AK864" s="62"/>
      <c r="AL864" s="62"/>
      <c r="AM864" s="62"/>
      <c r="AN864" s="62"/>
      <c r="AO864" s="62"/>
    </row>
    <row r="865">
      <c r="A865" s="62"/>
      <c r="B865" s="62"/>
      <c r="C865" s="61"/>
      <c r="D865" s="62"/>
      <c r="E865" s="62"/>
      <c r="F865" s="62" t="b">
        <v>0</v>
      </c>
      <c r="G865" s="62"/>
      <c r="H865" s="61"/>
      <c r="I865" s="61"/>
      <c r="J865" s="62"/>
      <c r="K865" s="62"/>
      <c r="L865" s="62"/>
      <c r="M865" s="62"/>
      <c r="N865" s="62"/>
      <c r="O865" s="62" t="b">
        <v>0</v>
      </c>
      <c r="P865" s="62"/>
      <c r="Q865" s="62"/>
      <c r="R865" s="62"/>
      <c r="S865" s="62"/>
      <c r="T865" s="62"/>
      <c r="U865" s="74"/>
      <c r="V865" s="62"/>
      <c r="W865" s="74"/>
      <c r="X865" s="62"/>
      <c r="Y865" s="61"/>
      <c r="Z865" s="62"/>
      <c r="AA865" s="62"/>
      <c r="AB865" s="62"/>
      <c r="AC865" s="62"/>
      <c r="AD865" s="62"/>
      <c r="AE865" s="62"/>
      <c r="AF865" s="62"/>
      <c r="AG865" s="62"/>
      <c r="AH865" s="62"/>
      <c r="AI865" s="62"/>
      <c r="AJ865" s="62"/>
      <c r="AK865" s="62"/>
      <c r="AL865" s="62"/>
      <c r="AM865" s="62"/>
      <c r="AN865" s="62"/>
      <c r="AO865" s="62"/>
    </row>
    <row r="866">
      <c r="A866" s="62"/>
      <c r="B866" s="62"/>
      <c r="C866" s="61"/>
      <c r="D866" s="62"/>
      <c r="E866" s="62"/>
      <c r="F866" s="62" t="b">
        <v>0</v>
      </c>
      <c r="G866" s="62"/>
      <c r="H866" s="61"/>
      <c r="I866" s="61"/>
      <c r="J866" s="62"/>
      <c r="K866" s="62"/>
      <c r="L866" s="62"/>
      <c r="M866" s="62"/>
      <c r="N866" s="62"/>
      <c r="O866" s="62" t="b">
        <v>0</v>
      </c>
      <c r="P866" s="62"/>
      <c r="Q866" s="62"/>
      <c r="R866" s="62"/>
      <c r="S866" s="62"/>
      <c r="T866" s="62"/>
      <c r="U866" s="74"/>
      <c r="V866" s="62"/>
      <c r="W866" s="74"/>
      <c r="X866" s="62"/>
      <c r="Y866" s="61"/>
      <c r="Z866" s="62"/>
      <c r="AA866" s="62"/>
      <c r="AB866" s="62"/>
      <c r="AC866" s="62"/>
      <c r="AD866" s="62"/>
      <c r="AE866" s="62"/>
      <c r="AF866" s="62"/>
      <c r="AG866" s="62"/>
      <c r="AH866" s="62"/>
      <c r="AI866" s="62"/>
      <c r="AJ866" s="62"/>
      <c r="AK866" s="62"/>
      <c r="AL866" s="62"/>
      <c r="AM866" s="62"/>
      <c r="AN866" s="62"/>
      <c r="AO866" s="62"/>
    </row>
    <row r="867">
      <c r="A867" s="62"/>
      <c r="B867" s="62"/>
      <c r="C867" s="61"/>
      <c r="D867" s="62"/>
      <c r="E867" s="62"/>
      <c r="F867" s="62" t="b">
        <v>0</v>
      </c>
      <c r="G867" s="62"/>
      <c r="H867" s="61"/>
      <c r="I867" s="61"/>
      <c r="J867" s="62"/>
      <c r="K867" s="62"/>
      <c r="L867" s="62"/>
      <c r="M867" s="62"/>
      <c r="N867" s="62"/>
      <c r="O867" s="62" t="b">
        <v>0</v>
      </c>
      <c r="P867" s="62"/>
      <c r="Q867" s="62"/>
      <c r="R867" s="62"/>
      <c r="S867" s="62"/>
      <c r="T867" s="62"/>
      <c r="U867" s="74"/>
      <c r="V867" s="62"/>
      <c r="W867" s="74"/>
      <c r="X867" s="62"/>
      <c r="Y867" s="61"/>
      <c r="Z867" s="62"/>
      <c r="AA867" s="62"/>
      <c r="AB867" s="62"/>
      <c r="AC867" s="62"/>
      <c r="AD867" s="62"/>
      <c r="AE867" s="62"/>
      <c r="AF867" s="62"/>
      <c r="AG867" s="62"/>
      <c r="AH867" s="62"/>
      <c r="AI867" s="62"/>
      <c r="AJ867" s="62"/>
      <c r="AK867" s="62"/>
      <c r="AL867" s="62"/>
      <c r="AM867" s="62"/>
      <c r="AN867" s="62"/>
      <c r="AO867" s="62"/>
    </row>
    <row r="868">
      <c r="A868" s="62"/>
      <c r="B868" s="62"/>
      <c r="C868" s="61"/>
      <c r="D868" s="62"/>
      <c r="E868" s="62"/>
      <c r="F868" s="62" t="b">
        <v>0</v>
      </c>
      <c r="G868" s="62"/>
      <c r="H868" s="61"/>
      <c r="I868" s="61"/>
      <c r="J868" s="62"/>
      <c r="K868" s="62"/>
      <c r="L868" s="62"/>
      <c r="M868" s="62"/>
      <c r="N868" s="62"/>
      <c r="O868" s="62" t="b">
        <v>0</v>
      </c>
      <c r="P868" s="62"/>
      <c r="Q868" s="62"/>
      <c r="R868" s="62"/>
      <c r="S868" s="62"/>
      <c r="T868" s="62"/>
      <c r="U868" s="74"/>
      <c r="V868" s="62"/>
      <c r="W868" s="74"/>
      <c r="X868" s="62"/>
      <c r="Y868" s="61"/>
      <c r="Z868" s="62"/>
      <c r="AA868" s="62"/>
      <c r="AB868" s="62"/>
      <c r="AC868" s="62"/>
      <c r="AD868" s="62"/>
      <c r="AE868" s="62"/>
      <c r="AF868" s="62"/>
      <c r="AG868" s="62"/>
      <c r="AH868" s="62"/>
      <c r="AI868" s="62"/>
      <c r="AJ868" s="62"/>
      <c r="AK868" s="62"/>
      <c r="AL868" s="62"/>
      <c r="AM868" s="62"/>
      <c r="AN868" s="62"/>
      <c r="AO868" s="62"/>
    </row>
    <row r="869">
      <c r="A869" s="62"/>
      <c r="B869" s="62"/>
      <c r="C869" s="61"/>
      <c r="D869" s="62"/>
      <c r="E869" s="62"/>
      <c r="F869" s="62" t="b">
        <v>0</v>
      </c>
      <c r="G869" s="62"/>
      <c r="H869" s="61"/>
      <c r="I869" s="61"/>
      <c r="J869" s="62"/>
      <c r="K869" s="62"/>
      <c r="L869" s="62"/>
      <c r="M869" s="62"/>
      <c r="N869" s="62"/>
      <c r="O869" s="62" t="b">
        <v>0</v>
      </c>
      <c r="P869" s="62"/>
      <c r="Q869" s="62"/>
      <c r="R869" s="62"/>
      <c r="S869" s="62"/>
      <c r="T869" s="62"/>
      <c r="U869" s="74"/>
      <c r="V869" s="62"/>
      <c r="W869" s="74"/>
      <c r="X869" s="62"/>
      <c r="Y869" s="61"/>
      <c r="Z869" s="62"/>
      <c r="AA869" s="62"/>
      <c r="AB869" s="62"/>
      <c r="AC869" s="62"/>
      <c r="AD869" s="62"/>
      <c r="AE869" s="62"/>
      <c r="AF869" s="62"/>
      <c r="AG869" s="62"/>
      <c r="AH869" s="62"/>
      <c r="AI869" s="62"/>
      <c r="AJ869" s="62"/>
      <c r="AK869" s="62"/>
      <c r="AL869" s="62"/>
      <c r="AM869" s="62"/>
      <c r="AN869" s="62"/>
      <c r="AO869" s="62"/>
    </row>
    <row r="870">
      <c r="A870" s="62"/>
      <c r="B870" s="62"/>
      <c r="C870" s="61"/>
      <c r="D870" s="62"/>
      <c r="E870" s="62"/>
      <c r="F870" s="62" t="b">
        <v>0</v>
      </c>
      <c r="G870" s="62"/>
      <c r="H870" s="61"/>
      <c r="I870" s="61"/>
      <c r="J870" s="62"/>
      <c r="K870" s="62"/>
      <c r="L870" s="62"/>
      <c r="M870" s="62"/>
      <c r="N870" s="62"/>
      <c r="O870" s="62" t="b">
        <v>0</v>
      </c>
      <c r="P870" s="62"/>
      <c r="Q870" s="62"/>
      <c r="R870" s="62"/>
      <c r="S870" s="62"/>
      <c r="T870" s="62"/>
      <c r="U870" s="74"/>
      <c r="V870" s="62"/>
      <c r="W870" s="74"/>
      <c r="X870" s="62"/>
      <c r="Y870" s="61"/>
      <c r="Z870" s="62"/>
      <c r="AA870" s="62"/>
      <c r="AB870" s="62"/>
      <c r="AC870" s="62"/>
      <c r="AD870" s="62"/>
      <c r="AE870" s="62"/>
      <c r="AF870" s="62"/>
      <c r="AG870" s="62"/>
      <c r="AH870" s="62"/>
      <c r="AI870" s="62"/>
      <c r="AJ870" s="62"/>
      <c r="AK870" s="62"/>
      <c r="AL870" s="62"/>
      <c r="AM870" s="62"/>
      <c r="AN870" s="62"/>
      <c r="AO870" s="62"/>
    </row>
    <row r="871">
      <c r="A871" s="62"/>
      <c r="B871" s="62"/>
      <c r="C871" s="61"/>
      <c r="D871" s="62"/>
      <c r="E871" s="62"/>
      <c r="F871" s="62" t="b">
        <v>0</v>
      </c>
      <c r="G871" s="62"/>
      <c r="H871" s="61"/>
      <c r="I871" s="61"/>
      <c r="J871" s="62"/>
      <c r="K871" s="62"/>
      <c r="L871" s="62"/>
      <c r="M871" s="62"/>
      <c r="N871" s="62"/>
      <c r="O871" s="62" t="b">
        <v>0</v>
      </c>
      <c r="P871" s="62"/>
      <c r="Q871" s="62"/>
      <c r="R871" s="62"/>
      <c r="S871" s="62"/>
      <c r="T871" s="62"/>
      <c r="U871" s="74"/>
      <c r="V871" s="62"/>
      <c r="W871" s="74"/>
      <c r="X871" s="62"/>
      <c r="Y871" s="61"/>
      <c r="Z871" s="62"/>
      <c r="AA871" s="62"/>
      <c r="AB871" s="62"/>
      <c r="AC871" s="62"/>
      <c r="AD871" s="62"/>
      <c r="AE871" s="62"/>
      <c r="AF871" s="62"/>
      <c r="AG871" s="62"/>
      <c r="AH871" s="62"/>
      <c r="AI871" s="62"/>
      <c r="AJ871" s="62"/>
      <c r="AK871" s="62"/>
      <c r="AL871" s="62"/>
      <c r="AM871" s="62"/>
      <c r="AN871" s="62"/>
      <c r="AO871" s="62"/>
    </row>
    <row r="872">
      <c r="A872" s="62"/>
      <c r="B872" s="62"/>
      <c r="C872" s="61"/>
      <c r="D872" s="62"/>
      <c r="E872" s="62"/>
      <c r="F872" s="62" t="b">
        <v>0</v>
      </c>
      <c r="G872" s="62"/>
      <c r="H872" s="61"/>
      <c r="I872" s="61"/>
      <c r="J872" s="62"/>
      <c r="K872" s="62"/>
      <c r="L872" s="62"/>
      <c r="M872" s="62"/>
      <c r="N872" s="62"/>
      <c r="O872" s="62" t="b">
        <v>0</v>
      </c>
      <c r="P872" s="62"/>
      <c r="Q872" s="62"/>
      <c r="R872" s="62"/>
      <c r="S872" s="62"/>
      <c r="T872" s="62"/>
      <c r="U872" s="74"/>
      <c r="V872" s="62"/>
      <c r="W872" s="74"/>
      <c r="X872" s="62"/>
      <c r="Y872" s="61"/>
      <c r="Z872" s="62"/>
      <c r="AA872" s="62"/>
      <c r="AB872" s="62"/>
      <c r="AC872" s="62"/>
      <c r="AD872" s="62"/>
      <c r="AE872" s="62"/>
      <c r="AF872" s="62"/>
      <c r="AG872" s="62"/>
      <c r="AH872" s="62"/>
      <c r="AI872" s="62"/>
      <c r="AJ872" s="62"/>
      <c r="AK872" s="62"/>
      <c r="AL872" s="62"/>
      <c r="AM872" s="62"/>
      <c r="AN872" s="62"/>
      <c r="AO872" s="62"/>
    </row>
    <row r="873">
      <c r="A873" s="62"/>
      <c r="B873" s="62"/>
      <c r="C873" s="61"/>
      <c r="D873" s="62"/>
      <c r="E873" s="62"/>
      <c r="F873" s="62" t="b">
        <v>0</v>
      </c>
      <c r="G873" s="62"/>
      <c r="H873" s="61"/>
      <c r="I873" s="61"/>
      <c r="J873" s="62"/>
      <c r="K873" s="62"/>
      <c r="L873" s="62"/>
      <c r="M873" s="62"/>
      <c r="N873" s="62"/>
      <c r="O873" s="62" t="b">
        <v>0</v>
      </c>
      <c r="P873" s="62"/>
      <c r="Q873" s="62"/>
      <c r="R873" s="62"/>
      <c r="S873" s="62"/>
      <c r="T873" s="62"/>
      <c r="U873" s="74"/>
      <c r="V873" s="62"/>
      <c r="W873" s="74"/>
      <c r="X873" s="62"/>
      <c r="Y873" s="61"/>
      <c r="Z873" s="62"/>
      <c r="AA873" s="62"/>
      <c r="AB873" s="62"/>
      <c r="AC873" s="62"/>
      <c r="AD873" s="62"/>
      <c r="AE873" s="62"/>
      <c r="AF873" s="62"/>
      <c r="AG873" s="62"/>
      <c r="AH873" s="62"/>
      <c r="AI873" s="62"/>
      <c r="AJ873" s="62"/>
      <c r="AK873" s="62"/>
      <c r="AL873" s="62"/>
      <c r="AM873" s="62"/>
      <c r="AN873" s="62"/>
      <c r="AO873" s="62"/>
    </row>
    <row r="874">
      <c r="A874" s="62"/>
      <c r="B874" s="62"/>
      <c r="C874" s="61"/>
      <c r="D874" s="62"/>
      <c r="E874" s="62"/>
      <c r="F874" s="62" t="b">
        <v>0</v>
      </c>
      <c r="G874" s="62"/>
      <c r="H874" s="61"/>
      <c r="I874" s="61"/>
      <c r="J874" s="62"/>
      <c r="K874" s="62"/>
      <c r="L874" s="62"/>
      <c r="M874" s="62"/>
      <c r="N874" s="62"/>
      <c r="O874" s="62" t="b">
        <v>0</v>
      </c>
      <c r="P874" s="62"/>
      <c r="Q874" s="62"/>
      <c r="R874" s="62"/>
      <c r="S874" s="62"/>
      <c r="T874" s="62"/>
      <c r="U874" s="74"/>
      <c r="V874" s="62"/>
      <c r="W874" s="74"/>
      <c r="X874" s="62"/>
      <c r="Y874" s="61"/>
      <c r="Z874" s="62"/>
      <c r="AA874" s="62"/>
      <c r="AB874" s="62"/>
      <c r="AC874" s="62"/>
      <c r="AD874" s="62"/>
      <c r="AE874" s="62"/>
      <c r="AF874" s="62"/>
      <c r="AG874" s="62"/>
      <c r="AH874" s="62"/>
      <c r="AI874" s="62"/>
      <c r="AJ874" s="62"/>
      <c r="AK874" s="62"/>
      <c r="AL874" s="62"/>
      <c r="AM874" s="62"/>
      <c r="AN874" s="62"/>
      <c r="AO874" s="62"/>
    </row>
    <row r="875">
      <c r="A875" s="62"/>
      <c r="B875" s="62"/>
      <c r="C875" s="61"/>
      <c r="D875" s="62"/>
      <c r="E875" s="62"/>
      <c r="F875" s="62" t="b">
        <v>0</v>
      </c>
      <c r="G875" s="62"/>
      <c r="H875" s="61"/>
      <c r="I875" s="61"/>
      <c r="J875" s="62"/>
      <c r="K875" s="62"/>
      <c r="L875" s="62"/>
      <c r="M875" s="62"/>
      <c r="N875" s="62"/>
      <c r="O875" s="62" t="b">
        <v>0</v>
      </c>
      <c r="P875" s="62"/>
      <c r="Q875" s="62"/>
      <c r="R875" s="62"/>
      <c r="S875" s="62"/>
      <c r="T875" s="62"/>
      <c r="U875" s="74"/>
      <c r="V875" s="62"/>
      <c r="W875" s="74"/>
      <c r="X875" s="62"/>
      <c r="Y875" s="61"/>
      <c r="Z875" s="62"/>
      <c r="AA875" s="62"/>
      <c r="AB875" s="62"/>
      <c r="AC875" s="62"/>
      <c r="AD875" s="62"/>
      <c r="AE875" s="62"/>
      <c r="AF875" s="62"/>
      <c r="AG875" s="62"/>
      <c r="AH875" s="62"/>
      <c r="AI875" s="62"/>
      <c r="AJ875" s="62"/>
      <c r="AK875" s="62"/>
      <c r="AL875" s="62"/>
      <c r="AM875" s="62"/>
      <c r="AN875" s="62"/>
      <c r="AO875" s="62"/>
    </row>
    <row r="876">
      <c r="A876" s="62"/>
      <c r="B876" s="62"/>
      <c r="C876" s="61"/>
      <c r="D876" s="62"/>
      <c r="E876" s="62"/>
      <c r="F876" s="62" t="b">
        <v>0</v>
      </c>
      <c r="G876" s="62"/>
      <c r="H876" s="61"/>
      <c r="I876" s="61"/>
      <c r="J876" s="62"/>
      <c r="K876" s="62"/>
      <c r="L876" s="62"/>
      <c r="M876" s="62"/>
      <c r="N876" s="62"/>
      <c r="O876" s="62" t="b">
        <v>0</v>
      </c>
      <c r="P876" s="62"/>
      <c r="Q876" s="62"/>
      <c r="R876" s="62"/>
      <c r="S876" s="62"/>
      <c r="T876" s="62"/>
      <c r="U876" s="74"/>
      <c r="V876" s="62"/>
      <c r="W876" s="74"/>
      <c r="X876" s="62"/>
      <c r="Y876" s="61"/>
      <c r="Z876" s="62"/>
      <c r="AA876" s="62"/>
      <c r="AB876" s="62"/>
      <c r="AC876" s="62"/>
      <c r="AD876" s="62"/>
      <c r="AE876" s="62"/>
      <c r="AF876" s="62"/>
      <c r="AG876" s="62"/>
      <c r="AH876" s="62"/>
      <c r="AI876" s="62"/>
      <c r="AJ876" s="62"/>
      <c r="AK876" s="62"/>
      <c r="AL876" s="62"/>
      <c r="AM876" s="62"/>
      <c r="AN876" s="62"/>
      <c r="AO876" s="62"/>
    </row>
    <row r="877">
      <c r="A877" s="62"/>
      <c r="B877" s="62"/>
      <c r="C877" s="61"/>
      <c r="D877" s="62"/>
      <c r="E877" s="62"/>
      <c r="F877" s="62" t="b">
        <v>0</v>
      </c>
      <c r="G877" s="62"/>
      <c r="H877" s="61"/>
      <c r="I877" s="61"/>
      <c r="J877" s="62"/>
      <c r="K877" s="62"/>
      <c r="L877" s="62"/>
      <c r="M877" s="62"/>
      <c r="N877" s="62"/>
      <c r="O877" s="62" t="b">
        <v>0</v>
      </c>
      <c r="P877" s="62"/>
      <c r="Q877" s="62"/>
      <c r="R877" s="62"/>
      <c r="S877" s="62"/>
      <c r="T877" s="62"/>
      <c r="U877" s="74"/>
      <c r="V877" s="62"/>
      <c r="W877" s="74"/>
      <c r="X877" s="62"/>
      <c r="Y877" s="61"/>
      <c r="Z877" s="62"/>
      <c r="AA877" s="62"/>
      <c r="AB877" s="62"/>
      <c r="AC877" s="62"/>
      <c r="AD877" s="62"/>
      <c r="AE877" s="62"/>
      <c r="AF877" s="62"/>
      <c r="AG877" s="62"/>
      <c r="AH877" s="62"/>
      <c r="AI877" s="62"/>
      <c r="AJ877" s="62"/>
      <c r="AK877" s="62"/>
      <c r="AL877" s="62"/>
      <c r="AM877" s="62"/>
      <c r="AN877" s="62"/>
      <c r="AO877" s="62"/>
    </row>
    <row r="878">
      <c r="A878" s="62"/>
      <c r="B878" s="62"/>
      <c r="C878" s="61"/>
      <c r="D878" s="62"/>
      <c r="E878" s="62"/>
      <c r="F878" s="62" t="b">
        <v>0</v>
      </c>
      <c r="G878" s="62"/>
      <c r="H878" s="61"/>
      <c r="I878" s="61"/>
      <c r="J878" s="62"/>
      <c r="K878" s="62"/>
      <c r="L878" s="62"/>
      <c r="M878" s="62"/>
      <c r="N878" s="62"/>
      <c r="O878" s="62" t="b">
        <v>0</v>
      </c>
      <c r="P878" s="62"/>
      <c r="Q878" s="62"/>
      <c r="R878" s="62"/>
      <c r="S878" s="62"/>
      <c r="T878" s="62"/>
      <c r="U878" s="74"/>
      <c r="V878" s="62"/>
      <c r="W878" s="74"/>
      <c r="X878" s="62"/>
      <c r="Y878" s="61"/>
      <c r="Z878" s="62"/>
      <c r="AA878" s="62"/>
      <c r="AB878" s="62"/>
      <c r="AC878" s="62"/>
      <c r="AD878" s="62"/>
      <c r="AE878" s="62"/>
      <c r="AF878" s="62"/>
      <c r="AG878" s="62"/>
      <c r="AH878" s="62"/>
      <c r="AI878" s="62"/>
      <c r="AJ878" s="62"/>
      <c r="AK878" s="62"/>
      <c r="AL878" s="62"/>
      <c r="AM878" s="62"/>
      <c r="AN878" s="62"/>
      <c r="AO878" s="62"/>
    </row>
    <row r="879">
      <c r="A879" s="62"/>
      <c r="B879" s="62"/>
      <c r="C879" s="61"/>
      <c r="D879" s="62"/>
      <c r="E879" s="62"/>
      <c r="F879" s="62" t="b">
        <v>0</v>
      </c>
      <c r="G879" s="62"/>
      <c r="H879" s="61"/>
      <c r="I879" s="61"/>
      <c r="J879" s="62"/>
      <c r="K879" s="62"/>
      <c r="L879" s="62"/>
      <c r="M879" s="62"/>
      <c r="N879" s="62"/>
      <c r="O879" s="62" t="b">
        <v>0</v>
      </c>
      <c r="P879" s="62"/>
      <c r="Q879" s="62"/>
      <c r="R879" s="62"/>
      <c r="S879" s="62"/>
      <c r="T879" s="62"/>
      <c r="U879" s="74"/>
      <c r="V879" s="62"/>
      <c r="W879" s="74"/>
      <c r="X879" s="62"/>
      <c r="Y879" s="61"/>
      <c r="Z879" s="62"/>
      <c r="AA879" s="62"/>
      <c r="AB879" s="62"/>
      <c r="AC879" s="62"/>
      <c r="AD879" s="62"/>
      <c r="AE879" s="62"/>
      <c r="AF879" s="62"/>
      <c r="AG879" s="62"/>
      <c r="AH879" s="62"/>
      <c r="AI879" s="62"/>
      <c r="AJ879" s="62"/>
      <c r="AK879" s="62"/>
      <c r="AL879" s="62"/>
      <c r="AM879" s="62"/>
      <c r="AN879" s="62"/>
      <c r="AO879" s="62"/>
    </row>
    <row r="880">
      <c r="A880" s="62"/>
      <c r="B880" s="62"/>
      <c r="C880" s="61"/>
      <c r="D880" s="62"/>
      <c r="E880" s="62"/>
      <c r="F880" s="62" t="b">
        <v>0</v>
      </c>
      <c r="G880" s="62"/>
      <c r="H880" s="61"/>
      <c r="I880" s="61"/>
      <c r="J880" s="62"/>
      <c r="K880" s="62"/>
      <c r="L880" s="62"/>
      <c r="M880" s="62"/>
      <c r="N880" s="62"/>
      <c r="O880" s="62" t="b">
        <v>0</v>
      </c>
      <c r="P880" s="62"/>
      <c r="Q880" s="62"/>
      <c r="R880" s="62"/>
      <c r="S880" s="62"/>
      <c r="T880" s="62"/>
      <c r="U880" s="74"/>
      <c r="V880" s="62"/>
      <c r="W880" s="74"/>
      <c r="X880" s="62"/>
      <c r="Y880" s="61"/>
      <c r="Z880" s="62"/>
      <c r="AA880" s="62"/>
      <c r="AB880" s="62"/>
      <c r="AC880" s="62"/>
      <c r="AD880" s="62"/>
      <c r="AE880" s="62"/>
      <c r="AF880" s="62"/>
      <c r="AG880" s="62"/>
      <c r="AH880" s="62"/>
      <c r="AI880" s="62"/>
      <c r="AJ880" s="62"/>
      <c r="AK880" s="62"/>
      <c r="AL880" s="62"/>
      <c r="AM880" s="62"/>
      <c r="AN880" s="62"/>
      <c r="AO880" s="62"/>
    </row>
    <row r="881">
      <c r="A881" s="62"/>
      <c r="B881" s="62"/>
      <c r="C881" s="61"/>
      <c r="D881" s="62"/>
      <c r="E881" s="62"/>
      <c r="F881" s="62" t="b">
        <v>0</v>
      </c>
      <c r="G881" s="62"/>
      <c r="H881" s="61"/>
      <c r="I881" s="61"/>
      <c r="J881" s="62"/>
      <c r="K881" s="62"/>
      <c r="L881" s="62"/>
      <c r="M881" s="62"/>
      <c r="N881" s="62"/>
      <c r="O881" s="62" t="b">
        <v>0</v>
      </c>
      <c r="P881" s="62"/>
      <c r="Q881" s="62"/>
      <c r="R881" s="62"/>
      <c r="S881" s="62"/>
      <c r="T881" s="62"/>
      <c r="U881" s="74"/>
      <c r="V881" s="62"/>
      <c r="W881" s="74"/>
      <c r="X881" s="62"/>
      <c r="Y881" s="61"/>
      <c r="Z881" s="62"/>
      <c r="AA881" s="62"/>
      <c r="AB881" s="62"/>
      <c r="AC881" s="62"/>
      <c r="AD881" s="62"/>
      <c r="AE881" s="62"/>
      <c r="AF881" s="62"/>
      <c r="AG881" s="62"/>
      <c r="AH881" s="62"/>
      <c r="AI881" s="62"/>
      <c r="AJ881" s="62"/>
      <c r="AK881" s="62"/>
      <c r="AL881" s="62"/>
      <c r="AM881" s="62"/>
      <c r="AN881" s="62"/>
      <c r="AO881" s="62"/>
    </row>
    <row r="882">
      <c r="A882" s="62"/>
      <c r="B882" s="62"/>
      <c r="C882" s="61"/>
      <c r="D882" s="62"/>
      <c r="E882" s="62"/>
      <c r="F882" s="62" t="b">
        <v>0</v>
      </c>
      <c r="G882" s="62"/>
      <c r="H882" s="61"/>
      <c r="I882" s="61"/>
      <c r="J882" s="62"/>
      <c r="K882" s="62"/>
      <c r="L882" s="62"/>
      <c r="M882" s="62"/>
      <c r="N882" s="62"/>
      <c r="O882" s="62" t="b">
        <v>0</v>
      </c>
      <c r="P882" s="62"/>
      <c r="Q882" s="62"/>
      <c r="R882" s="62"/>
      <c r="S882" s="62"/>
      <c r="T882" s="62"/>
      <c r="U882" s="74"/>
      <c r="V882" s="62"/>
      <c r="W882" s="74"/>
      <c r="X882" s="62"/>
      <c r="Y882" s="61"/>
      <c r="Z882" s="62"/>
      <c r="AA882" s="62"/>
      <c r="AB882" s="62"/>
      <c r="AC882" s="62"/>
      <c r="AD882" s="62"/>
      <c r="AE882" s="62"/>
      <c r="AF882" s="62"/>
      <c r="AG882" s="62"/>
      <c r="AH882" s="62"/>
      <c r="AI882" s="62"/>
      <c r="AJ882" s="62"/>
      <c r="AK882" s="62"/>
      <c r="AL882" s="62"/>
      <c r="AM882" s="62"/>
      <c r="AN882" s="62"/>
      <c r="AO882" s="62"/>
    </row>
    <row r="883">
      <c r="A883" s="62"/>
      <c r="B883" s="62"/>
      <c r="C883" s="61"/>
      <c r="D883" s="62"/>
      <c r="E883" s="62"/>
      <c r="F883" s="62" t="b">
        <v>0</v>
      </c>
      <c r="G883" s="62"/>
      <c r="H883" s="61"/>
      <c r="I883" s="61"/>
      <c r="J883" s="62"/>
      <c r="K883" s="62"/>
      <c r="L883" s="62"/>
      <c r="M883" s="62"/>
      <c r="N883" s="62"/>
      <c r="O883" s="62" t="b">
        <v>0</v>
      </c>
      <c r="P883" s="62"/>
      <c r="Q883" s="62"/>
      <c r="R883" s="62"/>
      <c r="S883" s="62"/>
      <c r="T883" s="62"/>
      <c r="U883" s="74"/>
      <c r="V883" s="62"/>
      <c r="W883" s="74"/>
      <c r="X883" s="62"/>
      <c r="Y883" s="61"/>
      <c r="Z883" s="62"/>
      <c r="AA883" s="62"/>
      <c r="AB883" s="62"/>
      <c r="AC883" s="62"/>
      <c r="AD883" s="62"/>
      <c r="AE883" s="62"/>
      <c r="AF883" s="62"/>
      <c r="AG883" s="62"/>
      <c r="AH883" s="62"/>
      <c r="AI883" s="62"/>
      <c r="AJ883" s="62"/>
      <c r="AK883" s="62"/>
      <c r="AL883" s="62"/>
      <c r="AM883" s="62"/>
      <c r="AN883" s="62"/>
      <c r="AO883" s="62"/>
    </row>
    <row r="884">
      <c r="A884" s="62"/>
      <c r="B884" s="62"/>
      <c r="C884" s="61"/>
      <c r="D884" s="62"/>
      <c r="E884" s="62"/>
      <c r="F884" s="62" t="b">
        <v>0</v>
      </c>
      <c r="G884" s="62"/>
      <c r="H884" s="61"/>
      <c r="I884" s="61"/>
      <c r="J884" s="62"/>
      <c r="K884" s="62"/>
      <c r="L884" s="62"/>
      <c r="M884" s="62"/>
      <c r="N884" s="62"/>
      <c r="O884" s="62" t="b">
        <v>0</v>
      </c>
      <c r="P884" s="62"/>
      <c r="Q884" s="62"/>
      <c r="R884" s="62"/>
      <c r="S884" s="62"/>
      <c r="T884" s="62"/>
      <c r="U884" s="74"/>
      <c r="V884" s="62"/>
      <c r="W884" s="74"/>
      <c r="X884" s="62"/>
      <c r="Y884" s="61"/>
      <c r="Z884" s="62"/>
      <c r="AA884" s="62"/>
      <c r="AB884" s="62"/>
      <c r="AC884" s="62"/>
      <c r="AD884" s="62"/>
      <c r="AE884" s="62"/>
      <c r="AF884" s="62"/>
      <c r="AG884" s="62"/>
      <c r="AH884" s="62"/>
      <c r="AI884" s="62"/>
      <c r="AJ884" s="62"/>
      <c r="AK884" s="62"/>
      <c r="AL884" s="62"/>
      <c r="AM884" s="62"/>
      <c r="AN884" s="62"/>
      <c r="AO884" s="62"/>
    </row>
    <row r="885">
      <c r="A885" s="62"/>
      <c r="B885" s="62"/>
      <c r="C885" s="61"/>
      <c r="D885" s="62"/>
      <c r="E885" s="62"/>
      <c r="F885" s="62" t="b">
        <v>0</v>
      </c>
      <c r="G885" s="62"/>
      <c r="H885" s="61"/>
      <c r="I885" s="61"/>
      <c r="J885" s="62"/>
      <c r="K885" s="62"/>
      <c r="L885" s="62"/>
      <c r="M885" s="62"/>
      <c r="N885" s="62"/>
      <c r="O885" s="62" t="b">
        <v>0</v>
      </c>
      <c r="P885" s="62"/>
      <c r="Q885" s="62"/>
      <c r="R885" s="62"/>
      <c r="S885" s="62"/>
      <c r="T885" s="62"/>
      <c r="U885" s="74"/>
      <c r="V885" s="62"/>
      <c r="W885" s="74"/>
      <c r="X885" s="62"/>
      <c r="Y885" s="61"/>
      <c r="Z885" s="62"/>
      <c r="AA885" s="62"/>
      <c r="AB885" s="62"/>
      <c r="AC885" s="62"/>
      <c r="AD885" s="62"/>
      <c r="AE885" s="62"/>
      <c r="AF885" s="62"/>
      <c r="AG885" s="62"/>
      <c r="AH885" s="62"/>
      <c r="AI885" s="62"/>
      <c r="AJ885" s="62"/>
      <c r="AK885" s="62"/>
      <c r="AL885" s="62"/>
      <c r="AM885" s="62"/>
      <c r="AN885" s="62"/>
      <c r="AO885" s="62"/>
    </row>
    <row r="886">
      <c r="A886" s="62"/>
      <c r="B886" s="62"/>
      <c r="C886" s="61"/>
      <c r="D886" s="62"/>
      <c r="E886" s="62"/>
      <c r="F886" s="62" t="b">
        <v>0</v>
      </c>
      <c r="G886" s="62"/>
      <c r="H886" s="61"/>
      <c r="I886" s="61"/>
      <c r="J886" s="62"/>
      <c r="K886" s="62"/>
      <c r="L886" s="62"/>
      <c r="M886" s="62"/>
      <c r="N886" s="62"/>
      <c r="O886" s="62" t="b">
        <v>0</v>
      </c>
      <c r="P886" s="62"/>
      <c r="Q886" s="62"/>
      <c r="R886" s="62"/>
      <c r="S886" s="62"/>
      <c r="T886" s="62"/>
      <c r="U886" s="74"/>
      <c r="V886" s="62"/>
      <c r="W886" s="74"/>
      <c r="X886" s="62"/>
      <c r="Y886" s="61"/>
      <c r="Z886" s="62"/>
      <c r="AA886" s="62"/>
      <c r="AB886" s="62"/>
      <c r="AC886" s="62"/>
      <c r="AD886" s="62"/>
      <c r="AE886" s="62"/>
      <c r="AF886" s="62"/>
      <c r="AG886" s="62"/>
      <c r="AH886" s="62"/>
      <c r="AI886" s="62"/>
      <c r="AJ886" s="62"/>
      <c r="AK886" s="62"/>
      <c r="AL886" s="62"/>
      <c r="AM886" s="62"/>
      <c r="AN886" s="62"/>
      <c r="AO886" s="62"/>
    </row>
    <row r="887">
      <c r="A887" s="62"/>
      <c r="B887" s="62"/>
      <c r="C887" s="61"/>
      <c r="D887" s="62"/>
      <c r="E887" s="62"/>
      <c r="F887" s="62" t="b">
        <v>0</v>
      </c>
      <c r="G887" s="62"/>
      <c r="H887" s="61"/>
      <c r="I887" s="61"/>
      <c r="J887" s="62"/>
      <c r="K887" s="62"/>
      <c r="L887" s="62"/>
      <c r="M887" s="62"/>
      <c r="N887" s="62"/>
      <c r="O887" s="62" t="b">
        <v>0</v>
      </c>
      <c r="P887" s="62"/>
      <c r="Q887" s="62"/>
      <c r="R887" s="62"/>
      <c r="S887" s="62"/>
      <c r="T887" s="62"/>
      <c r="U887" s="74"/>
      <c r="V887" s="62"/>
      <c r="W887" s="74"/>
      <c r="X887" s="62"/>
      <c r="Y887" s="61"/>
      <c r="Z887" s="62"/>
      <c r="AA887" s="62"/>
      <c r="AB887" s="62"/>
      <c r="AC887" s="62"/>
      <c r="AD887" s="62"/>
      <c r="AE887" s="62"/>
      <c r="AF887" s="62"/>
      <c r="AG887" s="62"/>
      <c r="AH887" s="62"/>
      <c r="AI887" s="62"/>
      <c r="AJ887" s="62"/>
      <c r="AK887" s="62"/>
      <c r="AL887" s="62"/>
      <c r="AM887" s="62"/>
      <c r="AN887" s="62"/>
      <c r="AO887" s="62"/>
    </row>
    <row r="888">
      <c r="A888" s="62"/>
      <c r="B888" s="62"/>
      <c r="C888" s="61"/>
      <c r="D888" s="62"/>
      <c r="E888" s="62"/>
      <c r="F888" s="62" t="b">
        <v>0</v>
      </c>
      <c r="G888" s="62"/>
      <c r="H888" s="61"/>
      <c r="I888" s="61"/>
      <c r="J888" s="62"/>
      <c r="K888" s="62"/>
      <c r="L888" s="62"/>
      <c r="M888" s="62"/>
      <c r="N888" s="62"/>
      <c r="O888" s="62" t="b">
        <v>0</v>
      </c>
      <c r="P888" s="62"/>
      <c r="Q888" s="62"/>
      <c r="R888" s="62"/>
      <c r="S888" s="62"/>
      <c r="T888" s="62"/>
      <c r="U888" s="74"/>
      <c r="V888" s="62"/>
      <c r="W888" s="74"/>
      <c r="X888" s="62"/>
      <c r="Y888" s="61"/>
      <c r="Z888" s="62"/>
      <c r="AA888" s="62"/>
      <c r="AB888" s="62"/>
      <c r="AC888" s="62"/>
      <c r="AD888" s="62"/>
      <c r="AE888" s="62"/>
      <c r="AF888" s="62"/>
      <c r="AG888" s="62"/>
      <c r="AH888" s="62"/>
      <c r="AI888" s="62"/>
      <c r="AJ888" s="62"/>
      <c r="AK888" s="62"/>
      <c r="AL888" s="62"/>
      <c r="AM888" s="62"/>
      <c r="AN888" s="62"/>
      <c r="AO888" s="62"/>
    </row>
    <row r="889">
      <c r="A889" s="62"/>
      <c r="B889" s="62"/>
      <c r="C889" s="61"/>
      <c r="D889" s="62"/>
      <c r="E889" s="62"/>
      <c r="F889" s="62" t="b">
        <v>0</v>
      </c>
      <c r="G889" s="62"/>
      <c r="H889" s="61"/>
      <c r="I889" s="61"/>
      <c r="J889" s="62"/>
      <c r="K889" s="62"/>
      <c r="L889" s="62"/>
      <c r="M889" s="62"/>
      <c r="N889" s="62"/>
      <c r="O889" s="62" t="b">
        <v>0</v>
      </c>
      <c r="P889" s="62"/>
      <c r="Q889" s="62"/>
      <c r="R889" s="62"/>
      <c r="S889" s="62"/>
      <c r="T889" s="62"/>
      <c r="U889" s="74"/>
      <c r="V889" s="62"/>
      <c r="W889" s="74"/>
      <c r="X889" s="62"/>
      <c r="Y889" s="61"/>
      <c r="Z889" s="62"/>
      <c r="AA889" s="62"/>
      <c r="AB889" s="62"/>
      <c r="AC889" s="62"/>
      <c r="AD889" s="62"/>
      <c r="AE889" s="62"/>
      <c r="AF889" s="62"/>
      <c r="AG889" s="62"/>
      <c r="AH889" s="62"/>
      <c r="AI889" s="62"/>
      <c r="AJ889" s="62"/>
      <c r="AK889" s="62"/>
      <c r="AL889" s="62"/>
      <c r="AM889" s="62"/>
      <c r="AN889" s="62"/>
      <c r="AO889" s="62"/>
    </row>
    <row r="890">
      <c r="A890" s="62"/>
      <c r="B890" s="62"/>
      <c r="C890" s="61"/>
      <c r="D890" s="62"/>
      <c r="E890" s="62"/>
      <c r="F890" s="62" t="b">
        <v>0</v>
      </c>
      <c r="G890" s="62"/>
      <c r="H890" s="61"/>
      <c r="I890" s="61"/>
      <c r="J890" s="62"/>
      <c r="K890" s="62"/>
      <c r="L890" s="62"/>
      <c r="M890" s="62"/>
      <c r="N890" s="62"/>
      <c r="O890" s="62" t="b">
        <v>0</v>
      </c>
      <c r="P890" s="62"/>
      <c r="Q890" s="62"/>
      <c r="R890" s="62"/>
      <c r="S890" s="62"/>
      <c r="T890" s="62"/>
      <c r="U890" s="74"/>
      <c r="V890" s="62"/>
      <c r="W890" s="74"/>
      <c r="X890" s="62"/>
      <c r="Y890" s="61"/>
      <c r="Z890" s="62"/>
      <c r="AA890" s="62"/>
      <c r="AB890" s="62"/>
      <c r="AC890" s="62"/>
      <c r="AD890" s="62"/>
      <c r="AE890" s="62"/>
      <c r="AF890" s="62"/>
      <c r="AG890" s="62"/>
      <c r="AH890" s="62"/>
      <c r="AI890" s="62"/>
      <c r="AJ890" s="62"/>
      <c r="AK890" s="62"/>
      <c r="AL890" s="62"/>
      <c r="AM890" s="62"/>
      <c r="AN890" s="62"/>
      <c r="AO890" s="62"/>
    </row>
    <row r="891">
      <c r="A891" s="62"/>
      <c r="B891" s="62"/>
      <c r="C891" s="61"/>
      <c r="D891" s="62"/>
      <c r="E891" s="62"/>
      <c r="F891" s="62" t="b">
        <v>0</v>
      </c>
      <c r="G891" s="62"/>
      <c r="H891" s="61"/>
      <c r="I891" s="61"/>
      <c r="J891" s="62"/>
      <c r="K891" s="62"/>
      <c r="L891" s="62"/>
      <c r="M891" s="62"/>
      <c r="N891" s="62"/>
      <c r="O891" s="62" t="b">
        <v>0</v>
      </c>
      <c r="P891" s="62"/>
      <c r="Q891" s="62"/>
      <c r="R891" s="62"/>
      <c r="S891" s="62"/>
      <c r="T891" s="62"/>
      <c r="U891" s="74"/>
      <c r="V891" s="62"/>
      <c r="W891" s="74"/>
      <c r="X891" s="62"/>
      <c r="Y891" s="61"/>
      <c r="Z891" s="62"/>
      <c r="AA891" s="62"/>
      <c r="AB891" s="62"/>
      <c r="AC891" s="62"/>
      <c r="AD891" s="62"/>
      <c r="AE891" s="62"/>
      <c r="AF891" s="62"/>
      <c r="AG891" s="62"/>
      <c r="AH891" s="62"/>
      <c r="AI891" s="62"/>
      <c r="AJ891" s="62"/>
      <c r="AK891" s="62"/>
      <c r="AL891" s="62"/>
      <c r="AM891" s="62"/>
      <c r="AN891" s="62"/>
      <c r="AO891" s="62"/>
    </row>
    <row r="892">
      <c r="A892" s="62"/>
      <c r="B892" s="62"/>
      <c r="C892" s="61"/>
      <c r="D892" s="62"/>
      <c r="E892" s="62"/>
      <c r="F892" s="62" t="b">
        <v>0</v>
      </c>
      <c r="G892" s="62"/>
      <c r="H892" s="61"/>
      <c r="I892" s="61"/>
      <c r="J892" s="62"/>
      <c r="K892" s="62"/>
      <c r="L892" s="62"/>
      <c r="M892" s="62"/>
      <c r="N892" s="62"/>
      <c r="O892" s="62" t="b">
        <v>0</v>
      </c>
      <c r="P892" s="62"/>
      <c r="Q892" s="62"/>
      <c r="R892" s="62"/>
      <c r="S892" s="62"/>
      <c r="T892" s="62"/>
      <c r="U892" s="74"/>
      <c r="V892" s="62"/>
      <c r="W892" s="74"/>
      <c r="X892" s="62"/>
      <c r="Y892" s="61"/>
      <c r="Z892" s="62"/>
      <c r="AA892" s="62"/>
      <c r="AB892" s="62"/>
      <c r="AC892" s="62"/>
      <c r="AD892" s="62"/>
      <c r="AE892" s="62"/>
      <c r="AF892" s="62"/>
      <c r="AG892" s="62"/>
      <c r="AH892" s="62"/>
      <c r="AI892" s="62"/>
      <c r="AJ892" s="62"/>
      <c r="AK892" s="62"/>
      <c r="AL892" s="62"/>
      <c r="AM892" s="62"/>
      <c r="AN892" s="62"/>
      <c r="AO892" s="62"/>
    </row>
    <row r="893">
      <c r="A893" s="62"/>
      <c r="B893" s="62"/>
      <c r="C893" s="61"/>
      <c r="D893" s="62"/>
      <c r="E893" s="62"/>
      <c r="F893" s="62" t="b">
        <v>0</v>
      </c>
      <c r="G893" s="62"/>
      <c r="H893" s="61"/>
      <c r="I893" s="61"/>
      <c r="J893" s="62"/>
      <c r="K893" s="62"/>
      <c r="L893" s="62"/>
      <c r="M893" s="62"/>
      <c r="N893" s="62"/>
      <c r="O893" s="62" t="b">
        <v>0</v>
      </c>
      <c r="P893" s="62"/>
      <c r="Q893" s="62"/>
      <c r="R893" s="62"/>
      <c r="S893" s="62"/>
      <c r="T893" s="62"/>
      <c r="U893" s="74"/>
      <c r="V893" s="62"/>
      <c r="W893" s="74"/>
      <c r="X893" s="62"/>
      <c r="Y893" s="61"/>
      <c r="Z893" s="62"/>
      <c r="AA893" s="62"/>
      <c r="AB893" s="62"/>
      <c r="AC893" s="62"/>
      <c r="AD893" s="62"/>
      <c r="AE893" s="62"/>
      <c r="AF893" s="62"/>
      <c r="AG893" s="62"/>
      <c r="AH893" s="62"/>
      <c r="AI893" s="62"/>
      <c r="AJ893" s="62"/>
      <c r="AK893" s="62"/>
      <c r="AL893" s="62"/>
      <c r="AM893" s="62"/>
      <c r="AN893" s="62"/>
      <c r="AO893" s="62"/>
    </row>
    <row r="894">
      <c r="A894" s="62"/>
      <c r="B894" s="62"/>
      <c r="C894" s="61"/>
      <c r="D894" s="62"/>
      <c r="E894" s="62"/>
      <c r="F894" s="62" t="b">
        <v>0</v>
      </c>
      <c r="G894" s="62"/>
      <c r="H894" s="61"/>
      <c r="I894" s="61"/>
      <c r="J894" s="62"/>
      <c r="K894" s="62"/>
      <c r="L894" s="62"/>
      <c r="M894" s="62"/>
      <c r="N894" s="62"/>
      <c r="O894" s="62" t="b">
        <v>0</v>
      </c>
      <c r="P894" s="62"/>
      <c r="Q894" s="62"/>
      <c r="R894" s="62"/>
      <c r="S894" s="62"/>
      <c r="T894" s="62"/>
      <c r="U894" s="74"/>
      <c r="V894" s="62"/>
      <c r="W894" s="74"/>
      <c r="X894" s="62"/>
      <c r="Y894" s="61"/>
      <c r="Z894" s="62"/>
      <c r="AA894" s="62"/>
      <c r="AB894" s="62"/>
      <c r="AC894" s="62"/>
      <c r="AD894" s="62"/>
      <c r="AE894" s="62"/>
      <c r="AF894" s="62"/>
      <c r="AG894" s="62"/>
      <c r="AH894" s="62"/>
      <c r="AI894" s="62"/>
      <c r="AJ894" s="62"/>
      <c r="AK894" s="62"/>
      <c r="AL894" s="62"/>
      <c r="AM894" s="62"/>
      <c r="AN894" s="62"/>
      <c r="AO894" s="62"/>
    </row>
    <row r="895">
      <c r="A895" s="62"/>
      <c r="B895" s="62"/>
      <c r="C895" s="61"/>
      <c r="D895" s="62"/>
      <c r="E895" s="62"/>
      <c r="F895" s="62" t="b">
        <v>0</v>
      </c>
      <c r="G895" s="62"/>
      <c r="H895" s="61"/>
      <c r="I895" s="61"/>
      <c r="J895" s="62"/>
      <c r="K895" s="62"/>
      <c r="L895" s="62"/>
      <c r="M895" s="62"/>
      <c r="N895" s="62"/>
      <c r="O895" s="62" t="b">
        <v>0</v>
      </c>
      <c r="P895" s="62"/>
      <c r="Q895" s="62"/>
      <c r="R895" s="62"/>
      <c r="S895" s="62"/>
      <c r="T895" s="62"/>
      <c r="U895" s="74"/>
      <c r="V895" s="62"/>
      <c r="W895" s="74"/>
      <c r="X895" s="62"/>
      <c r="Y895" s="61"/>
      <c r="Z895" s="62"/>
      <c r="AA895" s="62"/>
      <c r="AB895" s="62"/>
      <c r="AC895" s="62"/>
      <c r="AD895" s="62"/>
      <c r="AE895" s="62"/>
      <c r="AF895" s="62"/>
      <c r="AG895" s="62"/>
      <c r="AH895" s="62"/>
      <c r="AI895" s="62"/>
      <c r="AJ895" s="62"/>
      <c r="AK895" s="62"/>
      <c r="AL895" s="62"/>
      <c r="AM895" s="62"/>
      <c r="AN895" s="62"/>
      <c r="AO895" s="62"/>
    </row>
    <row r="896">
      <c r="A896" s="62"/>
      <c r="B896" s="62"/>
      <c r="C896" s="61"/>
      <c r="D896" s="62"/>
      <c r="E896" s="62"/>
      <c r="F896" s="62" t="b">
        <v>0</v>
      </c>
      <c r="G896" s="62"/>
      <c r="H896" s="61"/>
      <c r="I896" s="61"/>
      <c r="J896" s="62"/>
      <c r="K896" s="62"/>
      <c r="L896" s="62"/>
      <c r="M896" s="62"/>
      <c r="N896" s="62"/>
      <c r="O896" s="62" t="b">
        <v>0</v>
      </c>
      <c r="P896" s="62"/>
      <c r="Q896" s="62"/>
      <c r="R896" s="62"/>
      <c r="S896" s="62"/>
      <c r="T896" s="62"/>
      <c r="U896" s="74"/>
      <c r="V896" s="62"/>
      <c r="W896" s="74"/>
      <c r="X896" s="62"/>
      <c r="Y896" s="61"/>
      <c r="Z896" s="62"/>
      <c r="AA896" s="62"/>
      <c r="AB896" s="62"/>
      <c r="AC896" s="62"/>
      <c r="AD896" s="62"/>
      <c r="AE896" s="62"/>
      <c r="AF896" s="62"/>
      <c r="AG896" s="62"/>
      <c r="AH896" s="62"/>
      <c r="AI896" s="62"/>
      <c r="AJ896" s="62"/>
      <c r="AK896" s="62"/>
      <c r="AL896" s="62"/>
      <c r="AM896" s="62"/>
      <c r="AN896" s="62"/>
      <c r="AO896" s="62"/>
    </row>
    <row r="897">
      <c r="A897" s="62"/>
      <c r="B897" s="62"/>
      <c r="C897" s="61"/>
      <c r="D897" s="62"/>
      <c r="E897" s="62"/>
      <c r="F897" s="62" t="b">
        <v>0</v>
      </c>
      <c r="G897" s="62"/>
      <c r="H897" s="61"/>
      <c r="I897" s="61"/>
      <c r="J897" s="62"/>
      <c r="K897" s="62"/>
      <c r="L897" s="62"/>
      <c r="M897" s="62"/>
      <c r="N897" s="62"/>
      <c r="O897" s="62" t="b">
        <v>0</v>
      </c>
      <c r="P897" s="62"/>
      <c r="Q897" s="62"/>
      <c r="R897" s="62"/>
      <c r="S897" s="62"/>
      <c r="T897" s="62"/>
      <c r="U897" s="74"/>
      <c r="V897" s="62"/>
      <c r="W897" s="74"/>
      <c r="X897" s="62"/>
      <c r="Y897" s="61"/>
      <c r="Z897" s="62"/>
      <c r="AA897" s="62"/>
      <c r="AB897" s="62"/>
      <c r="AC897" s="62"/>
      <c r="AD897" s="62"/>
      <c r="AE897" s="62"/>
      <c r="AF897" s="62"/>
      <c r="AG897" s="62"/>
      <c r="AH897" s="62"/>
      <c r="AI897" s="62"/>
      <c r="AJ897" s="62"/>
      <c r="AK897" s="62"/>
      <c r="AL897" s="62"/>
      <c r="AM897" s="62"/>
      <c r="AN897" s="62"/>
      <c r="AO897" s="62"/>
    </row>
    <row r="898">
      <c r="A898" s="62"/>
      <c r="B898" s="62"/>
      <c r="C898" s="61"/>
      <c r="D898" s="62"/>
      <c r="E898" s="62"/>
      <c r="F898" s="62" t="b">
        <v>0</v>
      </c>
      <c r="G898" s="62"/>
      <c r="H898" s="61"/>
      <c r="I898" s="61"/>
      <c r="J898" s="62"/>
      <c r="K898" s="62"/>
      <c r="L898" s="62"/>
      <c r="M898" s="62"/>
      <c r="N898" s="62"/>
      <c r="O898" s="62" t="b">
        <v>0</v>
      </c>
      <c r="P898" s="62"/>
      <c r="Q898" s="62"/>
      <c r="R898" s="62"/>
      <c r="S898" s="62"/>
      <c r="T898" s="62"/>
      <c r="U898" s="74"/>
      <c r="V898" s="62"/>
      <c r="W898" s="74"/>
      <c r="X898" s="62"/>
      <c r="Y898" s="61"/>
      <c r="Z898" s="62"/>
      <c r="AA898" s="62"/>
      <c r="AB898" s="62"/>
      <c r="AC898" s="62"/>
      <c r="AD898" s="62"/>
      <c r="AE898" s="62"/>
      <c r="AF898" s="62"/>
      <c r="AG898" s="62"/>
      <c r="AH898" s="62"/>
      <c r="AI898" s="62"/>
      <c r="AJ898" s="62"/>
      <c r="AK898" s="62"/>
      <c r="AL898" s="62"/>
      <c r="AM898" s="62"/>
      <c r="AN898" s="62"/>
      <c r="AO898" s="62"/>
    </row>
    <row r="899">
      <c r="A899" s="62"/>
      <c r="B899" s="62"/>
      <c r="C899" s="61"/>
      <c r="D899" s="62"/>
      <c r="E899" s="62"/>
      <c r="F899" s="62" t="b">
        <v>0</v>
      </c>
      <c r="G899" s="62"/>
      <c r="H899" s="61"/>
      <c r="I899" s="61"/>
      <c r="J899" s="62"/>
      <c r="K899" s="62"/>
      <c r="L899" s="62"/>
      <c r="M899" s="62"/>
      <c r="N899" s="62"/>
      <c r="O899" s="62" t="b">
        <v>0</v>
      </c>
      <c r="P899" s="62"/>
      <c r="Q899" s="62"/>
      <c r="R899" s="62"/>
      <c r="S899" s="62"/>
      <c r="T899" s="62"/>
      <c r="U899" s="74"/>
      <c r="V899" s="62"/>
      <c r="W899" s="74"/>
      <c r="X899" s="62"/>
      <c r="Y899" s="61"/>
      <c r="Z899" s="62"/>
      <c r="AA899" s="62"/>
      <c r="AB899" s="62"/>
      <c r="AC899" s="62"/>
      <c r="AD899" s="62"/>
      <c r="AE899" s="62"/>
      <c r="AF899" s="62"/>
      <c r="AG899" s="62"/>
      <c r="AH899" s="62"/>
      <c r="AI899" s="62"/>
      <c r="AJ899" s="62"/>
      <c r="AK899" s="62"/>
      <c r="AL899" s="62"/>
      <c r="AM899" s="62"/>
      <c r="AN899" s="62"/>
      <c r="AO899" s="62"/>
    </row>
    <row r="900">
      <c r="A900" s="62"/>
      <c r="B900" s="62"/>
      <c r="C900" s="61"/>
      <c r="D900" s="62"/>
      <c r="E900" s="62"/>
      <c r="F900" s="62" t="b">
        <v>0</v>
      </c>
      <c r="G900" s="62"/>
      <c r="H900" s="61"/>
      <c r="I900" s="61"/>
      <c r="J900" s="62"/>
      <c r="K900" s="62"/>
      <c r="L900" s="62"/>
      <c r="M900" s="62"/>
      <c r="N900" s="62"/>
      <c r="O900" s="62" t="b">
        <v>0</v>
      </c>
      <c r="P900" s="62"/>
      <c r="Q900" s="62"/>
      <c r="R900" s="62"/>
      <c r="S900" s="62"/>
      <c r="T900" s="62"/>
      <c r="U900" s="74"/>
      <c r="V900" s="62"/>
      <c r="W900" s="74"/>
      <c r="X900" s="62"/>
      <c r="Y900" s="61"/>
      <c r="Z900" s="62"/>
      <c r="AA900" s="62"/>
      <c r="AB900" s="62"/>
      <c r="AC900" s="62"/>
      <c r="AD900" s="62"/>
      <c r="AE900" s="62"/>
      <c r="AF900" s="62"/>
      <c r="AG900" s="62"/>
      <c r="AH900" s="62"/>
      <c r="AI900" s="62"/>
      <c r="AJ900" s="62"/>
      <c r="AK900" s="62"/>
      <c r="AL900" s="62"/>
      <c r="AM900" s="62"/>
      <c r="AN900" s="62"/>
      <c r="AO900" s="62"/>
    </row>
    <row r="901">
      <c r="A901" s="62"/>
      <c r="B901" s="62"/>
      <c r="C901" s="61"/>
      <c r="D901" s="62"/>
      <c r="E901" s="62"/>
      <c r="F901" s="62" t="b">
        <v>0</v>
      </c>
      <c r="G901" s="62"/>
      <c r="H901" s="61"/>
      <c r="I901" s="61"/>
      <c r="J901" s="62"/>
      <c r="K901" s="62"/>
      <c r="L901" s="62"/>
      <c r="M901" s="62"/>
      <c r="N901" s="62"/>
      <c r="O901" s="62" t="b">
        <v>0</v>
      </c>
      <c r="P901" s="62"/>
      <c r="Q901" s="62"/>
      <c r="R901" s="62"/>
      <c r="S901" s="62"/>
      <c r="T901" s="62"/>
      <c r="U901" s="74"/>
      <c r="V901" s="62"/>
      <c r="W901" s="74"/>
      <c r="X901" s="62"/>
      <c r="Y901" s="61"/>
      <c r="Z901" s="62"/>
      <c r="AA901" s="62"/>
      <c r="AB901" s="62"/>
      <c r="AC901" s="62"/>
      <c r="AD901" s="62"/>
      <c r="AE901" s="62"/>
      <c r="AF901" s="62"/>
      <c r="AG901" s="62"/>
      <c r="AH901" s="62"/>
      <c r="AI901" s="62"/>
      <c r="AJ901" s="62"/>
      <c r="AK901" s="62"/>
      <c r="AL901" s="62"/>
      <c r="AM901" s="62"/>
      <c r="AN901" s="62"/>
      <c r="AO901" s="62"/>
    </row>
    <row r="902">
      <c r="A902" s="62"/>
      <c r="B902" s="62"/>
      <c r="C902" s="61"/>
      <c r="D902" s="62"/>
      <c r="E902" s="62"/>
      <c r="F902" s="62" t="b">
        <v>0</v>
      </c>
      <c r="G902" s="62"/>
      <c r="H902" s="61"/>
      <c r="I902" s="61"/>
      <c r="J902" s="62"/>
      <c r="K902" s="62"/>
      <c r="L902" s="62"/>
      <c r="M902" s="62"/>
      <c r="N902" s="62"/>
      <c r="O902" s="62" t="b">
        <v>0</v>
      </c>
      <c r="P902" s="62"/>
      <c r="Q902" s="62"/>
      <c r="R902" s="62"/>
      <c r="S902" s="62"/>
      <c r="T902" s="62"/>
      <c r="U902" s="74"/>
      <c r="V902" s="62"/>
      <c r="W902" s="74"/>
      <c r="X902" s="62"/>
      <c r="Y902" s="61"/>
      <c r="Z902" s="62"/>
      <c r="AA902" s="62"/>
      <c r="AB902" s="62"/>
      <c r="AC902" s="62"/>
      <c r="AD902" s="62"/>
      <c r="AE902" s="62"/>
      <c r="AF902" s="62"/>
      <c r="AG902" s="62"/>
      <c r="AH902" s="62"/>
      <c r="AI902" s="62"/>
      <c r="AJ902" s="62"/>
      <c r="AK902" s="62"/>
      <c r="AL902" s="62"/>
      <c r="AM902" s="62"/>
      <c r="AN902" s="62"/>
      <c r="AO902" s="62"/>
    </row>
    <row r="903">
      <c r="A903" s="62"/>
      <c r="B903" s="62"/>
      <c r="C903" s="61"/>
      <c r="D903" s="62"/>
      <c r="E903" s="62"/>
      <c r="F903" s="62" t="b">
        <v>0</v>
      </c>
      <c r="G903" s="62"/>
      <c r="H903" s="61"/>
      <c r="I903" s="61"/>
      <c r="J903" s="62"/>
      <c r="K903" s="62"/>
      <c r="L903" s="62"/>
      <c r="M903" s="62"/>
      <c r="N903" s="62"/>
      <c r="O903" s="62" t="b">
        <v>0</v>
      </c>
      <c r="P903" s="62"/>
      <c r="Q903" s="62"/>
      <c r="R903" s="62"/>
      <c r="S903" s="62"/>
      <c r="T903" s="62"/>
      <c r="U903" s="74"/>
      <c r="V903" s="62"/>
      <c r="W903" s="74"/>
      <c r="X903" s="62"/>
      <c r="Y903" s="61"/>
      <c r="Z903" s="62"/>
      <c r="AA903" s="62"/>
      <c r="AB903" s="62"/>
      <c r="AC903" s="62"/>
      <c r="AD903" s="62"/>
      <c r="AE903" s="62"/>
      <c r="AF903" s="62"/>
      <c r="AG903" s="62"/>
      <c r="AH903" s="62"/>
      <c r="AI903" s="62"/>
      <c r="AJ903" s="62"/>
      <c r="AK903" s="62"/>
      <c r="AL903" s="62"/>
      <c r="AM903" s="62"/>
      <c r="AN903" s="62"/>
      <c r="AO903" s="62"/>
    </row>
    <row r="904">
      <c r="A904" s="62"/>
      <c r="B904" s="62"/>
      <c r="C904" s="61"/>
      <c r="D904" s="62"/>
      <c r="E904" s="62"/>
      <c r="F904" s="62" t="b">
        <v>0</v>
      </c>
      <c r="G904" s="62"/>
      <c r="H904" s="61"/>
      <c r="I904" s="61"/>
      <c r="J904" s="62"/>
      <c r="K904" s="62"/>
      <c r="L904" s="62"/>
      <c r="M904" s="62"/>
      <c r="N904" s="62"/>
      <c r="O904" s="62" t="b">
        <v>0</v>
      </c>
      <c r="P904" s="62"/>
      <c r="Q904" s="62"/>
      <c r="R904" s="62"/>
      <c r="S904" s="62"/>
      <c r="T904" s="62"/>
      <c r="U904" s="74"/>
      <c r="V904" s="62"/>
      <c r="W904" s="74"/>
      <c r="X904" s="62"/>
      <c r="Y904" s="61"/>
      <c r="Z904" s="62"/>
      <c r="AA904" s="62"/>
      <c r="AB904" s="62"/>
      <c r="AC904" s="62"/>
      <c r="AD904" s="62"/>
      <c r="AE904" s="62"/>
      <c r="AF904" s="62"/>
      <c r="AG904" s="62"/>
      <c r="AH904" s="62"/>
      <c r="AI904" s="62"/>
      <c r="AJ904" s="62"/>
      <c r="AK904" s="62"/>
      <c r="AL904" s="62"/>
      <c r="AM904" s="62"/>
      <c r="AN904" s="62"/>
      <c r="AO904" s="62"/>
    </row>
    <row r="905">
      <c r="A905" s="62"/>
      <c r="B905" s="62"/>
      <c r="C905" s="61"/>
      <c r="D905" s="62"/>
      <c r="E905" s="62"/>
      <c r="F905" s="62" t="b">
        <v>0</v>
      </c>
      <c r="G905" s="62"/>
      <c r="H905" s="61"/>
      <c r="I905" s="61"/>
      <c r="J905" s="62"/>
      <c r="K905" s="62"/>
      <c r="L905" s="62"/>
      <c r="M905" s="62"/>
      <c r="N905" s="62"/>
      <c r="O905" s="62" t="b">
        <v>0</v>
      </c>
      <c r="P905" s="62"/>
      <c r="Q905" s="62"/>
      <c r="R905" s="62"/>
      <c r="S905" s="62"/>
      <c r="T905" s="62"/>
      <c r="U905" s="74"/>
      <c r="V905" s="62"/>
      <c r="W905" s="74"/>
      <c r="X905" s="62"/>
      <c r="Y905" s="61"/>
      <c r="Z905" s="62"/>
      <c r="AA905" s="62"/>
      <c r="AB905" s="62"/>
      <c r="AC905" s="62"/>
      <c r="AD905" s="62"/>
      <c r="AE905" s="62"/>
      <c r="AF905" s="62"/>
      <c r="AG905" s="62"/>
      <c r="AH905" s="62"/>
      <c r="AI905" s="62"/>
      <c r="AJ905" s="62"/>
      <c r="AK905" s="62"/>
      <c r="AL905" s="62"/>
      <c r="AM905" s="62"/>
      <c r="AN905" s="62"/>
      <c r="AO905" s="62"/>
    </row>
    <row r="906">
      <c r="A906" s="62"/>
      <c r="B906" s="62"/>
      <c r="C906" s="61"/>
      <c r="D906" s="62"/>
      <c r="E906" s="62"/>
      <c r="F906" s="62" t="b">
        <v>0</v>
      </c>
      <c r="G906" s="62"/>
      <c r="H906" s="61"/>
      <c r="I906" s="61"/>
      <c r="J906" s="62"/>
      <c r="K906" s="62"/>
      <c r="L906" s="62"/>
      <c r="M906" s="62"/>
      <c r="N906" s="62"/>
      <c r="O906" s="62" t="b">
        <v>0</v>
      </c>
      <c r="P906" s="62"/>
      <c r="Q906" s="62"/>
      <c r="R906" s="62"/>
      <c r="S906" s="62"/>
      <c r="T906" s="62"/>
      <c r="U906" s="74"/>
      <c r="V906" s="62"/>
      <c r="W906" s="74"/>
      <c r="X906" s="62"/>
      <c r="Y906" s="61"/>
      <c r="Z906" s="62"/>
      <c r="AA906" s="62"/>
      <c r="AB906" s="62"/>
      <c r="AC906" s="62"/>
      <c r="AD906" s="62"/>
      <c r="AE906" s="62"/>
      <c r="AF906" s="62"/>
      <c r="AG906" s="62"/>
      <c r="AH906" s="62"/>
      <c r="AI906" s="62"/>
      <c r="AJ906" s="62"/>
      <c r="AK906" s="62"/>
      <c r="AL906" s="62"/>
      <c r="AM906" s="62"/>
      <c r="AN906" s="62"/>
      <c r="AO906" s="62"/>
    </row>
    <row r="907">
      <c r="A907" s="62"/>
      <c r="B907" s="62"/>
      <c r="C907" s="61"/>
      <c r="D907" s="62"/>
      <c r="E907" s="62"/>
      <c r="F907" s="62" t="b">
        <v>0</v>
      </c>
      <c r="G907" s="62"/>
      <c r="H907" s="61"/>
      <c r="I907" s="61"/>
      <c r="J907" s="62"/>
      <c r="K907" s="62"/>
      <c r="L907" s="62"/>
      <c r="M907" s="62"/>
      <c r="N907" s="62"/>
      <c r="O907" s="62" t="b">
        <v>0</v>
      </c>
      <c r="P907" s="62"/>
      <c r="Q907" s="62"/>
      <c r="R907" s="62"/>
      <c r="S907" s="62"/>
      <c r="T907" s="62"/>
      <c r="U907" s="74"/>
      <c r="V907" s="62"/>
      <c r="W907" s="74"/>
      <c r="X907" s="62"/>
      <c r="Y907" s="61"/>
      <c r="Z907" s="62"/>
      <c r="AA907" s="62"/>
      <c r="AB907" s="62"/>
      <c r="AC907" s="62"/>
      <c r="AD907" s="62"/>
      <c r="AE907" s="62"/>
      <c r="AF907" s="62"/>
      <c r="AG907" s="62"/>
      <c r="AH907" s="62"/>
      <c r="AI907" s="62"/>
      <c r="AJ907" s="62"/>
      <c r="AK907" s="62"/>
      <c r="AL907" s="62"/>
      <c r="AM907" s="62"/>
      <c r="AN907" s="62"/>
      <c r="AO907" s="62"/>
    </row>
    <row r="908">
      <c r="A908" s="62"/>
      <c r="B908" s="62"/>
      <c r="C908" s="61"/>
      <c r="D908" s="62"/>
      <c r="E908" s="62"/>
      <c r="F908" s="62" t="b">
        <v>0</v>
      </c>
      <c r="G908" s="62"/>
      <c r="H908" s="61"/>
      <c r="I908" s="61"/>
      <c r="J908" s="62"/>
      <c r="K908" s="62"/>
      <c r="L908" s="62"/>
      <c r="M908" s="62"/>
      <c r="N908" s="62"/>
      <c r="O908" s="62" t="b">
        <v>0</v>
      </c>
      <c r="P908" s="62"/>
      <c r="Q908" s="62"/>
      <c r="R908" s="62"/>
      <c r="S908" s="62"/>
      <c r="T908" s="62"/>
      <c r="U908" s="74"/>
      <c r="V908" s="62"/>
      <c r="W908" s="74"/>
      <c r="X908" s="62"/>
      <c r="Y908" s="61"/>
      <c r="Z908" s="62"/>
      <c r="AA908" s="62"/>
      <c r="AB908" s="62"/>
      <c r="AC908" s="62"/>
      <c r="AD908" s="62"/>
      <c r="AE908" s="62"/>
      <c r="AF908" s="62"/>
      <c r="AG908" s="62"/>
      <c r="AH908" s="62"/>
      <c r="AI908" s="62"/>
      <c r="AJ908" s="62"/>
      <c r="AK908" s="62"/>
      <c r="AL908" s="62"/>
      <c r="AM908" s="62"/>
      <c r="AN908" s="62"/>
      <c r="AO908" s="62"/>
    </row>
    <row r="909">
      <c r="A909" s="62"/>
      <c r="B909" s="62"/>
      <c r="C909" s="61"/>
      <c r="D909" s="62"/>
      <c r="E909" s="62"/>
      <c r="F909" s="62" t="b">
        <v>0</v>
      </c>
      <c r="G909" s="62"/>
      <c r="H909" s="61"/>
      <c r="I909" s="61"/>
      <c r="J909" s="62"/>
      <c r="K909" s="62"/>
      <c r="L909" s="62"/>
      <c r="M909" s="62"/>
      <c r="N909" s="62"/>
      <c r="O909" s="62" t="b">
        <v>0</v>
      </c>
      <c r="P909" s="62"/>
      <c r="Q909" s="62"/>
      <c r="R909" s="62"/>
      <c r="S909" s="62"/>
      <c r="T909" s="62"/>
      <c r="U909" s="74"/>
      <c r="V909" s="62"/>
      <c r="W909" s="74"/>
      <c r="X909" s="62"/>
      <c r="Y909" s="61"/>
      <c r="Z909" s="62"/>
      <c r="AA909" s="62"/>
      <c r="AB909" s="62"/>
      <c r="AC909" s="62"/>
      <c r="AD909" s="62"/>
      <c r="AE909" s="62"/>
      <c r="AF909" s="62"/>
      <c r="AG909" s="62"/>
      <c r="AH909" s="62"/>
      <c r="AI909" s="62"/>
      <c r="AJ909" s="62"/>
      <c r="AK909" s="62"/>
      <c r="AL909" s="62"/>
      <c r="AM909" s="62"/>
      <c r="AN909" s="62"/>
      <c r="AO909" s="62"/>
    </row>
    <row r="910">
      <c r="A910" s="62"/>
      <c r="B910" s="62"/>
      <c r="C910" s="61"/>
      <c r="D910" s="62"/>
      <c r="E910" s="62"/>
      <c r="F910" s="62" t="b">
        <v>0</v>
      </c>
      <c r="G910" s="62"/>
      <c r="H910" s="61"/>
      <c r="I910" s="61"/>
      <c r="J910" s="62"/>
      <c r="K910" s="62"/>
      <c r="L910" s="62"/>
      <c r="M910" s="62"/>
      <c r="N910" s="62"/>
      <c r="O910" s="62" t="b">
        <v>0</v>
      </c>
      <c r="P910" s="62"/>
      <c r="Q910" s="62"/>
      <c r="R910" s="62"/>
      <c r="S910" s="62"/>
      <c r="T910" s="62"/>
      <c r="U910" s="74"/>
      <c r="V910" s="62"/>
      <c r="W910" s="74"/>
      <c r="X910" s="62"/>
      <c r="Y910" s="61"/>
      <c r="Z910" s="62"/>
      <c r="AA910" s="62"/>
      <c r="AB910" s="62"/>
      <c r="AC910" s="62"/>
      <c r="AD910" s="62"/>
      <c r="AE910" s="62"/>
      <c r="AF910" s="62"/>
      <c r="AG910" s="62"/>
      <c r="AH910" s="62"/>
      <c r="AI910" s="62"/>
      <c r="AJ910" s="62"/>
      <c r="AK910" s="62"/>
      <c r="AL910" s="62"/>
      <c r="AM910" s="62"/>
      <c r="AN910" s="62"/>
      <c r="AO910" s="62"/>
    </row>
    <row r="911">
      <c r="A911" s="62"/>
      <c r="B911" s="62"/>
      <c r="C911" s="61"/>
      <c r="D911" s="62"/>
      <c r="E911" s="62"/>
      <c r="F911" s="62" t="b">
        <v>0</v>
      </c>
      <c r="G911" s="62"/>
      <c r="H911" s="61"/>
      <c r="I911" s="61"/>
      <c r="J911" s="62"/>
      <c r="K911" s="62"/>
      <c r="L911" s="62"/>
      <c r="M911" s="62"/>
      <c r="N911" s="62"/>
      <c r="O911" s="62" t="b">
        <v>0</v>
      </c>
      <c r="P911" s="62"/>
      <c r="Q911" s="62"/>
      <c r="R911" s="62"/>
      <c r="S911" s="62"/>
      <c r="T911" s="62"/>
      <c r="U911" s="74"/>
      <c r="V911" s="62"/>
      <c r="W911" s="74"/>
      <c r="X911" s="62"/>
      <c r="Y911" s="61"/>
      <c r="Z911" s="62"/>
      <c r="AA911" s="62"/>
      <c r="AB911" s="62"/>
      <c r="AC911" s="62"/>
      <c r="AD911" s="62"/>
      <c r="AE911" s="62"/>
      <c r="AF911" s="62"/>
      <c r="AG911" s="62"/>
      <c r="AH911" s="62"/>
      <c r="AI911" s="62"/>
      <c r="AJ911" s="62"/>
      <c r="AK911" s="62"/>
      <c r="AL911" s="62"/>
      <c r="AM911" s="62"/>
      <c r="AN911" s="62"/>
      <c r="AO911" s="62"/>
    </row>
    <row r="912">
      <c r="A912" s="62"/>
      <c r="B912" s="62"/>
      <c r="C912" s="61"/>
      <c r="D912" s="62"/>
      <c r="E912" s="62"/>
      <c r="F912" s="62" t="b">
        <v>0</v>
      </c>
      <c r="G912" s="62"/>
      <c r="H912" s="61"/>
      <c r="I912" s="61"/>
      <c r="J912" s="62"/>
      <c r="K912" s="62"/>
      <c r="L912" s="62"/>
      <c r="M912" s="62"/>
      <c r="N912" s="62"/>
      <c r="O912" s="62" t="b">
        <v>0</v>
      </c>
      <c r="P912" s="62"/>
      <c r="Q912" s="62"/>
      <c r="R912" s="62"/>
      <c r="S912" s="62"/>
      <c r="T912" s="62"/>
      <c r="U912" s="74"/>
      <c r="V912" s="62"/>
      <c r="W912" s="74"/>
      <c r="X912" s="62"/>
      <c r="Y912" s="61"/>
      <c r="Z912" s="62"/>
      <c r="AA912" s="62"/>
      <c r="AB912" s="62"/>
      <c r="AC912" s="62"/>
      <c r="AD912" s="62"/>
      <c r="AE912" s="62"/>
      <c r="AF912" s="62"/>
      <c r="AG912" s="62"/>
      <c r="AH912" s="62"/>
      <c r="AI912" s="62"/>
      <c r="AJ912" s="62"/>
      <c r="AK912" s="62"/>
      <c r="AL912" s="62"/>
      <c r="AM912" s="62"/>
      <c r="AN912" s="62"/>
      <c r="AO912" s="62"/>
    </row>
    <row r="913">
      <c r="A913" s="62"/>
      <c r="B913" s="62"/>
      <c r="C913" s="61"/>
      <c r="D913" s="62"/>
      <c r="E913" s="62"/>
      <c r="F913" s="62" t="b">
        <v>0</v>
      </c>
      <c r="G913" s="62"/>
      <c r="H913" s="61"/>
      <c r="I913" s="61"/>
      <c r="J913" s="62"/>
      <c r="K913" s="62"/>
      <c r="L913" s="62"/>
      <c r="M913" s="62"/>
      <c r="N913" s="62"/>
      <c r="O913" s="62" t="b">
        <v>0</v>
      </c>
      <c r="P913" s="62"/>
      <c r="Q913" s="62"/>
      <c r="R913" s="62"/>
      <c r="S913" s="62"/>
      <c r="T913" s="62"/>
      <c r="U913" s="74"/>
      <c r="V913" s="62"/>
      <c r="W913" s="74"/>
      <c r="X913" s="62"/>
      <c r="Y913" s="61"/>
      <c r="Z913" s="62"/>
      <c r="AA913" s="62"/>
      <c r="AB913" s="62"/>
      <c r="AC913" s="62"/>
      <c r="AD913" s="62"/>
      <c r="AE913" s="62"/>
      <c r="AF913" s="62"/>
      <c r="AG913" s="62"/>
      <c r="AH913" s="62"/>
      <c r="AI913" s="62"/>
      <c r="AJ913" s="62"/>
      <c r="AK913" s="62"/>
      <c r="AL913" s="62"/>
      <c r="AM913" s="62"/>
      <c r="AN913" s="62"/>
      <c r="AO913" s="62"/>
    </row>
    <row r="914">
      <c r="A914" s="62"/>
      <c r="B914" s="62"/>
      <c r="C914" s="61"/>
      <c r="D914" s="62"/>
      <c r="E914" s="62"/>
      <c r="F914" s="62" t="b">
        <v>0</v>
      </c>
      <c r="G914" s="62"/>
      <c r="H914" s="61"/>
      <c r="I914" s="61"/>
      <c r="J914" s="62"/>
      <c r="K914" s="62"/>
      <c r="L914" s="62"/>
      <c r="M914" s="62"/>
      <c r="N914" s="62"/>
      <c r="O914" s="62" t="b">
        <v>0</v>
      </c>
      <c r="P914" s="62"/>
      <c r="Q914" s="62"/>
      <c r="R914" s="62"/>
      <c r="S914" s="62"/>
      <c r="T914" s="62"/>
      <c r="U914" s="74"/>
      <c r="V914" s="62"/>
      <c r="W914" s="74"/>
      <c r="X914" s="62"/>
      <c r="Y914" s="61"/>
      <c r="Z914" s="62"/>
      <c r="AA914" s="62"/>
      <c r="AB914" s="62"/>
      <c r="AC914" s="62"/>
      <c r="AD914" s="62"/>
      <c r="AE914" s="62"/>
      <c r="AF914" s="62"/>
      <c r="AG914" s="62"/>
      <c r="AH914" s="62"/>
      <c r="AI914" s="62"/>
      <c r="AJ914" s="62"/>
      <c r="AK914" s="62"/>
      <c r="AL914" s="62"/>
      <c r="AM914" s="62"/>
      <c r="AN914" s="62"/>
      <c r="AO914" s="62"/>
    </row>
    <row r="915">
      <c r="A915" s="62"/>
      <c r="B915" s="62"/>
      <c r="C915" s="61"/>
      <c r="D915" s="62"/>
      <c r="E915" s="62"/>
      <c r="F915" s="62" t="b">
        <v>0</v>
      </c>
      <c r="G915" s="62"/>
      <c r="H915" s="61"/>
      <c r="I915" s="61"/>
      <c r="J915" s="62"/>
      <c r="K915" s="62"/>
      <c r="L915" s="62"/>
      <c r="M915" s="62"/>
      <c r="N915" s="62"/>
      <c r="O915" s="62" t="b">
        <v>0</v>
      </c>
      <c r="P915" s="62"/>
      <c r="Q915" s="62"/>
      <c r="R915" s="62"/>
      <c r="S915" s="62"/>
      <c r="T915" s="62"/>
      <c r="U915" s="74"/>
      <c r="V915" s="62"/>
      <c r="W915" s="74"/>
      <c r="X915" s="62"/>
      <c r="Y915" s="61"/>
      <c r="Z915" s="62"/>
      <c r="AA915" s="62"/>
      <c r="AB915" s="62"/>
      <c r="AC915" s="62"/>
      <c r="AD915" s="62"/>
      <c r="AE915" s="62"/>
      <c r="AF915" s="62"/>
      <c r="AG915" s="62"/>
      <c r="AH915" s="62"/>
      <c r="AI915" s="62"/>
      <c r="AJ915" s="62"/>
      <c r="AK915" s="62"/>
      <c r="AL915" s="62"/>
      <c r="AM915" s="62"/>
      <c r="AN915" s="62"/>
      <c r="AO915" s="62"/>
    </row>
    <row r="916">
      <c r="A916" s="62"/>
      <c r="B916" s="62"/>
      <c r="C916" s="61"/>
      <c r="D916" s="62"/>
      <c r="E916" s="62"/>
      <c r="F916" s="62" t="b">
        <v>0</v>
      </c>
      <c r="G916" s="62"/>
      <c r="H916" s="61"/>
      <c r="I916" s="61"/>
      <c r="J916" s="62"/>
      <c r="K916" s="62"/>
      <c r="L916" s="62"/>
      <c r="M916" s="62"/>
      <c r="N916" s="62"/>
      <c r="O916" s="62" t="b">
        <v>0</v>
      </c>
      <c r="P916" s="62"/>
      <c r="Q916" s="62"/>
      <c r="R916" s="62"/>
      <c r="S916" s="62"/>
      <c r="T916" s="62"/>
      <c r="U916" s="74"/>
      <c r="V916" s="62"/>
      <c r="W916" s="74"/>
      <c r="X916" s="62"/>
      <c r="Y916" s="61"/>
      <c r="Z916" s="62"/>
      <c r="AA916" s="62"/>
      <c r="AB916" s="62"/>
      <c r="AC916" s="62"/>
      <c r="AD916" s="62"/>
      <c r="AE916" s="62"/>
      <c r="AF916" s="62"/>
      <c r="AG916" s="62"/>
      <c r="AH916" s="62"/>
      <c r="AI916" s="62"/>
      <c r="AJ916" s="62"/>
      <c r="AK916" s="62"/>
      <c r="AL916" s="62"/>
      <c r="AM916" s="62"/>
      <c r="AN916" s="62"/>
      <c r="AO916" s="62"/>
    </row>
    <row r="917">
      <c r="A917" s="62"/>
      <c r="B917" s="62"/>
      <c r="C917" s="61"/>
      <c r="D917" s="62"/>
      <c r="E917" s="62"/>
      <c r="F917" s="62" t="b">
        <v>0</v>
      </c>
      <c r="G917" s="62"/>
      <c r="H917" s="61"/>
      <c r="I917" s="61"/>
      <c r="J917" s="62"/>
      <c r="K917" s="62"/>
      <c r="L917" s="62"/>
      <c r="M917" s="62"/>
      <c r="N917" s="62"/>
      <c r="O917" s="62" t="b">
        <v>0</v>
      </c>
      <c r="P917" s="62"/>
      <c r="Q917" s="62"/>
      <c r="R917" s="62"/>
      <c r="S917" s="62"/>
      <c r="T917" s="62"/>
      <c r="U917" s="74"/>
      <c r="V917" s="62"/>
      <c r="W917" s="74"/>
      <c r="X917" s="62"/>
      <c r="Y917" s="61"/>
      <c r="Z917" s="62"/>
      <c r="AA917" s="62"/>
      <c r="AB917" s="62"/>
      <c r="AC917" s="62"/>
      <c r="AD917" s="62"/>
      <c r="AE917" s="62"/>
      <c r="AF917" s="62"/>
      <c r="AG917" s="62"/>
      <c r="AH917" s="62"/>
      <c r="AI917" s="62"/>
      <c r="AJ917" s="62"/>
      <c r="AK917" s="62"/>
      <c r="AL917" s="62"/>
      <c r="AM917" s="62"/>
      <c r="AN917" s="62"/>
      <c r="AO917" s="62"/>
    </row>
    <row r="918">
      <c r="A918" s="62"/>
      <c r="B918" s="62"/>
      <c r="C918" s="61"/>
      <c r="D918" s="62"/>
      <c r="E918" s="62"/>
      <c r="F918" s="62" t="b">
        <v>0</v>
      </c>
      <c r="G918" s="62"/>
      <c r="H918" s="61"/>
      <c r="I918" s="61"/>
      <c r="J918" s="62"/>
      <c r="K918" s="62"/>
      <c r="L918" s="62"/>
      <c r="M918" s="62"/>
      <c r="N918" s="62"/>
      <c r="O918" s="62" t="b">
        <v>0</v>
      </c>
      <c r="P918" s="62"/>
      <c r="Q918" s="62"/>
      <c r="R918" s="62"/>
      <c r="S918" s="62"/>
      <c r="T918" s="62"/>
      <c r="U918" s="74"/>
      <c r="V918" s="62"/>
      <c r="W918" s="74"/>
      <c r="X918" s="62"/>
      <c r="Y918" s="61"/>
      <c r="Z918" s="62"/>
      <c r="AA918" s="62"/>
      <c r="AB918" s="62"/>
      <c r="AC918" s="62"/>
      <c r="AD918" s="62"/>
      <c r="AE918" s="62"/>
      <c r="AF918" s="62"/>
      <c r="AG918" s="62"/>
      <c r="AH918" s="62"/>
      <c r="AI918" s="62"/>
      <c r="AJ918" s="62"/>
      <c r="AK918" s="62"/>
      <c r="AL918" s="62"/>
      <c r="AM918" s="62"/>
      <c r="AN918" s="62"/>
      <c r="AO918" s="62"/>
    </row>
    <row r="919">
      <c r="A919" s="62"/>
      <c r="B919" s="62"/>
      <c r="C919" s="61"/>
      <c r="D919" s="62"/>
      <c r="E919" s="62"/>
      <c r="F919" s="62" t="b">
        <v>0</v>
      </c>
      <c r="G919" s="62"/>
      <c r="H919" s="61"/>
      <c r="I919" s="61"/>
      <c r="J919" s="62"/>
      <c r="K919" s="62"/>
      <c r="L919" s="62"/>
      <c r="M919" s="62"/>
      <c r="N919" s="62"/>
      <c r="O919" s="62" t="b">
        <v>0</v>
      </c>
      <c r="P919" s="62"/>
      <c r="Q919" s="62"/>
      <c r="R919" s="62"/>
      <c r="S919" s="62"/>
      <c r="T919" s="62"/>
      <c r="U919" s="74"/>
      <c r="V919" s="62"/>
      <c r="W919" s="74"/>
      <c r="X919" s="62"/>
      <c r="Y919" s="61"/>
      <c r="Z919" s="62"/>
      <c r="AA919" s="62"/>
      <c r="AB919" s="62"/>
      <c r="AC919" s="62"/>
      <c r="AD919" s="62"/>
      <c r="AE919" s="62"/>
      <c r="AF919" s="62"/>
      <c r="AG919" s="62"/>
      <c r="AH919" s="62"/>
      <c r="AI919" s="62"/>
      <c r="AJ919" s="62"/>
      <c r="AK919" s="62"/>
      <c r="AL919" s="62"/>
      <c r="AM919" s="62"/>
      <c r="AN919" s="62"/>
      <c r="AO919" s="62"/>
    </row>
    <row r="920">
      <c r="A920" s="62"/>
      <c r="B920" s="62"/>
      <c r="C920" s="61"/>
      <c r="D920" s="62"/>
      <c r="E920" s="62"/>
      <c r="F920" s="62" t="b">
        <v>0</v>
      </c>
      <c r="G920" s="62"/>
      <c r="H920" s="61"/>
      <c r="I920" s="61"/>
      <c r="J920" s="62"/>
      <c r="K920" s="62"/>
      <c r="L920" s="62"/>
      <c r="M920" s="62"/>
      <c r="N920" s="62"/>
      <c r="O920" s="62" t="b">
        <v>0</v>
      </c>
      <c r="P920" s="62"/>
      <c r="Q920" s="62"/>
      <c r="R920" s="62"/>
      <c r="S920" s="62"/>
      <c r="T920" s="62"/>
      <c r="U920" s="74"/>
      <c r="V920" s="62"/>
      <c r="W920" s="74"/>
      <c r="X920" s="62"/>
      <c r="Y920" s="61"/>
      <c r="Z920" s="62"/>
      <c r="AA920" s="62"/>
      <c r="AB920" s="62"/>
      <c r="AC920" s="62"/>
      <c r="AD920" s="62"/>
      <c r="AE920" s="62"/>
      <c r="AF920" s="62"/>
      <c r="AG920" s="62"/>
      <c r="AH920" s="62"/>
      <c r="AI920" s="62"/>
      <c r="AJ920" s="62"/>
      <c r="AK920" s="62"/>
      <c r="AL920" s="62"/>
      <c r="AM920" s="62"/>
      <c r="AN920" s="62"/>
      <c r="AO920" s="62"/>
    </row>
    <row r="921">
      <c r="A921" s="62"/>
      <c r="B921" s="62"/>
      <c r="C921" s="61"/>
      <c r="D921" s="62"/>
      <c r="E921" s="62"/>
      <c r="F921" s="62" t="b">
        <v>0</v>
      </c>
      <c r="G921" s="62"/>
      <c r="H921" s="61"/>
      <c r="I921" s="61"/>
      <c r="J921" s="62"/>
      <c r="K921" s="62"/>
      <c r="L921" s="62"/>
      <c r="M921" s="62"/>
      <c r="N921" s="62"/>
      <c r="O921" s="62" t="b">
        <v>0</v>
      </c>
      <c r="P921" s="62"/>
      <c r="Q921" s="62"/>
      <c r="R921" s="62"/>
      <c r="S921" s="62"/>
      <c r="T921" s="62"/>
      <c r="U921" s="74"/>
      <c r="V921" s="62"/>
      <c r="W921" s="74"/>
      <c r="X921" s="62"/>
      <c r="Y921" s="61"/>
      <c r="Z921" s="62"/>
      <c r="AA921" s="62"/>
      <c r="AB921" s="62"/>
      <c r="AC921" s="62"/>
      <c r="AD921" s="62"/>
      <c r="AE921" s="62"/>
      <c r="AF921" s="62"/>
      <c r="AG921" s="62"/>
      <c r="AH921" s="62"/>
      <c r="AI921" s="62"/>
      <c r="AJ921" s="62"/>
      <c r="AK921" s="62"/>
      <c r="AL921" s="62"/>
      <c r="AM921" s="62"/>
      <c r="AN921" s="62"/>
      <c r="AO921" s="62"/>
    </row>
    <row r="922">
      <c r="A922" s="62"/>
      <c r="B922" s="62"/>
      <c r="C922" s="61"/>
      <c r="D922" s="62"/>
      <c r="E922" s="62"/>
      <c r="F922" s="62" t="b">
        <v>0</v>
      </c>
      <c r="G922" s="62"/>
      <c r="H922" s="61"/>
      <c r="I922" s="61"/>
      <c r="J922" s="62"/>
      <c r="K922" s="62"/>
      <c r="L922" s="62"/>
      <c r="M922" s="62"/>
      <c r="N922" s="62"/>
      <c r="O922" s="62" t="b">
        <v>0</v>
      </c>
      <c r="P922" s="62"/>
      <c r="Q922" s="62"/>
      <c r="R922" s="62"/>
      <c r="S922" s="62"/>
      <c r="T922" s="62"/>
      <c r="U922" s="74"/>
      <c r="V922" s="62"/>
      <c r="W922" s="74"/>
      <c r="X922" s="62"/>
      <c r="Y922" s="61"/>
      <c r="Z922" s="62"/>
      <c r="AA922" s="62"/>
      <c r="AB922" s="62"/>
      <c r="AC922" s="62"/>
      <c r="AD922" s="62"/>
      <c r="AE922" s="62"/>
      <c r="AF922" s="62"/>
      <c r="AG922" s="62"/>
      <c r="AH922" s="62"/>
      <c r="AI922" s="62"/>
      <c r="AJ922" s="62"/>
      <c r="AK922" s="62"/>
      <c r="AL922" s="62"/>
      <c r="AM922" s="62"/>
      <c r="AN922" s="62"/>
      <c r="AO922" s="62"/>
    </row>
    <row r="923">
      <c r="A923" s="62"/>
      <c r="B923" s="62"/>
      <c r="C923" s="61"/>
      <c r="D923" s="62"/>
      <c r="E923" s="62"/>
      <c r="F923" s="62" t="b">
        <v>0</v>
      </c>
      <c r="G923" s="62"/>
      <c r="H923" s="61"/>
      <c r="I923" s="61"/>
      <c r="J923" s="62"/>
      <c r="K923" s="62"/>
      <c r="L923" s="62"/>
      <c r="M923" s="62"/>
      <c r="N923" s="62"/>
      <c r="O923" s="62" t="b">
        <v>0</v>
      </c>
      <c r="P923" s="62"/>
      <c r="Q923" s="62"/>
      <c r="R923" s="62"/>
      <c r="S923" s="62"/>
      <c r="T923" s="62"/>
      <c r="U923" s="74"/>
      <c r="V923" s="62"/>
      <c r="W923" s="74"/>
      <c r="X923" s="62"/>
      <c r="Y923" s="61"/>
      <c r="Z923" s="62"/>
      <c r="AA923" s="62"/>
      <c r="AB923" s="62"/>
      <c r="AC923" s="62"/>
      <c r="AD923" s="62"/>
      <c r="AE923" s="62"/>
      <c r="AF923" s="62"/>
      <c r="AG923" s="62"/>
      <c r="AH923" s="62"/>
      <c r="AI923" s="62"/>
      <c r="AJ923" s="62"/>
      <c r="AK923" s="62"/>
      <c r="AL923" s="62"/>
      <c r="AM923" s="62"/>
      <c r="AN923" s="62"/>
      <c r="AO923" s="62"/>
    </row>
    <row r="924">
      <c r="A924" s="62"/>
      <c r="B924" s="62"/>
      <c r="C924" s="61"/>
      <c r="D924" s="62"/>
      <c r="E924" s="62"/>
      <c r="F924" s="62" t="b">
        <v>0</v>
      </c>
      <c r="G924" s="62"/>
      <c r="H924" s="61"/>
      <c r="I924" s="61"/>
      <c r="J924" s="62"/>
      <c r="K924" s="62"/>
      <c r="L924" s="62"/>
      <c r="M924" s="62"/>
      <c r="N924" s="62"/>
      <c r="O924" s="62" t="b">
        <v>0</v>
      </c>
      <c r="P924" s="62"/>
      <c r="Q924" s="62"/>
      <c r="R924" s="62"/>
      <c r="S924" s="62"/>
      <c r="T924" s="62"/>
      <c r="U924" s="74"/>
      <c r="V924" s="62"/>
      <c r="W924" s="74"/>
      <c r="X924" s="62"/>
      <c r="Y924" s="61"/>
      <c r="Z924" s="62"/>
      <c r="AA924" s="62"/>
      <c r="AB924" s="62"/>
      <c r="AC924" s="62"/>
      <c r="AD924" s="62"/>
      <c r="AE924" s="62"/>
      <c r="AF924" s="62"/>
      <c r="AG924" s="62"/>
      <c r="AH924" s="62"/>
      <c r="AI924" s="62"/>
      <c r="AJ924" s="62"/>
      <c r="AK924" s="62"/>
      <c r="AL924" s="62"/>
      <c r="AM924" s="62"/>
      <c r="AN924" s="62"/>
      <c r="AO924" s="62"/>
    </row>
    <row r="925">
      <c r="A925" s="62"/>
      <c r="B925" s="62"/>
      <c r="C925" s="61"/>
      <c r="D925" s="62"/>
      <c r="E925" s="62"/>
      <c r="F925" s="62" t="b">
        <v>0</v>
      </c>
      <c r="G925" s="62"/>
      <c r="H925" s="61"/>
      <c r="I925" s="61"/>
      <c r="J925" s="62"/>
      <c r="K925" s="62"/>
      <c r="L925" s="62"/>
      <c r="M925" s="62"/>
      <c r="N925" s="62"/>
      <c r="O925" s="62" t="b">
        <v>0</v>
      </c>
      <c r="P925" s="62"/>
      <c r="Q925" s="62"/>
      <c r="R925" s="62"/>
      <c r="S925" s="62"/>
      <c r="T925" s="62"/>
      <c r="U925" s="74"/>
      <c r="V925" s="62"/>
      <c r="W925" s="74"/>
      <c r="X925" s="62"/>
      <c r="Y925" s="61"/>
      <c r="Z925" s="62"/>
      <c r="AA925" s="62"/>
      <c r="AB925" s="62"/>
      <c r="AC925" s="62"/>
      <c r="AD925" s="62"/>
      <c r="AE925" s="62"/>
      <c r="AF925" s="62"/>
      <c r="AG925" s="62"/>
      <c r="AH925" s="62"/>
      <c r="AI925" s="62"/>
      <c r="AJ925" s="62"/>
      <c r="AK925" s="62"/>
      <c r="AL925" s="62"/>
      <c r="AM925" s="62"/>
      <c r="AN925" s="62"/>
      <c r="AO925" s="62"/>
    </row>
    <row r="926">
      <c r="A926" s="62"/>
      <c r="B926" s="62"/>
      <c r="C926" s="61"/>
      <c r="D926" s="62"/>
      <c r="E926" s="62"/>
      <c r="F926" s="62" t="b">
        <v>0</v>
      </c>
      <c r="G926" s="62"/>
      <c r="H926" s="61"/>
      <c r="I926" s="61"/>
      <c r="J926" s="62"/>
      <c r="K926" s="62"/>
      <c r="L926" s="62"/>
      <c r="M926" s="62"/>
      <c r="N926" s="62"/>
      <c r="O926" s="62" t="b">
        <v>0</v>
      </c>
      <c r="P926" s="62"/>
      <c r="Q926" s="62"/>
      <c r="R926" s="62"/>
      <c r="S926" s="62"/>
      <c r="T926" s="62"/>
      <c r="U926" s="74"/>
      <c r="V926" s="62"/>
      <c r="W926" s="74"/>
      <c r="X926" s="62"/>
      <c r="Y926" s="61"/>
      <c r="Z926" s="62"/>
      <c r="AA926" s="62"/>
      <c r="AB926" s="62"/>
      <c r="AC926" s="62"/>
      <c r="AD926" s="62"/>
      <c r="AE926" s="62"/>
      <c r="AF926" s="62"/>
      <c r="AG926" s="62"/>
      <c r="AH926" s="62"/>
      <c r="AI926" s="62"/>
      <c r="AJ926" s="62"/>
      <c r="AK926" s="62"/>
      <c r="AL926" s="62"/>
      <c r="AM926" s="62"/>
      <c r="AN926" s="62"/>
      <c r="AO926" s="62"/>
    </row>
    <row r="927">
      <c r="A927" s="62"/>
      <c r="B927" s="62"/>
      <c r="C927" s="61"/>
      <c r="D927" s="62"/>
      <c r="E927" s="62"/>
      <c r="F927" s="62" t="b">
        <v>0</v>
      </c>
      <c r="G927" s="62"/>
      <c r="H927" s="61"/>
      <c r="I927" s="61"/>
      <c r="J927" s="62"/>
      <c r="K927" s="62"/>
      <c r="L927" s="62"/>
      <c r="M927" s="62"/>
      <c r="N927" s="62"/>
      <c r="O927" s="62" t="b">
        <v>0</v>
      </c>
      <c r="P927" s="62"/>
      <c r="Q927" s="62"/>
      <c r="R927" s="62"/>
      <c r="S927" s="62"/>
      <c r="T927" s="62"/>
      <c r="U927" s="74"/>
      <c r="V927" s="62"/>
      <c r="W927" s="74"/>
      <c r="X927" s="62"/>
      <c r="Y927" s="61"/>
      <c r="Z927" s="62"/>
      <c r="AA927" s="62"/>
      <c r="AB927" s="62"/>
      <c r="AC927" s="62"/>
      <c r="AD927" s="62"/>
      <c r="AE927" s="62"/>
      <c r="AF927" s="62"/>
      <c r="AG927" s="62"/>
      <c r="AH927" s="62"/>
      <c r="AI927" s="62"/>
      <c r="AJ927" s="62"/>
      <c r="AK927" s="62"/>
      <c r="AL927" s="62"/>
      <c r="AM927" s="62"/>
      <c r="AN927" s="62"/>
      <c r="AO927" s="62"/>
    </row>
    <row r="928">
      <c r="A928" s="62"/>
      <c r="B928" s="62"/>
      <c r="C928" s="61"/>
      <c r="D928" s="62"/>
      <c r="E928" s="62"/>
      <c r="F928" s="62" t="b">
        <v>0</v>
      </c>
      <c r="G928" s="62"/>
      <c r="H928" s="61"/>
      <c r="I928" s="61"/>
      <c r="J928" s="62"/>
      <c r="K928" s="62"/>
      <c r="L928" s="62"/>
      <c r="M928" s="62"/>
      <c r="N928" s="62"/>
      <c r="O928" s="62" t="b">
        <v>0</v>
      </c>
      <c r="P928" s="62"/>
      <c r="Q928" s="62"/>
      <c r="R928" s="62"/>
      <c r="S928" s="62"/>
      <c r="T928" s="62"/>
      <c r="U928" s="74"/>
      <c r="V928" s="62"/>
      <c r="W928" s="74"/>
      <c r="X928" s="62"/>
      <c r="Y928" s="61"/>
      <c r="Z928" s="62"/>
      <c r="AA928" s="62"/>
      <c r="AB928" s="62"/>
      <c r="AC928" s="62"/>
      <c r="AD928" s="62"/>
      <c r="AE928" s="62"/>
      <c r="AF928" s="62"/>
      <c r="AG928" s="62"/>
      <c r="AH928" s="62"/>
      <c r="AI928" s="62"/>
      <c r="AJ928" s="62"/>
      <c r="AK928" s="62"/>
      <c r="AL928" s="62"/>
      <c r="AM928" s="62"/>
      <c r="AN928" s="62"/>
      <c r="AO928" s="62"/>
    </row>
    <row r="929">
      <c r="A929" s="62"/>
      <c r="B929" s="62"/>
      <c r="C929" s="61"/>
      <c r="D929" s="62"/>
      <c r="E929" s="62"/>
      <c r="F929" s="62" t="b">
        <v>0</v>
      </c>
      <c r="G929" s="62"/>
      <c r="H929" s="61"/>
      <c r="I929" s="61"/>
      <c r="J929" s="62"/>
      <c r="K929" s="62"/>
      <c r="L929" s="62"/>
      <c r="M929" s="62"/>
      <c r="N929" s="62"/>
      <c r="O929" s="62" t="b">
        <v>0</v>
      </c>
      <c r="P929" s="62"/>
      <c r="Q929" s="62"/>
      <c r="R929" s="62"/>
      <c r="S929" s="62"/>
      <c r="T929" s="62"/>
      <c r="U929" s="74"/>
      <c r="V929" s="62"/>
      <c r="W929" s="74"/>
      <c r="X929" s="62"/>
      <c r="Y929" s="61"/>
      <c r="Z929" s="62"/>
      <c r="AA929" s="62"/>
      <c r="AB929" s="62"/>
      <c r="AC929" s="62"/>
      <c r="AD929" s="62"/>
      <c r="AE929" s="62"/>
      <c r="AF929" s="62"/>
      <c r="AG929" s="62"/>
      <c r="AH929" s="62"/>
      <c r="AI929" s="62"/>
      <c r="AJ929" s="62"/>
      <c r="AK929" s="62"/>
      <c r="AL929" s="62"/>
      <c r="AM929" s="62"/>
      <c r="AN929" s="62"/>
      <c r="AO929" s="62"/>
    </row>
    <row r="930">
      <c r="A930" s="62"/>
      <c r="B930" s="62"/>
      <c r="C930" s="61"/>
      <c r="D930" s="62"/>
      <c r="E930" s="62"/>
      <c r="F930" s="62" t="b">
        <v>0</v>
      </c>
      <c r="G930" s="62"/>
      <c r="H930" s="61"/>
      <c r="I930" s="61"/>
      <c r="J930" s="62"/>
      <c r="K930" s="62"/>
      <c r="L930" s="62"/>
      <c r="M930" s="62"/>
      <c r="N930" s="62"/>
      <c r="O930" s="62" t="b">
        <v>0</v>
      </c>
      <c r="P930" s="62"/>
      <c r="Q930" s="62"/>
      <c r="R930" s="62"/>
      <c r="S930" s="62"/>
      <c r="T930" s="62"/>
      <c r="U930" s="74"/>
      <c r="V930" s="62"/>
      <c r="W930" s="74"/>
      <c r="X930" s="62"/>
      <c r="Y930" s="61"/>
      <c r="Z930" s="62"/>
      <c r="AA930" s="62"/>
      <c r="AB930" s="62"/>
      <c r="AC930" s="62"/>
      <c r="AD930" s="62"/>
      <c r="AE930" s="62"/>
      <c r="AF930" s="62"/>
      <c r="AG930" s="62"/>
      <c r="AH930" s="62"/>
      <c r="AI930" s="62"/>
      <c r="AJ930" s="62"/>
      <c r="AK930" s="62"/>
      <c r="AL930" s="62"/>
      <c r="AM930" s="62"/>
      <c r="AN930" s="62"/>
      <c r="AO930" s="62"/>
    </row>
    <row r="931">
      <c r="A931" s="62"/>
      <c r="B931" s="62"/>
      <c r="C931" s="61"/>
      <c r="D931" s="62"/>
      <c r="E931" s="62"/>
      <c r="F931" s="62" t="b">
        <v>0</v>
      </c>
      <c r="G931" s="62"/>
      <c r="H931" s="61"/>
      <c r="I931" s="61"/>
      <c r="J931" s="62"/>
      <c r="K931" s="62"/>
      <c r="L931" s="62"/>
      <c r="M931" s="62"/>
      <c r="N931" s="62"/>
      <c r="O931" s="62" t="b">
        <v>0</v>
      </c>
      <c r="P931" s="62"/>
      <c r="Q931" s="62"/>
      <c r="R931" s="62"/>
      <c r="S931" s="62"/>
      <c r="T931" s="62"/>
      <c r="U931" s="74"/>
      <c r="V931" s="62"/>
      <c r="W931" s="74"/>
      <c r="X931" s="62"/>
      <c r="Y931" s="61"/>
      <c r="Z931" s="62"/>
      <c r="AA931" s="62"/>
      <c r="AB931" s="62"/>
      <c r="AC931" s="62"/>
      <c r="AD931" s="62"/>
      <c r="AE931" s="62"/>
      <c r="AF931" s="62"/>
      <c r="AG931" s="62"/>
      <c r="AH931" s="62"/>
      <c r="AI931" s="62"/>
      <c r="AJ931" s="62"/>
      <c r="AK931" s="62"/>
      <c r="AL931" s="62"/>
      <c r="AM931" s="62"/>
      <c r="AN931" s="62"/>
      <c r="AO931" s="62"/>
    </row>
    <row r="932">
      <c r="A932" s="62"/>
      <c r="B932" s="62"/>
      <c r="C932" s="61"/>
      <c r="D932" s="62"/>
      <c r="E932" s="62"/>
      <c r="F932" s="62" t="b">
        <v>0</v>
      </c>
      <c r="G932" s="62"/>
      <c r="H932" s="61"/>
      <c r="I932" s="61"/>
      <c r="J932" s="62"/>
      <c r="K932" s="62"/>
      <c r="L932" s="62"/>
      <c r="M932" s="62"/>
      <c r="N932" s="62"/>
      <c r="O932" s="62" t="b">
        <v>0</v>
      </c>
      <c r="P932" s="62"/>
      <c r="Q932" s="62"/>
      <c r="R932" s="62"/>
      <c r="S932" s="62"/>
      <c r="T932" s="62"/>
      <c r="U932" s="74"/>
      <c r="V932" s="62"/>
      <c r="W932" s="74"/>
      <c r="X932" s="62"/>
      <c r="Y932" s="61"/>
      <c r="Z932" s="62"/>
      <c r="AA932" s="62"/>
      <c r="AB932" s="62"/>
      <c r="AC932" s="62"/>
      <c r="AD932" s="62"/>
      <c r="AE932" s="62"/>
      <c r="AF932" s="62"/>
      <c r="AG932" s="62"/>
      <c r="AH932" s="62"/>
      <c r="AI932" s="62"/>
      <c r="AJ932" s="62"/>
      <c r="AK932" s="62"/>
      <c r="AL932" s="62"/>
      <c r="AM932" s="62"/>
      <c r="AN932" s="62"/>
      <c r="AO932" s="62"/>
    </row>
    <row r="933">
      <c r="A933" s="62"/>
      <c r="B933" s="62"/>
      <c r="C933" s="61"/>
      <c r="D933" s="62"/>
      <c r="E933" s="62"/>
      <c r="F933" s="62" t="b">
        <v>0</v>
      </c>
      <c r="G933" s="62"/>
      <c r="H933" s="61"/>
      <c r="I933" s="61"/>
      <c r="J933" s="62"/>
      <c r="K933" s="62"/>
      <c r="L933" s="62"/>
      <c r="M933" s="62"/>
      <c r="N933" s="62"/>
      <c r="O933" s="62" t="b">
        <v>0</v>
      </c>
      <c r="P933" s="62"/>
      <c r="Q933" s="62"/>
      <c r="R933" s="62"/>
      <c r="S933" s="62"/>
      <c r="T933" s="62"/>
      <c r="U933" s="74"/>
      <c r="V933" s="62"/>
      <c r="W933" s="74"/>
      <c r="X933" s="62"/>
      <c r="Y933" s="61"/>
      <c r="Z933" s="62"/>
      <c r="AA933" s="62"/>
      <c r="AB933" s="62"/>
      <c r="AC933" s="62"/>
      <c r="AD933" s="62"/>
      <c r="AE933" s="62"/>
      <c r="AF933" s="62"/>
      <c r="AG933" s="62"/>
      <c r="AH933" s="62"/>
      <c r="AI933" s="62"/>
      <c r="AJ933" s="62"/>
      <c r="AK933" s="62"/>
      <c r="AL933" s="62"/>
      <c r="AM933" s="62"/>
      <c r="AN933" s="62"/>
      <c r="AO933" s="62"/>
    </row>
    <row r="934">
      <c r="A934" s="62"/>
      <c r="B934" s="62"/>
      <c r="C934" s="61"/>
      <c r="D934" s="62"/>
      <c r="E934" s="62"/>
      <c r="F934" s="62" t="b">
        <v>0</v>
      </c>
      <c r="G934" s="62"/>
      <c r="H934" s="61"/>
      <c r="I934" s="61"/>
      <c r="J934" s="62"/>
      <c r="K934" s="62"/>
      <c r="L934" s="62"/>
      <c r="M934" s="62"/>
      <c r="N934" s="62"/>
      <c r="O934" s="62" t="b">
        <v>0</v>
      </c>
      <c r="P934" s="62"/>
      <c r="Q934" s="62"/>
      <c r="R934" s="62"/>
      <c r="S934" s="62"/>
      <c r="T934" s="62"/>
      <c r="U934" s="74"/>
      <c r="V934" s="62"/>
      <c r="W934" s="74"/>
      <c r="X934" s="62"/>
      <c r="Y934" s="61"/>
      <c r="Z934" s="62"/>
      <c r="AA934" s="62"/>
      <c r="AB934" s="62"/>
      <c r="AC934" s="62"/>
      <c r="AD934" s="62"/>
      <c r="AE934" s="62"/>
      <c r="AF934" s="62"/>
      <c r="AG934" s="62"/>
      <c r="AH934" s="62"/>
      <c r="AI934" s="62"/>
      <c r="AJ934" s="62"/>
      <c r="AK934" s="62"/>
      <c r="AL934" s="62"/>
      <c r="AM934" s="62"/>
      <c r="AN934" s="62"/>
      <c r="AO934" s="62"/>
    </row>
    <row r="935">
      <c r="A935" s="62"/>
      <c r="B935" s="62"/>
      <c r="C935" s="61"/>
      <c r="D935" s="62"/>
      <c r="E935" s="62"/>
      <c r="F935" s="62" t="b">
        <v>0</v>
      </c>
      <c r="G935" s="62"/>
      <c r="H935" s="61"/>
      <c r="I935" s="61"/>
      <c r="J935" s="62"/>
      <c r="K935" s="62"/>
      <c r="L935" s="62"/>
      <c r="M935" s="62"/>
      <c r="N935" s="62"/>
      <c r="O935" s="62" t="b">
        <v>0</v>
      </c>
      <c r="P935" s="62"/>
      <c r="Q935" s="62"/>
      <c r="R935" s="62"/>
      <c r="S935" s="62"/>
      <c r="T935" s="62"/>
      <c r="U935" s="74"/>
      <c r="V935" s="62"/>
      <c r="W935" s="74"/>
      <c r="X935" s="62"/>
      <c r="Y935" s="61"/>
      <c r="Z935" s="62"/>
      <c r="AA935" s="62"/>
      <c r="AB935" s="62"/>
      <c r="AC935" s="62"/>
      <c r="AD935" s="62"/>
      <c r="AE935" s="62"/>
      <c r="AF935" s="62"/>
      <c r="AG935" s="62"/>
      <c r="AH935" s="62"/>
      <c r="AI935" s="62"/>
      <c r="AJ935" s="62"/>
      <c r="AK935" s="62"/>
      <c r="AL935" s="62"/>
      <c r="AM935" s="62"/>
      <c r="AN935" s="62"/>
      <c r="AO935" s="62"/>
    </row>
    <row r="936">
      <c r="A936" s="62"/>
      <c r="B936" s="62"/>
      <c r="C936" s="61"/>
      <c r="D936" s="62"/>
      <c r="E936" s="62"/>
      <c r="F936" s="62" t="b">
        <v>0</v>
      </c>
      <c r="G936" s="62"/>
      <c r="H936" s="61"/>
      <c r="I936" s="61"/>
      <c r="J936" s="62"/>
      <c r="K936" s="62"/>
      <c r="L936" s="62"/>
      <c r="M936" s="62"/>
      <c r="N936" s="62"/>
      <c r="O936" s="62" t="b">
        <v>0</v>
      </c>
      <c r="P936" s="62"/>
      <c r="Q936" s="62"/>
      <c r="R936" s="62"/>
      <c r="S936" s="62"/>
      <c r="T936" s="62"/>
      <c r="U936" s="74"/>
      <c r="V936" s="62"/>
      <c r="W936" s="74"/>
      <c r="X936" s="62"/>
      <c r="Y936" s="61"/>
      <c r="Z936" s="62"/>
      <c r="AA936" s="62"/>
      <c r="AB936" s="62"/>
      <c r="AC936" s="62"/>
      <c r="AD936" s="62"/>
      <c r="AE936" s="62"/>
      <c r="AF936" s="62"/>
      <c r="AG936" s="62"/>
      <c r="AH936" s="62"/>
      <c r="AI936" s="62"/>
      <c r="AJ936" s="62"/>
      <c r="AK936" s="62"/>
      <c r="AL936" s="62"/>
      <c r="AM936" s="62"/>
      <c r="AN936" s="62"/>
      <c r="AO936" s="62"/>
    </row>
    <row r="937">
      <c r="A937" s="62"/>
      <c r="B937" s="62"/>
      <c r="C937" s="61"/>
      <c r="D937" s="62"/>
      <c r="E937" s="62"/>
      <c r="F937" s="62" t="b">
        <v>0</v>
      </c>
      <c r="G937" s="62"/>
      <c r="H937" s="61"/>
      <c r="I937" s="61"/>
      <c r="J937" s="62"/>
      <c r="K937" s="62"/>
      <c r="L937" s="62"/>
      <c r="M937" s="62"/>
      <c r="N937" s="62"/>
      <c r="O937" s="62" t="b">
        <v>0</v>
      </c>
      <c r="P937" s="62"/>
      <c r="Q937" s="62"/>
      <c r="R937" s="62"/>
      <c r="S937" s="62"/>
      <c r="T937" s="62"/>
      <c r="U937" s="74"/>
      <c r="V937" s="62"/>
      <c r="W937" s="74"/>
      <c r="X937" s="62"/>
      <c r="Y937" s="61"/>
      <c r="Z937" s="62"/>
      <c r="AA937" s="62"/>
      <c r="AB937" s="62"/>
      <c r="AC937" s="62"/>
      <c r="AD937" s="62"/>
      <c r="AE937" s="62"/>
      <c r="AF937" s="62"/>
      <c r="AG937" s="62"/>
      <c r="AH937" s="62"/>
      <c r="AI937" s="62"/>
      <c r="AJ937" s="62"/>
      <c r="AK937" s="62"/>
      <c r="AL937" s="62"/>
      <c r="AM937" s="62"/>
      <c r="AN937" s="62"/>
      <c r="AO937" s="62"/>
    </row>
    <row r="938">
      <c r="A938" s="62"/>
      <c r="B938" s="62"/>
      <c r="C938" s="61"/>
      <c r="D938" s="62"/>
      <c r="E938" s="62"/>
      <c r="F938" s="62" t="b">
        <v>0</v>
      </c>
      <c r="G938" s="62"/>
      <c r="H938" s="61"/>
      <c r="I938" s="61"/>
      <c r="J938" s="62"/>
      <c r="K938" s="62"/>
      <c r="L938" s="62"/>
      <c r="M938" s="62"/>
      <c r="N938" s="62"/>
      <c r="O938" s="62" t="b">
        <v>0</v>
      </c>
      <c r="P938" s="62"/>
      <c r="Q938" s="62"/>
      <c r="R938" s="62"/>
      <c r="S938" s="62"/>
      <c r="T938" s="62"/>
      <c r="U938" s="74"/>
      <c r="V938" s="62"/>
      <c r="W938" s="74"/>
      <c r="X938" s="62"/>
      <c r="Y938" s="61"/>
      <c r="Z938" s="62"/>
      <c r="AA938" s="62"/>
      <c r="AB938" s="62"/>
      <c r="AC938" s="62"/>
      <c r="AD938" s="62"/>
      <c r="AE938" s="62"/>
      <c r="AF938" s="62"/>
      <c r="AG938" s="62"/>
      <c r="AH938" s="62"/>
      <c r="AI938" s="62"/>
      <c r="AJ938" s="62"/>
      <c r="AK938" s="62"/>
      <c r="AL938" s="62"/>
      <c r="AM938" s="62"/>
      <c r="AN938" s="62"/>
      <c r="AO938" s="62"/>
    </row>
    <row r="939">
      <c r="A939" s="62"/>
      <c r="B939" s="62"/>
      <c r="C939" s="61"/>
      <c r="D939" s="62"/>
      <c r="E939" s="62"/>
      <c r="F939" s="62" t="b">
        <v>0</v>
      </c>
      <c r="G939" s="62"/>
      <c r="H939" s="61"/>
      <c r="I939" s="61"/>
      <c r="J939" s="62"/>
      <c r="K939" s="62"/>
      <c r="L939" s="62"/>
      <c r="M939" s="62"/>
      <c r="N939" s="62"/>
      <c r="O939" s="62" t="b">
        <v>0</v>
      </c>
      <c r="P939" s="62"/>
      <c r="Q939" s="62"/>
      <c r="R939" s="62"/>
      <c r="S939" s="62"/>
      <c r="T939" s="62"/>
      <c r="U939" s="74"/>
      <c r="V939" s="62"/>
      <c r="W939" s="74"/>
      <c r="X939" s="62"/>
      <c r="Y939" s="61"/>
      <c r="Z939" s="62"/>
      <c r="AA939" s="62"/>
      <c r="AB939" s="62"/>
      <c r="AC939" s="62"/>
      <c r="AD939" s="62"/>
      <c r="AE939" s="62"/>
      <c r="AF939" s="62"/>
      <c r="AG939" s="62"/>
      <c r="AH939" s="62"/>
      <c r="AI939" s="62"/>
      <c r="AJ939" s="62"/>
      <c r="AK939" s="62"/>
      <c r="AL939" s="62"/>
      <c r="AM939" s="62"/>
      <c r="AN939" s="62"/>
      <c r="AO939" s="62"/>
    </row>
    <row r="940">
      <c r="A940" s="62"/>
      <c r="B940" s="62"/>
      <c r="C940" s="61"/>
      <c r="D940" s="62"/>
      <c r="E940" s="62"/>
      <c r="F940" s="62" t="b">
        <v>0</v>
      </c>
      <c r="G940" s="62"/>
      <c r="H940" s="61"/>
      <c r="I940" s="61"/>
      <c r="J940" s="62"/>
      <c r="K940" s="62"/>
      <c r="L940" s="62"/>
      <c r="M940" s="62"/>
      <c r="N940" s="62"/>
      <c r="O940" s="62" t="b">
        <v>0</v>
      </c>
      <c r="P940" s="62"/>
      <c r="Q940" s="62"/>
      <c r="R940" s="62"/>
      <c r="S940" s="62"/>
      <c r="T940" s="62"/>
      <c r="U940" s="74"/>
      <c r="V940" s="62"/>
      <c r="W940" s="74"/>
      <c r="X940" s="62"/>
      <c r="Y940" s="61"/>
      <c r="Z940" s="62"/>
      <c r="AA940" s="62"/>
      <c r="AB940" s="62"/>
      <c r="AC940" s="62"/>
      <c r="AD940" s="62"/>
      <c r="AE940" s="62"/>
      <c r="AF940" s="62"/>
      <c r="AG940" s="62"/>
      <c r="AH940" s="62"/>
      <c r="AI940" s="62"/>
      <c r="AJ940" s="62"/>
      <c r="AK940" s="62"/>
      <c r="AL940" s="62"/>
      <c r="AM940" s="62"/>
      <c r="AN940" s="62"/>
      <c r="AO940" s="62"/>
    </row>
    <row r="941">
      <c r="A941" s="62"/>
      <c r="B941" s="62"/>
      <c r="C941" s="61"/>
      <c r="D941" s="62"/>
      <c r="E941" s="62"/>
      <c r="F941" s="62" t="b">
        <v>0</v>
      </c>
      <c r="G941" s="62"/>
      <c r="H941" s="61"/>
      <c r="I941" s="61"/>
      <c r="J941" s="62"/>
      <c r="K941" s="62"/>
      <c r="L941" s="62"/>
      <c r="M941" s="62"/>
      <c r="N941" s="62"/>
      <c r="O941" s="62" t="b">
        <v>0</v>
      </c>
      <c r="P941" s="62"/>
      <c r="Q941" s="62"/>
      <c r="R941" s="62"/>
      <c r="S941" s="62"/>
      <c r="T941" s="62"/>
      <c r="U941" s="74"/>
      <c r="V941" s="62"/>
      <c r="W941" s="74"/>
      <c r="X941" s="62"/>
      <c r="Y941" s="61"/>
      <c r="Z941" s="62"/>
      <c r="AA941" s="62"/>
      <c r="AB941" s="62"/>
      <c r="AC941" s="62"/>
      <c r="AD941" s="62"/>
      <c r="AE941" s="62"/>
      <c r="AF941" s="62"/>
      <c r="AG941" s="62"/>
      <c r="AH941" s="62"/>
      <c r="AI941" s="62"/>
      <c r="AJ941" s="62"/>
      <c r="AK941" s="62"/>
      <c r="AL941" s="62"/>
      <c r="AM941" s="62"/>
      <c r="AN941" s="62"/>
      <c r="AO941" s="62"/>
    </row>
    <row r="942">
      <c r="A942" s="62"/>
      <c r="B942" s="62"/>
      <c r="C942" s="61"/>
      <c r="D942" s="62"/>
      <c r="E942" s="62"/>
      <c r="F942" s="62" t="b">
        <v>0</v>
      </c>
      <c r="G942" s="62"/>
      <c r="H942" s="61"/>
      <c r="I942" s="61"/>
      <c r="J942" s="62"/>
      <c r="K942" s="62"/>
      <c r="L942" s="62"/>
      <c r="M942" s="62"/>
      <c r="N942" s="62"/>
      <c r="O942" s="62" t="b">
        <v>0</v>
      </c>
      <c r="P942" s="62"/>
      <c r="Q942" s="62"/>
      <c r="R942" s="62"/>
      <c r="S942" s="62"/>
      <c r="T942" s="62"/>
      <c r="U942" s="74"/>
      <c r="V942" s="62"/>
      <c r="W942" s="74"/>
      <c r="X942" s="62"/>
      <c r="Y942" s="61"/>
      <c r="Z942" s="62"/>
      <c r="AA942" s="62"/>
      <c r="AB942" s="62"/>
      <c r="AC942" s="62"/>
      <c r="AD942" s="62"/>
      <c r="AE942" s="62"/>
      <c r="AF942" s="62"/>
      <c r="AG942" s="62"/>
      <c r="AH942" s="62"/>
      <c r="AI942" s="62"/>
      <c r="AJ942" s="62"/>
      <c r="AK942" s="62"/>
      <c r="AL942" s="62"/>
      <c r="AM942" s="62"/>
      <c r="AN942" s="62"/>
      <c r="AO942" s="62"/>
    </row>
    <row r="943">
      <c r="A943" s="62"/>
      <c r="B943" s="62"/>
      <c r="C943" s="61"/>
      <c r="D943" s="62"/>
      <c r="E943" s="62"/>
      <c r="F943" s="62" t="b">
        <v>0</v>
      </c>
      <c r="G943" s="62"/>
      <c r="H943" s="61"/>
      <c r="I943" s="61"/>
      <c r="J943" s="62"/>
      <c r="K943" s="62"/>
      <c r="L943" s="62"/>
      <c r="M943" s="62"/>
      <c r="N943" s="62"/>
      <c r="O943" s="62" t="b">
        <v>0</v>
      </c>
      <c r="P943" s="62"/>
      <c r="Q943" s="62"/>
      <c r="R943" s="62"/>
      <c r="S943" s="62"/>
      <c r="T943" s="62"/>
      <c r="U943" s="74"/>
      <c r="V943" s="62"/>
      <c r="W943" s="74"/>
      <c r="X943" s="62"/>
      <c r="Y943" s="61"/>
      <c r="Z943" s="62"/>
      <c r="AA943" s="62"/>
      <c r="AB943" s="62"/>
      <c r="AC943" s="62"/>
      <c r="AD943" s="62"/>
      <c r="AE943" s="62"/>
      <c r="AF943" s="62"/>
      <c r="AG943" s="62"/>
      <c r="AH943" s="62"/>
      <c r="AI943" s="62"/>
      <c r="AJ943" s="62"/>
      <c r="AK943" s="62"/>
      <c r="AL943" s="62"/>
      <c r="AM943" s="62"/>
      <c r="AN943" s="62"/>
      <c r="AO943" s="62"/>
    </row>
    <row r="944">
      <c r="A944" s="62"/>
      <c r="B944" s="62"/>
      <c r="C944" s="61"/>
      <c r="D944" s="62"/>
      <c r="E944" s="62"/>
      <c r="F944" s="62" t="b">
        <v>0</v>
      </c>
      <c r="G944" s="62"/>
      <c r="H944" s="61"/>
      <c r="I944" s="61"/>
      <c r="J944" s="62"/>
      <c r="K944" s="62"/>
      <c r="L944" s="62"/>
      <c r="M944" s="62"/>
      <c r="N944" s="62"/>
      <c r="O944" s="62" t="b">
        <v>0</v>
      </c>
      <c r="P944" s="62"/>
      <c r="Q944" s="62"/>
      <c r="R944" s="62"/>
      <c r="S944" s="62"/>
      <c r="T944" s="62"/>
      <c r="U944" s="74"/>
      <c r="V944" s="62"/>
      <c r="W944" s="74"/>
      <c r="X944" s="62"/>
      <c r="Y944" s="61"/>
      <c r="Z944" s="62"/>
      <c r="AA944" s="62"/>
      <c r="AB944" s="62"/>
      <c r="AC944" s="62"/>
      <c r="AD944" s="62"/>
      <c r="AE944" s="62"/>
      <c r="AF944" s="62"/>
      <c r="AG944" s="62"/>
      <c r="AH944" s="62"/>
      <c r="AI944" s="62"/>
      <c r="AJ944" s="62"/>
      <c r="AK944" s="62"/>
      <c r="AL944" s="62"/>
      <c r="AM944" s="62"/>
      <c r="AN944" s="62"/>
      <c r="AO944" s="62"/>
    </row>
    <row r="945">
      <c r="A945" s="62"/>
      <c r="B945" s="62"/>
      <c r="C945" s="61"/>
      <c r="D945" s="62"/>
      <c r="E945" s="62"/>
      <c r="F945" s="62" t="b">
        <v>0</v>
      </c>
      <c r="G945" s="62"/>
      <c r="H945" s="61"/>
      <c r="I945" s="61"/>
      <c r="J945" s="62"/>
      <c r="K945" s="62"/>
      <c r="L945" s="62"/>
      <c r="M945" s="62"/>
      <c r="N945" s="62"/>
      <c r="O945" s="62" t="b">
        <v>0</v>
      </c>
      <c r="P945" s="62"/>
      <c r="Q945" s="62"/>
      <c r="R945" s="62"/>
      <c r="S945" s="62"/>
      <c r="T945" s="62"/>
      <c r="U945" s="74"/>
      <c r="V945" s="62"/>
      <c r="W945" s="74"/>
      <c r="X945" s="62"/>
      <c r="Y945" s="61"/>
      <c r="Z945" s="62"/>
      <c r="AA945" s="62"/>
      <c r="AB945" s="62"/>
      <c r="AC945" s="62"/>
      <c r="AD945" s="62"/>
      <c r="AE945" s="62"/>
      <c r="AF945" s="62"/>
      <c r="AG945" s="62"/>
      <c r="AH945" s="62"/>
      <c r="AI945" s="62"/>
      <c r="AJ945" s="62"/>
      <c r="AK945" s="62"/>
      <c r="AL945" s="62"/>
      <c r="AM945" s="62"/>
      <c r="AN945" s="62"/>
      <c r="AO945" s="62"/>
    </row>
    <row r="946">
      <c r="A946" s="62"/>
      <c r="B946" s="62"/>
      <c r="C946" s="61"/>
      <c r="D946" s="62"/>
      <c r="E946" s="62"/>
      <c r="F946" s="62" t="b">
        <v>0</v>
      </c>
      <c r="G946" s="62"/>
      <c r="H946" s="61"/>
      <c r="I946" s="61"/>
      <c r="J946" s="62"/>
      <c r="K946" s="62"/>
      <c r="L946" s="62"/>
      <c r="M946" s="62"/>
      <c r="N946" s="62"/>
      <c r="O946" s="62" t="b">
        <v>0</v>
      </c>
      <c r="P946" s="62"/>
      <c r="Q946" s="62"/>
      <c r="R946" s="62"/>
      <c r="S946" s="62"/>
      <c r="T946" s="62"/>
      <c r="U946" s="74"/>
      <c r="V946" s="62"/>
      <c r="W946" s="74"/>
      <c r="X946" s="62"/>
      <c r="Y946" s="61"/>
      <c r="Z946" s="62"/>
      <c r="AA946" s="62"/>
      <c r="AB946" s="62"/>
      <c r="AC946" s="62"/>
      <c r="AD946" s="62"/>
      <c r="AE946" s="62"/>
      <c r="AF946" s="62"/>
      <c r="AG946" s="62"/>
      <c r="AH946" s="62"/>
      <c r="AI946" s="62"/>
      <c r="AJ946" s="62"/>
      <c r="AK946" s="62"/>
      <c r="AL946" s="62"/>
      <c r="AM946" s="62"/>
      <c r="AN946" s="62"/>
      <c r="AO946" s="62"/>
    </row>
    <row r="947">
      <c r="A947" s="62"/>
      <c r="B947" s="62"/>
      <c r="C947" s="61"/>
      <c r="D947" s="62"/>
      <c r="E947" s="62"/>
      <c r="F947" s="62" t="b">
        <v>0</v>
      </c>
      <c r="G947" s="62"/>
      <c r="H947" s="61"/>
      <c r="I947" s="61"/>
      <c r="J947" s="62"/>
      <c r="K947" s="62"/>
      <c r="L947" s="62"/>
      <c r="M947" s="62"/>
      <c r="N947" s="62"/>
      <c r="O947" s="62" t="b">
        <v>0</v>
      </c>
      <c r="P947" s="62"/>
      <c r="Q947" s="62"/>
      <c r="R947" s="62"/>
      <c r="S947" s="62"/>
      <c r="T947" s="62"/>
      <c r="U947" s="74"/>
      <c r="V947" s="62"/>
      <c r="W947" s="74"/>
      <c r="X947" s="62"/>
      <c r="Y947" s="61"/>
      <c r="Z947" s="62"/>
      <c r="AA947" s="62"/>
      <c r="AB947" s="62"/>
      <c r="AC947" s="62"/>
      <c r="AD947" s="62"/>
      <c r="AE947" s="62"/>
      <c r="AF947" s="62"/>
      <c r="AG947" s="62"/>
      <c r="AH947" s="62"/>
      <c r="AI947" s="62"/>
      <c r="AJ947" s="62"/>
      <c r="AK947" s="62"/>
      <c r="AL947" s="62"/>
      <c r="AM947" s="62"/>
      <c r="AN947" s="62"/>
      <c r="AO947" s="62"/>
    </row>
    <row r="948">
      <c r="A948" s="62"/>
      <c r="B948" s="62"/>
      <c r="C948" s="61"/>
      <c r="D948" s="62"/>
      <c r="E948" s="62"/>
      <c r="F948" s="62" t="b">
        <v>0</v>
      </c>
      <c r="G948" s="62"/>
      <c r="H948" s="61"/>
      <c r="I948" s="61"/>
      <c r="J948" s="62"/>
      <c r="K948" s="62"/>
      <c r="L948" s="62"/>
      <c r="M948" s="62"/>
      <c r="N948" s="62"/>
      <c r="O948" s="62" t="b">
        <v>0</v>
      </c>
      <c r="P948" s="62"/>
      <c r="Q948" s="62"/>
      <c r="R948" s="62"/>
      <c r="S948" s="62"/>
      <c r="T948" s="62"/>
      <c r="U948" s="74"/>
      <c r="V948" s="62"/>
      <c r="W948" s="74"/>
      <c r="X948" s="62"/>
      <c r="Y948" s="61"/>
      <c r="Z948" s="62"/>
      <c r="AA948" s="62"/>
      <c r="AB948" s="62"/>
      <c r="AC948" s="62"/>
      <c r="AD948" s="62"/>
      <c r="AE948" s="62"/>
      <c r="AF948" s="62"/>
      <c r="AG948" s="62"/>
      <c r="AH948" s="62"/>
      <c r="AI948" s="62"/>
      <c r="AJ948" s="62"/>
      <c r="AK948" s="62"/>
      <c r="AL948" s="62"/>
      <c r="AM948" s="62"/>
      <c r="AN948" s="62"/>
      <c r="AO948" s="62"/>
    </row>
    <row r="949">
      <c r="A949" s="62"/>
      <c r="B949" s="62"/>
      <c r="C949" s="61"/>
      <c r="D949" s="62"/>
      <c r="E949" s="62"/>
      <c r="F949" s="62" t="b">
        <v>0</v>
      </c>
      <c r="G949" s="62"/>
      <c r="H949" s="61"/>
      <c r="I949" s="61"/>
      <c r="J949" s="62"/>
      <c r="K949" s="62"/>
      <c r="L949" s="62"/>
      <c r="M949" s="62"/>
      <c r="N949" s="62"/>
      <c r="O949" s="62" t="b">
        <v>0</v>
      </c>
      <c r="P949" s="62"/>
      <c r="Q949" s="62"/>
      <c r="R949" s="62"/>
      <c r="S949" s="62"/>
      <c r="T949" s="62"/>
      <c r="U949" s="74"/>
      <c r="V949" s="62"/>
      <c r="W949" s="74"/>
      <c r="X949" s="62"/>
      <c r="Y949" s="61"/>
      <c r="Z949" s="62"/>
      <c r="AA949" s="62"/>
      <c r="AB949" s="62"/>
      <c r="AC949" s="62"/>
      <c r="AD949" s="62"/>
      <c r="AE949" s="62"/>
      <c r="AF949" s="62"/>
      <c r="AG949" s="62"/>
      <c r="AH949" s="62"/>
      <c r="AI949" s="62"/>
      <c r="AJ949" s="62"/>
      <c r="AK949" s="62"/>
      <c r="AL949" s="62"/>
      <c r="AM949" s="62"/>
      <c r="AN949" s="62"/>
      <c r="AO949" s="62"/>
    </row>
    <row r="950">
      <c r="A950" s="62"/>
      <c r="B950" s="62"/>
      <c r="C950" s="61"/>
      <c r="D950" s="62"/>
      <c r="E950" s="62"/>
      <c r="F950" s="62" t="b">
        <v>0</v>
      </c>
      <c r="G950" s="62"/>
      <c r="H950" s="61"/>
      <c r="I950" s="61"/>
      <c r="J950" s="62"/>
      <c r="K950" s="62"/>
      <c r="L950" s="62"/>
      <c r="M950" s="62"/>
      <c r="N950" s="62"/>
      <c r="O950" s="62" t="b">
        <v>0</v>
      </c>
      <c r="P950" s="62"/>
      <c r="Q950" s="62"/>
      <c r="R950" s="62"/>
      <c r="S950" s="62"/>
      <c r="T950" s="62"/>
      <c r="U950" s="74"/>
      <c r="V950" s="62"/>
      <c r="W950" s="74"/>
      <c r="X950" s="62"/>
      <c r="Y950" s="61"/>
      <c r="Z950" s="62"/>
      <c r="AA950" s="62"/>
      <c r="AB950" s="62"/>
      <c r="AC950" s="62"/>
      <c r="AD950" s="62"/>
      <c r="AE950" s="62"/>
      <c r="AF950" s="62"/>
      <c r="AG950" s="62"/>
      <c r="AH950" s="62"/>
      <c r="AI950" s="62"/>
      <c r="AJ950" s="62"/>
      <c r="AK950" s="62"/>
      <c r="AL950" s="62"/>
      <c r="AM950" s="62"/>
      <c r="AN950" s="62"/>
      <c r="AO950" s="62"/>
    </row>
    <row r="951">
      <c r="A951" s="62"/>
      <c r="B951" s="62"/>
      <c r="C951" s="61"/>
      <c r="D951" s="62"/>
      <c r="E951" s="62"/>
      <c r="F951" s="62" t="b">
        <v>0</v>
      </c>
      <c r="G951" s="62"/>
      <c r="H951" s="61"/>
      <c r="I951" s="61"/>
      <c r="J951" s="62"/>
      <c r="K951" s="62"/>
      <c r="L951" s="62"/>
      <c r="M951" s="62"/>
      <c r="N951" s="62"/>
      <c r="O951" s="62" t="b">
        <v>0</v>
      </c>
      <c r="P951" s="62"/>
      <c r="Q951" s="62"/>
      <c r="R951" s="62"/>
      <c r="S951" s="62"/>
      <c r="T951" s="62"/>
      <c r="U951" s="74"/>
      <c r="V951" s="62"/>
      <c r="W951" s="74"/>
      <c r="X951" s="62"/>
      <c r="Y951" s="61"/>
      <c r="Z951" s="62"/>
      <c r="AA951" s="62"/>
      <c r="AB951" s="62"/>
      <c r="AC951" s="62"/>
      <c r="AD951" s="62"/>
      <c r="AE951" s="62"/>
      <c r="AF951" s="62"/>
      <c r="AG951" s="62"/>
      <c r="AH951" s="62"/>
      <c r="AI951" s="62"/>
      <c r="AJ951" s="62"/>
      <c r="AK951" s="62"/>
      <c r="AL951" s="62"/>
      <c r="AM951" s="62"/>
      <c r="AN951" s="62"/>
      <c r="AO951" s="62"/>
    </row>
    <row r="952">
      <c r="A952" s="62"/>
      <c r="B952" s="62"/>
      <c r="C952" s="61"/>
      <c r="D952" s="62"/>
      <c r="E952" s="62"/>
      <c r="F952" s="62" t="b">
        <v>0</v>
      </c>
      <c r="G952" s="62"/>
      <c r="H952" s="61"/>
      <c r="I952" s="61"/>
      <c r="J952" s="62"/>
      <c r="K952" s="62"/>
      <c r="L952" s="62"/>
      <c r="M952" s="62"/>
      <c r="N952" s="62"/>
      <c r="O952" s="62" t="b">
        <v>0</v>
      </c>
      <c r="P952" s="62"/>
      <c r="Q952" s="62"/>
      <c r="R952" s="62"/>
      <c r="S952" s="62"/>
      <c r="T952" s="62"/>
      <c r="U952" s="74"/>
      <c r="V952" s="62"/>
      <c r="W952" s="74"/>
      <c r="X952" s="62"/>
      <c r="Y952" s="61"/>
      <c r="Z952" s="62"/>
      <c r="AA952" s="62"/>
      <c r="AB952" s="62"/>
      <c r="AC952" s="62"/>
      <c r="AD952" s="62"/>
      <c r="AE952" s="62"/>
      <c r="AF952" s="62"/>
      <c r="AG952" s="62"/>
      <c r="AH952" s="62"/>
      <c r="AI952" s="62"/>
      <c r="AJ952" s="62"/>
      <c r="AK952" s="62"/>
      <c r="AL952" s="62"/>
      <c r="AM952" s="62"/>
      <c r="AN952" s="62"/>
      <c r="AO952" s="62"/>
    </row>
    <row r="953">
      <c r="A953" s="62"/>
      <c r="B953" s="62"/>
      <c r="C953" s="61"/>
      <c r="D953" s="62"/>
      <c r="E953" s="62"/>
      <c r="F953" s="62" t="b">
        <v>0</v>
      </c>
      <c r="G953" s="62"/>
      <c r="H953" s="61"/>
      <c r="I953" s="61"/>
      <c r="J953" s="62"/>
      <c r="K953" s="62"/>
      <c r="L953" s="62"/>
      <c r="M953" s="62"/>
      <c r="N953" s="62"/>
      <c r="O953" s="62" t="b">
        <v>0</v>
      </c>
      <c r="P953" s="62"/>
      <c r="Q953" s="62"/>
      <c r="R953" s="62"/>
      <c r="S953" s="62"/>
      <c r="T953" s="62"/>
      <c r="U953" s="74"/>
      <c r="V953" s="62"/>
      <c r="W953" s="74"/>
      <c r="X953" s="62"/>
      <c r="Y953" s="61"/>
      <c r="Z953" s="62"/>
      <c r="AA953" s="62"/>
      <c r="AB953" s="62"/>
      <c r="AC953" s="62"/>
      <c r="AD953" s="62"/>
      <c r="AE953" s="62"/>
      <c r="AF953" s="62"/>
      <c r="AG953" s="62"/>
      <c r="AH953" s="62"/>
      <c r="AI953" s="62"/>
      <c r="AJ953" s="62"/>
      <c r="AK953" s="62"/>
      <c r="AL953" s="62"/>
      <c r="AM953" s="62"/>
      <c r="AN953" s="62"/>
      <c r="AO953" s="62"/>
    </row>
    <row r="954">
      <c r="A954" s="62"/>
      <c r="B954" s="62"/>
      <c r="C954" s="61"/>
      <c r="D954" s="62"/>
      <c r="E954" s="62"/>
      <c r="F954" s="62" t="b">
        <v>0</v>
      </c>
      <c r="G954" s="62"/>
      <c r="H954" s="61"/>
      <c r="I954" s="61"/>
      <c r="J954" s="62"/>
      <c r="K954" s="62"/>
      <c r="L954" s="62"/>
      <c r="M954" s="62"/>
      <c r="N954" s="62"/>
      <c r="O954" s="62" t="b">
        <v>0</v>
      </c>
      <c r="P954" s="62"/>
      <c r="Q954" s="62"/>
      <c r="R954" s="62"/>
      <c r="S954" s="62"/>
      <c r="T954" s="62"/>
      <c r="U954" s="74"/>
      <c r="V954" s="62"/>
      <c r="W954" s="74"/>
      <c r="X954" s="62"/>
      <c r="Y954" s="61"/>
      <c r="Z954" s="62"/>
      <c r="AA954" s="62"/>
      <c r="AB954" s="62"/>
      <c r="AC954" s="62"/>
      <c r="AD954" s="62"/>
      <c r="AE954" s="62"/>
      <c r="AF954" s="62"/>
      <c r="AG954" s="62"/>
      <c r="AH954" s="62"/>
      <c r="AI954" s="62"/>
      <c r="AJ954" s="62"/>
      <c r="AK954" s="62"/>
      <c r="AL954" s="62"/>
      <c r="AM954" s="62"/>
      <c r="AN954" s="62"/>
      <c r="AO954" s="62"/>
    </row>
    <row r="955">
      <c r="A955" s="62"/>
      <c r="B955" s="62"/>
      <c r="C955" s="61"/>
      <c r="D955" s="62"/>
      <c r="E955" s="62"/>
      <c r="F955" s="62" t="b">
        <v>0</v>
      </c>
      <c r="G955" s="62"/>
      <c r="H955" s="61"/>
      <c r="I955" s="61"/>
      <c r="J955" s="62"/>
      <c r="K955" s="62"/>
      <c r="L955" s="62"/>
      <c r="M955" s="62"/>
      <c r="N955" s="62"/>
      <c r="O955" s="62" t="b">
        <v>0</v>
      </c>
      <c r="P955" s="62"/>
      <c r="Q955" s="62"/>
      <c r="R955" s="62"/>
      <c r="S955" s="62"/>
      <c r="T955" s="62"/>
      <c r="U955" s="74"/>
      <c r="V955" s="62"/>
      <c r="W955" s="74"/>
      <c r="X955" s="62"/>
      <c r="Y955" s="61"/>
      <c r="Z955" s="62"/>
      <c r="AA955" s="62"/>
      <c r="AB955" s="62"/>
      <c r="AC955" s="62"/>
      <c r="AD955" s="62"/>
      <c r="AE955" s="62"/>
      <c r="AF955" s="62"/>
      <c r="AG955" s="62"/>
      <c r="AH955" s="62"/>
      <c r="AI955" s="62"/>
      <c r="AJ955" s="62"/>
      <c r="AK955" s="62"/>
      <c r="AL955" s="62"/>
      <c r="AM955" s="62"/>
      <c r="AN955" s="62"/>
      <c r="AO955" s="62"/>
    </row>
    <row r="956">
      <c r="A956" s="62"/>
      <c r="B956" s="62"/>
      <c r="C956" s="61"/>
      <c r="D956" s="62"/>
      <c r="E956" s="62"/>
      <c r="F956" s="62" t="b">
        <v>0</v>
      </c>
      <c r="G956" s="62"/>
      <c r="H956" s="61"/>
      <c r="I956" s="61"/>
      <c r="J956" s="62"/>
      <c r="K956" s="62"/>
      <c r="L956" s="62"/>
      <c r="M956" s="62"/>
      <c r="N956" s="62"/>
      <c r="O956" s="62" t="b">
        <v>0</v>
      </c>
      <c r="P956" s="62"/>
      <c r="Q956" s="62"/>
      <c r="R956" s="62"/>
      <c r="S956" s="62"/>
      <c r="T956" s="62"/>
      <c r="U956" s="74"/>
      <c r="V956" s="62"/>
      <c r="W956" s="74"/>
      <c r="X956" s="62"/>
      <c r="Y956" s="61"/>
      <c r="Z956" s="62"/>
      <c r="AA956" s="62"/>
      <c r="AB956" s="62"/>
      <c r="AC956" s="62"/>
      <c r="AD956" s="62"/>
      <c r="AE956" s="62"/>
      <c r="AF956" s="62"/>
      <c r="AG956" s="62"/>
      <c r="AH956" s="62"/>
      <c r="AI956" s="62"/>
      <c r="AJ956" s="62"/>
      <c r="AK956" s="62"/>
      <c r="AL956" s="62"/>
      <c r="AM956" s="62"/>
      <c r="AN956" s="62"/>
      <c r="AO956" s="62"/>
    </row>
    <row r="957">
      <c r="A957" s="62"/>
      <c r="B957" s="62"/>
      <c r="C957" s="61"/>
      <c r="D957" s="62"/>
      <c r="E957" s="62"/>
      <c r="F957" s="62" t="b">
        <v>0</v>
      </c>
      <c r="G957" s="62"/>
      <c r="H957" s="61"/>
      <c r="I957" s="61"/>
      <c r="J957" s="62"/>
      <c r="K957" s="62"/>
      <c r="L957" s="62"/>
      <c r="M957" s="62"/>
      <c r="N957" s="62"/>
      <c r="O957" s="62" t="b">
        <v>0</v>
      </c>
      <c r="P957" s="62"/>
      <c r="Q957" s="62"/>
      <c r="R957" s="62"/>
      <c r="S957" s="62"/>
      <c r="T957" s="62"/>
      <c r="U957" s="74"/>
      <c r="V957" s="62"/>
      <c r="W957" s="74"/>
      <c r="X957" s="62"/>
      <c r="Y957" s="61"/>
      <c r="Z957" s="62"/>
      <c r="AA957" s="62"/>
      <c r="AB957" s="62"/>
      <c r="AC957" s="62"/>
      <c r="AD957" s="62"/>
      <c r="AE957" s="62"/>
      <c r="AF957" s="62"/>
      <c r="AG957" s="62"/>
      <c r="AH957" s="62"/>
      <c r="AI957" s="62"/>
      <c r="AJ957" s="62"/>
      <c r="AK957" s="62"/>
      <c r="AL957" s="62"/>
      <c r="AM957" s="62"/>
      <c r="AN957" s="62"/>
      <c r="AO957" s="62"/>
    </row>
    <row r="958">
      <c r="A958" s="62"/>
      <c r="B958" s="62"/>
      <c r="C958" s="61"/>
      <c r="D958" s="62"/>
      <c r="E958" s="62"/>
      <c r="F958" s="62" t="b">
        <v>0</v>
      </c>
      <c r="G958" s="62"/>
      <c r="H958" s="61"/>
      <c r="I958" s="61"/>
      <c r="J958" s="62"/>
      <c r="K958" s="62"/>
      <c r="L958" s="62"/>
      <c r="M958" s="62"/>
      <c r="N958" s="62"/>
      <c r="O958" s="62" t="b">
        <v>0</v>
      </c>
      <c r="P958" s="62"/>
      <c r="Q958" s="62"/>
      <c r="R958" s="62"/>
      <c r="S958" s="62"/>
      <c r="T958" s="62"/>
      <c r="U958" s="74"/>
      <c r="V958" s="62"/>
      <c r="W958" s="74"/>
      <c r="X958" s="62"/>
      <c r="Y958" s="61"/>
      <c r="Z958" s="62"/>
      <c r="AA958" s="62"/>
      <c r="AB958" s="62"/>
      <c r="AC958" s="62"/>
      <c r="AD958" s="62"/>
      <c r="AE958" s="62"/>
      <c r="AF958" s="62"/>
      <c r="AG958" s="62"/>
      <c r="AH958" s="62"/>
      <c r="AI958" s="62"/>
      <c r="AJ958" s="62"/>
      <c r="AK958" s="62"/>
      <c r="AL958" s="62"/>
      <c r="AM958" s="62"/>
      <c r="AN958" s="62"/>
      <c r="AO958" s="62"/>
    </row>
    <row r="959">
      <c r="A959" s="62"/>
      <c r="B959" s="62"/>
      <c r="C959" s="61"/>
      <c r="D959" s="62"/>
      <c r="E959" s="62"/>
      <c r="F959" s="62" t="b">
        <v>0</v>
      </c>
      <c r="G959" s="62"/>
      <c r="H959" s="61"/>
      <c r="I959" s="61"/>
      <c r="J959" s="62"/>
      <c r="K959" s="62"/>
      <c r="L959" s="62"/>
      <c r="M959" s="62"/>
      <c r="N959" s="62"/>
      <c r="O959" s="62" t="b">
        <v>0</v>
      </c>
      <c r="P959" s="62"/>
      <c r="Q959" s="62"/>
      <c r="R959" s="62"/>
      <c r="S959" s="62"/>
      <c r="T959" s="62"/>
      <c r="U959" s="74"/>
      <c r="V959" s="62"/>
      <c r="W959" s="74"/>
      <c r="X959" s="62"/>
      <c r="Y959" s="61"/>
      <c r="Z959" s="62"/>
      <c r="AA959" s="62"/>
      <c r="AB959" s="62"/>
      <c r="AC959" s="62"/>
      <c r="AD959" s="62"/>
      <c r="AE959" s="62"/>
      <c r="AF959" s="62"/>
      <c r="AG959" s="62"/>
      <c r="AH959" s="62"/>
      <c r="AI959" s="62"/>
      <c r="AJ959" s="62"/>
      <c r="AK959" s="62"/>
      <c r="AL959" s="62"/>
      <c r="AM959" s="62"/>
      <c r="AN959" s="62"/>
      <c r="AO959" s="62"/>
    </row>
    <row r="960">
      <c r="A960" s="62"/>
      <c r="B960" s="62"/>
      <c r="C960" s="61"/>
      <c r="D960" s="62"/>
      <c r="E960" s="62"/>
      <c r="F960" s="62" t="b">
        <v>0</v>
      </c>
      <c r="G960" s="62"/>
      <c r="H960" s="61"/>
      <c r="I960" s="61"/>
      <c r="J960" s="62"/>
      <c r="K960" s="62"/>
      <c r="L960" s="62"/>
      <c r="M960" s="62"/>
      <c r="N960" s="62"/>
      <c r="O960" s="62" t="b">
        <v>0</v>
      </c>
      <c r="P960" s="62"/>
      <c r="Q960" s="62"/>
      <c r="R960" s="62"/>
      <c r="S960" s="62"/>
      <c r="T960" s="62"/>
      <c r="U960" s="74"/>
      <c r="V960" s="62"/>
      <c r="W960" s="74"/>
      <c r="X960" s="62"/>
      <c r="Y960" s="61"/>
      <c r="Z960" s="62"/>
      <c r="AA960" s="62"/>
      <c r="AB960" s="62"/>
      <c r="AC960" s="62"/>
      <c r="AD960" s="62"/>
      <c r="AE960" s="62"/>
      <c r="AF960" s="62"/>
      <c r="AG960" s="62"/>
      <c r="AH960" s="62"/>
      <c r="AI960" s="62"/>
      <c r="AJ960" s="62"/>
      <c r="AK960" s="62"/>
      <c r="AL960" s="62"/>
      <c r="AM960" s="62"/>
      <c r="AN960" s="62"/>
      <c r="AO960" s="62"/>
    </row>
    <row r="961">
      <c r="A961" s="62"/>
      <c r="B961" s="62"/>
      <c r="C961" s="61"/>
      <c r="D961" s="62"/>
      <c r="E961" s="62"/>
      <c r="F961" s="62" t="b">
        <v>0</v>
      </c>
      <c r="G961" s="62"/>
      <c r="H961" s="61"/>
      <c r="I961" s="61"/>
      <c r="J961" s="62"/>
      <c r="K961" s="62"/>
      <c r="L961" s="62"/>
      <c r="M961" s="62"/>
      <c r="N961" s="62"/>
      <c r="O961" s="62" t="b">
        <v>0</v>
      </c>
      <c r="P961" s="62"/>
      <c r="Q961" s="62"/>
      <c r="R961" s="62"/>
      <c r="S961" s="62"/>
      <c r="T961" s="62"/>
      <c r="U961" s="74"/>
      <c r="V961" s="62"/>
      <c r="W961" s="74"/>
      <c r="X961" s="62"/>
      <c r="Y961" s="61"/>
      <c r="Z961" s="62"/>
      <c r="AA961" s="62"/>
      <c r="AB961" s="62"/>
      <c r="AC961" s="62"/>
      <c r="AD961" s="62"/>
      <c r="AE961" s="62"/>
      <c r="AF961" s="62"/>
      <c r="AG961" s="62"/>
      <c r="AH961" s="62"/>
      <c r="AI961" s="62"/>
      <c r="AJ961" s="62"/>
      <c r="AK961" s="62"/>
      <c r="AL961" s="62"/>
      <c r="AM961" s="62"/>
      <c r="AN961" s="62"/>
      <c r="AO961" s="62"/>
    </row>
    <row r="962">
      <c r="A962" s="62"/>
      <c r="B962" s="62"/>
      <c r="C962" s="61"/>
      <c r="D962" s="62"/>
      <c r="E962" s="62"/>
      <c r="F962" s="62" t="b">
        <v>0</v>
      </c>
      <c r="G962" s="62"/>
      <c r="H962" s="61"/>
      <c r="I962" s="61"/>
      <c r="J962" s="62"/>
      <c r="K962" s="62"/>
      <c r="L962" s="62"/>
      <c r="M962" s="62"/>
      <c r="N962" s="62"/>
      <c r="O962" s="62" t="b">
        <v>0</v>
      </c>
      <c r="P962" s="62"/>
      <c r="Q962" s="62"/>
      <c r="R962" s="62"/>
      <c r="S962" s="62"/>
      <c r="T962" s="62"/>
      <c r="U962" s="74"/>
      <c r="V962" s="62"/>
      <c r="W962" s="74"/>
      <c r="X962" s="62"/>
      <c r="Y962" s="61"/>
      <c r="Z962" s="62"/>
      <c r="AA962" s="62"/>
      <c r="AB962" s="62"/>
      <c r="AC962" s="62"/>
      <c r="AD962" s="62"/>
      <c r="AE962" s="62"/>
      <c r="AF962" s="62"/>
      <c r="AG962" s="62"/>
      <c r="AH962" s="62"/>
      <c r="AI962" s="62"/>
      <c r="AJ962" s="62"/>
      <c r="AK962" s="62"/>
      <c r="AL962" s="62"/>
      <c r="AM962" s="62"/>
      <c r="AN962" s="62"/>
      <c r="AO962" s="62"/>
    </row>
    <row r="963">
      <c r="A963" s="62"/>
      <c r="B963" s="62"/>
      <c r="C963" s="61"/>
      <c r="D963" s="62"/>
      <c r="E963" s="62"/>
      <c r="F963" s="62" t="b">
        <v>0</v>
      </c>
      <c r="G963" s="62"/>
      <c r="H963" s="61"/>
      <c r="I963" s="61"/>
      <c r="J963" s="62"/>
      <c r="K963" s="62"/>
      <c r="L963" s="62"/>
      <c r="M963" s="62"/>
      <c r="N963" s="62"/>
      <c r="O963" s="62" t="b">
        <v>0</v>
      </c>
      <c r="P963" s="62"/>
      <c r="Q963" s="62"/>
      <c r="R963" s="62"/>
      <c r="S963" s="62"/>
      <c r="T963" s="62"/>
      <c r="U963" s="74"/>
      <c r="V963" s="62"/>
      <c r="W963" s="74"/>
      <c r="X963" s="62"/>
      <c r="Y963" s="61"/>
      <c r="Z963" s="62"/>
      <c r="AA963" s="62"/>
      <c r="AB963" s="62"/>
      <c r="AC963" s="62"/>
      <c r="AD963" s="62"/>
      <c r="AE963" s="62"/>
      <c r="AF963" s="62"/>
      <c r="AG963" s="62"/>
      <c r="AH963" s="62"/>
      <c r="AI963" s="62"/>
      <c r="AJ963" s="62"/>
      <c r="AK963" s="62"/>
      <c r="AL963" s="62"/>
      <c r="AM963" s="62"/>
      <c r="AN963" s="62"/>
      <c r="AO963" s="62"/>
    </row>
    <row r="964">
      <c r="A964" s="62"/>
      <c r="B964" s="62"/>
      <c r="C964" s="61"/>
      <c r="D964" s="62"/>
      <c r="E964" s="62"/>
      <c r="F964" s="62" t="b">
        <v>0</v>
      </c>
      <c r="G964" s="62"/>
      <c r="H964" s="61"/>
      <c r="I964" s="61"/>
      <c r="J964" s="62"/>
      <c r="K964" s="62"/>
      <c r="L964" s="62"/>
      <c r="M964" s="62"/>
      <c r="N964" s="62"/>
      <c r="O964" s="62" t="b">
        <v>0</v>
      </c>
      <c r="P964" s="62"/>
      <c r="Q964" s="62"/>
      <c r="R964" s="62"/>
      <c r="S964" s="62"/>
      <c r="T964" s="62"/>
      <c r="U964" s="74"/>
      <c r="V964" s="62"/>
      <c r="W964" s="74"/>
      <c r="X964" s="62"/>
      <c r="Y964" s="61"/>
      <c r="Z964" s="62"/>
      <c r="AA964" s="62"/>
      <c r="AB964" s="62"/>
      <c r="AC964" s="62"/>
      <c r="AD964" s="62"/>
      <c r="AE964" s="62"/>
      <c r="AF964" s="62"/>
      <c r="AG964" s="62"/>
      <c r="AH964" s="62"/>
      <c r="AI964" s="62"/>
      <c r="AJ964" s="62"/>
      <c r="AK964" s="62"/>
      <c r="AL964" s="62"/>
      <c r="AM964" s="62"/>
      <c r="AN964" s="62"/>
      <c r="AO964" s="62"/>
    </row>
    <row r="965">
      <c r="A965" s="62"/>
      <c r="B965" s="62"/>
      <c r="C965" s="61"/>
      <c r="D965" s="62"/>
      <c r="E965" s="62"/>
      <c r="F965" s="62" t="b">
        <v>0</v>
      </c>
      <c r="G965" s="62"/>
      <c r="H965" s="61"/>
      <c r="I965" s="61"/>
      <c r="J965" s="62"/>
      <c r="K965" s="62"/>
      <c r="L965" s="62"/>
      <c r="M965" s="62"/>
      <c r="N965" s="62"/>
      <c r="O965" s="62" t="b">
        <v>0</v>
      </c>
      <c r="P965" s="62"/>
      <c r="Q965" s="62"/>
      <c r="R965" s="62"/>
      <c r="S965" s="62"/>
      <c r="T965" s="62"/>
      <c r="U965" s="74"/>
      <c r="V965" s="62"/>
      <c r="W965" s="74"/>
      <c r="X965" s="62"/>
      <c r="Y965" s="61"/>
      <c r="Z965" s="62"/>
      <c r="AA965" s="62"/>
      <c r="AB965" s="62"/>
      <c r="AC965" s="62"/>
      <c r="AD965" s="62"/>
      <c r="AE965" s="62"/>
      <c r="AF965" s="62"/>
      <c r="AG965" s="62"/>
      <c r="AH965" s="62"/>
      <c r="AI965" s="62"/>
      <c r="AJ965" s="62"/>
      <c r="AK965" s="62"/>
      <c r="AL965" s="62"/>
      <c r="AM965" s="62"/>
      <c r="AN965" s="62"/>
      <c r="AO965" s="62"/>
    </row>
    <row r="966">
      <c r="A966" s="62"/>
      <c r="B966" s="62"/>
      <c r="C966" s="61"/>
      <c r="D966" s="62"/>
      <c r="E966" s="62"/>
      <c r="F966" s="62" t="b">
        <v>0</v>
      </c>
      <c r="G966" s="62"/>
      <c r="H966" s="61"/>
      <c r="I966" s="61"/>
      <c r="J966" s="62"/>
      <c r="K966" s="62"/>
      <c r="L966" s="62"/>
      <c r="M966" s="62"/>
      <c r="N966" s="62"/>
      <c r="O966" s="62" t="b">
        <v>0</v>
      </c>
      <c r="P966" s="62"/>
      <c r="Q966" s="62"/>
      <c r="R966" s="62"/>
      <c r="S966" s="62"/>
      <c r="T966" s="62"/>
      <c r="U966" s="74"/>
      <c r="V966" s="62"/>
      <c r="W966" s="74"/>
      <c r="X966" s="62"/>
      <c r="Y966" s="61"/>
      <c r="Z966" s="62"/>
      <c r="AA966" s="62"/>
      <c r="AB966" s="62"/>
      <c r="AC966" s="62"/>
      <c r="AD966" s="62"/>
      <c r="AE966" s="62"/>
      <c r="AF966" s="62"/>
      <c r="AG966" s="62"/>
      <c r="AH966" s="62"/>
      <c r="AI966" s="62"/>
      <c r="AJ966" s="62"/>
      <c r="AK966" s="62"/>
      <c r="AL966" s="62"/>
      <c r="AM966" s="62"/>
      <c r="AN966" s="62"/>
      <c r="AO966" s="62"/>
    </row>
    <row r="967">
      <c r="A967" s="62"/>
      <c r="B967" s="62"/>
      <c r="C967" s="61"/>
      <c r="D967" s="62"/>
      <c r="E967" s="62"/>
      <c r="F967" s="62" t="b">
        <v>0</v>
      </c>
      <c r="G967" s="62"/>
      <c r="H967" s="61"/>
      <c r="I967" s="61"/>
      <c r="J967" s="62"/>
      <c r="K967" s="62"/>
      <c r="L967" s="62"/>
      <c r="M967" s="62"/>
      <c r="N967" s="62"/>
      <c r="O967" s="62" t="b">
        <v>0</v>
      </c>
      <c r="P967" s="62"/>
      <c r="Q967" s="62"/>
      <c r="R967" s="62"/>
      <c r="S967" s="62"/>
      <c r="T967" s="62"/>
      <c r="U967" s="74"/>
      <c r="V967" s="62"/>
      <c r="W967" s="74"/>
      <c r="X967" s="62"/>
      <c r="Y967" s="61"/>
      <c r="Z967" s="62"/>
      <c r="AA967" s="62"/>
      <c r="AB967" s="62"/>
      <c r="AC967" s="62"/>
      <c r="AD967" s="62"/>
      <c r="AE967" s="62"/>
      <c r="AF967" s="62"/>
      <c r="AG967" s="62"/>
      <c r="AH967" s="62"/>
      <c r="AI967" s="62"/>
      <c r="AJ967" s="62"/>
      <c r="AK967" s="62"/>
      <c r="AL967" s="62"/>
      <c r="AM967" s="62"/>
      <c r="AN967" s="62"/>
      <c r="AO967" s="62"/>
    </row>
    <row r="968">
      <c r="A968" s="62"/>
      <c r="B968" s="62"/>
      <c r="C968" s="61"/>
      <c r="D968" s="62"/>
      <c r="E968" s="62"/>
      <c r="F968" s="62" t="b">
        <v>0</v>
      </c>
      <c r="G968" s="62"/>
      <c r="H968" s="61"/>
      <c r="I968" s="61"/>
      <c r="J968" s="62"/>
      <c r="K968" s="62"/>
      <c r="L968" s="62"/>
      <c r="M968" s="62"/>
      <c r="N968" s="62"/>
      <c r="O968" s="62" t="b">
        <v>0</v>
      </c>
      <c r="P968" s="62"/>
      <c r="Q968" s="62"/>
      <c r="R968" s="62"/>
      <c r="S968" s="62"/>
      <c r="T968" s="62"/>
      <c r="U968" s="74"/>
      <c r="V968" s="62"/>
      <c r="W968" s="74"/>
      <c r="X968" s="62"/>
      <c r="Y968" s="61"/>
      <c r="Z968" s="62"/>
      <c r="AA968" s="62"/>
      <c r="AB968" s="62"/>
      <c r="AC968" s="62"/>
      <c r="AD968" s="62"/>
      <c r="AE968" s="62"/>
      <c r="AF968" s="62"/>
      <c r="AG968" s="62"/>
      <c r="AH968" s="62"/>
      <c r="AI968" s="62"/>
      <c r="AJ968" s="62"/>
      <c r="AK968" s="62"/>
      <c r="AL968" s="62"/>
      <c r="AM968" s="62"/>
      <c r="AN968" s="62"/>
      <c r="AO968" s="62"/>
    </row>
    <row r="969">
      <c r="A969" s="62"/>
      <c r="B969" s="62"/>
      <c r="C969" s="61"/>
      <c r="D969" s="62"/>
      <c r="E969" s="62"/>
      <c r="F969" s="62" t="b">
        <v>0</v>
      </c>
      <c r="G969" s="62"/>
      <c r="H969" s="61"/>
      <c r="I969" s="61"/>
      <c r="J969" s="62"/>
      <c r="K969" s="62"/>
      <c r="L969" s="62"/>
      <c r="M969" s="62"/>
      <c r="N969" s="62"/>
      <c r="O969" s="62" t="b">
        <v>0</v>
      </c>
      <c r="P969" s="62"/>
      <c r="Q969" s="62"/>
      <c r="R969" s="62"/>
      <c r="S969" s="62"/>
      <c r="T969" s="62"/>
      <c r="U969" s="74"/>
      <c r="V969" s="62"/>
      <c r="W969" s="74"/>
      <c r="X969" s="62"/>
      <c r="Y969" s="61"/>
      <c r="Z969" s="62"/>
      <c r="AA969" s="62"/>
      <c r="AB969" s="62"/>
      <c r="AC969" s="62"/>
      <c r="AD969" s="62"/>
      <c r="AE969" s="62"/>
      <c r="AF969" s="62"/>
      <c r="AG969" s="62"/>
      <c r="AH969" s="62"/>
      <c r="AI969" s="62"/>
      <c r="AJ969" s="62"/>
      <c r="AK969" s="62"/>
      <c r="AL969" s="62"/>
      <c r="AM969" s="62"/>
      <c r="AN969" s="62"/>
      <c r="AO969" s="62"/>
    </row>
    <row r="970">
      <c r="A970" s="62"/>
      <c r="B970" s="62"/>
      <c r="C970" s="61"/>
      <c r="D970" s="62"/>
      <c r="E970" s="62"/>
      <c r="F970" s="62" t="b">
        <v>0</v>
      </c>
      <c r="G970" s="62"/>
      <c r="H970" s="61"/>
      <c r="I970" s="61"/>
      <c r="J970" s="62"/>
      <c r="K970" s="62"/>
      <c r="L970" s="62"/>
      <c r="M970" s="62"/>
      <c r="N970" s="62"/>
      <c r="O970" s="62" t="b">
        <v>0</v>
      </c>
      <c r="P970" s="62"/>
      <c r="Q970" s="62"/>
      <c r="R970" s="62"/>
      <c r="S970" s="62"/>
      <c r="T970" s="62"/>
      <c r="U970" s="74"/>
      <c r="V970" s="62"/>
      <c r="W970" s="74"/>
      <c r="X970" s="62"/>
      <c r="Y970" s="61"/>
      <c r="Z970" s="62"/>
      <c r="AA970" s="62"/>
      <c r="AB970" s="62"/>
      <c r="AC970" s="62"/>
      <c r="AD970" s="62"/>
      <c r="AE970" s="62"/>
      <c r="AF970" s="62"/>
      <c r="AG970" s="62"/>
      <c r="AH970" s="62"/>
      <c r="AI970" s="62"/>
      <c r="AJ970" s="62"/>
      <c r="AK970" s="62"/>
      <c r="AL970" s="62"/>
      <c r="AM970" s="62"/>
      <c r="AN970" s="62"/>
      <c r="AO970" s="62"/>
    </row>
    <row r="971">
      <c r="A971" s="62"/>
      <c r="B971" s="62"/>
      <c r="C971" s="61"/>
      <c r="D971" s="62"/>
      <c r="E971" s="62"/>
      <c r="F971" s="62" t="b">
        <v>0</v>
      </c>
      <c r="G971" s="62"/>
      <c r="H971" s="61"/>
      <c r="I971" s="61"/>
      <c r="J971" s="62"/>
      <c r="K971" s="62"/>
      <c r="L971" s="62"/>
      <c r="M971" s="62"/>
      <c r="N971" s="62"/>
      <c r="O971" s="62" t="b">
        <v>0</v>
      </c>
      <c r="P971" s="62"/>
      <c r="Q971" s="62"/>
      <c r="R971" s="62"/>
      <c r="S971" s="62"/>
      <c r="T971" s="62"/>
      <c r="U971" s="74"/>
      <c r="V971" s="62"/>
      <c r="W971" s="74"/>
      <c r="X971" s="62"/>
      <c r="Y971" s="61"/>
      <c r="Z971" s="62"/>
      <c r="AA971" s="62"/>
      <c r="AB971" s="62"/>
      <c r="AC971" s="62"/>
      <c r="AD971" s="62"/>
      <c r="AE971" s="62"/>
      <c r="AF971" s="62"/>
      <c r="AG971" s="62"/>
      <c r="AH971" s="62"/>
      <c r="AI971" s="62"/>
      <c r="AJ971" s="62"/>
      <c r="AK971" s="62"/>
      <c r="AL971" s="62"/>
      <c r="AM971" s="62"/>
      <c r="AN971" s="62"/>
      <c r="AO971" s="62"/>
    </row>
    <row r="972">
      <c r="A972" s="62"/>
      <c r="B972" s="62"/>
      <c r="C972" s="61"/>
      <c r="D972" s="62"/>
      <c r="E972" s="62"/>
      <c r="F972" s="62" t="b">
        <v>0</v>
      </c>
      <c r="G972" s="62"/>
      <c r="H972" s="61"/>
      <c r="I972" s="61"/>
      <c r="J972" s="62"/>
      <c r="K972" s="62"/>
      <c r="L972" s="62"/>
      <c r="M972" s="62"/>
      <c r="N972" s="62"/>
      <c r="O972" s="62" t="b">
        <v>0</v>
      </c>
      <c r="P972" s="62"/>
      <c r="Q972" s="62"/>
      <c r="R972" s="62"/>
      <c r="S972" s="62"/>
      <c r="T972" s="62"/>
      <c r="U972" s="74"/>
      <c r="V972" s="62"/>
      <c r="W972" s="74"/>
      <c r="X972" s="62"/>
      <c r="Y972" s="61"/>
      <c r="Z972" s="62"/>
      <c r="AA972" s="62"/>
      <c r="AB972" s="62"/>
      <c r="AC972" s="62"/>
      <c r="AD972" s="62"/>
      <c r="AE972" s="62"/>
      <c r="AF972" s="62"/>
      <c r="AG972" s="62"/>
      <c r="AH972" s="62"/>
      <c r="AI972" s="62"/>
      <c r="AJ972" s="62"/>
      <c r="AK972" s="62"/>
      <c r="AL972" s="62"/>
      <c r="AM972" s="62"/>
      <c r="AN972" s="62"/>
      <c r="AO972" s="62"/>
    </row>
    <row r="973">
      <c r="A973" s="62"/>
      <c r="B973" s="62"/>
      <c r="C973" s="61"/>
      <c r="D973" s="62"/>
      <c r="E973" s="62"/>
      <c r="F973" s="62" t="b">
        <v>0</v>
      </c>
      <c r="G973" s="62"/>
      <c r="H973" s="61"/>
      <c r="I973" s="61"/>
      <c r="J973" s="62"/>
      <c r="K973" s="62"/>
      <c r="L973" s="62"/>
      <c r="M973" s="62"/>
      <c r="N973" s="62"/>
      <c r="O973" s="62" t="b">
        <v>0</v>
      </c>
      <c r="P973" s="62"/>
      <c r="Q973" s="62"/>
      <c r="R973" s="62"/>
      <c r="S973" s="62"/>
      <c r="T973" s="62"/>
      <c r="U973" s="74"/>
      <c r="V973" s="62"/>
      <c r="W973" s="74"/>
      <c r="X973" s="62"/>
      <c r="Y973" s="61"/>
      <c r="Z973" s="62"/>
      <c r="AA973" s="62"/>
      <c r="AB973" s="62"/>
      <c r="AC973" s="62"/>
      <c r="AD973" s="62"/>
      <c r="AE973" s="62"/>
      <c r="AF973" s="62"/>
      <c r="AG973" s="62"/>
      <c r="AH973" s="62"/>
      <c r="AI973" s="62"/>
      <c r="AJ973" s="62"/>
      <c r="AK973" s="62"/>
      <c r="AL973" s="62"/>
      <c r="AM973" s="62"/>
      <c r="AN973" s="62"/>
      <c r="AO973" s="62"/>
    </row>
    <row r="974">
      <c r="A974" s="62"/>
      <c r="B974" s="62"/>
      <c r="C974" s="61"/>
      <c r="D974" s="62"/>
      <c r="E974" s="62"/>
      <c r="F974" s="62" t="b">
        <v>0</v>
      </c>
      <c r="G974" s="62"/>
      <c r="H974" s="61"/>
      <c r="I974" s="61"/>
      <c r="J974" s="62"/>
      <c r="K974" s="62"/>
      <c r="L974" s="62"/>
      <c r="M974" s="62"/>
      <c r="N974" s="62"/>
      <c r="O974" s="62" t="b">
        <v>0</v>
      </c>
      <c r="P974" s="62"/>
      <c r="Q974" s="62"/>
      <c r="R974" s="62"/>
      <c r="S974" s="62"/>
      <c r="T974" s="62"/>
      <c r="U974" s="74"/>
      <c r="V974" s="62"/>
      <c r="W974" s="74"/>
      <c r="X974" s="62"/>
      <c r="Y974" s="61"/>
      <c r="Z974" s="62"/>
      <c r="AA974" s="62"/>
      <c r="AB974" s="62"/>
      <c r="AC974" s="62"/>
      <c r="AD974" s="62"/>
      <c r="AE974" s="62"/>
      <c r="AF974" s="62"/>
      <c r="AG974" s="62"/>
      <c r="AH974" s="62"/>
      <c r="AI974" s="62"/>
      <c r="AJ974" s="62"/>
      <c r="AK974" s="62"/>
      <c r="AL974" s="62"/>
      <c r="AM974" s="62"/>
      <c r="AN974" s="62"/>
      <c r="AO974" s="62"/>
    </row>
    <row r="975">
      <c r="A975" s="62"/>
      <c r="B975" s="62"/>
      <c r="C975" s="61"/>
      <c r="D975" s="62"/>
      <c r="E975" s="62"/>
      <c r="F975" s="62" t="b">
        <v>0</v>
      </c>
      <c r="G975" s="62"/>
      <c r="H975" s="61"/>
      <c r="I975" s="61"/>
      <c r="J975" s="62"/>
      <c r="K975" s="62"/>
      <c r="L975" s="62"/>
      <c r="M975" s="62"/>
      <c r="N975" s="62"/>
      <c r="O975" s="62" t="b">
        <v>0</v>
      </c>
      <c r="P975" s="62"/>
      <c r="Q975" s="62"/>
      <c r="R975" s="62"/>
      <c r="S975" s="62"/>
      <c r="T975" s="62"/>
      <c r="U975" s="74"/>
      <c r="V975" s="62"/>
      <c r="W975" s="74"/>
      <c r="X975" s="62"/>
      <c r="Y975" s="61"/>
      <c r="Z975" s="62"/>
      <c r="AA975" s="62"/>
      <c r="AB975" s="62"/>
      <c r="AC975" s="62"/>
      <c r="AD975" s="62"/>
      <c r="AE975" s="62"/>
      <c r="AF975" s="62"/>
      <c r="AG975" s="62"/>
      <c r="AH975" s="62"/>
      <c r="AI975" s="62"/>
      <c r="AJ975" s="62"/>
      <c r="AK975" s="62"/>
      <c r="AL975" s="62"/>
      <c r="AM975" s="62"/>
      <c r="AN975" s="62"/>
      <c r="AO975" s="62"/>
    </row>
    <row r="976">
      <c r="A976" s="62"/>
      <c r="B976" s="62"/>
      <c r="C976" s="61"/>
      <c r="D976" s="62"/>
      <c r="E976" s="62"/>
      <c r="F976" s="62" t="b">
        <v>0</v>
      </c>
      <c r="G976" s="62"/>
      <c r="H976" s="61"/>
      <c r="I976" s="61"/>
      <c r="J976" s="62"/>
      <c r="K976" s="62"/>
      <c r="L976" s="62"/>
      <c r="M976" s="62"/>
      <c r="N976" s="62"/>
      <c r="O976" s="62" t="b">
        <v>0</v>
      </c>
      <c r="P976" s="62"/>
      <c r="Q976" s="62"/>
      <c r="R976" s="62"/>
      <c r="S976" s="62"/>
      <c r="T976" s="62"/>
      <c r="U976" s="74"/>
      <c r="V976" s="62"/>
      <c r="W976" s="74"/>
      <c r="X976" s="62"/>
      <c r="Y976" s="61"/>
      <c r="Z976" s="62"/>
      <c r="AA976" s="62"/>
      <c r="AB976" s="62"/>
      <c r="AC976" s="62"/>
      <c r="AD976" s="62"/>
      <c r="AE976" s="62"/>
      <c r="AF976" s="62"/>
      <c r="AG976" s="62"/>
      <c r="AH976" s="62"/>
      <c r="AI976" s="62"/>
      <c r="AJ976" s="62"/>
      <c r="AK976" s="62"/>
      <c r="AL976" s="62"/>
      <c r="AM976" s="62"/>
      <c r="AN976" s="62"/>
      <c r="AO976" s="62"/>
    </row>
    <row r="977">
      <c r="A977" s="62"/>
      <c r="B977" s="62"/>
      <c r="C977" s="61"/>
      <c r="D977" s="62"/>
      <c r="E977" s="62"/>
      <c r="F977" s="62" t="b">
        <v>0</v>
      </c>
      <c r="G977" s="62"/>
      <c r="H977" s="61"/>
      <c r="I977" s="61"/>
      <c r="J977" s="62"/>
      <c r="K977" s="62"/>
      <c r="L977" s="62"/>
      <c r="M977" s="62"/>
      <c r="N977" s="62"/>
      <c r="O977" s="62" t="b">
        <v>0</v>
      </c>
      <c r="P977" s="62"/>
      <c r="Q977" s="62"/>
      <c r="R977" s="62"/>
      <c r="S977" s="62"/>
      <c r="T977" s="62"/>
      <c r="U977" s="74"/>
      <c r="V977" s="62"/>
      <c r="W977" s="74"/>
      <c r="X977" s="62"/>
      <c r="Y977" s="61"/>
      <c r="Z977" s="62"/>
      <c r="AA977" s="62"/>
      <c r="AB977" s="62"/>
      <c r="AC977" s="62"/>
      <c r="AD977" s="62"/>
      <c r="AE977" s="62"/>
      <c r="AF977" s="62"/>
      <c r="AG977" s="62"/>
      <c r="AH977" s="62"/>
      <c r="AI977" s="62"/>
      <c r="AJ977" s="62"/>
      <c r="AK977" s="62"/>
      <c r="AL977" s="62"/>
      <c r="AM977" s="62"/>
      <c r="AN977" s="62"/>
      <c r="AO977" s="62"/>
    </row>
    <row r="978">
      <c r="A978" s="62"/>
      <c r="B978" s="62"/>
      <c r="C978" s="61"/>
      <c r="D978" s="62"/>
      <c r="E978" s="62"/>
      <c r="F978" s="62" t="b">
        <v>0</v>
      </c>
      <c r="G978" s="62"/>
      <c r="H978" s="61"/>
      <c r="I978" s="61"/>
      <c r="J978" s="62"/>
      <c r="K978" s="62"/>
      <c r="L978" s="62"/>
      <c r="M978" s="62"/>
      <c r="N978" s="62"/>
      <c r="O978" s="62" t="b">
        <v>0</v>
      </c>
      <c r="P978" s="62"/>
      <c r="Q978" s="62"/>
      <c r="R978" s="62"/>
      <c r="S978" s="62"/>
      <c r="T978" s="62"/>
      <c r="U978" s="74"/>
      <c r="V978" s="62"/>
      <c r="W978" s="74"/>
      <c r="X978" s="62"/>
      <c r="Y978" s="61"/>
      <c r="Z978" s="62"/>
      <c r="AA978" s="62"/>
      <c r="AB978" s="62"/>
      <c r="AC978" s="62"/>
      <c r="AD978" s="62"/>
      <c r="AE978" s="62"/>
      <c r="AF978" s="62"/>
      <c r="AG978" s="62"/>
      <c r="AH978" s="62"/>
      <c r="AI978" s="62"/>
      <c r="AJ978" s="62"/>
      <c r="AK978" s="62"/>
      <c r="AL978" s="62"/>
      <c r="AM978" s="62"/>
      <c r="AN978" s="62"/>
      <c r="AO978" s="62"/>
    </row>
    <row r="979">
      <c r="A979" s="62"/>
      <c r="B979" s="62"/>
      <c r="C979" s="61"/>
      <c r="D979" s="62"/>
      <c r="E979" s="62"/>
      <c r="F979" s="62" t="b">
        <v>0</v>
      </c>
      <c r="G979" s="62"/>
      <c r="H979" s="61"/>
      <c r="I979" s="61"/>
      <c r="J979" s="62"/>
      <c r="K979" s="62"/>
      <c r="L979" s="62"/>
      <c r="M979" s="62"/>
      <c r="N979" s="62"/>
      <c r="O979" s="62" t="b">
        <v>0</v>
      </c>
      <c r="P979" s="62"/>
      <c r="Q979" s="62"/>
      <c r="R979" s="62"/>
      <c r="S979" s="62"/>
      <c r="T979" s="62"/>
      <c r="U979" s="74"/>
      <c r="V979" s="62"/>
      <c r="W979" s="74"/>
      <c r="X979" s="62"/>
      <c r="Y979" s="61"/>
      <c r="Z979" s="62"/>
      <c r="AA979" s="62"/>
      <c r="AB979" s="62"/>
      <c r="AC979" s="62"/>
      <c r="AD979" s="62"/>
      <c r="AE979" s="62"/>
      <c r="AF979" s="62"/>
      <c r="AG979" s="62"/>
      <c r="AH979" s="62"/>
      <c r="AI979" s="62"/>
      <c r="AJ979" s="62"/>
      <c r="AK979" s="62"/>
      <c r="AL979" s="62"/>
      <c r="AM979" s="62"/>
      <c r="AN979" s="62"/>
      <c r="AO979" s="62"/>
    </row>
    <row r="980">
      <c r="A980" s="62"/>
      <c r="B980" s="62"/>
      <c r="C980" s="61"/>
      <c r="D980" s="62"/>
      <c r="E980" s="62"/>
      <c r="F980" s="62" t="b">
        <v>0</v>
      </c>
      <c r="G980" s="62"/>
      <c r="H980" s="61"/>
      <c r="I980" s="61"/>
      <c r="J980" s="62"/>
      <c r="K980" s="62"/>
      <c r="L980" s="62"/>
      <c r="M980" s="62"/>
      <c r="N980" s="62"/>
      <c r="O980" s="62" t="b">
        <v>0</v>
      </c>
      <c r="P980" s="62"/>
      <c r="Q980" s="62"/>
      <c r="R980" s="62"/>
      <c r="S980" s="62"/>
      <c r="T980" s="62"/>
      <c r="U980" s="74"/>
      <c r="V980" s="62"/>
      <c r="W980" s="74"/>
      <c r="X980" s="62"/>
      <c r="Y980" s="61"/>
      <c r="Z980" s="62"/>
      <c r="AA980" s="62"/>
      <c r="AB980" s="62"/>
      <c r="AC980" s="62"/>
      <c r="AD980" s="62"/>
      <c r="AE980" s="62"/>
      <c r="AF980" s="62"/>
      <c r="AG980" s="62"/>
      <c r="AH980" s="62"/>
      <c r="AI980" s="62"/>
      <c r="AJ980" s="62"/>
      <c r="AK980" s="62"/>
      <c r="AL980" s="62"/>
      <c r="AM980" s="62"/>
      <c r="AN980" s="62"/>
      <c r="AO980" s="62"/>
    </row>
    <row r="981">
      <c r="A981" s="62"/>
      <c r="B981" s="62"/>
      <c r="C981" s="61"/>
      <c r="D981" s="62"/>
      <c r="E981" s="62"/>
      <c r="F981" s="62" t="b">
        <v>0</v>
      </c>
      <c r="G981" s="62"/>
      <c r="H981" s="61"/>
      <c r="I981" s="61"/>
      <c r="J981" s="62"/>
      <c r="K981" s="62"/>
      <c r="L981" s="62"/>
      <c r="M981" s="62"/>
      <c r="N981" s="62"/>
      <c r="O981" s="62" t="b">
        <v>0</v>
      </c>
      <c r="P981" s="62"/>
      <c r="Q981" s="62"/>
      <c r="R981" s="62"/>
      <c r="S981" s="62"/>
      <c r="T981" s="62"/>
      <c r="U981" s="74"/>
      <c r="V981" s="62"/>
      <c r="W981" s="74"/>
      <c r="X981" s="62"/>
      <c r="Y981" s="61"/>
      <c r="Z981" s="62"/>
      <c r="AA981" s="62"/>
      <c r="AB981" s="62"/>
      <c r="AC981" s="62"/>
      <c r="AD981" s="62"/>
      <c r="AE981" s="62"/>
      <c r="AF981" s="62"/>
      <c r="AG981" s="62"/>
      <c r="AH981" s="62"/>
      <c r="AI981" s="62"/>
      <c r="AJ981" s="62"/>
      <c r="AK981" s="62"/>
      <c r="AL981" s="62"/>
      <c r="AM981" s="62"/>
      <c r="AN981" s="62"/>
      <c r="AO981" s="62"/>
    </row>
    <row r="982">
      <c r="A982" s="62"/>
      <c r="B982" s="62"/>
      <c r="C982" s="61"/>
      <c r="D982" s="62"/>
      <c r="E982" s="62"/>
      <c r="F982" s="62" t="b">
        <v>0</v>
      </c>
      <c r="G982" s="62"/>
      <c r="H982" s="61"/>
      <c r="I982" s="61"/>
      <c r="J982" s="62"/>
      <c r="K982" s="62"/>
      <c r="L982" s="62"/>
      <c r="M982" s="62"/>
      <c r="N982" s="62"/>
      <c r="O982" s="62" t="b">
        <v>0</v>
      </c>
      <c r="P982" s="62"/>
      <c r="Q982" s="62"/>
      <c r="R982" s="62"/>
      <c r="S982" s="62"/>
      <c r="T982" s="62"/>
      <c r="U982" s="74"/>
      <c r="V982" s="62"/>
      <c r="W982" s="74"/>
      <c r="X982" s="62"/>
      <c r="Y982" s="61"/>
      <c r="Z982" s="62"/>
      <c r="AA982" s="62"/>
      <c r="AB982" s="62"/>
      <c r="AC982" s="62"/>
      <c r="AD982" s="62"/>
      <c r="AE982" s="62"/>
      <c r="AF982" s="62"/>
      <c r="AG982" s="62"/>
      <c r="AH982" s="62"/>
      <c r="AI982" s="62"/>
      <c r="AJ982" s="62"/>
      <c r="AK982" s="62"/>
      <c r="AL982" s="62"/>
      <c r="AM982" s="62"/>
      <c r="AN982" s="62"/>
      <c r="AO982" s="62"/>
    </row>
    <row r="983">
      <c r="A983" s="62"/>
      <c r="B983" s="62"/>
      <c r="C983" s="61"/>
      <c r="D983" s="62"/>
      <c r="E983" s="62"/>
      <c r="F983" s="62" t="b">
        <v>0</v>
      </c>
      <c r="G983" s="62"/>
      <c r="H983" s="61"/>
      <c r="I983" s="61"/>
      <c r="J983" s="62"/>
      <c r="K983" s="62"/>
      <c r="L983" s="62"/>
      <c r="M983" s="62"/>
      <c r="N983" s="62"/>
      <c r="O983" s="62" t="b">
        <v>0</v>
      </c>
      <c r="P983" s="62"/>
      <c r="Q983" s="62"/>
      <c r="R983" s="62"/>
      <c r="S983" s="62"/>
      <c r="T983" s="62"/>
      <c r="U983" s="74"/>
      <c r="V983" s="62"/>
      <c r="W983" s="74"/>
      <c r="X983" s="62"/>
      <c r="Y983" s="61"/>
      <c r="Z983" s="62"/>
      <c r="AA983" s="62"/>
      <c r="AB983" s="62"/>
      <c r="AC983" s="62"/>
      <c r="AD983" s="62"/>
      <c r="AE983" s="62"/>
      <c r="AF983" s="62"/>
      <c r="AG983" s="62"/>
      <c r="AH983" s="62"/>
      <c r="AI983" s="62"/>
      <c r="AJ983" s="62"/>
      <c r="AK983" s="62"/>
      <c r="AL983" s="62"/>
      <c r="AM983" s="62"/>
      <c r="AN983" s="62"/>
      <c r="AO983" s="62"/>
    </row>
    <row r="984">
      <c r="A984" s="62"/>
      <c r="B984" s="62"/>
      <c r="C984" s="61"/>
      <c r="D984" s="62"/>
      <c r="E984" s="62"/>
      <c r="F984" s="62" t="b">
        <v>0</v>
      </c>
      <c r="G984" s="62"/>
      <c r="H984" s="61"/>
      <c r="I984" s="61"/>
      <c r="J984" s="62"/>
      <c r="K984" s="62"/>
      <c r="L984" s="62"/>
      <c r="M984" s="62"/>
      <c r="N984" s="62"/>
      <c r="O984" s="62" t="b">
        <v>0</v>
      </c>
      <c r="P984" s="62"/>
      <c r="Q984" s="62"/>
      <c r="R984" s="62"/>
      <c r="S984" s="62"/>
      <c r="T984" s="62"/>
      <c r="U984" s="74"/>
      <c r="V984" s="62"/>
      <c r="W984" s="74"/>
      <c r="X984" s="62"/>
      <c r="Y984" s="61"/>
      <c r="Z984" s="62"/>
      <c r="AA984" s="62"/>
      <c r="AB984" s="62"/>
      <c r="AC984" s="62"/>
      <c r="AD984" s="62"/>
      <c r="AE984" s="62"/>
      <c r="AF984" s="62"/>
      <c r="AG984" s="62"/>
      <c r="AH984" s="62"/>
      <c r="AI984" s="62"/>
      <c r="AJ984" s="62"/>
      <c r="AK984" s="62"/>
      <c r="AL984" s="62"/>
      <c r="AM984" s="62"/>
      <c r="AN984" s="62"/>
      <c r="AO984" s="62"/>
    </row>
    <row r="985">
      <c r="A985" s="62"/>
      <c r="B985" s="62"/>
      <c r="C985" s="61"/>
      <c r="D985" s="62"/>
      <c r="E985" s="62"/>
      <c r="F985" s="62" t="b">
        <v>0</v>
      </c>
      <c r="G985" s="62"/>
      <c r="H985" s="61"/>
      <c r="I985" s="61"/>
      <c r="J985" s="62"/>
      <c r="K985" s="62"/>
      <c r="L985" s="62"/>
      <c r="M985" s="62"/>
      <c r="N985" s="62"/>
      <c r="O985" s="62" t="b">
        <v>0</v>
      </c>
      <c r="P985" s="62"/>
      <c r="Q985" s="62"/>
      <c r="R985" s="62"/>
      <c r="S985" s="62"/>
      <c r="T985" s="62"/>
      <c r="U985" s="74"/>
      <c r="V985" s="62"/>
      <c r="W985" s="74"/>
      <c r="X985" s="62"/>
      <c r="Y985" s="61"/>
      <c r="Z985" s="62"/>
      <c r="AA985" s="62"/>
      <c r="AB985" s="62"/>
      <c r="AC985" s="62"/>
      <c r="AD985" s="62"/>
      <c r="AE985" s="62"/>
      <c r="AF985" s="62"/>
      <c r="AG985" s="62"/>
      <c r="AH985" s="62"/>
      <c r="AI985" s="62"/>
      <c r="AJ985" s="62"/>
      <c r="AK985" s="62"/>
      <c r="AL985" s="62"/>
      <c r="AM985" s="62"/>
      <c r="AN985" s="62"/>
      <c r="AO985" s="62"/>
    </row>
    <row r="986">
      <c r="A986" s="62"/>
      <c r="B986" s="62"/>
      <c r="C986" s="61"/>
      <c r="D986" s="62"/>
      <c r="E986" s="62"/>
      <c r="F986" s="62" t="b">
        <v>0</v>
      </c>
      <c r="G986" s="62"/>
      <c r="H986" s="61"/>
      <c r="I986" s="61"/>
      <c r="J986" s="62"/>
      <c r="K986" s="62"/>
      <c r="L986" s="62"/>
      <c r="M986" s="62"/>
      <c r="N986" s="62"/>
      <c r="O986" s="62" t="b">
        <v>0</v>
      </c>
      <c r="P986" s="62"/>
      <c r="Q986" s="62"/>
      <c r="R986" s="62"/>
      <c r="S986" s="62"/>
      <c r="T986" s="62"/>
      <c r="U986" s="74"/>
      <c r="V986" s="62"/>
      <c r="W986" s="74"/>
      <c r="X986" s="62"/>
      <c r="Y986" s="61"/>
      <c r="Z986" s="62"/>
      <c r="AA986" s="62"/>
      <c r="AB986" s="62"/>
      <c r="AC986" s="62"/>
      <c r="AD986" s="62"/>
      <c r="AE986" s="62"/>
      <c r="AF986" s="62"/>
      <c r="AG986" s="62"/>
      <c r="AH986" s="62"/>
      <c r="AI986" s="62"/>
      <c r="AJ986" s="62"/>
      <c r="AK986" s="62"/>
      <c r="AL986" s="62"/>
      <c r="AM986" s="62"/>
      <c r="AN986" s="62"/>
      <c r="AO986" s="62"/>
    </row>
    <row r="987">
      <c r="A987" s="62"/>
      <c r="B987" s="62"/>
      <c r="C987" s="61"/>
      <c r="D987" s="62"/>
      <c r="E987" s="62"/>
      <c r="F987" s="62" t="b">
        <v>0</v>
      </c>
      <c r="G987" s="62"/>
      <c r="H987" s="61"/>
      <c r="I987" s="61"/>
      <c r="J987" s="62"/>
      <c r="K987" s="62"/>
      <c r="L987" s="62"/>
      <c r="M987" s="62"/>
      <c r="N987" s="62"/>
      <c r="O987" s="62" t="b">
        <v>0</v>
      </c>
      <c r="P987" s="62"/>
      <c r="Q987" s="62"/>
      <c r="R987" s="62"/>
      <c r="S987" s="62"/>
      <c r="T987" s="62"/>
      <c r="U987" s="74"/>
      <c r="V987" s="62"/>
      <c r="W987" s="74"/>
      <c r="X987" s="62"/>
      <c r="Y987" s="61"/>
      <c r="Z987" s="62"/>
      <c r="AA987" s="62"/>
      <c r="AB987" s="62"/>
      <c r="AC987" s="62"/>
      <c r="AD987" s="62"/>
      <c r="AE987" s="62"/>
      <c r="AF987" s="62"/>
      <c r="AG987" s="62"/>
      <c r="AH987" s="62"/>
      <c r="AI987" s="62"/>
      <c r="AJ987" s="62"/>
      <c r="AK987" s="62"/>
      <c r="AL987" s="62"/>
      <c r="AM987" s="62"/>
      <c r="AN987" s="62"/>
      <c r="AO987" s="62"/>
    </row>
    <row r="988">
      <c r="A988" s="62"/>
      <c r="B988" s="62"/>
      <c r="C988" s="61"/>
      <c r="D988" s="62"/>
      <c r="E988" s="62"/>
      <c r="F988" s="62" t="b">
        <v>0</v>
      </c>
      <c r="G988" s="62"/>
      <c r="H988" s="61"/>
      <c r="I988" s="61"/>
      <c r="J988" s="62"/>
      <c r="K988" s="62"/>
      <c r="L988" s="62"/>
      <c r="M988" s="62"/>
      <c r="N988" s="62"/>
      <c r="O988" s="62" t="b">
        <v>0</v>
      </c>
      <c r="P988" s="62"/>
      <c r="Q988" s="62"/>
      <c r="R988" s="62"/>
      <c r="S988" s="62"/>
      <c r="T988" s="62"/>
      <c r="U988" s="74"/>
      <c r="V988" s="62"/>
      <c r="W988" s="74"/>
      <c r="X988" s="62"/>
      <c r="Y988" s="61"/>
      <c r="Z988" s="62"/>
      <c r="AA988" s="62"/>
      <c r="AB988" s="62"/>
      <c r="AC988" s="62"/>
      <c r="AD988" s="62"/>
      <c r="AE988" s="62"/>
      <c r="AF988" s="62"/>
      <c r="AG988" s="62"/>
      <c r="AH988" s="62"/>
      <c r="AI988" s="62"/>
      <c r="AJ988" s="62"/>
      <c r="AK988" s="62"/>
      <c r="AL988" s="62"/>
      <c r="AM988" s="62"/>
      <c r="AN988" s="62"/>
      <c r="AO988" s="62"/>
    </row>
    <row r="989">
      <c r="A989" s="62"/>
      <c r="B989" s="62"/>
      <c r="C989" s="61"/>
      <c r="D989" s="62"/>
      <c r="E989" s="62"/>
      <c r="F989" s="62" t="b">
        <v>0</v>
      </c>
      <c r="G989" s="62"/>
      <c r="H989" s="61"/>
      <c r="I989" s="61"/>
      <c r="J989" s="62"/>
      <c r="K989" s="62"/>
      <c r="L989" s="62"/>
      <c r="M989" s="62"/>
      <c r="N989" s="62"/>
      <c r="O989" s="62" t="b">
        <v>0</v>
      </c>
      <c r="P989" s="62"/>
      <c r="Q989" s="62"/>
      <c r="R989" s="62"/>
      <c r="S989" s="62"/>
      <c r="T989" s="62"/>
      <c r="U989" s="74"/>
      <c r="V989" s="62"/>
      <c r="W989" s="74"/>
      <c r="X989" s="62"/>
      <c r="Y989" s="61"/>
      <c r="Z989" s="62"/>
      <c r="AA989" s="62"/>
      <c r="AB989" s="62"/>
      <c r="AC989" s="62"/>
      <c r="AD989" s="62"/>
      <c r="AE989" s="62"/>
      <c r="AF989" s="62"/>
      <c r="AG989" s="62"/>
      <c r="AH989" s="62"/>
      <c r="AI989" s="62"/>
      <c r="AJ989" s="62"/>
      <c r="AK989" s="62"/>
      <c r="AL989" s="62"/>
      <c r="AM989" s="62"/>
      <c r="AN989" s="62"/>
      <c r="AO989" s="62"/>
    </row>
  </sheetData>
  <mergeCells count="5">
    <mergeCell ref="B1:H1"/>
    <mergeCell ref="J1:K1"/>
    <mergeCell ref="L1:N1"/>
    <mergeCell ref="P1:T1"/>
    <mergeCell ref="W1:W2"/>
  </mergeCells>
  <conditionalFormatting sqref="B1:B222 B224:B989">
    <cfRule type="containsText" dxfId="0" priority="1" operator="containsText" text="Unassigned">
      <formula>NOT(ISERROR(SEARCH(("Unassigned"),(B1))))</formula>
    </cfRule>
  </conditionalFormatting>
  <dataValidations>
    <dataValidation type="list" allowBlank="1" sqref="I1:I222 I224:I989">
      <formula1>"Only,First,Second,Third,Archived"</formula1>
    </dataValidation>
    <dataValidation type="list" allowBlank="1" sqref="G3:G222 G224:G989">
      <formula1>"Actionability,Gene Disease Validity,Variant Pathogenicity,Dosage Sensitivity,Somatic Cancer,Baseline,NA"</formula1>
    </dataValidation>
    <dataValidation type="list" allowBlank="1" sqref="E3:F222 E224:F989">
      <formula1>"Yes,No"</formula1>
    </dataValidation>
    <dataValidation type="list" allowBlank="1" sqref="B3:B989">
      <formula1>"Assigned,Contacted,Follow up email,Declined,Unassigned,Unresponsive,Recontact Later"</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 customWidth="1" min="2" max="2" width="18.57"/>
    <col customWidth="1" min="3" max="3" width="16.86"/>
    <col customWidth="1" min="4" max="4" width="19.29"/>
    <col customWidth="1" min="5" max="5" width="20.14"/>
    <col customWidth="1" min="6" max="6" width="17.86"/>
    <col customWidth="1" min="7" max="7" width="24.14"/>
    <col customWidth="1" min="8" max="8" width="29.14"/>
    <col customWidth="1" min="9" max="9" width="38.57"/>
  </cols>
  <sheetData>
    <row r="1">
      <c r="A1" s="8" t="s">
        <v>12</v>
      </c>
      <c r="B1" s="9"/>
      <c r="C1" s="9"/>
      <c r="D1" s="9"/>
      <c r="E1" s="9"/>
      <c r="F1" s="10"/>
      <c r="G1" s="8" t="s">
        <v>25</v>
      </c>
      <c r="H1" s="10"/>
      <c r="I1" s="62"/>
      <c r="J1" s="62"/>
      <c r="K1" s="62"/>
      <c r="L1" s="62"/>
      <c r="M1" s="62"/>
      <c r="N1" s="62"/>
      <c r="O1" s="62"/>
      <c r="P1" s="62"/>
      <c r="Q1" s="62"/>
      <c r="R1" s="62"/>
      <c r="S1" s="62"/>
      <c r="T1" s="62"/>
      <c r="U1" s="62"/>
      <c r="V1" s="62"/>
      <c r="W1" s="62"/>
      <c r="X1" s="62"/>
      <c r="Y1" s="62"/>
      <c r="Z1" s="62"/>
    </row>
    <row r="2">
      <c r="A2" s="19" t="s">
        <v>0</v>
      </c>
      <c r="B2" s="19" t="s">
        <v>73</v>
      </c>
      <c r="C2" s="19" t="s">
        <v>74</v>
      </c>
      <c r="D2" s="65" t="s">
        <v>75</v>
      </c>
      <c r="E2" s="19" t="s">
        <v>84</v>
      </c>
      <c r="F2" s="19" t="s">
        <v>199</v>
      </c>
      <c r="G2" s="65" t="s">
        <v>89</v>
      </c>
      <c r="H2" s="19" t="s">
        <v>90</v>
      </c>
      <c r="I2" s="62"/>
      <c r="J2" s="62"/>
      <c r="K2" s="62"/>
      <c r="L2" s="62"/>
      <c r="M2" s="62"/>
      <c r="N2" s="62"/>
      <c r="O2" s="62"/>
      <c r="P2" s="62"/>
      <c r="Q2" s="62"/>
      <c r="R2" s="62"/>
      <c r="S2" s="62"/>
      <c r="T2" s="62"/>
      <c r="U2" s="62"/>
      <c r="V2" s="62"/>
      <c r="W2" s="62"/>
      <c r="X2" s="62"/>
      <c r="Y2" s="62"/>
      <c r="Z2" s="62"/>
    </row>
    <row r="3">
      <c r="A3" s="67" t="str">
        <f>IFERROR(__xludf.DUMMYFUNCTION("filter(Assignments!B3:B1000,Assignments!O3:O1000=""Baseline"")"),"Contacted")</f>
        <v>Contacted</v>
      </c>
      <c r="B3" s="67" t="str">
        <f>IFERROR(__xludf.DUMMYFUNCTION("filter(Assignments!C3:C1000,Assignments!O3:O1000=""Baseline"")"),"")</f>
        <v/>
      </c>
      <c r="C3" s="62" t="str">
        <f>IFERROR(__xludf.DUMMYFUNCTION("filter(Assignments!D3:D1000,Assignments!O3:O1000=""Baseline"")"),"")</f>
        <v/>
      </c>
      <c r="D3" s="67" t="str">
        <f>IFERROR(__xludf.DUMMYFUNCTION("filter(Assignments!E3:E1000,Assignments!O3:O1000=""Baseline"")"),"No")</f>
        <v>No</v>
      </c>
      <c r="E3" s="67" t="str">
        <f>IFERROR(__xludf.DUMMYFUNCTION("filter(Assignments!G3:G1000,Assignments!O3:O1000=""Baseline"")"),"Baseline")</f>
        <v>Baseline</v>
      </c>
      <c r="F3" s="62" t="str">
        <f>IFERROR(__xludf.DUMMYFUNCTION("filter(Assignments!H3:H1000,Assignments!O3:O1000=""Baseline"")"),"")</f>
        <v/>
      </c>
      <c r="G3" s="62" t="str">
        <f>IFERROR(__xludf.DUMMYFUNCTION("filter(Assignments!L3:L1000,Assignments!O3:O1000=""Baseline"")"),"Julyann Pérez Mayoral")</f>
        <v>Julyann Pérez Mayoral</v>
      </c>
      <c r="H3" s="62" t="str">
        <f>IFERROR(__xludf.DUMMYFUNCTION("filter(Assignments!M3:M1000,Assignments!O3:O1000=""Baseline"")"),"julyann.perez@upr.edu")</f>
        <v>julyann.perez@upr.edu</v>
      </c>
      <c r="I3" s="67" t="str">
        <f>IFERROR(__xludf.DUMMYFUNCTION("filter(Assignments!N3:N1000,Assignments!O3:O1000=""Baseline"")"),"Post Doc/Resident/Fellow (MD and/or PhD)")</f>
        <v>Post Doc/Resident/Fellow (MD and/or PhD)</v>
      </c>
      <c r="J3" s="62"/>
      <c r="K3" s="62"/>
      <c r="L3" s="62"/>
      <c r="M3" s="62"/>
      <c r="N3" s="62"/>
      <c r="O3" s="62"/>
      <c r="P3" s="62"/>
      <c r="Q3" s="62"/>
      <c r="R3" s="62"/>
      <c r="S3" s="62"/>
      <c r="T3" s="62"/>
      <c r="U3" s="62"/>
      <c r="V3" s="62"/>
      <c r="W3" s="62"/>
      <c r="X3" s="62"/>
      <c r="Y3" s="62"/>
      <c r="Z3" s="62"/>
    </row>
    <row r="4">
      <c r="A4" s="62" t="str">
        <f>IFERROR(__xludf.DUMMYFUNCTION("""COMPUTED_VALUE"""),"Contacted")</f>
        <v>Contacted</v>
      </c>
      <c r="B4" s="62" t="str">
        <f>IFERROR(__xludf.DUMMYFUNCTION("""COMPUTED_VALUE"""),"")</f>
        <v/>
      </c>
      <c r="C4" s="62" t="str">
        <f>IFERROR(__xludf.DUMMYFUNCTION("""COMPUTED_VALUE"""),"")</f>
        <v/>
      </c>
      <c r="D4" s="62" t="str">
        <f>IFERROR(__xludf.DUMMYFUNCTION("""COMPUTED_VALUE"""),"No")</f>
        <v>No</v>
      </c>
      <c r="E4" s="62" t="str">
        <f>IFERROR(__xludf.DUMMYFUNCTION("""COMPUTED_VALUE"""),"Baseline")</f>
        <v>Baseline</v>
      </c>
      <c r="F4" s="62" t="str">
        <f>IFERROR(__xludf.DUMMYFUNCTION("""COMPUTED_VALUE"""),"")</f>
        <v/>
      </c>
      <c r="G4" s="62" t="str">
        <f>IFERROR(__xludf.DUMMYFUNCTION("""COMPUTED_VALUE"""),"Jun Shen")</f>
        <v>Jun Shen</v>
      </c>
      <c r="H4" s="62" t="str">
        <f>IFERROR(__xludf.DUMMYFUNCTION("""COMPUTED_VALUE"""),"jshen5@bwh.harvard.edu")</f>
        <v>jshen5@bwh.harvard.edu</v>
      </c>
      <c r="I4" s="62" t="str">
        <f>IFERROR(__xludf.DUMMYFUNCTION("""COMPUTED_VALUE"""),"Clinical laboratory geneticist")</f>
        <v>Clinical laboratory geneticist</v>
      </c>
      <c r="J4" s="62"/>
      <c r="K4" s="62"/>
      <c r="L4" s="62"/>
      <c r="M4" s="62"/>
      <c r="N4" s="62"/>
      <c r="O4" s="62"/>
      <c r="P4" s="62"/>
      <c r="Q4" s="62"/>
      <c r="R4" s="62"/>
      <c r="S4" s="62"/>
      <c r="T4" s="62"/>
      <c r="U4" s="62"/>
      <c r="V4" s="62"/>
      <c r="W4" s="62"/>
      <c r="X4" s="62"/>
      <c r="Y4" s="62"/>
      <c r="Z4" s="62"/>
    </row>
    <row r="5">
      <c r="A5" s="62" t="str">
        <f>IFERROR(__xludf.DUMMYFUNCTION("""COMPUTED_VALUE"""),"Contacted")</f>
        <v>Contacted</v>
      </c>
      <c r="B5" s="62" t="str">
        <f>IFERROR(__xludf.DUMMYFUNCTION("""COMPUTED_VALUE"""),"")</f>
        <v/>
      </c>
      <c r="C5" s="62" t="str">
        <f>IFERROR(__xludf.DUMMYFUNCTION("""COMPUTED_VALUE"""),"")</f>
        <v/>
      </c>
      <c r="D5" s="62" t="str">
        <f>IFERROR(__xludf.DUMMYFUNCTION("""COMPUTED_VALUE"""),"No")</f>
        <v>No</v>
      </c>
      <c r="E5" s="62" t="str">
        <f>IFERROR(__xludf.DUMMYFUNCTION("""COMPUTED_VALUE"""),"Baseline")</f>
        <v>Baseline</v>
      </c>
      <c r="F5" s="62" t="str">
        <f>IFERROR(__xludf.DUMMYFUNCTION("""COMPUTED_VALUE"""),"")</f>
        <v/>
      </c>
      <c r="G5" s="62" t="str">
        <f>IFERROR(__xludf.DUMMYFUNCTION("""COMPUTED_VALUE"""),"Indu Raja")</f>
        <v>Indu Raja</v>
      </c>
      <c r="H5" s="62" t="str">
        <f>IFERROR(__xludf.DUMMYFUNCTION("""COMPUTED_VALUE"""),"indudraja@gmail.com")</f>
        <v>indudraja@gmail.com</v>
      </c>
      <c r="I5" s="62" t="str">
        <f>IFERROR(__xludf.DUMMYFUNCTION("""COMPUTED_VALUE"""),"laboratory technologist")</f>
        <v>laboratory technologist</v>
      </c>
      <c r="J5" s="62"/>
      <c r="K5" s="62"/>
      <c r="L5" s="62"/>
      <c r="M5" s="62"/>
      <c r="N5" s="62"/>
      <c r="O5" s="62"/>
      <c r="P5" s="62"/>
      <c r="Q5" s="62"/>
      <c r="R5" s="62"/>
      <c r="S5" s="62"/>
      <c r="T5" s="62"/>
      <c r="U5" s="62"/>
      <c r="V5" s="62"/>
      <c r="W5" s="62"/>
      <c r="X5" s="62"/>
      <c r="Y5" s="62"/>
      <c r="Z5" s="62"/>
    </row>
    <row r="6">
      <c r="A6" s="62" t="str">
        <f>IFERROR(__xludf.DUMMYFUNCTION("""COMPUTED_VALUE"""),"Contacted")</f>
        <v>Contacted</v>
      </c>
      <c r="B6" s="62" t="str">
        <f>IFERROR(__xludf.DUMMYFUNCTION("""COMPUTED_VALUE"""),"")</f>
        <v/>
      </c>
      <c r="C6" s="62" t="str">
        <f>IFERROR(__xludf.DUMMYFUNCTION("""COMPUTED_VALUE"""),"")</f>
        <v/>
      </c>
      <c r="D6" s="62" t="str">
        <f>IFERROR(__xludf.DUMMYFUNCTION("""COMPUTED_VALUE"""),"No")</f>
        <v>No</v>
      </c>
      <c r="E6" s="62" t="str">
        <f>IFERROR(__xludf.DUMMYFUNCTION("""COMPUTED_VALUE"""),"Baseline")</f>
        <v>Baseline</v>
      </c>
      <c r="F6" s="62" t="str">
        <f>IFERROR(__xludf.DUMMYFUNCTION("""COMPUTED_VALUE"""),"")</f>
        <v/>
      </c>
      <c r="G6" s="62" t="str">
        <f>IFERROR(__xludf.DUMMYFUNCTION("""COMPUTED_VALUE"""),"Casey Brew")</f>
        <v>Casey Brew</v>
      </c>
      <c r="H6" s="62" t="str">
        <f>IFERROR(__xludf.DUMMYFUNCTION("""COMPUTED_VALUE"""),"cbrew@luriechildrens.org")</f>
        <v>cbrew@luriechildrens.org</v>
      </c>
      <c r="I6" s="62" t="str">
        <f>IFERROR(__xludf.DUMMYFUNCTION("""COMPUTED_VALUE"""),"Genetic counselor")</f>
        <v>Genetic counselor</v>
      </c>
      <c r="J6" s="62"/>
      <c r="K6" s="62"/>
      <c r="L6" s="62"/>
      <c r="M6" s="62"/>
      <c r="N6" s="62"/>
      <c r="O6" s="62"/>
      <c r="P6" s="62"/>
      <c r="Q6" s="62"/>
      <c r="R6" s="62"/>
      <c r="S6" s="62"/>
      <c r="T6" s="62"/>
      <c r="U6" s="62"/>
      <c r="V6" s="62"/>
      <c r="W6" s="62"/>
      <c r="X6" s="62"/>
      <c r="Y6" s="62"/>
      <c r="Z6" s="62"/>
    </row>
    <row r="7">
      <c r="A7" s="62" t="str">
        <f>IFERROR(__xludf.DUMMYFUNCTION("""COMPUTED_VALUE"""),"Contacted")</f>
        <v>Contacted</v>
      </c>
      <c r="B7" s="62" t="str">
        <f>IFERROR(__xludf.DUMMYFUNCTION("""COMPUTED_VALUE"""),"")</f>
        <v/>
      </c>
      <c r="C7" s="62" t="str">
        <f>IFERROR(__xludf.DUMMYFUNCTION("""COMPUTED_VALUE"""),"")</f>
        <v/>
      </c>
      <c r="D7" s="62" t="str">
        <f>IFERROR(__xludf.DUMMYFUNCTION("""COMPUTED_VALUE"""),"No")</f>
        <v>No</v>
      </c>
      <c r="E7" s="62" t="str">
        <f>IFERROR(__xludf.DUMMYFUNCTION("""COMPUTED_VALUE"""),"Baseline")</f>
        <v>Baseline</v>
      </c>
      <c r="F7" s="62" t="str">
        <f>IFERROR(__xludf.DUMMYFUNCTION("""COMPUTED_VALUE"""),"")</f>
        <v/>
      </c>
      <c r="G7" s="62" t="str">
        <f>IFERROR(__xludf.DUMMYFUNCTION("""COMPUTED_VALUE"""),"Danielle Croucher")</f>
        <v>Danielle Croucher</v>
      </c>
      <c r="H7" s="62" t="str">
        <f>IFERROR(__xludf.DUMMYFUNCTION("""COMPUTED_VALUE"""),"d.croucher@mail.utoronto.ca")</f>
        <v>d.croucher@mail.utoronto.ca</v>
      </c>
      <c r="I7" s="62" t="str">
        <f>IFERROR(__xludf.DUMMYFUNCTION("""COMPUTED_VALUE"""),"Graduate Student")</f>
        <v>Graduate Student</v>
      </c>
      <c r="J7" s="62"/>
      <c r="K7" s="62"/>
      <c r="L7" s="62"/>
      <c r="M7" s="62"/>
      <c r="N7" s="62"/>
      <c r="O7" s="62"/>
      <c r="P7" s="62"/>
      <c r="Q7" s="62"/>
      <c r="R7" s="62"/>
      <c r="S7" s="62"/>
      <c r="T7" s="62"/>
      <c r="U7" s="62"/>
      <c r="V7" s="62"/>
      <c r="W7" s="62"/>
      <c r="X7" s="62"/>
      <c r="Y7" s="62"/>
      <c r="Z7" s="62"/>
    </row>
    <row r="8">
      <c r="A8" s="62" t="str">
        <f>IFERROR(__xludf.DUMMYFUNCTION("""COMPUTED_VALUE"""),"Contacted")</f>
        <v>Contacted</v>
      </c>
      <c r="B8" s="62" t="str">
        <f>IFERROR(__xludf.DUMMYFUNCTION("""COMPUTED_VALUE"""),"")</f>
        <v/>
      </c>
      <c r="C8" s="62" t="str">
        <f>IFERROR(__xludf.DUMMYFUNCTION("""COMPUTED_VALUE"""),"")</f>
        <v/>
      </c>
      <c r="D8" s="62" t="str">
        <f>IFERROR(__xludf.DUMMYFUNCTION("""COMPUTED_VALUE"""),"No")</f>
        <v>No</v>
      </c>
      <c r="E8" s="62" t="str">
        <f>IFERROR(__xludf.DUMMYFUNCTION("""COMPUTED_VALUE"""),"Baseline")</f>
        <v>Baseline</v>
      </c>
      <c r="F8" s="62" t="str">
        <f>IFERROR(__xludf.DUMMYFUNCTION("""COMPUTED_VALUE"""),"")</f>
        <v/>
      </c>
      <c r="G8" s="62" t="str">
        <f>IFERROR(__xludf.DUMMYFUNCTION("""COMPUTED_VALUE"""),"Fadel Alyaquob")</f>
        <v>Fadel Alyaquob</v>
      </c>
      <c r="H8" s="62" t="str">
        <f>IFERROR(__xludf.DUMMYFUNCTION("""COMPUTED_VALUE"""),"falyaqoub1@yahoo.com")</f>
        <v>falyaqoub1@yahoo.com</v>
      </c>
      <c r="I8" s="62" t="str">
        <f>IFERROR(__xludf.DUMMYFUNCTION("""COMPUTED_VALUE"""),"Variant Analyst/Scientist")</f>
        <v>Variant Analyst/Scientist</v>
      </c>
      <c r="J8" s="62"/>
      <c r="K8" s="62"/>
      <c r="L8" s="62"/>
      <c r="M8" s="62"/>
      <c r="N8" s="62"/>
      <c r="O8" s="62"/>
      <c r="P8" s="62"/>
      <c r="Q8" s="62"/>
      <c r="R8" s="62"/>
      <c r="S8" s="62"/>
      <c r="T8" s="62"/>
      <c r="U8" s="62"/>
      <c r="V8" s="62"/>
      <c r="W8" s="62"/>
      <c r="X8" s="62"/>
      <c r="Y8" s="62"/>
      <c r="Z8" s="62"/>
    </row>
    <row r="9">
      <c r="A9" s="62" t="str">
        <f>IFERROR(__xludf.DUMMYFUNCTION("""COMPUTED_VALUE"""),"Contacted")</f>
        <v>Contacted</v>
      </c>
      <c r="B9" s="62" t="str">
        <f>IFERROR(__xludf.DUMMYFUNCTION("""COMPUTED_VALUE"""),"")</f>
        <v/>
      </c>
      <c r="C9" s="62" t="str">
        <f>IFERROR(__xludf.DUMMYFUNCTION("""COMPUTED_VALUE"""),"")</f>
        <v/>
      </c>
      <c r="D9" s="62" t="str">
        <f>IFERROR(__xludf.DUMMYFUNCTION("""COMPUTED_VALUE"""),"No")</f>
        <v>No</v>
      </c>
      <c r="E9" s="62" t="str">
        <f>IFERROR(__xludf.DUMMYFUNCTION("""COMPUTED_VALUE"""),"Baseline")</f>
        <v>Baseline</v>
      </c>
      <c r="F9" s="62" t="str">
        <f>IFERROR(__xludf.DUMMYFUNCTION("""COMPUTED_VALUE"""),"")</f>
        <v/>
      </c>
      <c r="G9" s="62" t="str">
        <f>IFERROR(__xludf.DUMMYFUNCTION("""COMPUTED_VALUE"""),"Hilary Racher")</f>
        <v>Hilary Racher</v>
      </c>
      <c r="H9" s="62" t="str">
        <f>IFERROR(__xludf.DUMMYFUNCTION("""COMPUTED_VALUE"""),"racherh@dynacare.ca")</f>
        <v>racherh@dynacare.ca</v>
      </c>
      <c r="I9" s="62" t="str">
        <f>IFERROR(__xludf.DUMMYFUNCTION("""COMPUTED_VALUE"""),"Clinical laboratory geneticist")</f>
        <v>Clinical laboratory geneticist</v>
      </c>
      <c r="J9" s="62"/>
      <c r="K9" s="62"/>
      <c r="L9" s="62"/>
      <c r="M9" s="62"/>
      <c r="N9" s="62"/>
      <c r="O9" s="62"/>
      <c r="P9" s="62"/>
      <c r="Q9" s="62"/>
      <c r="R9" s="62"/>
      <c r="S9" s="62"/>
      <c r="T9" s="62"/>
      <c r="U9" s="62"/>
      <c r="V9" s="62"/>
      <c r="W9" s="62"/>
      <c r="X9" s="62"/>
      <c r="Y9" s="62"/>
      <c r="Z9" s="62"/>
    </row>
    <row r="10">
      <c r="A10" s="62" t="str">
        <f>IFERROR(__xludf.DUMMYFUNCTION("""COMPUTED_VALUE"""),"Contacted")</f>
        <v>Contacted</v>
      </c>
      <c r="B10" s="62" t="str">
        <f>IFERROR(__xludf.DUMMYFUNCTION("""COMPUTED_VALUE"""),"")</f>
        <v/>
      </c>
      <c r="C10" s="62" t="str">
        <f>IFERROR(__xludf.DUMMYFUNCTION("""COMPUTED_VALUE"""),"")</f>
        <v/>
      </c>
      <c r="D10" s="62" t="str">
        <f>IFERROR(__xludf.DUMMYFUNCTION("""COMPUTED_VALUE"""),"No")</f>
        <v>No</v>
      </c>
      <c r="E10" s="62" t="str">
        <f>IFERROR(__xludf.DUMMYFUNCTION("""COMPUTED_VALUE"""),"Baseline")</f>
        <v>Baseline</v>
      </c>
      <c r="F10" s="62" t="str">
        <f>IFERROR(__xludf.DUMMYFUNCTION("""COMPUTED_VALUE"""),"")</f>
        <v/>
      </c>
      <c r="G10" s="62" t="str">
        <f>IFERROR(__xludf.DUMMYFUNCTION("""COMPUTED_VALUE"""),"Juan Dong")</f>
        <v>Juan Dong</v>
      </c>
      <c r="H10" s="62" t="str">
        <f>IFERROR(__xludf.DUMMYFUNCTION("""COMPUTED_VALUE"""),"juan.dong@preventiongenetics.com")</f>
        <v>juan.dong@preventiongenetics.com</v>
      </c>
      <c r="I10" s="62" t="str">
        <f>IFERROR(__xludf.DUMMYFUNCTION("""COMPUTED_VALUE"""),"Clinical laboratory geneticist")</f>
        <v>Clinical laboratory geneticist</v>
      </c>
      <c r="J10" s="62"/>
      <c r="K10" s="62"/>
      <c r="L10" s="62"/>
      <c r="M10" s="62"/>
      <c r="N10" s="62"/>
      <c r="O10" s="62"/>
      <c r="P10" s="62"/>
      <c r="Q10" s="62"/>
      <c r="R10" s="62"/>
      <c r="S10" s="62"/>
      <c r="T10" s="62"/>
      <c r="U10" s="62"/>
      <c r="V10" s="62"/>
      <c r="W10" s="62"/>
      <c r="X10" s="62"/>
      <c r="Y10" s="62"/>
      <c r="Z10" s="62"/>
    </row>
    <row r="11">
      <c r="A11" s="62" t="str">
        <f>IFERROR(__xludf.DUMMYFUNCTION("""COMPUTED_VALUE"""),"Contacted")</f>
        <v>Contacted</v>
      </c>
      <c r="B11" s="62" t="str">
        <f>IFERROR(__xludf.DUMMYFUNCTION("""COMPUTED_VALUE"""),"")</f>
        <v/>
      </c>
      <c r="C11" s="62" t="str">
        <f>IFERROR(__xludf.DUMMYFUNCTION("""COMPUTED_VALUE"""),"")</f>
        <v/>
      </c>
      <c r="D11" s="62" t="str">
        <f>IFERROR(__xludf.DUMMYFUNCTION("""COMPUTED_VALUE"""),"No")</f>
        <v>No</v>
      </c>
      <c r="E11" s="62" t="str">
        <f>IFERROR(__xludf.DUMMYFUNCTION("""COMPUTED_VALUE"""),"Baseline")</f>
        <v>Baseline</v>
      </c>
      <c r="F11" s="62" t="str">
        <f>IFERROR(__xludf.DUMMYFUNCTION("""COMPUTED_VALUE"""),"")</f>
        <v/>
      </c>
      <c r="G11" s="62" t="str">
        <f>IFERROR(__xludf.DUMMYFUNCTION("""COMPUTED_VALUE"""),"Julie Kaylor")</f>
        <v>Julie Kaylor</v>
      </c>
      <c r="H11" s="62" t="str">
        <f>IFERROR(__xludf.DUMMYFUNCTION("""COMPUTED_VALUE"""),"jkaylor@informeddna.com")</f>
        <v>jkaylor@informeddna.com</v>
      </c>
      <c r="I11" s="62" t="str">
        <f>IFERROR(__xludf.DUMMYFUNCTION("""COMPUTED_VALUE"""),"Genetic counselor")</f>
        <v>Genetic counselor</v>
      </c>
      <c r="J11" s="62"/>
      <c r="K11" s="62"/>
      <c r="L11" s="62"/>
      <c r="M11" s="62"/>
      <c r="N11" s="62"/>
      <c r="O11" s="62"/>
      <c r="P11" s="62"/>
      <c r="Q11" s="62"/>
      <c r="R11" s="62"/>
      <c r="S11" s="62"/>
      <c r="T11" s="62"/>
      <c r="U11" s="62"/>
      <c r="V11" s="62"/>
      <c r="W11" s="62"/>
      <c r="X11" s="62"/>
      <c r="Y11" s="62"/>
      <c r="Z11" s="62"/>
    </row>
    <row r="12">
      <c r="A12" s="62" t="str">
        <f>IFERROR(__xludf.DUMMYFUNCTION("""COMPUTED_VALUE"""),"Contacted")</f>
        <v>Contacted</v>
      </c>
      <c r="B12" s="62" t="str">
        <f>IFERROR(__xludf.DUMMYFUNCTION("""COMPUTED_VALUE"""),"")</f>
        <v/>
      </c>
      <c r="C12" s="62" t="str">
        <f>IFERROR(__xludf.DUMMYFUNCTION("""COMPUTED_VALUE"""),"")</f>
        <v/>
      </c>
      <c r="D12" s="62" t="str">
        <f>IFERROR(__xludf.DUMMYFUNCTION("""COMPUTED_VALUE"""),"No")</f>
        <v>No</v>
      </c>
      <c r="E12" s="62" t="str">
        <f>IFERROR(__xludf.DUMMYFUNCTION("""COMPUTED_VALUE"""),"Baseline")</f>
        <v>Baseline</v>
      </c>
      <c r="F12" s="62" t="str">
        <f>IFERROR(__xludf.DUMMYFUNCTION("""COMPUTED_VALUE"""),"")</f>
        <v/>
      </c>
      <c r="G12" s="62" t="str">
        <f>IFERROR(__xludf.DUMMYFUNCTION("""COMPUTED_VALUE"""),"David Ng")</f>
        <v>David Ng</v>
      </c>
      <c r="H12" s="62" t="str">
        <f>IFERROR(__xludf.DUMMYFUNCTION("""COMPUTED_VALUE"""),"davidng@mail.nih.gov")</f>
        <v>davidng@mail.nih.gov</v>
      </c>
      <c r="I12" s="62" t="str">
        <f>IFERROR(__xludf.DUMMYFUNCTION("""COMPUTED_VALUE"""),"Clinical medical geneticist/Variant Analyst/Scientist")</f>
        <v>Clinical medical geneticist/Variant Analyst/Scientist</v>
      </c>
      <c r="J12" s="62"/>
      <c r="K12" s="62"/>
      <c r="L12" s="62"/>
      <c r="M12" s="62"/>
      <c r="N12" s="62"/>
      <c r="O12" s="62"/>
      <c r="P12" s="62"/>
      <c r="Q12" s="62"/>
      <c r="R12" s="62"/>
      <c r="S12" s="62"/>
      <c r="T12" s="62"/>
      <c r="U12" s="62"/>
      <c r="V12" s="62"/>
      <c r="W12" s="62"/>
      <c r="X12" s="62"/>
      <c r="Y12" s="62"/>
      <c r="Z12" s="62"/>
    </row>
    <row r="13">
      <c r="A13" s="62" t="str">
        <f>IFERROR(__xludf.DUMMYFUNCTION("""COMPUTED_VALUE"""),"Contacted")</f>
        <v>Contacted</v>
      </c>
      <c r="B13" s="62" t="str">
        <f>IFERROR(__xludf.DUMMYFUNCTION("""COMPUTED_VALUE"""),"")</f>
        <v/>
      </c>
      <c r="C13" s="62" t="str">
        <f>IFERROR(__xludf.DUMMYFUNCTION("""COMPUTED_VALUE"""),"")</f>
        <v/>
      </c>
      <c r="D13" s="62" t="str">
        <f>IFERROR(__xludf.DUMMYFUNCTION("""COMPUTED_VALUE"""),"No")</f>
        <v>No</v>
      </c>
      <c r="E13" s="62" t="str">
        <f>IFERROR(__xludf.DUMMYFUNCTION("""COMPUTED_VALUE"""),"Baseline")</f>
        <v>Baseline</v>
      </c>
      <c r="F13" s="62" t="str">
        <f>IFERROR(__xludf.DUMMYFUNCTION("""COMPUTED_VALUE"""),"")</f>
        <v/>
      </c>
      <c r="G13" s="62" t="str">
        <f>IFERROR(__xludf.DUMMYFUNCTION("""COMPUTED_VALUE"""),"Michelle Green")</f>
        <v>Michelle Green</v>
      </c>
      <c r="H13" s="62" t="str">
        <f>IFERROR(__xludf.DUMMYFUNCTION("""COMPUTED_VALUE"""),"Michelle.green@n-of-one.com")</f>
        <v>Michelle.green@n-of-one.com</v>
      </c>
      <c r="I13" s="62" t="str">
        <f>IFERROR(__xludf.DUMMYFUNCTION("""COMPUTED_VALUE"""),"Biocurator, Variant Analyst/Scientist")</f>
        <v>Biocurator, Variant Analyst/Scientist</v>
      </c>
      <c r="J13" s="62"/>
      <c r="K13" s="62"/>
      <c r="L13" s="62"/>
      <c r="M13" s="62"/>
      <c r="N13" s="62"/>
      <c r="O13" s="62"/>
      <c r="P13" s="62"/>
      <c r="Q13" s="62"/>
      <c r="R13" s="62"/>
      <c r="S13" s="62"/>
      <c r="T13" s="62"/>
      <c r="U13" s="62"/>
      <c r="V13" s="62"/>
      <c r="W13" s="62"/>
      <c r="X13" s="62"/>
      <c r="Y13" s="62"/>
      <c r="Z13" s="62"/>
    </row>
    <row r="14">
      <c r="A14" s="62" t="str">
        <f>IFERROR(__xludf.DUMMYFUNCTION("""COMPUTED_VALUE"""),"Contacted")</f>
        <v>Contacted</v>
      </c>
      <c r="B14" s="62" t="str">
        <f>IFERROR(__xludf.DUMMYFUNCTION("""COMPUTED_VALUE"""),"")</f>
        <v/>
      </c>
      <c r="C14" s="62" t="str">
        <f>IFERROR(__xludf.DUMMYFUNCTION("""COMPUTED_VALUE"""),"")</f>
        <v/>
      </c>
      <c r="D14" s="62" t="str">
        <f>IFERROR(__xludf.DUMMYFUNCTION("""COMPUTED_VALUE"""),"No")</f>
        <v>No</v>
      </c>
      <c r="E14" s="62" t="str">
        <f>IFERROR(__xludf.DUMMYFUNCTION("""COMPUTED_VALUE"""),"Baseline")</f>
        <v>Baseline</v>
      </c>
      <c r="F14" s="62" t="str">
        <f>IFERROR(__xludf.DUMMYFUNCTION("""COMPUTED_VALUE"""),"")</f>
        <v/>
      </c>
      <c r="G14" s="62" t="str">
        <f>IFERROR(__xludf.DUMMYFUNCTION("""COMPUTED_VALUE"""),"Mahsa")</f>
        <v>Mahsa</v>
      </c>
      <c r="H14" s="62" t="str">
        <f>IFERROR(__xludf.DUMMYFUNCTION("""COMPUTED_VALUE"""),"mahsash@nmsu.edu")</f>
        <v>mahsash@nmsu.edu</v>
      </c>
      <c r="I14" s="62" t="str">
        <f>IFERROR(__xludf.DUMMYFUNCTION("""COMPUTED_VALUE"""),"Graduate Student")</f>
        <v>Graduate Student</v>
      </c>
      <c r="J14" s="62"/>
      <c r="K14" s="62"/>
      <c r="L14" s="62"/>
      <c r="M14" s="62"/>
      <c r="N14" s="62"/>
      <c r="O14" s="62"/>
      <c r="P14" s="62"/>
      <c r="Q14" s="62"/>
      <c r="R14" s="62"/>
      <c r="S14" s="62"/>
      <c r="T14" s="62"/>
      <c r="U14" s="62"/>
      <c r="V14" s="62"/>
      <c r="W14" s="62"/>
      <c r="X14" s="62"/>
      <c r="Y14" s="62"/>
      <c r="Z14" s="62"/>
    </row>
    <row r="15">
      <c r="A15" s="62" t="str">
        <f>IFERROR(__xludf.DUMMYFUNCTION("""COMPUTED_VALUE"""),"Contacted")</f>
        <v>Contacted</v>
      </c>
      <c r="B15" s="62" t="str">
        <f>IFERROR(__xludf.DUMMYFUNCTION("""COMPUTED_VALUE"""),"")</f>
        <v/>
      </c>
      <c r="C15" s="62" t="str">
        <f>IFERROR(__xludf.DUMMYFUNCTION("""COMPUTED_VALUE"""),"")</f>
        <v/>
      </c>
      <c r="D15" s="62" t="str">
        <f>IFERROR(__xludf.DUMMYFUNCTION("""COMPUTED_VALUE"""),"No")</f>
        <v>No</v>
      </c>
      <c r="E15" s="62" t="str">
        <f>IFERROR(__xludf.DUMMYFUNCTION("""COMPUTED_VALUE"""),"Baseline")</f>
        <v>Baseline</v>
      </c>
      <c r="F15" s="62" t="str">
        <f>IFERROR(__xludf.DUMMYFUNCTION("""COMPUTED_VALUE"""),"")</f>
        <v/>
      </c>
      <c r="G15" s="62" t="str">
        <f>IFERROR(__xludf.DUMMYFUNCTION("""COMPUTED_VALUE"""),"Michelle Green")</f>
        <v>Michelle Green</v>
      </c>
      <c r="H15" s="62" t="str">
        <f>IFERROR(__xludf.DUMMYFUNCTION("""COMPUTED_VALUE"""),"mfgreen14@gmail.com")</f>
        <v>mfgreen14@gmail.com</v>
      </c>
      <c r="I15" s="62" t="str">
        <f>IFERROR(__xludf.DUMMYFUNCTION("""COMPUTED_VALUE"""),"Biocurator, Variant Analyst/Scientist")</f>
        <v>Biocurator, Variant Analyst/Scientist</v>
      </c>
      <c r="J15" s="62"/>
      <c r="K15" s="62"/>
      <c r="L15" s="62"/>
      <c r="M15" s="62"/>
      <c r="N15" s="62"/>
      <c r="O15" s="62"/>
      <c r="P15" s="62"/>
      <c r="Q15" s="62"/>
      <c r="R15" s="62"/>
      <c r="S15" s="62"/>
      <c r="T15" s="62"/>
      <c r="U15" s="62"/>
      <c r="V15" s="62"/>
      <c r="W15" s="62"/>
      <c r="X15" s="62"/>
      <c r="Y15" s="62"/>
      <c r="Z15" s="62"/>
    </row>
    <row r="16">
      <c r="A16" s="62" t="str">
        <f>IFERROR(__xludf.DUMMYFUNCTION("""COMPUTED_VALUE"""),"Contacted")</f>
        <v>Contacted</v>
      </c>
      <c r="B16" s="62" t="str">
        <f>IFERROR(__xludf.DUMMYFUNCTION("""COMPUTED_VALUE"""),"")</f>
        <v/>
      </c>
      <c r="C16" s="62" t="str">
        <f>IFERROR(__xludf.DUMMYFUNCTION("""COMPUTED_VALUE"""),"")</f>
        <v/>
      </c>
      <c r="D16" s="62" t="str">
        <f>IFERROR(__xludf.DUMMYFUNCTION("""COMPUTED_VALUE"""),"No")</f>
        <v>No</v>
      </c>
      <c r="E16" s="62" t="str">
        <f>IFERROR(__xludf.DUMMYFUNCTION("""COMPUTED_VALUE"""),"Baseline")</f>
        <v>Baseline</v>
      </c>
      <c r="F16" s="62" t="str">
        <f>IFERROR(__xludf.DUMMYFUNCTION("""COMPUTED_VALUE"""),"")</f>
        <v/>
      </c>
      <c r="G16" s="62" t="str">
        <f>IFERROR(__xludf.DUMMYFUNCTION("""COMPUTED_VALUE"""),"Xinkun ""Sequen"" Wang")</f>
        <v>Xinkun "Sequen" Wang</v>
      </c>
      <c r="H16" s="62" t="str">
        <f>IFERROR(__xludf.DUMMYFUNCTION("""COMPUTED_VALUE"""),"xinkun.wang@northwestern.edu")</f>
        <v>xinkun.wang@northwestern.edu</v>
      </c>
      <c r="I16" s="62" t="str">
        <f>IFERROR(__xludf.DUMMYFUNCTION("""COMPUTED_VALUE"""),"Scientific Researcher")</f>
        <v>Scientific Researcher</v>
      </c>
      <c r="J16" s="62"/>
      <c r="K16" s="62"/>
      <c r="L16" s="62"/>
      <c r="M16" s="62"/>
      <c r="N16" s="62"/>
      <c r="O16" s="62"/>
      <c r="P16" s="62"/>
      <c r="Q16" s="62"/>
      <c r="R16" s="62"/>
      <c r="S16" s="62"/>
      <c r="T16" s="62"/>
      <c r="U16" s="62"/>
      <c r="V16" s="62"/>
      <c r="W16" s="62"/>
      <c r="X16" s="62"/>
      <c r="Y16" s="62"/>
      <c r="Z16" s="62"/>
    </row>
    <row r="17">
      <c r="A17" s="62" t="str">
        <f>IFERROR(__xludf.DUMMYFUNCTION("""COMPUTED_VALUE"""),"Contacted")</f>
        <v>Contacted</v>
      </c>
      <c r="B17" s="62" t="str">
        <f>IFERROR(__xludf.DUMMYFUNCTION("""COMPUTED_VALUE"""),"")</f>
        <v/>
      </c>
      <c r="C17" s="62" t="str">
        <f>IFERROR(__xludf.DUMMYFUNCTION("""COMPUTED_VALUE"""),"")</f>
        <v/>
      </c>
      <c r="D17" s="62" t="str">
        <f>IFERROR(__xludf.DUMMYFUNCTION("""COMPUTED_VALUE"""),"No")</f>
        <v>No</v>
      </c>
      <c r="E17" s="62" t="str">
        <f>IFERROR(__xludf.DUMMYFUNCTION("""COMPUTED_VALUE"""),"Baseline")</f>
        <v>Baseline</v>
      </c>
      <c r="F17" s="62" t="str">
        <f>IFERROR(__xludf.DUMMYFUNCTION("""COMPUTED_VALUE"""),"")</f>
        <v/>
      </c>
      <c r="G17" s="62" t="str">
        <f>IFERROR(__xludf.DUMMYFUNCTION("""COMPUTED_VALUE"""),"Siddharth Banka")</f>
        <v>Siddharth Banka</v>
      </c>
      <c r="H17" s="62" t="str">
        <f>IFERROR(__xludf.DUMMYFUNCTION("""COMPUTED_VALUE"""),"Siddharth.Banka@manchester.ac.uk")</f>
        <v>Siddharth.Banka@manchester.ac.uk</v>
      </c>
      <c r="I17" s="62" t="str">
        <f>IFERROR(__xludf.DUMMYFUNCTION("""COMPUTED_VALUE"""),"Clinical Medical Geneticist")</f>
        <v>Clinical Medical Geneticist</v>
      </c>
      <c r="J17" s="62"/>
      <c r="K17" s="62"/>
      <c r="L17" s="62"/>
      <c r="M17" s="62"/>
      <c r="N17" s="62"/>
      <c r="O17" s="62"/>
      <c r="P17" s="62"/>
      <c r="Q17" s="62"/>
      <c r="R17" s="62"/>
      <c r="S17" s="62"/>
      <c r="T17" s="62"/>
      <c r="U17" s="62"/>
      <c r="V17" s="62"/>
      <c r="W17" s="62"/>
      <c r="X17" s="62"/>
      <c r="Y17" s="62"/>
      <c r="Z17" s="62"/>
    </row>
    <row r="18">
      <c r="A18" s="62" t="str">
        <f>IFERROR(__xludf.DUMMYFUNCTION("""COMPUTED_VALUE"""),"Contacted")</f>
        <v>Contacted</v>
      </c>
      <c r="B18" s="62" t="str">
        <f>IFERROR(__xludf.DUMMYFUNCTION("""COMPUTED_VALUE"""),"")</f>
        <v/>
      </c>
      <c r="C18" s="62" t="str">
        <f>IFERROR(__xludf.DUMMYFUNCTION("""COMPUTED_VALUE"""),"")</f>
        <v/>
      </c>
      <c r="D18" s="62" t="str">
        <f>IFERROR(__xludf.DUMMYFUNCTION("""COMPUTED_VALUE"""),"No")</f>
        <v>No</v>
      </c>
      <c r="E18" s="62" t="str">
        <f>IFERROR(__xludf.DUMMYFUNCTION("""COMPUTED_VALUE"""),"Baseline")</f>
        <v>Baseline</v>
      </c>
      <c r="F18" s="62" t="str">
        <f>IFERROR(__xludf.DUMMYFUNCTION("""COMPUTED_VALUE"""),"")</f>
        <v/>
      </c>
      <c r="G18" s="62" t="str">
        <f>IFERROR(__xludf.DUMMYFUNCTION("""COMPUTED_VALUE"""),"Amanda Fortier")</f>
        <v>Amanda Fortier</v>
      </c>
      <c r="H18" s="62" t="str">
        <f>IFERROR(__xludf.DUMMYFUNCTION("""COMPUTED_VALUE"""),"amanda.fortier@advocatehealth.com")</f>
        <v>amanda.fortier@advocatehealth.com</v>
      </c>
      <c r="I18" s="62" t="str">
        <f>IFERROR(__xludf.DUMMYFUNCTION("""COMPUTED_VALUE"""),"Clinical laboratory geneticist")</f>
        <v>Clinical laboratory geneticist</v>
      </c>
      <c r="J18" s="62"/>
      <c r="K18" s="62"/>
      <c r="L18" s="62"/>
      <c r="M18" s="62"/>
      <c r="N18" s="62"/>
      <c r="O18" s="62"/>
      <c r="P18" s="62"/>
      <c r="Q18" s="62"/>
      <c r="R18" s="62"/>
      <c r="S18" s="62"/>
      <c r="T18" s="62"/>
      <c r="U18" s="62"/>
      <c r="V18" s="62"/>
      <c r="W18" s="62"/>
      <c r="X18" s="62"/>
      <c r="Y18" s="62"/>
      <c r="Z18" s="62"/>
    </row>
    <row r="19">
      <c r="A19" s="62" t="str">
        <f>IFERROR(__xludf.DUMMYFUNCTION("""COMPUTED_VALUE"""),"Contacted")</f>
        <v>Contacted</v>
      </c>
      <c r="B19" s="62" t="str">
        <f>IFERROR(__xludf.DUMMYFUNCTION("""COMPUTED_VALUE"""),"")</f>
        <v/>
      </c>
      <c r="C19" s="62" t="str">
        <f>IFERROR(__xludf.DUMMYFUNCTION("""COMPUTED_VALUE"""),"")</f>
        <v/>
      </c>
      <c r="D19" s="62" t="str">
        <f>IFERROR(__xludf.DUMMYFUNCTION("""COMPUTED_VALUE"""),"No")</f>
        <v>No</v>
      </c>
      <c r="E19" s="62" t="str">
        <f>IFERROR(__xludf.DUMMYFUNCTION("""COMPUTED_VALUE"""),"Baseline")</f>
        <v>Baseline</v>
      </c>
      <c r="F19" s="62" t="str">
        <f>IFERROR(__xludf.DUMMYFUNCTION("""COMPUTED_VALUE"""),"")</f>
        <v/>
      </c>
      <c r="G19" s="62" t="str">
        <f>IFERROR(__xludf.DUMMYFUNCTION("""COMPUTED_VALUE"""),"Can Ding")</f>
        <v>Can Ding</v>
      </c>
      <c r="H19" s="62" t="str">
        <f>IFERROR(__xludf.DUMMYFUNCTION("""COMPUTED_VALUE"""),"can.ding@unimedizin-mainz.de")</f>
        <v>can.ding@unimedizin-mainz.de</v>
      </c>
      <c r="I19" s="62" t="str">
        <f>IFERROR(__xludf.DUMMYFUNCTION("""COMPUTED_VALUE"""),"Clinical Medical Geneticist")</f>
        <v>Clinical Medical Geneticist</v>
      </c>
      <c r="J19" s="62"/>
      <c r="K19" s="62"/>
      <c r="L19" s="62"/>
      <c r="M19" s="62"/>
      <c r="N19" s="62"/>
      <c r="O19" s="62"/>
      <c r="P19" s="62"/>
      <c r="Q19" s="62"/>
      <c r="R19" s="62"/>
      <c r="S19" s="62"/>
      <c r="T19" s="62"/>
      <c r="U19" s="62"/>
      <c r="V19" s="62"/>
      <c r="W19" s="62"/>
      <c r="X19" s="62"/>
      <c r="Y19" s="62"/>
      <c r="Z19" s="62"/>
    </row>
    <row r="20">
      <c r="A20" s="62" t="str">
        <f>IFERROR(__xludf.DUMMYFUNCTION("""COMPUTED_VALUE"""),"Contacted")</f>
        <v>Contacted</v>
      </c>
      <c r="B20" s="62" t="str">
        <f>IFERROR(__xludf.DUMMYFUNCTION("""COMPUTED_VALUE"""),"")</f>
        <v/>
      </c>
      <c r="C20" s="62" t="str">
        <f>IFERROR(__xludf.DUMMYFUNCTION("""COMPUTED_VALUE"""),"")</f>
        <v/>
      </c>
      <c r="D20" s="62" t="str">
        <f>IFERROR(__xludf.DUMMYFUNCTION("""COMPUTED_VALUE"""),"No")</f>
        <v>No</v>
      </c>
      <c r="E20" s="62" t="str">
        <f>IFERROR(__xludf.DUMMYFUNCTION("""COMPUTED_VALUE"""),"Baseline")</f>
        <v>Baseline</v>
      </c>
      <c r="F20" s="62" t="str">
        <f>IFERROR(__xludf.DUMMYFUNCTION("""COMPUTED_VALUE"""),"")</f>
        <v/>
      </c>
      <c r="G20" s="62" t="str">
        <f>IFERROR(__xludf.DUMMYFUNCTION("""COMPUTED_VALUE"""),"Rebekah Waikel")</f>
        <v>Rebekah Waikel</v>
      </c>
      <c r="H20" s="62" t="str">
        <f>IFERROR(__xludf.DUMMYFUNCTION("""COMPUTED_VALUE"""),"rebekah.waikel@uky.edu")</f>
        <v>rebekah.waikel@uky.edu</v>
      </c>
      <c r="I20" s="62" t="str">
        <f>IFERROR(__xludf.DUMMYFUNCTION("""COMPUTED_VALUE"""),"Clinical laboratory geneticist")</f>
        <v>Clinical laboratory geneticist</v>
      </c>
      <c r="J20" s="62"/>
      <c r="K20" s="62"/>
      <c r="L20" s="62"/>
      <c r="M20" s="62"/>
      <c r="N20" s="62"/>
      <c r="O20" s="62"/>
      <c r="P20" s="62"/>
      <c r="Q20" s="62"/>
      <c r="R20" s="62"/>
      <c r="S20" s="62"/>
      <c r="T20" s="62"/>
      <c r="U20" s="62"/>
      <c r="V20" s="62"/>
      <c r="W20" s="62"/>
      <c r="X20" s="62"/>
      <c r="Y20" s="62"/>
      <c r="Z20" s="62"/>
    </row>
    <row r="21">
      <c r="A21" s="62" t="str">
        <f>IFERROR(__xludf.DUMMYFUNCTION("""COMPUTED_VALUE"""),"Contacted")</f>
        <v>Contacted</v>
      </c>
      <c r="B21" s="62" t="str">
        <f>IFERROR(__xludf.DUMMYFUNCTION("""COMPUTED_VALUE"""),"")</f>
        <v/>
      </c>
      <c r="C21" s="62" t="str">
        <f>IFERROR(__xludf.DUMMYFUNCTION("""COMPUTED_VALUE"""),"")</f>
        <v/>
      </c>
      <c r="D21" s="62" t="str">
        <f>IFERROR(__xludf.DUMMYFUNCTION("""COMPUTED_VALUE"""),"No")</f>
        <v>No</v>
      </c>
      <c r="E21" s="62" t="str">
        <f>IFERROR(__xludf.DUMMYFUNCTION("""COMPUTED_VALUE"""),"Baseline")</f>
        <v>Baseline</v>
      </c>
      <c r="F21" s="62" t="str">
        <f>IFERROR(__xludf.DUMMYFUNCTION("""COMPUTED_VALUE"""),"")</f>
        <v/>
      </c>
      <c r="G21" s="62" t="str">
        <f>IFERROR(__xludf.DUMMYFUNCTION("""COMPUTED_VALUE"""),"Manya Warrier")</f>
        <v>Manya Warrier</v>
      </c>
      <c r="H21" s="62" t="str">
        <f>IFERROR(__xludf.DUMMYFUNCTION("""COMPUTED_VALUE"""),"manyawarrier@gmail.com")</f>
        <v>manyawarrier@gmail.com</v>
      </c>
      <c r="I21" s="62" t="str">
        <f>IFERROR(__xludf.DUMMYFUNCTION("""COMPUTED_VALUE"""),"Variant Analyst/Scientist - Industry")</f>
        <v>Variant Analyst/Scientist - Industry</v>
      </c>
      <c r="J21" s="62"/>
      <c r="K21" s="62"/>
      <c r="L21" s="62"/>
      <c r="M21" s="62"/>
      <c r="N21" s="62"/>
      <c r="O21" s="62"/>
      <c r="P21" s="62"/>
      <c r="Q21" s="62"/>
      <c r="R21" s="62"/>
      <c r="S21" s="62"/>
      <c r="T21" s="62"/>
      <c r="U21" s="62"/>
      <c r="V21" s="62"/>
      <c r="W21" s="62"/>
      <c r="X21" s="62"/>
      <c r="Y21" s="62"/>
      <c r="Z21" s="62"/>
    </row>
    <row r="22">
      <c r="A22" s="62" t="str">
        <f>IFERROR(__xludf.DUMMYFUNCTION("""COMPUTED_VALUE"""),"Contacted")</f>
        <v>Contacted</v>
      </c>
      <c r="B22" s="62" t="str">
        <f>IFERROR(__xludf.DUMMYFUNCTION("""COMPUTED_VALUE"""),"")</f>
        <v/>
      </c>
      <c r="C22" s="62" t="str">
        <f>IFERROR(__xludf.DUMMYFUNCTION("""COMPUTED_VALUE"""),"")</f>
        <v/>
      </c>
      <c r="D22" s="62" t="str">
        <f>IFERROR(__xludf.DUMMYFUNCTION("""COMPUTED_VALUE"""),"No")</f>
        <v>No</v>
      </c>
      <c r="E22" s="62" t="str">
        <f>IFERROR(__xludf.DUMMYFUNCTION("""COMPUTED_VALUE"""),"Baseline")</f>
        <v>Baseline</v>
      </c>
      <c r="F22" s="62" t="str">
        <f>IFERROR(__xludf.DUMMYFUNCTION("""COMPUTED_VALUE"""),"")</f>
        <v/>
      </c>
      <c r="G22" s="62" t="str">
        <f>IFERROR(__xludf.DUMMYFUNCTION("""COMPUTED_VALUE"""),"Jianli Dong")</f>
        <v>Jianli Dong</v>
      </c>
      <c r="H22" s="62" t="str">
        <f>IFERROR(__xludf.DUMMYFUNCTION("""COMPUTED_VALUE"""),"jidong@utmb.edu")</f>
        <v>jidong@utmb.edu</v>
      </c>
      <c r="I22" s="62" t="str">
        <f>IFERROR(__xludf.DUMMYFUNCTION("""COMPUTED_VALUE"""),"Clinical laboratory geneticist")</f>
        <v>Clinical laboratory geneticist</v>
      </c>
      <c r="J22" s="62"/>
      <c r="K22" s="62"/>
      <c r="L22" s="62"/>
      <c r="M22" s="62"/>
      <c r="N22" s="62"/>
      <c r="O22" s="62"/>
      <c r="P22" s="62"/>
      <c r="Q22" s="62"/>
      <c r="R22" s="62"/>
      <c r="S22" s="62"/>
      <c r="T22" s="62"/>
      <c r="U22" s="62"/>
      <c r="V22" s="62"/>
      <c r="W22" s="62"/>
      <c r="X22" s="62"/>
      <c r="Y22" s="62"/>
      <c r="Z22" s="62"/>
    </row>
    <row r="23">
      <c r="A23" s="62" t="str">
        <f>IFERROR(__xludf.DUMMYFUNCTION("""COMPUTED_VALUE"""),"Contacted")</f>
        <v>Contacted</v>
      </c>
      <c r="B23" s="62" t="str">
        <f>IFERROR(__xludf.DUMMYFUNCTION("""COMPUTED_VALUE"""),"")</f>
        <v/>
      </c>
      <c r="C23" s="62" t="str">
        <f>IFERROR(__xludf.DUMMYFUNCTION("""COMPUTED_VALUE"""),"")</f>
        <v/>
      </c>
      <c r="D23" s="62" t="str">
        <f>IFERROR(__xludf.DUMMYFUNCTION("""COMPUTED_VALUE"""),"No")</f>
        <v>No</v>
      </c>
      <c r="E23" s="62" t="str">
        <f>IFERROR(__xludf.DUMMYFUNCTION("""COMPUTED_VALUE"""),"Baseline")</f>
        <v>Baseline</v>
      </c>
      <c r="F23" s="62" t="str">
        <f>IFERROR(__xludf.DUMMYFUNCTION("""COMPUTED_VALUE"""),"")</f>
        <v/>
      </c>
      <c r="G23" s="62" t="str">
        <f>IFERROR(__xludf.DUMMYFUNCTION("""COMPUTED_VALUE"""),"Tyler Parris")</f>
        <v>Tyler Parris</v>
      </c>
      <c r="H23" s="62" t="str">
        <f>IFERROR(__xludf.DUMMYFUNCTION("""COMPUTED_VALUE"""),"tylerchristianparrismd@gmail.com")</f>
        <v>tylerchristianparrismd@gmail.com</v>
      </c>
      <c r="I23" s="62" t="str">
        <f>IFERROR(__xludf.DUMMYFUNCTION("""COMPUTED_VALUE"""),"Post Doc/Resident/Fellow (MD and/or PhD)")</f>
        <v>Post Doc/Resident/Fellow (MD and/or PhD)</v>
      </c>
      <c r="J23" s="62"/>
      <c r="K23" s="62"/>
      <c r="L23" s="62"/>
      <c r="M23" s="62"/>
      <c r="N23" s="62"/>
      <c r="O23" s="62"/>
      <c r="P23" s="62"/>
      <c r="Q23" s="62"/>
      <c r="R23" s="62"/>
      <c r="S23" s="62"/>
      <c r="T23" s="62"/>
      <c r="U23" s="62"/>
      <c r="V23" s="62"/>
      <c r="W23" s="62"/>
      <c r="X23" s="62"/>
      <c r="Y23" s="62"/>
      <c r="Z23" s="62"/>
    </row>
    <row r="24">
      <c r="A24" s="62" t="str">
        <f>IFERROR(__xludf.DUMMYFUNCTION("""COMPUTED_VALUE"""),"Contacted")</f>
        <v>Contacted</v>
      </c>
      <c r="B24" s="62" t="str">
        <f>IFERROR(__xludf.DUMMYFUNCTION("""COMPUTED_VALUE"""),"")</f>
        <v/>
      </c>
      <c r="C24" s="62" t="str">
        <f>IFERROR(__xludf.DUMMYFUNCTION("""COMPUTED_VALUE"""),"")</f>
        <v/>
      </c>
      <c r="D24" s="62" t="str">
        <f>IFERROR(__xludf.DUMMYFUNCTION("""COMPUTED_VALUE"""),"No")</f>
        <v>No</v>
      </c>
      <c r="E24" s="62" t="str">
        <f>IFERROR(__xludf.DUMMYFUNCTION("""COMPUTED_VALUE"""),"Baseline")</f>
        <v>Baseline</v>
      </c>
      <c r="F24" s="62" t="str">
        <f>IFERROR(__xludf.DUMMYFUNCTION("""COMPUTED_VALUE"""),"")</f>
        <v/>
      </c>
      <c r="G24" s="62" t="str">
        <f>IFERROR(__xludf.DUMMYFUNCTION("""COMPUTED_VALUE"""),"Edward Shadiack")</f>
        <v>Edward Shadiack</v>
      </c>
      <c r="H24" s="62" t="str">
        <f>IFERROR(__xludf.DUMMYFUNCTION("""COMPUTED_VALUE"""),"shadiaec@gmail.com")</f>
        <v>shadiaec@gmail.com</v>
      </c>
      <c r="I24" s="62" t="str">
        <f>IFERROR(__xludf.DUMMYFUNCTION("""COMPUTED_VALUE"""),"Physician (Non-geneticist)")</f>
        <v>Physician (Non-geneticist)</v>
      </c>
      <c r="J24" s="62"/>
      <c r="K24" s="62"/>
      <c r="L24" s="62"/>
      <c r="M24" s="62"/>
      <c r="N24" s="62"/>
      <c r="O24" s="62"/>
      <c r="P24" s="62"/>
      <c r="Q24" s="62"/>
      <c r="R24" s="62"/>
      <c r="S24" s="62"/>
      <c r="T24" s="62"/>
      <c r="U24" s="62"/>
      <c r="V24" s="62"/>
      <c r="W24" s="62"/>
      <c r="X24" s="62"/>
      <c r="Y24" s="62"/>
      <c r="Z24" s="62"/>
    </row>
    <row r="25">
      <c r="A25" s="62" t="str">
        <f>IFERROR(__xludf.DUMMYFUNCTION("""COMPUTED_VALUE"""),"Contacted")</f>
        <v>Contacted</v>
      </c>
      <c r="B25" s="62" t="str">
        <f>IFERROR(__xludf.DUMMYFUNCTION("""COMPUTED_VALUE"""),"")</f>
        <v/>
      </c>
      <c r="C25" s="77" t="str">
        <f>IFERROR(__xludf.DUMMYFUNCTION("""COMPUTED_VALUE"""),"")</f>
        <v/>
      </c>
      <c r="D25" s="62" t="str">
        <f>IFERROR(__xludf.DUMMYFUNCTION("""COMPUTED_VALUE"""),"No")</f>
        <v>No</v>
      </c>
      <c r="E25" s="62" t="str">
        <f>IFERROR(__xludf.DUMMYFUNCTION("""COMPUTED_VALUE"""),"Baseline")</f>
        <v>Baseline</v>
      </c>
      <c r="F25" s="62" t="str">
        <f>IFERROR(__xludf.DUMMYFUNCTION("""COMPUTED_VALUE"""),"")</f>
        <v/>
      </c>
      <c r="G25" s="62" t="str">
        <f>IFERROR(__xludf.DUMMYFUNCTION("""COMPUTED_VALUE"""),"Kristin Maloney")</f>
        <v>Kristin Maloney</v>
      </c>
      <c r="H25" s="62" t="str">
        <f>IFERROR(__xludf.DUMMYFUNCTION("""COMPUTED_VALUE"""),"kmaloney1@som.umaryland.edu")</f>
        <v>kmaloney1@som.umaryland.edu</v>
      </c>
      <c r="I25" s="62" t="str">
        <f>IFERROR(__xludf.DUMMYFUNCTION("""COMPUTED_VALUE"""),"Genetic counselor")</f>
        <v>Genetic counselor</v>
      </c>
      <c r="J25" s="62"/>
      <c r="K25" s="62"/>
      <c r="L25" s="62"/>
      <c r="M25" s="62"/>
      <c r="N25" s="62"/>
      <c r="O25" s="62"/>
      <c r="P25" s="62"/>
      <c r="Q25" s="62"/>
      <c r="R25" s="62"/>
      <c r="S25" s="62"/>
      <c r="T25" s="62"/>
      <c r="U25" s="62"/>
      <c r="V25" s="62"/>
      <c r="W25" s="62"/>
      <c r="X25" s="62"/>
      <c r="Y25" s="62"/>
      <c r="Z25" s="62"/>
    </row>
    <row r="26">
      <c r="A26" s="62" t="str">
        <f>IFERROR(__xludf.DUMMYFUNCTION("""COMPUTED_VALUE"""),"Contacted")</f>
        <v>Contacted</v>
      </c>
      <c r="B26" s="62" t="str">
        <f>IFERROR(__xludf.DUMMYFUNCTION("""COMPUTED_VALUE"""),"")</f>
        <v/>
      </c>
      <c r="C26" s="62" t="str">
        <f>IFERROR(__xludf.DUMMYFUNCTION("""COMPUTED_VALUE"""),"")</f>
        <v/>
      </c>
      <c r="D26" s="62" t="str">
        <f>IFERROR(__xludf.DUMMYFUNCTION("""COMPUTED_VALUE"""),"No")</f>
        <v>No</v>
      </c>
      <c r="E26" s="62" t="str">
        <f>IFERROR(__xludf.DUMMYFUNCTION("""COMPUTED_VALUE"""),"Baseline")</f>
        <v>Baseline</v>
      </c>
      <c r="F26" s="62" t="str">
        <f>IFERROR(__xludf.DUMMYFUNCTION("""COMPUTED_VALUE"""),"")</f>
        <v/>
      </c>
      <c r="G26" s="62" t="str">
        <f>IFERROR(__xludf.DUMMYFUNCTION("""COMPUTED_VALUE"""),"M.I. anwar")</f>
        <v>M.I. anwar</v>
      </c>
      <c r="H26" s="62" t="str">
        <f>IFERROR(__xludf.DUMMYFUNCTION("""COMPUTED_VALUE"""),"mimtiazanwar@gmail.com")</f>
        <v>mimtiazanwar@gmail.com</v>
      </c>
      <c r="I26" s="62" t="str">
        <f>IFERROR(__xludf.DUMMYFUNCTION("""COMPUTED_VALUE"""),"Scientific Researcher")</f>
        <v>Scientific Researcher</v>
      </c>
      <c r="J26" s="62"/>
      <c r="K26" s="62"/>
      <c r="L26" s="62"/>
      <c r="M26" s="62"/>
      <c r="N26" s="62"/>
      <c r="O26" s="62"/>
      <c r="P26" s="62"/>
      <c r="Q26" s="62"/>
      <c r="R26" s="62"/>
      <c r="S26" s="62"/>
      <c r="T26" s="62"/>
      <c r="U26" s="62"/>
      <c r="V26" s="62"/>
      <c r="W26" s="62"/>
      <c r="X26" s="62"/>
      <c r="Y26" s="62"/>
      <c r="Z26" s="62"/>
    </row>
    <row r="27">
      <c r="A27" s="62" t="str">
        <f>IFERROR(__xludf.DUMMYFUNCTION("""COMPUTED_VALUE"""),"Contacted")</f>
        <v>Contacted</v>
      </c>
      <c r="B27" s="62" t="str">
        <f>IFERROR(__xludf.DUMMYFUNCTION("""COMPUTED_VALUE"""),"")</f>
        <v/>
      </c>
      <c r="C27" s="62" t="str">
        <f>IFERROR(__xludf.DUMMYFUNCTION("""COMPUTED_VALUE"""),"")</f>
        <v/>
      </c>
      <c r="D27" s="62" t="str">
        <f>IFERROR(__xludf.DUMMYFUNCTION("""COMPUTED_VALUE"""),"No")</f>
        <v>No</v>
      </c>
      <c r="E27" s="62" t="str">
        <f>IFERROR(__xludf.DUMMYFUNCTION("""COMPUTED_VALUE"""),"Baseline")</f>
        <v>Baseline</v>
      </c>
      <c r="F27" s="62" t="str">
        <f>IFERROR(__xludf.DUMMYFUNCTION("""COMPUTED_VALUE"""),"")</f>
        <v/>
      </c>
      <c r="G27" s="62" t="str">
        <f>IFERROR(__xludf.DUMMYFUNCTION("""COMPUTED_VALUE"""),"Jose Maria Urbano")</f>
        <v>Jose Maria Urbano</v>
      </c>
      <c r="H27" s="62" t="str">
        <f>IFERROR(__xludf.DUMMYFUNCTION("""COMPUTED_VALUE"""),"jmu22@cam.ac.uk")</f>
        <v>jmu22@cam.ac.uk</v>
      </c>
      <c r="I27" s="62" t="str">
        <f>IFERROR(__xludf.DUMMYFUNCTION("""COMPUTED_VALUE"""),"Biocurator")</f>
        <v>Biocurator</v>
      </c>
      <c r="J27" s="62"/>
      <c r="K27" s="62"/>
      <c r="L27" s="62"/>
      <c r="M27" s="62"/>
      <c r="N27" s="62"/>
      <c r="O27" s="62"/>
      <c r="P27" s="62"/>
      <c r="Q27" s="62"/>
      <c r="R27" s="62"/>
      <c r="S27" s="62"/>
      <c r="T27" s="62"/>
      <c r="U27" s="62"/>
      <c r="V27" s="62"/>
      <c r="W27" s="62"/>
      <c r="X27" s="62"/>
      <c r="Y27" s="62"/>
      <c r="Z27" s="62"/>
    </row>
    <row r="28">
      <c r="A28" s="62" t="str">
        <f>IFERROR(__xludf.DUMMYFUNCTION("""COMPUTED_VALUE"""),"Contacted")</f>
        <v>Contacted</v>
      </c>
      <c r="B28" s="62" t="str">
        <f>IFERROR(__xludf.DUMMYFUNCTION("""COMPUTED_VALUE"""),"")</f>
        <v/>
      </c>
      <c r="C28" s="62" t="str">
        <f>IFERROR(__xludf.DUMMYFUNCTION("""COMPUTED_VALUE"""),"")</f>
        <v/>
      </c>
      <c r="D28" s="62" t="str">
        <f>IFERROR(__xludf.DUMMYFUNCTION("""COMPUTED_VALUE"""),"No")</f>
        <v>No</v>
      </c>
      <c r="E28" s="62" t="str">
        <f>IFERROR(__xludf.DUMMYFUNCTION("""COMPUTED_VALUE"""),"Baseline")</f>
        <v>Baseline</v>
      </c>
      <c r="F28" s="62" t="str">
        <f>IFERROR(__xludf.DUMMYFUNCTION("""COMPUTED_VALUE"""),"")</f>
        <v/>
      </c>
      <c r="G28" s="62" t="str">
        <f>IFERROR(__xludf.DUMMYFUNCTION("""COMPUTED_VALUE"""),"Emma Leach")</f>
        <v>Emma Leach</v>
      </c>
      <c r="H28" s="62" t="str">
        <f>IFERROR(__xludf.DUMMYFUNCTION("""COMPUTED_VALUE"""),"eleach@providencehealth.bc.ca")</f>
        <v>eleach@providencehealth.bc.ca</v>
      </c>
      <c r="I28" s="62" t="str">
        <f>IFERROR(__xludf.DUMMYFUNCTION("""COMPUTED_VALUE"""),"Genetic counselor")</f>
        <v>Genetic counselor</v>
      </c>
      <c r="J28" s="62"/>
      <c r="K28" s="62"/>
      <c r="L28" s="62"/>
      <c r="M28" s="62"/>
      <c r="N28" s="62"/>
      <c r="O28" s="62"/>
      <c r="P28" s="62"/>
      <c r="Q28" s="62"/>
      <c r="R28" s="62"/>
      <c r="S28" s="62"/>
      <c r="T28" s="62"/>
      <c r="U28" s="62"/>
      <c r="V28" s="62"/>
      <c r="W28" s="62"/>
      <c r="X28" s="62"/>
      <c r="Y28" s="62"/>
      <c r="Z28" s="62"/>
    </row>
    <row r="29">
      <c r="A29" s="62" t="str">
        <f>IFERROR(__xludf.DUMMYFUNCTION("""COMPUTED_VALUE"""),"Contacted")</f>
        <v>Contacted</v>
      </c>
      <c r="B29" s="62" t="str">
        <f>IFERROR(__xludf.DUMMYFUNCTION("""COMPUTED_VALUE"""),"")</f>
        <v/>
      </c>
      <c r="C29" s="62" t="str">
        <f>IFERROR(__xludf.DUMMYFUNCTION("""COMPUTED_VALUE"""),"")</f>
        <v/>
      </c>
      <c r="D29" s="62" t="str">
        <f>IFERROR(__xludf.DUMMYFUNCTION("""COMPUTED_VALUE"""),"No")</f>
        <v>No</v>
      </c>
      <c r="E29" s="62" t="str">
        <f>IFERROR(__xludf.DUMMYFUNCTION("""COMPUTED_VALUE"""),"Baseline")</f>
        <v>Baseline</v>
      </c>
      <c r="F29" s="62" t="str">
        <f>IFERROR(__xludf.DUMMYFUNCTION("""COMPUTED_VALUE"""),"")</f>
        <v/>
      </c>
      <c r="G29" s="62" t="str">
        <f>IFERROR(__xludf.DUMMYFUNCTION("""COMPUTED_VALUE"""),"Megan Lynch")</f>
        <v>Megan Lynch</v>
      </c>
      <c r="H29" s="62" t="str">
        <f>IFERROR(__xludf.DUMMYFUNCTION("""COMPUTED_VALUE"""),"megan.lynch@umaryland.edu")</f>
        <v>megan.lynch@umaryland.edu</v>
      </c>
      <c r="I29" s="62" t="str">
        <f>IFERROR(__xludf.DUMMYFUNCTION("""COMPUTED_VALUE"""),"Graduate Student")</f>
        <v>Graduate Student</v>
      </c>
      <c r="J29" s="62"/>
      <c r="K29" s="62"/>
      <c r="L29" s="62"/>
      <c r="M29" s="62"/>
      <c r="N29" s="62"/>
      <c r="O29" s="62"/>
      <c r="P29" s="62"/>
      <c r="Q29" s="62"/>
      <c r="R29" s="62"/>
      <c r="S29" s="62"/>
      <c r="T29" s="62"/>
      <c r="U29" s="62"/>
      <c r="V29" s="62"/>
      <c r="W29" s="62"/>
      <c r="X29" s="62"/>
      <c r="Y29" s="62"/>
      <c r="Z29" s="62"/>
    </row>
    <row r="30">
      <c r="A30" s="62" t="str">
        <f>IFERROR(__xludf.DUMMYFUNCTION("""COMPUTED_VALUE"""),"Contacted")</f>
        <v>Contacted</v>
      </c>
      <c r="B30" s="62" t="str">
        <f>IFERROR(__xludf.DUMMYFUNCTION("""COMPUTED_VALUE"""),"")</f>
        <v/>
      </c>
      <c r="C30" s="62" t="str">
        <f>IFERROR(__xludf.DUMMYFUNCTION("""COMPUTED_VALUE"""),"")</f>
        <v/>
      </c>
      <c r="D30" s="62" t="str">
        <f>IFERROR(__xludf.DUMMYFUNCTION("""COMPUTED_VALUE"""),"No")</f>
        <v>No</v>
      </c>
      <c r="E30" s="62" t="str">
        <f>IFERROR(__xludf.DUMMYFUNCTION("""COMPUTED_VALUE"""),"Baseline")</f>
        <v>Baseline</v>
      </c>
      <c r="F30" s="62" t="str">
        <f>IFERROR(__xludf.DUMMYFUNCTION("""COMPUTED_VALUE"""),"")</f>
        <v/>
      </c>
      <c r="G30" s="62" t="str">
        <f>IFERROR(__xludf.DUMMYFUNCTION("""COMPUTED_VALUE"""),"Mi-Ae Jang")</f>
        <v>Mi-Ae Jang</v>
      </c>
      <c r="H30" s="62" t="str">
        <f>IFERROR(__xludf.DUMMYFUNCTION("""COMPUTED_VALUE"""),"miaeyaho@gmail.com")</f>
        <v>miaeyaho@gmail.com</v>
      </c>
      <c r="I30" s="62" t="str">
        <f>IFERROR(__xludf.DUMMYFUNCTION("""COMPUTED_VALUE"""),"Clinical laboratory geneticist")</f>
        <v>Clinical laboratory geneticist</v>
      </c>
      <c r="J30" s="62"/>
      <c r="K30" s="62"/>
      <c r="L30" s="62"/>
      <c r="M30" s="62"/>
      <c r="N30" s="62"/>
      <c r="O30" s="62"/>
      <c r="P30" s="62"/>
      <c r="Q30" s="62"/>
      <c r="R30" s="62"/>
      <c r="S30" s="62"/>
      <c r="T30" s="62"/>
      <c r="U30" s="62"/>
      <c r="V30" s="62"/>
      <c r="W30" s="62"/>
      <c r="X30" s="62"/>
      <c r="Y30" s="62"/>
      <c r="Z30" s="62"/>
    </row>
    <row r="31">
      <c r="A31" s="62" t="str">
        <f>IFERROR(__xludf.DUMMYFUNCTION("""COMPUTED_VALUE"""),"Contacted")</f>
        <v>Contacted</v>
      </c>
      <c r="B31" s="62" t="str">
        <f>IFERROR(__xludf.DUMMYFUNCTION("""COMPUTED_VALUE"""),"")</f>
        <v/>
      </c>
      <c r="C31" s="62" t="str">
        <f>IFERROR(__xludf.DUMMYFUNCTION("""COMPUTED_VALUE"""),"")</f>
        <v/>
      </c>
      <c r="D31" s="62" t="str">
        <f>IFERROR(__xludf.DUMMYFUNCTION("""COMPUTED_VALUE"""),"")</f>
        <v/>
      </c>
      <c r="E31" s="62" t="str">
        <f>IFERROR(__xludf.DUMMYFUNCTION("""COMPUTED_VALUE"""),"Baseline")</f>
        <v>Baseline</v>
      </c>
      <c r="F31" s="62" t="str">
        <f>IFERROR(__xludf.DUMMYFUNCTION("""COMPUTED_VALUE"""),"")</f>
        <v/>
      </c>
      <c r="G31" s="62" t="str">
        <f>IFERROR(__xludf.DUMMYFUNCTION("""COMPUTED_VALUE"""),"Jaclyn Murry")</f>
        <v>Jaclyn Murry</v>
      </c>
      <c r="H31" s="62" t="str">
        <f>IFERROR(__xludf.DUMMYFUNCTION("""COMPUTED_VALUE"""),"jmurry@mednet.ucla.edu")</f>
        <v>jmurry@mednet.ucla.edu</v>
      </c>
      <c r="I31" s="62" t="str">
        <f>IFERROR(__xludf.DUMMYFUNCTION("""COMPUTED_VALUE"""),"Clinical laboratory geneticist")</f>
        <v>Clinical laboratory geneticist</v>
      </c>
      <c r="J31" s="62"/>
      <c r="K31" s="62"/>
      <c r="L31" s="62"/>
      <c r="M31" s="62"/>
      <c r="N31" s="62"/>
      <c r="O31" s="62"/>
      <c r="P31" s="62"/>
      <c r="Q31" s="62"/>
      <c r="R31" s="62"/>
      <c r="S31" s="62"/>
      <c r="T31" s="62"/>
      <c r="U31" s="62"/>
      <c r="V31" s="62"/>
      <c r="W31" s="62"/>
      <c r="X31" s="62"/>
      <c r="Y31" s="62"/>
      <c r="Z31" s="62"/>
    </row>
    <row r="32">
      <c r="A32" s="62" t="str">
        <f>IFERROR(__xludf.DUMMYFUNCTION("""COMPUTED_VALUE"""),"Contacted")</f>
        <v>Contacted</v>
      </c>
      <c r="B32" s="62" t="str">
        <f>IFERROR(__xludf.DUMMYFUNCTION("""COMPUTED_VALUE"""),"")</f>
        <v/>
      </c>
      <c r="C32" s="62" t="str">
        <f>IFERROR(__xludf.DUMMYFUNCTION("""COMPUTED_VALUE"""),"")</f>
        <v/>
      </c>
      <c r="D32" s="62" t="str">
        <f>IFERROR(__xludf.DUMMYFUNCTION("""COMPUTED_VALUE"""),"")</f>
        <v/>
      </c>
      <c r="E32" s="62" t="str">
        <f>IFERROR(__xludf.DUMMYFUNCTION("""COMPUTED_VALUE"""),"Baseline")</f>
        <v>Baseline</v>
      </c>
      <c r="F32" s="62" t="str">
        <f>IFERROR(__xludf.DUMMYFUNCTION("""COMPUTED_VALUE"""),"")</f>
        <v/>
      </c>
      <c r="G32" s="62" t="str">
        <f>IFERROR(__xludf.DUMMYFUNCTION("""COMPUTED_VALUE"""),"Sara King")</f>
        <v>Sara King</v>
      </c>
      <c r="H32" s="62" t="str">
        <f>IFERROR(__xludf.DUMMYFUNCTION("""COMPUTED_VALUE"""),"sking127@student.umuc.edu")</f>
        <v>sking127@student.umuc.edu</v>
      </c>
      <c r="I32" s="62" t="str">
        <f>IFERROR(__xludf.DUMMYFUNCTION("""COMPUTED_VALUE"""),"Graduate Student")</f>
        <v>Graduate Student</v>
      </c>
      <c r="J32" s="62"/>
      <c r="K32" s="62"/>
      <c r="L32" s="62"/>
      <c r="M32" s="62"/>
      <c r="N32" s="62"/>
      <c r="O32" s="62"/>
      <c r="P32" s="62"/>
      <c r="Q32" s="62"/>
      <c r="R32" s="62"/>
      <c r="S32" s="62"/>
      <c r="T32" s="62"/>
      <c r="U32" s="62"/>
      <c r="V32" s="62"/>
      <c r="W32" s="62"/>
      <c r="X32" s="62"/>
      <c r="Y32" s="62"/>
      <c r="Z32" s="62"/>
    </row>
    <row r="33">
      <c r="A33" s="62" t="str">
        <f>IFERROR(__xludf.DUMMYFUNCTION("""COMPUTED_VALUE"""),"Contacted")</f>
        <v>Contacted</v>
      </c>
      <c r="B33" s="62" t="str">
        <f>IFERROR(__xludf.DUMMYFUNCTION("""COMPUTED_VALUE"""),"")</f>
        <v/>
      </c>
      <c r="C33" s="62" t="str">
        <f>IFERROR(__xludf.DUMMYFUNCTION("""COMPUTED_VALUE"""),"")</f>
        <v/>
      </c>
      <c r="D33" s="62" t="str">
        <f>IFERROR(__xludf.DUMMYFUNCTION("""COMPUTED_VALUE"""),"")</f>
        <v/>
      </c>
      <c r="E33" s="62" t="str">
        <f>IFERROR(__xludf.DUMMYFUNCTION("""COMPUTED_VALUE"""),"Baseline")</f>
        <v>Baseline</v>
      </c>
      <c r="F33" s="62" t="str">
        <f>IFERROR(__xludf.DUMMYFUNCTION("""COMPUTED_VALUE"""),"")</f>
        <v/>
      </c>
      <c r="G33" s="62" t="str">
        <f>IFERROR(__xludf.DUMMYFUNCTION("""COMPUTED_VALUE"""),"Jimena Murguia")</f>
        <v>Jimena Murguia</v>
      </c>
      <c r="H33" s="62" t="str">
        <f>IFERROR(__xludf.DUMMYFUNCTION("""COMPUTED_VALUE"""),"jimena887@yahoo.es")</f>
        <v>jimena887@yahoo.es</v>
      </c>
      <c r="I33" s="62" t="str">
        <f>IFERROR(__xludf.DUMMYFUNCTION("""COMPUTED_VALUE"""),"Clinical laboratory geneticist")</f>
        <v>Clinical laboratory geneticist</v>
      </c>
      <c r="J33" s="62"/>
      <c r="K33" s="62"/>
      <c r="L33" s="62"/>
      <c r="M33" s="62"/>
      <c r="N33" s="62"/>
      <c r="O33" s="62"/>
      <c r="P33" s="62"/>
      <c r="Q33" s="62"/>
      <c r="R33" s="62"/>
      <c r="S33" s="62"/>
      <c r="T33" s="62"/>
      <c r="U33" s="62"/>
      <c r="V33" s="62"/>
      <c r="W33" s="62"/>
      <c r="X33" s="62"/>
      <c r="Y33" s="62"/>
      <c r="Z33" s="62"/>
    </row>
    <row r="34">
      <c r="A34" s="62" t="str">
        <f>IFERROR(__xludf.DUMMYFUNCTION("""COMPUTED_VALUE"""),"Contacted")</f>
        <v>Contacted</v>
      </c>
      <c r="B34" s="62" t="str">
        <f>IFERROR(__xludf.DUMMYFUNCTION("""COMPUTED_VALUE"""),"")</f>
        <v/>
      </c>
      <c r="C34" s="62" t="str">
        <f>IFERROR(__xludf.DUMMYFUNCTION("""COMPUTED_VALUE"""),"")</f>
        <v/>
      </c>
      <c r="D34" s="62" t="str">
        <f>IFERROR(__xludf.DUMMYFUNCTION("""COMPUTED_VALUE"""),"")</f>
        <v/>
      </c>
      <c r="E34" s="62" t="str">
        <f>IFERROR(__xludf.DUMMYFUNCTION("""COMPUTED_VALUE"""),"Baseline")</f>
        <v>Baseline</v>
      </c>
      <c r="F34" s="62" t="str">
        <f>IFERROR(__xludf.DUMMYFUNCTION("""COMPUTED_VALUE"""),"")</f>
        <v/>
      </c>
      <c r="G34" s="62" t="str">
        <f>IFERROR(__xludf.DUMMYFUNCTION("""COMPUTED_VALUE"""),"Robert Lewis")</f>
        <v>Robert Lewis</v>
      </c>
      <c r="H34" s="62" t="str">
        <f>IFERROR(__xludf.DUMMYFUNCTION("""COMPUTED_VALUE"""),"rglewis@uci.edu")</f>
        <v>rglewis@uci.edu</v>
      </c>
      <c r="I34" s="62" t="str">
        <f>IFERROR(__xludf.DUMMYFUNCTION("""COMPUTED_VALUE"""),"Graduate Student")</f>
        <v>Graduate Student</v>
      </c>
      <c r="J34" s="62"/>
      <c r="K34" s="62"/>
      <c r="L34" s="62"/>
      <c r="M34" s="62"/>
      <c r="N34" s="62"/>
      <c r="O34" s="62"/>
      <c r="P34" s="62"/>
      <c r="Q34" s="62"/>
      <c r="R34" s="62"/>
      <c r="S34" s="62"/>
      <c r="T34" s="62"/>
      <c r="U34" s="62"/>
      <c r="V34" s="62"/>
      <c r="W34" s="62"/>
      <c r="X34" s="62"/>
      <c r="Y34" s="62"/>
      <c r="Z34" s="62"/>
    </row>
    <row r="35">
      <c r="A35" s="62" t="str">
        <f>IFERROR(__xludf.DUMMYFUNCTION("""COMPUTED_VALUE"""),"Contacted")</f>
        <v>Contacted</v>
      </c>
      <c r="B35" s="62" t="str">
        <f>IFERROR(__xludf.DUMMYFUNCTION("""COMPUTED_VALUE"""),"")</f>
        <v/>
      </c>
      <c r="C35" s="62" t="str">
        <f>IFERROR(__xludf.DUMMYFUNCTION("""COMPUTED_VALUE"""),"")</f>
        <v/>
      </c>
      <c r="D35" s="62" t="str">
        <f>IFERROR(__xludf.DUMMYFUNCTION("""COMPUTED_VALUE"""),"")</f>
        <v/>
      </c>
      <c r="E35" s="62" t="str">
        <f>IFERROR(__xludf.DUMMYFUNCTION("""COMPUTED_VALUE"""),"Baseline")</f>
        <v>Baseline</v>
      </c>
      <c r="F35" s="62" t="str">
        <f>IFERROR(__xludf.DUMMYFUNCTION("""COMPUTED_VALUE"""),"")</f>
        <v/>
      </c>
      <c r="G35" s="62" t="str">
        <f>IFERROR(__xludf.DUMMYFUNCTION("""COMPUTED_VALUE"""),"Vira Lamtieva")</f>
        <v>Vira Lamtieva</v>
      </c>
      <c r="H35" s="62" t="str">
        <f>IFERROR(__xludf.DUMMYFUNCTION("""COMPUTED_VALUE"""),"lamteva.vera@gmail.com")</f>
        <v>lamteva.vera@gmail.com</v>
      </c>
      <c r="I35" s="62" t="str">
        <f>IFERROR(__xludf.DUMMYFUNCTION("""COMPUTED_VALUE"""),"Clinical laboratory geneticist")</f>
        <v>Clinical laboratory geneticist</v>
      </c>
      <c r="J35" s="62"/>
      <c r="K35" s="62"/>
      <c r="L35" s="62"/>
      <c r="M35" s="62"/>
      <c r="N35" s="62"/>
      <c r="O35" s="62"/>
      <c r="P35" s="62"/>
      <c r="Q35" s="62"/>
      <c r="R35" s="62"/>
      <c r="S35" s="62"/>
      <c r="T35" s="62"/>
      <c r="U35" s="62"/>
      <c r="V35" s="62"/>
      <c r="W35" s="62"/>
      <c r="X35" s="62"/>
      <c r="Y35" s="62"/>
      <c r="Z35" s="62"/>
    </row>
    <row r="36">
      <c r="A36" s="62" t="str">
        <f>IFERROR(__xludf.DUMMYFUNCTION("""COMPUTED_VALUE"""),"Contacted")</f>
        <v>Contacted</v>
      </c>
      <c r="B36" s="62" t="str">
        <f>IFERROR(__xludf.DUMMYFUNCTION("""COMPUTED_VALUE"""),"")</f>
        <v/>
      </c>
      <c r="C36" s="62" t="str">
        <f>IFERROR(__xludf.DUMMYFUNCTION("""COMPUTED_VALUE"""),"")</f>
        <v/>
      </c>
      <c r="D36" s="62" t="str">
        <f>IFERROR(__xludf.DUMMYFUNCTION("""COMPUTED_VALUE"""),"")</f>
        <v/>
      </c>
      <c r="E36" s="62" t="str">
        <f>IFERROR(__xludf.DUMMYFUNCTION("""COMPUTED_VALUE"""),"Baseline")</f>
        <v>Baseline</v>
      </c>
      <c r="F36" s="62" t="str">
        <f>IFERROR(__xludf.DUMMYFUNCTION("""COMPUTED_VALUE"""),"")</f>
        <v/>
      </c>
      <c r="G36" s="62" t="str">
        <f>IFERROR(__xludf.DUMMYFUNCTION("""COMPUTED_VALUE"""),"Bianca Tesi")</f>
        <v>Bianca Tesi</v>
      </c>
      <c r="H36" s="62" t="str">
        <f>IFERROR(__xludf.DUMMYFUNCTION("""COMPUTED_VALUE"""),"bianca.tesi@sll.se")</f>
        <v>bianca.tesi@sll.se</v>
      </c>
      <c r="I36" s="62" t="str">
        <f>IFERROR(__xludf.DUMMYFUNCTION("""COMPUTED_VALUE"""),"Post Doc/Resident/Fellow (MD and/or PhD)")</f>
        <v>Post Doc/Resident/Fellow (MD and/or PhD)</v>
      </c>
      <c r="J36" s="62"/>
      <c r="K36" s="62"/>
      <c r="L36" s="62"/>
      <c r="M36" s="62"/>
      <c r="N36" s="62"/>
      <c r="O36" s="62"/>
      <c r="P36" s="62"/>
      <c r="Q36" s="62"/>
      <c r="R36" s="62"/>
      <c r="S36" s="62"/>
      <c r="T36" s="62"/>
      <c r="U36" s="62"/>
      <c r="V36" s="62"/>
      <c r="W36" s="62"/>
      <c r="X36" s="62"/>
      <c r="Y36" s="62"/>
      <c r="Z36" s="62"/>
    </row>
    <row r="37">
      <c r="A37" s="62" t="str">
        <f>IFERROR(__xludf.DUMMYFUNCTION("""COMPUTED_VALUE"""),"Contacted")</f>
        <v>Contacted</v>
      </c>
      <c r="B37" s="62" t="str">
        <f>IFERROR(__xludf.DUMMYFUNCTION("""COMPUTED_VALUE"""),"")</f>
        <v/>
      </c>
      <c r="C37" s="81" t="str">
        <f>IFERROR(__xludf.DUMMYFUNCTION("""COMPUTED_VALUE"""),"")</f>
        <v/>
      </c>
      <c r="D37" s="62" t="str">
        <f>IFERROR(__xludf.DUMMYFUNCTION("""COMPUTED_VALUE"""),"")</f>
        <v/>
      </c>
      <c r="E37" s="62" t="str">
        <f>IFERROR(__xludf.DUMMYFUNCTION("""COMPUTED_VALUE"""),"Baseline")</f>
        <v>Baseline</v>
      </c>
      <c r="F37" s="62" t="str">
        <f>IFERROR(__xludf.DUMMYFUNCTION("""COMPUTED_VALUE"""),"")</f>
        <v/>
      </c>
      <c r="G37" s="62" t="str">
        <f>IFERROR(__xludf.DUMMYFUNCTION("""COMPUTED_VALUE"""),"Danielle Mouhlas")</f>
        <v>Danielle Mouhlas</v>
      </c>
      <c r="H37" s="62" t="str">
        <f>IFERROR(__xludf.DUMMYFUNCTION("""COMPUTED_VALUE"""),"danielle.mouhlas@nationwidechildrens.org")</f>
        <v>danielle.mouhlas@nationwidechildrens.org</v>
      </c>
      <c r="I37" s="62" t="str">
        <f>IFERROR(__xludf.DUMMYFUNCTION("""COMPUTED_VALUE"""),"Genetic counselor")</f>
        <v>Genetic counselor</v>
      </c>
      <c r="J37" s="62"/>
      <c r="K37" s="62"/>
      <c r="L37" s="62"/>
      <c r="M37" s="62"/>
      <c r="N37" s="62"/>
      <c r="O37" s="62"/>
      <c r="P37" s="62"/>
      <c r="Q37" s="62"/>
      <c r="R37" s="62"/>
      <c r="S37" s="62"/>
      <c r="T37" s="62"/>
      <c r="U37" s="62"/>
      <c r="V37" s="62"/>
      <c r="W37" s="62"/>
      <c r="X37" s="62"/>
      <c r="Y37" s="62"/>
      <c r="Z37" s="62"/>
    </row>
    <row r="38">
      <c r="A38" s="62" t="str">
        <f>IFERROR(__xludf.DUMMYFUNCTION("""COMPUTED_VALUE"""),"Contacted")</f>
        <v>Contacted</v>
      </c>
      <c r="B38" s="62" t="str">
        <f>IFERROR(__xludf.DUMMYFUNCTION("""COMPUTED_VALUE"""),"")</f>
        <v/>
      </c>
      <c r="C38" s="62" t="str">
        <f>IFERROR(__xludf.DUMMYFUNCTION("""COMPUTED_VALUE"""),"")</f>
        <v/>
      </c>
      <c r="D38" s="62" t="str">
        <f>IFERROR(__xludf.DUMMYFUNCTION("""COMPUTED_VALUE"""),"")</f>
        <v/>
      </c>
      <c r="E38" s="62" t="str">
        <f>IFERROR(__xludf.DUMMYFUNCTION("""COMPUTED_VALUE"""),"Baseline")</f>
        <v>Baseline</v>
      </c>
      <c r="F38" s="62" t="str">
        <f>IFERROR(__xludf.DUMMYFUNCTION("""COMPUTED_VALUE"""),"")</f>
        <v/>
      </c>
      <c r="G38" s="62" t="str">
        <f>IFERROR(__xludf.DUMMYFUNCTION("""COMPUTED_VALUE"""),"Marcela Dias Hanna")</f>
        <v>Marcela Dias Hanna</v>
      </c>
      <c r="H38" s="62" t="str">
        <f>IFERROR(__xludf.DUMMYFUNCTION("""COMPUTED_VALUE"""),"marcelahanna8@gmail.com")</f>
        <v>marcelahanna8@gmail.com</v>
      </c>
      <c r="I38" s="62" t="str">
        <f>IFERROR(__xludf.DUMMYFUNCTION("""COMPUTED_VALUE"""),"Graduate Student")</f>
        <v>Graduate Student</v>
      </c>
      <c r="J38" s="62"/>
      <c r="K38" s="62"/>
      <c r="L38" s="62"/>
      <c r="M38" s="62"/>
      <c r="N38" s="62"/>
      <c r="O38" s="62"/>
      <c r="P38" s="62"/>
      <c r="Q38" s="62"/>
      <c r="R38" s="62"/>
      <c r="S38" s="62"/>
      <c r="T38" s="62"/>
      <c r="U38" s="62"/>
      <c r="V38" s="62"/>
      <c r="W38" s="62"/>
      <c r="X38" s="62"/>
      <c r="Y38" s="62"/>
      <c r="Z38" s="62"/>
    </row>
    <row r="39">
      <c r="A39" s="62" t="str">
        <f>IFERROR(__xludf.DUMMYFUNCTION("""COMPUTED_VALUE"""),"Contacted")</f>
        <v>Contacted</v>
      </c>
      <c r="B39" s="62" t="str">
        <f>IFERROR(__xludf.DUMMYFUNCTION("""COMPUTED_VALUE"""),"")</f>
        <v/>
      </c>
      <c r="C39" s="62" t="str">
        <f>IFERROR(__xludf.DUMMYFUNCTION("""COMPUTED_VALUE"""),"")</f>
        <v/>
      </c>
      <c r="D39" s="62" t="str">
        <f>IFERROR(__xludf.DUMMYFUNCTION("""COMPUTED_VALUE"""),"")</f>
        <v/>
      </c>
      <c r="E39" s="62" t="str">
        <f>IFERROR(__xludf.DUMMYFUNCTION("""COMPUTED_VALUE"""),"Baseline")</f>
        <v>Baseline</v>
      </c>
      <c r="F39" s="62" t="str">
        <f>IFERROR(__xludf.DUMMYFUNCTION("""COMPUTED_VALUE"""),"")</f>
        <v/>
      </c>
      <c r="G39" s="62" t="str">
        <f>IFERROR(__xludf.DUMMYFUNCTION("""COMPUTED_VALUE"""),"Natalie Hollister")</f>
        <v>Natalie Hollister</v>
      </c>
      <c r="H39" s="62" t="str">
        <f>IFERROR(__xludf.DUMMYFUNCTION("""COMPUTED_VALUE"""),"nsh10@alumni.duke.edu")</f>
        <v>nsh10@alumni.duke.edu</v>
      </c>
      <c r="I39" s="62" t="str">
        <f>IFERROR(__xludf.DUMMYFUNCTION("""COMPUTED_VALUE"""),"Graduate Student")</f>
        <v>Graduate Student</v>
      </c>
      <c r="J39" s="62"/>
      <c r="K39" s="62"/>
      <c r="L39" s="62"/>
      <c r="M39" s="62"/>
      <c r="N39" s="62"/>
      <c r="O39" s="62"/>
      <c r="P39" s="62"/>
      <c r="Q39" s="62"/>
      <c r="R39" s="62"/>
      <c r="S39" s="62"/>
      <c r="T39" s="62"/>
      <c r="U39" s="62"/>
      <c r="V39" s="62"/>
      <c r="W39" s="62"/>
      <c r="X39" s="62"/>
      <c r="Y39" s="62"/>
      <c r="Z39" s="62"/>
    </row>
    <row r="40">
      <c r="A40" s="62" t="str">
        <f>IFERROR(__xludf.DUMMYFUNCTION("""COMPUTED_VALUE"""),"Unassigned")</f>
        <v>Unassigned</v>
      </c>
      <c r="B40" s="62" t="str">
        <f>IFERROR(__xludf.DUMMYFUNCTION("""COMPUTED_VALUE"""),"")</f>
        <v/>
      </c>
      <c r="C40" s="62" t="str">
        <f>IFERROR(__xludf.DUMMYFUNCTION("""COMPUTED_VALUE"""),"")</f>
        <v/>
      </c>
      <c r="D40" s="62" t="str">
        <f>IFERROR(__xludf.DUMMYFUNCTION("""COMPUTED_VALUE"""),"")</f>
        <v/>
      </c>
      <c r="E40" s="62" t="str">
        <f>IFERROR(__xludf.DUMMYFUNCTION("""COMPUTED_VALUE"""),"Gene Disease Validity")</f>
        <v>Gene Disease Validity</v>
      </c>
      <c r="F40" s="62" t="str">
        <f>IFERROR(__xludf.DUMMYFUNCTION("""COMPUTED_VALUE"""),"")</f>
        <v/>
      </c>
      <c r="G40" s="62" t="str">
        <f>IFERROR(__xludf.DUMMYFUNCTION("""COMPUTED_VALUE"""),"Konstantinos Varvagiannis")</f>
        <v>Konstantinos Varvagiannis</v>
      </c>
      <c r="H40" s="62" t="str">
        <f>IFERROR(__xludf.DUMMYFUNCTION("""COMPUTED_VALUE"""),"knsvarv@ath.forthnet.gr")</f>
        <v>knsvarv@ath.forthnet.gr</v>
      </c>
      <c r="I40" s="62" t="str">
        <f>IFERROR(__xludf.DUMMYFUNCTION("""COMPUTED_VALUE"""),"Clinical Medical Geneticist")</f>
        <v>Clinical Medical Geneticist</v>
      </c>
      <c r="J40" s="62"/>
      <c r="K40" s="62"/>
      <c r="L40" s="62"/>
      <c r="M40" s="62"/>
      <c r="N40" s="62"/>
      <c r="O40" s="62"/>
      <c r="P40" s="62"/>
      <c r="Q40" s="62"/>
      <c r="R40" s="62"/>
      <c r="S40" s="62"/>
      <c r="T40" s="62"/>
      <c r="U40" s="62"/>
      <c r="V40" s="62"/>
      <c r="W40" s="62"/>
      <c r="X40" s="62"/>
      <c r="Y40" s="62"/>
      <c r="Z40" s="62"/>
    </row>
    <row r="41">
      <c r="A41" s="62" t="str">
        <f>IFERROR(__xludf.DUMMYFUNCTION("""COMPUTED_VALUE"""),"Assigned")</f>
        <v>Assigned</v>
      </c>
      <c r="B41" s="62" t="str">
        <f>IFERROR(__xludf.DUMMYFUNCTION("""COMPUTED_VALUE"""),"")</f>
        <v/>
      </c>
      <c r="C41" s="62" t="str">
        <f>IFERROR(__xludf.DUMMYFUNCTION("""COMPUTED_VALUE"""),"")</f>
        <v/>
      </c>
      <c r="D41" s="62" t="str">
        <f>IFERROR(__xludf.DUMMYFUNCTION("""COMPUTED_VALUE"""),"")</f>
        <v/>
      </c>
      <c r="E41" s="62" t="str">
        <f>IFERROR(__xludf.DUMMYFUNCTION("""COMPUTED_VALUE"""),"Baseline")</f>
        <v>Baseline</v>
      </c>
      <c r="F41" s="62" t="str">
        <f>IFERROR(__xludf.DUMMYFUNCTION("""COMPUTED_VALUE"""),"")</f>
        <v/>
      </c>
      <c r="G41" s="62" t="str">
        <f>IFERROR(__xludf.DUMMYFUNCTION("""COMPUTED_VALUE"""),"Ernie Hobbs")</f>
        <v>Ernie Hobbs</v>
      </c>
      <c r="H41" s="62" t="str">
        <f>IFERROR(__xludf.DUMMYFUNCTION("""COMPUTED_VALUE"""),"ernie.hobbs@congenica.com")</f>
        <v>ernie.hobbs@congenica.com</v>
      </c>
      <c r="I41" s="62" t="str">
        <f>IFERROR(__xludf.DUMMYFUNCTION("""COMPUTED_VALUE"""),"Citizen Scientist/Patient Advocate")</f>
        <v>Citizen Scientist/Patient Advocate</v>
      </c>
      <c r="J41" s="62"/>
      <c r="K41" s="62"/>
      <c r="L41" s="62"/>
      <c r="M41" s="62"/>
      <c r="N41" s="62"/>
      <c r="O41" s="62"/>
      <c r="P41" s="62"/>
      <c r="Q41" s="62"/>
      <c r="R41" s="62"/>
      <c r="S41" s="62"/>
      <c r="T41" s="62"/>
      <c r="U41" s="62"/>
      <c r="V41" s="62"/>
      <c r="W41" s="62"/>
      <c r="X41" s="62"/>
      <c r="Y41" s="62"/>
      <c r="Z41" s="62"/>
    </row>
    <row r="42">
      <c r="A42" s="62" t="str">
        <f>IFERROR(__xludf.DUMMYFUNCTION("""COMPUTED_VALUE"""),"Contacted")</f>
        <v>Contacted</v>
      </c>
      <c r="B42" s="62" t="str">
        <f>IFERROR(__xludf.DUMMYFUNCTION("""COMPUTED_VALUE"""),"")</f>
        <v/>
      </c>
      <c r="C42" s="62" t="str">
        <f>IFERROR(__xludf.DUMMYFUNCTION("""COMPUTED_VALUE"""),"")</f>
        <v/>
      </c>
      <c r="D42" s="62" t="str">
        <f>IFERROR(__xludf.DUMMYFUNCTION("""COMPUTED_VALUE"""),"")</f>
        <v/>
      </c>
      <c r="E42" s="62" t="str">
        <f>IFERROR(__xludf.DUMMYFUNCTION("""COMPUTED_VALUE"""),"Baseline")</f>
        <v>Baseline</v>
      </c>
      <c r="F42" s="62" t="str">
        <f>IFERROR(__xludf.DUMMYFUNCTION("""COMPUTED_VALUE"""),"")</f>
        <v/>
      </c>
      <c r="G42" s="62" t="str">
        <f>IFERROR(__xludf.DUMMYFUNCTION("""COMPUTED_VALUE"""),"Sandy Au")</f>
        <v>Sandy Au</v>
      </c>
      <c r="H42" s="62" t="str">
        <f>IFERROR(__xludf.DUMMYFUNCTION("""COMPUTED_VALUE"""),"alkuen@hku.hk")</f>
        <v>alkuen@hku.hk</v>
      </c>
      <c r="I42" s="62" t="str">
        <f>IFERROR(__xludf.DUMMYFUNCTION("""COMPUTED_VALUE"""),"Scientific Researcher")</f>
        <v>Scientific Researcher</v>
      </c>
      <c r="J42" s="62"/>
      <c r="K42" s="62"/>
      <c r="L42" s="62"/>
      <c r="M42" s="62"/>
      <c r="N42" s="62"/>
      <c r="O42" s="62"/>
      <c r="P42" s="62"/>
      <c r="Q42" s="62"/>
      <c r="R42" s="62"/>
      <c r="S42" s="62"/>
      <c r="T42" s="62"/>
      <c r="U42" s="62"/>
      <c r="V42" s="62"/>
      <c r="W42" s="62"/>
      <c r="X42" s="62"/>
      <c r="Y42" s="62"/>
      <c r="Z42" s="62"/>
    </row>
    <row r="43">
      <c r="A43" s="62" t="str">
        <f>IFERROR(__xludf.DUMMYFUNCTION("""COMPUTED_VALUE"""),"Contacted")</f>
        <v>Contacted</v>
      </c>
      <c r="B43" s="81" t="str">
        <f>IFERROR(__xludf.DUMMYFUNCTION("""COMPUTED_VALUE"""),"")</f>
        <v/>
      </c>
      <c r="C43" s="77" t="str">
        <f>IFERROR(__xludf.DUMMYFUNCTION("""COMPUTED_VALUE"""),"")</f>
        <v/>
      </c>
      <c r="D43" s="62" t="str">
        <f>IFERROR(__xludf.DUMMYFUNCTION("""COMPUTED_VALUE"""),"No")</f>
        <v>No</v>
      </c>
      <c r="E43" s="62" t="str">
        <f>IFERROR(__xludf.DUMMYFUNCTION("""COMPUTED_VALUE"""),"Baseline")</f>
        <v>Baseline</v>
      </c>
      <c r="F43" s="62" t="str">
        <f>IFERROR(__xludf.DUMMYFUNCTION("""COMPUTED_VALUE"""),"")</f>
        <v/>
      </c>
      <c r="G43" s="62" t="str">
        <f>IFERROR(__xludf.DUMMYFUNCTION("""COMPUTED_VALUE"""),"Malak Ashraf")</f>
        <v>Malak Ashraf</v>
      </c>
      <c r="H43" s="62" t="str">
        <f>IFERROR(__xludf.DUMMYFUNCTION("""COMPUTED_VALUE"""),"malak.2118144@stemkalubya.moe.edu.eg")</f>
        <v>malak.2118144@stemkalubya.moe.edu.eg</v>
      </c>
      <c r="I43" s="62" t="str">
        <f>IFERROR(__xludf.DUMMYFUNCTION("""COMPUTED_VALUE"""),"High School Student")</f>
        <v>High School Student</v>
      </c>
      <c r="J43" s="62"/>
      <c r="K43" s="62"/>
      <c r="L43" s="62"/>
      <c r="M43" s="62"/>
      <c r="N43" s="62"/>
      <c r="O43" s="62"/>
      <c r="P43" s="62"/>
      <c r="Q43" s="62"/>
      <c r="R43" s="62"/>
      <c r="S43" s="62"/>
      <c r="T43" s="62"/>
      <c r="U43" s="62"/>
      <c r="V43" s="62"/>
      <c r="W43" s="62"/>
      <c r="X43" s="62"/>
      <c r="Y43" s="62"/>
      <c r="Z43" s="62"/>
    </row>
    <row r="44">
      <c r="A44" s="62" t="str">
        <f>IFERROR(__xludf.DUMMYFUNCTION("""COMPUTED_VALUE"""),"Contacted")</f>
        <v>Contacted</v>
      </c>
      <c r="B44" s="62" t="str">
        <f>IFERROR(__xludf.DUMMYFUNCTION("""COMPUTED_VALUE"""),"")</f>
        <v/>
      </c>
      <c r="C44" s="62" t="str">
        <f>IFERROR(__xludf.DUMMYFUNCTION("""COMPUTED_VALUE"""),"")</f>
        <v/>
      </c>
      <c r="D44" s="62" t="str">
        <f>IFERROR(__xludf.DUMMYFUNCTION("""COMPUTED_VALUE"""),"")</f>
        <v/>
      </c>
      <c r="E44" s="62" t="str">
        <f>IFERROR(__xludf.DUMMYFUNCTION("""COMPUTED_VALUE"""),"Baseline")</f>
        <v>Baseline</v>
      </c>
      <c r="F44" s="62" t="str">
        <f>IFERROR(__xludf.DUMMYFUNCTION("""COMPUTED_VALUE"""),"")</f>
        <v/>
      </c>
      <c r="G44" s="62" t="str">
        <f>IFERROR(__xludf.DUMMYFUNCTION("""COMPUTED_VALUE"""),"Helen O'Shea")</f>
        <v>Helen O'Shea</v>
      </c>
      <c r="H44" s="62" t="str">
        <f>IFERROR(__xludf.DUMMYFUNCTION("""COMPUTED_VALUE"""),"helen.oshea@olchc.ie")</f>
        <v>helen.oshea@olchc.ie</v>
      </c>
      <c r="I44" s="62" t="str">
        <f>IFERROR(__xludf.DUMMYFUNCTION("""COMPUTED_VALUE"""),"Clinical laboratory geneticist")</f>
        <v>Clinical laboratory geneticist</v>
      </c>
      <c r="J44" s="62"/>
      <c r="K44" s="62"/>
      <c r="L44" s="62"/>
      <c r="M44" s="62"/>
      <c r="N44" s="62"/>
      <c r="O44" s="62"/>
      <c r="P44" s="62"/>
      <c r="Q44" s="62"/>
      <c r="R44" s="62"/>
      <c r="S44" s="62"/>
      <c r="T44" s="62"/>
      <c r="U44" s="62"/>
      <c r="V44" s="62"/>
      <c r="W44" s="62"/>
      <c r="X44" s="62"/>
      <c r="Y44" s="62"/>
      <c r="Z44" s="62"/>
    </row>
    <row r="45">
      <c r="A45" s="62" t="str">
        <f>IFERROR(__xludf.DUMMYFUNCTION("""COMPUTED_VALUE"""),"Contacted")</f>
        <v>Contacted</v>
      </c>
      <c r="B45" s="62" t="str">
        <f>IFERROR(__xludf.DUMMYFUNCTION("""COMPUTED_VALUE"""),"")</f>
        <v/>
      </c>
      <c r="C45" s="62" t="str">
        <f>IFERROR(__xludf.DUMMYFUNCTION("""COMPUTED_VALUE"""),"")</f>
        <v/>
      </c>
      <c r="D45" s="62" t="str">
        <f>IFERROR(__xludf.DUMMYFUNCTION("""COMPUTED_VALUE"""),"")</f>
        <v/>
      </c>
      <c r="E45" s="62" t="str">
        <f>IFERROR(__xludf.DUMMYFUNCTION("""COMPUTED_VALUE"""),"Baseline")</f>
        <v>Baseline</v>
      </c>
      <c r="F45" s="62" t="str">
        <f>IFERROR(__xludf.DUMMYFUNCTION("""COMPUTED_VALUE"""),"")</f>
        <v/>
      </c>
      <c r="G45" s="62" t="str">
        <f>IFERROR(__xludf.DUMMYFUNCTION("""COMPUTED_VALUE"""),"Panos Sergouniotis")</f>
        <v>Panos Sergouniotis</v>
      </c>
      <c r="H45" s="62" t="str">
        <f>IFERROR(__xludf.DUMMYFUNCTION("""COMPUTED_VALUE"""),"panagiotis.sergouniotis@manchester.ac.uk")</f>
        <v>panagiotis.sergouniotis@manchester.ac.uk</v>
      </c>
      <c r="I45" s="62" t="str">
        <f>IFERROR(__xludf.DUMMYFUNCTION("""COMPUTED_VALUE"""),"I am a qualified Ophthalmologist (FEBO, FRCOphth) with an interest in Ophtalmic Genetics")</f>
        <v>I am a qualified Ophthalmologist (FEBO, FRCOphth) with an interest in Ophtalmic Genetics</v>
      </c>
      <c r="J45" s="62"/>
      <c r="K45" s="62"/>
      <c r="L45" s="62"/>
      <c r="M45" s="62"/>
      <c r="N45" s="62"/>
      <c r="O45" s="62"/>
      <c r="P45" s="62"/>
      <c r="Q45" s="62"/>
      <c r="R45" s="62"/>
      <c r="S45" s="62"/>
      <c r="T45" s="62"/>
      <c r="U45" s="62"/>
      <c r="V45" s="62"/>
      <c r="W45" s="62"/>
      <c r="X45" s="62"/>
      <c r="Y45" s="62"/>
      <c r="Z45" s="62"/>
    </row>
    <row r="46">
      <c r="A46" s="62" t="str">
        <f>IFERROR(__xludf.DUMMYFUNCTION("""COMPUTED_VALUE"""),"Contacted")</f>
        <v>Contacted</v>
      </c>
      <c r="B46" s="62" t="str">
        <f>IFERROR(__xludf.DUMMYFUNCTION("""COMPUTED_VALUE"""),"")</f>
        <v/>
      </c>
      <c r="C46" s="62" t="str">
        <f>IFERROR(__xludf.DUMMYFUNCTION("""COMPUTED_VALUE"""),"")</f>
        <v/>
      </c>
      <c r="D46" s="62" t="str">
        <f>IFERROR(__xludf.DUMMYFUNCTION("""COMPUTED_VALUE"""),"")</f>
        <v/>
      </c>
      <c r="E46" s="62" t="str">
        <f>IFERROR(__xludf.DUMMYFUNCTION("""COMPUTED_VALUE"""),"Baseline")</f>
        <v>Baseline</v>
      </c>
      <c r="F46" s="62" t="str">
        <f>IFERROR(__xludf.DUMMYFUNCTION("""COMPUTED_VALUE"""),"")</f>
        <v/>
      </c>
      <c r="G46" s="62" t="str">
        <f>IFERROR(__xludf.DUMMYFUNCTION("""COMPUTED_VALUE"""),"Sarah Payne ")</f>
        <v>Sarah Payne </v>
      </c>
      <c r="H46" s="62" t="str">
        <f>IFERROR(__xludf.DUMMYFUNCTION("""COMPUTED_VALUE"""),"sarahhale79@gmail.com")</f>
        <v>sarahhale79@gmail.com</v>
      </c>
      <c r="I46" s="62" t="str">
        <f>IFERROR(__xludf.DUMMYFUNCTION("""COMPUTED_VALUE"""),"Female family with unknown genetic disorder ")</f>
        <v>Female family with unknown genetic disorder </v>
      </c>
      <c r="J46" s="62"/>
      <c r="K46" s="62"/>
      <c r="L46" s="62"/>
      <c r="M46" s="62"/>
      <c r="N46" s="62"/>
      <c r="O46" s="62"/>
      <c r="P46" s="62"/>
      <c r="Q46" s="62"/>
      <c r="R46" s="62"/>
      <c r="S46" s="62"/>
      <c r="T46" s="62"/>
      <c r="U46" s="62"/>
      <c r="V46" s="62"/>
      <c r="W46" s="62"/>
      <c r="X46" s="62"/>
      <c r="Y46" s="62"/>
      <c r="Z46" s="62"/>
    </row>
    <row r="47">
      <c r="A47" s="62" t="str">
        <f>IFERROR(__xludf.DUMMYFUNCTION("""COMPUTED_VALUE"""),"Contacted")</f>
        <v>Contacted</v>
      </c>
      <c r="B47" s="62" t="str">
        <f>IFERROR(__xludf.DUMMYFUNCTION("""COMPUTED_VALUE"""),"")</f>
        <v/>
      </c>
      <c r="C47" s="62" t="str">
        <f>IFERROR(__xludf.DUMMYFUNCTION("""COMPUTED_VALUE"""),"")</f>
        <v/>
      </c>
      <c r="D47" s="62" t="str">
        <f>IFERROR(__xludf.DUMMYFUNCTION("""COMPUTED_VALUE"""),"")</f>
        <v/>
      </c>
      <c r="E47" s="62" t="str">
        <f>IFERROR(__xludf.DUMMYFUNCTION("""COMPUTED_VALUE"""),"Baseline")</f>
        <v>Baseline</v>
      </c>
      <c r="F47" s="62" t="str">
        <f>IFERROR(__xludf.DUMMYFUNCTION("""COMPUTED_VALUE"""),"")</f>
        <v/>
      </c>
      <c r="G47" s="62" t="str">
        <f>IFERROR(__xludf.DUMMYFUNCTION("""COMPUTED_VALUE"""),"Pradeep Varathan")</f>
        <v>Pradeep Varathan</v>
      </c>
      <c r="H47" s="62" t="str">
        <f>IFERROR(__xludf.DUMMYFUNCTION("""COMPUTED_VALUE"""),"pradluzog@gmail.com")</f>
        <v>pradluzog@gmail.com</v>
      </c>
      <c r="I47" s="62" t="str">
        <f>IFERROR(__xludf.DUMMYFUNCTION("""COMPUTED_VALUE"""),"Graduate Student")</f>
        <v>Graduate Student</v>
      </c>
      <c r="J47" s="62"/>
      <c r="K47" s="62"/>
      <c r="L47" s="62"/>
      <c r="M47" s="62"/>
      <c r="N47" s="62"/>
      <c r="O47" s="62"/>
      <c r="P47" s="62"/>
      <c r="Q47" s="62"/>
      <c r="R47" s="62"/>
      <c r="S47" s="62"/>
      <c r="T47" s="62"/>
      <c r="U47" s="62"/>
      <c r="V47" s="62"/>
      <c r="W47" s="62"/>
      <c r="X47" s="62"/>
      <c r="Y47" s="62"/>
      <c r="Z47" s="62"/>
    </row>
    <row r="48">
      <c r="A48" s="62" t="str">
        <f>IFERROR(__xludf.DUMMYFUNCTION("""COMPUTED_VALUE"""),"Contacted")</f>
        <v>Contacted</v>
      </c>
      <c r="B48" s="62" t="str">
        <f>IFERROR(__xludf.DUMMYFUNCTION("""COMPUTED_VALUE"""),"")</f>
        <v/>
      </c>
      <c r="C48" s="62" t="str">
        <f>IFERROR(__xludf.DUMMYFUNCTION("""COMPUTED_VALUE"""),"")</f>
        <v/>
      </c>
      <c r="D48" s="62" t="str">
        <f>IFERROR(__xludf.DUMMYFUNCTION("""COMPUTED_VALUE"""),"")</f>
        <v/>
      </c>
      <c r="E48" s="62" t="str">
        <f>IFERROR(__xludf.DUMMYFUNCTION("""COMPUTED_VALUE"""),"Baseline")</f>
        <v>Baseline</v>
      </c>
      <c r="F48" s="62" t="str">
        <f>IFERROR(__xludf.DUMMYFUNCTION("""COMPUTED_VALUE"""),"")</f>
        <v/>
      </c>
      <c r="G48" s="62" t="str">
        <f>IFERROR(__xludf.DUMMYFUNCTION("""COMPUTED_VALUE"""),"John Beilby")</f>
        <v>John Beilby</v>
      </c>
      <c r="H48" s="62" t="str">
        <f>IFERROR(__xludf.DUMMYFUNCTION("""COMPUTED_VALUE"""),"John.Beilby@health.wa.gov.au")</f>
        <v>John.Beilby@health.wa.gov.au</v>
      </c>
      <c r="I48" s="62" t="str">
        <f>IFERROR(__xludf.DUMMYFUNCTION("""COMPUTED_VALUE"""),"Clinical laboratory geneticist")</f>
        <v>Clinical laboratory geneticist</v>
      </c>
      <c r="J48" s="62"/>
      <c r="K48" s="62"/>
      <c r="L48" s="62"/>
      <c r="M48" s="62"/>
      <c r="N48" s="62"/>
      <c r="O48" s="62"/>
      <c r="P48" s="62"/>
      <c r="Q48" s="62"/>
      <c r="R48" s="62"/>
      <c r="S48" s="62"/>
      <c r="T48" s="62"/>
      <c r="U48" s="62"/>
      <c r="V48" s="62"/>
      <c r="W48" s="62"/>
      <c r="X48" s="62"/>
      <c r="Y48" s="62"/>
      <c r="Z48" s="62"/>
    </row>
    <row r="49">
      <c r="A49" s="62" t="str">
        <f>IFERROR(__xludf.DUMMYFUNCTION("""COMPUTED_VALUE"""),"Contacted")</f>
        <v>Contacted</v>
      </c>
      <c r="B49" s="62" t="str">
        <f>IFERROR(__xludf.DUMMYFUNCTION("""COMPUTED_VALUE"""),"")</f>
        <v/>
      </c>
      <c r="C49" s="62" t="str">
        <f>IFERROR(__xludf.DUMMYFUNCTION("""COMPUTED_VALUE"""),"")</f>
        <v/>
      </c>
      <c r="D49" s="62" t="str">
        <f>IFERROR(__xludf.DUMMYFUNCTION("""COMPUTED_VALUE"""),"")</f>
        <v/>
      </c>
      <c r="E49" s="62" t="str">
        <f>IFERROR(__xludf.DUMMYFUNCTION("""COMPUTED_VALUE"""),"Baseline")</f>
        <v>Baseline</v>
      </c>
      <c r="F49" s="62" t="str">
        <f>IFERROR(__xludf.DUMMYFUNCTION("""COMPUTED_VALUE"""),"")</f>
        <v/>
      </c>
      <c r="G49" s="62" t="str">
        <f>IFERROR(__xludf.DUMMYFUNCTION("""COMPUTED_VALUE"""),"Hari Subramanian")</f>
        <v>Hari Subramanian</v>
      </c>
      <c r="H49" s="62" t="str">
        <f>IFERROR(__xludf.DUMMYFUNCTION("""COMPUTED_VALUE"""),"hsubramanian@bsd.uchicago.edu")</f>
        <v>hsubramanian@bsd.uchicago.edu</v>
      </c>
      <c r="I49" s="62" t="str">
        <f>IFERROR(__xludf.DUMMYFUNCTION("""COMPUTED_VALUE"""),"Bioinformatician, Clinical Diagnostics Lab")</f>
        <v>Bioinformatician, Clinical Diagnostics Lab</v>
      </c>
      <c r="J49" s="62"/>
      <c r="K49" s="62"/>
      <c r="L49" s="62"/>
      <c r="M49" s="62"/>
      <c r="N49" s="62"/>
      <c r="O49" s="62"/>
      <c r="P49" s="62"/>
      <c r="Q49" s="62"/>
      <c r="R49" s="62"/>
      <c r="S49" s="62"/>
      <c r="T49" s="62"/>
      <c r="U49" s="62"/>
      <c r="V49" s="62"/>
      <c r="W49" s="62"/>
      <c r="X49" s="62"/>
      <c r="Y49" s="62"/>
      <c r="Z49" s="62"/>
    </row>
    <row r="50">
      <c r="A50" s="62" t="str">
        <f>IFERROR(__xludf.DUMMYFUNCTION("""COMPUTED_VALUE"""),"Contacted")</f>
        <v>Contacted</v>
      </c>
      <c r="B50" s="62" t="str">
        <f>IFERROR(__xludf.DUMMYFUNCTION("""COMPUTED_VALUE"""),"")</f>
        <v/>
      </c>
      <c r="C50" s="62" t="str">
        <f>IFERROR(__xludf.DUMMYFUNCTION("""COMPUTED_VALUE"""),"")</f>
        <v/>
      </c>
      <c r="D50" s="62" t="str">
        <f>IFERROR(__xludf.DUMMYFUNCTION("""COMPUTED_VALUE"""),"")</f>
        <v/>
      </c>
      <c r="E50" s="62" t="str">
        <f>IFERROR(__xludf.DUMMYFUNCTION("""COMPUTED_VALUE"""),"Baseline")</f>
        <v>Baseline</v>
      </c>
      <c r="F50" s="62" t="str">
        <f>IFERROR(__xludf.DUMMYFUNCTION("""COMPUTED_VALUE"""),"")</f>
        <v/>
      </c>
      <c r="G50" s="62" t="str">
        <f>IFERROR(__xludf.DUMMYFUNCTION("""COMPUTED_VALUE"""),"Nathaniel Jue")</f>
        <v>Nathaniel Jue</v>
      </c>
      <c r="H50" s="62" t="str">
        <f>IFERROR(__xludf.DUMMYFUNCTION("""COMPUTED_VALUE"""),"njue@csumb.edu")</f>
        <v>njue@csumb.edu</v>
      </c>
      <c r="I50" s="62" t="str">
        <f>IFERROR(__xludf.DUMMYFUNCTION("""COMPUTED_VALUE"""),"Scientific Researcher")</f>
        <v>Scientific Researcher</v>
      </c>
      <c r="J50" s="62"/>
      <c r="K50" s="62"/>
      <c r="L50" s="62"/>
      <c r="M50" s="62"/>
      <c r="N50" s="62"/>
      <c r="O50" s="62"/>
      <c r="P50" s="62"/>
      <c r="Q50" s="62"/>
      <c r="R50" s="62"/>
      <c r="S50" s="62"/>
      <c r="T50" s="62"/>
      <c r="U50" s="62"/>
      <c r="V50" s="62"/>
      <c r="W50" s="62"/>
      <c r="X50" s="62"/>
      <c r="Y50" s="62"/>
      <c r="Z50" s="62"/>
    </row>
    <row r="51">
      <c r="A51" s="62" t="str">
        <f>IFERROR(__xludf.DUMMYFUNCTION("""COMPUTED_VALUE"""),"Contacted")</f>
        <v>Contacted</v>
      </c>
      <c r="B51" s="62" t="str">
        <f>IFERROR(__xludf.DUMMYFUNCTION("""COMPUTED_VALUE"""),"")</f>
        <v/>
      </c>
      <c r="C51" s="62" t="str">
        <f>IFERROR(__xludf.DUMMYFUNCTION("""COMPUTED_VALUE"""),"")</f>
        <v/>
      </c>
      <c r="D51" s="62" t="str">
        <f>IFERROR(__xludf.DUMMYFUNCTION("""COMPUTED_VALUE"""),"")</f>
        <v/>
      </c>
      <c r="E51" s="62" t="str">
        <f>IFERROR(__xludf.DUMMYFUNCTION("""COMPUTED_VALUE"""),"Baseline")</f>
        <v>Baseline</v>
      </c>
      <c r="F51" s="62" t="str">
        <f>IFERROR(__xludf.DUMMYFUNCTION("""COMPUTED_VALUE"""),"")</f>
        <v/>
      </c>
      <c r="G51" s="62" t="str">
        <f>IFERROR(__xludf.DUMMYFUNCTION("""COMPUTED_VALUE"""),"Chris Darnell")</f>
        <v>Chris Darnell</v>
      </c>
      <c r="H51" s="62" t="str">
        <f>IFERROR(__xludf.DUMMYFUNCTION("""COMPUTED_VALUE"""),"chris.darnell@bluewaterdxlab.com")</f>
        <v>chris.darnell@bluewaterdxlab.com</v>
      </c>
      <c r="I51" s="62" t="str">
        <f>IFERROR(__xludf.DUMMYFUNCTION("""COMPUTED_VALUE"""),"Laboratory Technical Supervisor")</f>
        <v>Laboratory Technical Supervisor</v>
      </c>
      <c r="J51" s="62"/>
      <c r="K51" s="62"/>
      <c r="L51" s="62"/>
      <c r="M51" s="62"/>
      <c r="N51" s="62"/>
      <c r="O51" s="62"/>
      <c r="P51" s="62"/>
      <c r="Q51" s="62"/>
      <c r="R51" s="62"/>
      <c r="S51" s="62"/>
      <c r="T51" s="62"/>
      <c r="U51" s="62"/>
      <c r="V51" s="62"/>
      <c r="W51" s="62"/>
      <c r="X51" s="62"/>
      <c r="Y51" s="62"/>
      <c r="Z51" s="62"/>
    </row>
    <row r="52">
      <c r="A52" s="62" t="str">
        <f>IFERROR(__xludf.DUMMYFUNCTION("""COMPUTED_VALUE"""),"Contacted")</f>
        <v>Contacted</v>
      </c>
      <c r="B52" s="62" t="str">
        <f>IFERROR(__xludf.DUMMYFUNCTION("""COMPUTED_VALUE"""),"")</f>
        <v/>
      </c>
      <c r="C52" s="62" t="str">
        <f>IFERROR(__xludf.DUMMYFUNCTION("""COMPUTED_VALUE"""),"")</f>
        <v/>
      </c>
      <c r="D52" s="62" t="str">
        <f>IFERROR(__xludf.DUMMYFUNCTION("""COMPUTED_VALUE"""),"")</f>
        <v/>
      </c>
      <c r="E52" s="62" t="str">
        <f>IFERROR(__xludf.DUMMYFUNCTION("""COMPUTED_VALUE"""),"Baseline")</f>
        <v>Baseline</v>
      </c>
      <c r="F52" s="62" t="str">
        <f>IFERROR(__xludf.DUMMYFUNCTION("""COMPUTED_VALUE"""),"")</f>
        <v/>
      </c>
      <c r="G52" s="62" t="str">
        <f>IFERROR(__xludf.DUMMYFUNCTION("""COMPUTED_VALUE"""),"Alexandra Miller")</f>
        <v>Alexandra Miller</v>
      </c>
      <c r="H52" s="62" t="str">
        <f>IFERROR(__xludf.DUMMYFUNCTION("""COMPUTED_VALUE"""),"miller.alexandra@mayo.edu")</f>
        <v>miller.alexandra@mayo.edu</v>
      </c>
      <c r="I52" s="62" t="str">
        <f>IFERROR(__xludf.DUMMYFUNCTION("""COMPUTED_VALUE"""),"Scientific Researcher")</f>
        <v>Scientific Researcher</v>
      </c>
      <c r="J52" s="62"/>
      <c r="K52" s="62"/>
      <c r="L52" s="62"/>
      <c r="M52" s="62"/>
      <c r="N52" s="62"/>
      <c r="O52" s="62"/>
      <c r="P52" s="62"/>
      <c r="Q52" s="62"/>
      <c r="R52" s="62"/>
      <c r="S52" s="62"/>
      <c r="T52" s="62"/>
      <c r="U52" s="62"/>
      <c r="V52" s="62"/>
      <c r="W52" s="62"/>
      <c r="X52" s="62"/>
      <c r="Y52" s="62"/>
      <c r="Z52" s="62"/>
    </row>
    <row r="53">
      <c r="A53" s="62" t="str">
        <f>IFERROR(__xludf.DUMMYFUNCTION("""COMPUTED_VALUE"""),"Contacted")</f>
        <v>Contacted</v>
      </c>
      <c r="B53" s="62" t="str">
        <f>IFERROR(__xludf.DUMMYFUNCTION("""COMPUTED_VALUE"""),"")</f>
        <v/>
      </c>
      <c r="C53" s="62" t="str">
        <f>IFERROR(__xludf.DUMMYFUNCTION("""COMPUTED_VALUE"""),"")</f>
        <v/>
      </c>
      <c r="D53" s="62" t="str">
        <f>IFERROR(__xludf.DUMMYFUNCTION("""COMPUTED_VALUE"""),"")</f>
        <v/>
      </c>
      <c r="E53" s="62" t="str">
        <f>IFERROR(__xludf.DUMMYFUNCTION("""COMPUTED_VALUE"""),"Baseline")</f>
        <v>Baseline</v>
      </c>
      <c r="F53" s="62" t="str">
        <f>IFERROR(__xludf.DUMMYFUNCTION("""COMPUTED_VALUE"""),"")</f>
        <v/>
      </c>
      <c r="G53" s="62" t="str">
        <f>IFERROR(__xludf.DUMMYFUNCTION("""COMPUTED_VALUE"""),"Carolina Bustamante")</f>
        <v>Carolina Bustamante</v>
      </c>
      <c r="H53" s="62" t="str">
        <f>IFERROR(__xludf.DUMMYFUNCTION("""COMPUTED_VALUE"""),"carolina.bustamante@gmail.com")</f>
        <v>carolina.bustamante@gmail.com</v>
      </c>
      <c r="I53" s="62" t="str">
        <f>IFERROR(__xludf.DUMMYFUNCTION("""COMPUTED_VALUE"""),"Clinical laboratory geneticist")</f>
        <v>Clinical laboratory geneticist</v>
      </c>
      <c r="J53" s="62"/>
      <c r="K53" s="62"/>
      <c r="L53" s="62"/>
      <c r="M53" s="62"/>
      <c r="N53" s="62"/>
      <c r="O53" s="62"/>
      <c r="P53" s="62"/>
      <c r="Q53" s="62"/>
      <c r="R53" s="62"/>
      <c r="S53" s="62"/>
      <c r="T53" s="62"/>
      <c r="U53" s="62"/>
      <c r="V53" s="62"/>
      <c r="W53" s="62"/>
      <c r="X53" s="62"/>
      <c r="Y53" s="62"/>
      <c r="Z53" s="62"/>
    </row>
    <row r="54">
      <c r="A54" s="62" t="str">
        <f>IFERROR(__xludf.DUMMYFUNCTION("""COMPUTED_VALUE"""),"Contacted")</f>
        <v>Contacted</v>
      </c>
      <c r="B54" s="62" t="str">
        <f>IFERROR(__xludf.DUMMYFUNCTION("""COMPUTED_VALUE"""),"")</f>
        <v/>
      </c>
      <c r="C54" s="62" t="str">
        <f>IFERROR(__xludf.DUMMYFUNCTION("""COMPUTED_VALUE"""),"")</f>
        <v/>
      </c>
      <c r="D54" s="62" t="str">
        <f>IFERROR(__xludf.DUMMYFUNCTION("""COMPUTED_VALUE"""),"")</f>
        <v/>
      </c>
      <c r="E54" s="62" t="str">
        <f>IFERROR(__xludf.DUMMYFUNCTION("""COMPUTED_VALUE"""),"Baseline")</f>
        <v>Baseline</v>
      </c>
      <c r="F54" s="62" t="str">
        <f>IFERROR(__xludf.DUMMYFUNCTION("""COMPUTED_VALUE"""),"")</f>
        <v/>
      </c>
      <c r="G54" s="62" t="str">
        <f>IFERROR(__xludf.DUMMYFUNCTION("""COMPUTED_VALUE"""),"Alex Gout")</f>
        <v>Alex Gout</v>
      </c>
      <c r="H54" s="62" t="str">
        <f>IFERROR(__xludf.DUMMYFUNCTION("""COMPUTED_VALUE"""),"alex.gout@stjude.org")</f>
        <v>alex.gout@stjude.org</v>
      </c>
      <c r="I54" s="62" t="str">
        <f>IFERROR(__xludf.DUMMYFUNCTION("""COMPUTED_VALUE"""),"Scientific Researcher")</f>
        <v>Scientific Researcher</v>
      </c>
      <c r="J54" s="62"/>
      <c r="K54" s="62"/>
      <c r="L54" s="62"/>
      <c r="M54" s="62"/>
      <c r="N54" s="62"/>
      <c r="O54" s="62"/>
      <c r="P54" s="62"/>
      <c r="Q54" s="62"/>
      <c r="R54" s="62"/>
      <c r="S54" s="62"/>
      <c r="T54" s="62"/>
      <c r="U54" s="62"/>
      <c r="V54" s="62"/>
      <c r="W54" s="62"/>
      <c r="X54" s="62"/>
      <c r="Y54" s="62"/>
      <c r="Z54" s="62"/>
    </row>
    <row r="55">
      <c r="A55" s="62" t="str">
        <f>IFERROR(__xludf.DUMMYFUNCTION("""COMPUTED_VALUE"""),"Contacted")</f>
        <v>Contacted</v>
      </c>
      <c r="B55" s="62" t="str">
        <f>IFERROR(__xludf.DUMMYFUNCTION("""COMPUTED_VALUE"""),"")</f>
        <v/>
      </c>
      <c r="C55" s="62" t="str">
        <f>IFERROR(__xludf.DUMMYFUNCTION("""COMPUTED_VALUE"""),"")</f>
        <v/>
      </c>
      <c r="D55" s="62" t="str">
        <f>IFERROR(__xludf.DUMMYFUNCTION("""COMPUTED_VALUE"""),"")</f>
        <v/>
      </c>
      <c r="E55" s="62" t="str">
        <f>IFERROR(__xludf.DUMMYFUNCTION("""COMPUTED_VALUE"""),"Baseline")</f>
        <v>Baseline</v>
      </c>
      <c r="F55" s="62" t="str">
        <f>IFERROR(__xludf.DUMMYFUNCTION("""COMPUTED_VALUE"""),"")</f>
        <v/>
      </c>
      <c r="G55" s="62" t="str">
        <f>IFERROR(__xludf.DUMMYFUNCTION("""COMPUTED_VALUE"""),"Kim Phuong Tong")</f>
        <v>Kim Phuong Tong</v>
      </c>
      <c r="H55" s="62" t="str">
        <f>IFERROR(__xludf.DUMMYFUNCTION("""COMPUTED_VALUE"""),"ktongpotter@yahoo.com")</f>
        <v>ktongpotter@yahoo.com</v>
      </c>
      <c r="I55" s="62" t="str">
        <f>IFERROR(__xludf.DUMMYFUNCTION("""COMPUTED_VALUE"""),"Citizen Scientist/Patient Advocate")</f>
        <v>Citizen Scientist/Patient Advocate</v>
      </c>
      <c r="J55" s="62"/>
      <c r="K55" s="62"/>
      <c r="L55" s="62"/>
      <c r="M55" s="62"/>
      <c r="N55" s="62"/>
      <c r="O55" s="62"/>
      <c r="P55" s="62"/>
      <c r="Q55" s="62"/>
      <c r="R55" s="62"/>
      <c r="S55" s="62"/>
      <c r="T55" s="62"/>
      <c r="U55" s="62"/>
      <c r="V55" s="62"/>
      <c r="W55" s="62"/>
      <c r="X55" s="62"/>
      <c r="Y55" s="62"/>
      <c r="Z55" s="62"/>
    </row>
    <row r="56">
      <c r="A56" s="62" t="str">
        <f>IFERROR(__xludf.DUMMYFUNCTION("""COMPUTED_VALUE"""),"Contacted")</f>
        <v>Contacted</v>
      </c>
      <c r="B56" s="62" t="str">
        <f>IFERROR(__xludf.DUMMYFUNCTION("""COMPUTED_VALUE"""),"")</f>
        <v/>
      </c>
      <c r="C56" s="62" t="str">
        <f>IFERROR(__xludf.DUMMYFUNCTION("""COMPUTED_VALUE"""),"")</f>
        <v/>
      </c>
      <c r="D56" s="62" t="str">
        <f>IFERROR(__xludf.DUMMYFUNCTION("""COMPUTED_VALUE"""),"")</f>
        <v/>
      </c>
      <c r="E56" s="62" t="str">
        <f>IFERROR(__xludf.DUMMYFUNCTION("""COMPUTED_VALUE"""),"Baseline")</f>
        <v>Baseline</v>
      </c>
      <c r="F56" s="62" t="str">
        <f>IFERROR(__xludf.DUMMYFUNCTION("""COMPUTED_VALUE"""),"")</f>
        <v/>
      </c>
      <c r="G56" s="62" t="str">
        <f>IFERROR(__xludf.DUMMYFUNCTION("""COMPUTED_VALUE"""),"C. Anwar A. Chahal")</f>
        <v>C. Anwar A. Chahal</v>
      </c>
      <c r="H56" s="62" t="str">
        <f>IFERROR(__xludf.DUMMYFUNCTION("""COMPUTED_VALUE"""),"anwar.chahal@uphs.upenn.edu")</f>
        <v>anwar.chahal@uphs.upenn.edu</v>
      </c>
      <c r="I56" s="62" t="str">
        <f>IFERROR(__xludf.DUMMYFUNCTION("""COMPUTED_VALUE"""),"Clinician Scientist, EP and Inherited CV Diseases, in final year clinical EP Fellowship")</f>
        <v>Clinician Scientist, EP and Inherited CV Diseases, in final year clinical EP Fellowship</v>
      </c>
      <c r="J56" s="62"/>
      <c r="K56" s="62"/>
      <c r="L56" s="62"/>
      <c r="M56" s="62"/>
      <c r="N56" s="62"/>
      <c r="O56" s="62"/>
      <c r="P56" s="62"/>
      <c r="Q56" s="62"/>
      <c r="R56" s="62"/>
      <c r="S56" s="62"/>
      <c r="T56" s="62"/>
      <c r="U56" s="62"/>
      <c r="V56" s="62"/>
      <c r="W56" s="62"/>
      <c r="X56" s="62"/>
      <c r="Y56" s="62"/>
      <c r="Z56" s="62"/>
    </row>
    <row r="57">
      <c r="A57" s="62" t="str">
        <f>IFERROR(__xludf.DUMMYFUNCTION("""COMPUTED_VALUE"""),"Unassigned")</f>
        <v>Unassigned</v>
      </c>
      <c r="B57" s="62" t="str">
        <f>IFERROR(__xludf.DUMMYFUNCTION("""COMPUTED_VALUE"""),"")</f>
        <v/>
      </c>
      <c r="C57" s="62" t="str">
        <f>IFERROR(__xludf.DUMMYFUNCTION("""COMPUTED_VALUE"""),"")</f>
        <v/>
      </c>
      <c r="D57" s="62" t="str">
        <f>IFERROR(__xludf.DUMMYFUNCTION("""COMPUTED_VALUE"""),"")</f>
        <v/>
      </c>
      <c r="E57" s="62" t="str">
        <f>IFERROR(__xludf.DUMMYFUNCTION("""COMPUTED_VALUE"""),"NA")</f>
        <v>NA</v>
      </c>
      <c r="F57" s="62" t="str">
        <f>IFERROR(__xludf.DUMMYFUNCTION("""COMPUTED_VALUE"""),"")</f>
        <v/>
      </c>
      <c r="G57" s="62" t="str">
        <f>IFERROR(__xludf.DUMMYFUNCTION("""COMPUTED_VALUE"""),"Brigette Brown-Kipphut")</f>
        <v>Brigette Brown-Kipphut</v>
      </c>
      <c r="H57" s="62" t="str">
        <f>IFERROR(__xludf.DUMMYFUNCTION("""COMPUTED_VALUE"""),"brigette.kipphut@agilent.com")</f>
        <v>brigette.kipphut@agilent.com</v>
      </c>
      <c r="I57" s="62" t="str">
        <f>IFERROR(__xludf.DUMMYFUNCTION("""COMPUTED_VALUE"""),"Variant Analyst/Scientist - Industry")</f>
        <v>Variant Analyst/Scientist - Industry</v>
      </c>
      <c r="J57" s="62"/>
      <c r="K57" s="62"/>
      <c r="L57" s="62"/>
      <c r="M57" s="62"/>
      <c r="N57" s="62"/>
      <c r="O57" s="62"/>
      <c r="P57" s="62"/>
      <c r="Q57" s="62"/>
      <c r="R57" s="62"/>
      <c r="S57" s="62"/>
      <c r="T57" s="62"/>
      <c r="U57" s="62"/>
      <c r="V57" s="62"/>
      <c r="W57" s="62"/>
      <c r="X57" s="62"/>
      <c r="Y57" s="62"/>
      <c r="Z57" s="62"/>
    </row>
    <row r="58">
      <c r="A58" s="62" t="str">
        <f>IFERROR(__xludf.DUMMYFUNCTION("""COMPUTED_VALUE"""),"Unassigned")</f>
        <v>Unassigned</v>
      </c>
      <c r="B58" s="62" t="str">
        <f>IFERROR(__xludf.DUMMYFUNCTION("""COMPUTED_VALUE"""),"")</f>
        <v/>
      </c>
      <c r="C58" s="62" t="str">
        <f>IFERROR(__xludf.DUMMYFUNCTION("""COMPUTED_VALUE"""),"")</f>
        <v/>
      </c>
      <c r="D58" s="62" t="str">
        <f>IFERROR(__xludf.DUMMYFUNCTION("""COMPUTED_VALUE"""),"")</f>
        <v/>
      </c>
      <c r="E58" s="62" t="str">
        <f>IFERROR(__xludf.DUMMYFUNCTION("""COMPUTED_VALUE"""),"NA")</f>
        <v>NA</v>
      </c>
      <c r="F58" s="62" t="str">
        <f>IFERROR(__xludf.DUMMYFUNCTION("""COMPUTED_VALUE"""),"")</f>
        <v/>
      </c>
      <c r="G58" s="62" t="str">
        <f>IFERROR(__xludf.DUMMYFUNCTION("""COMPUTED_VALUE"""),"Chisato Yamasaki")</f>
        <v>Chisato Yamasaki</v>
      </c>
      <c r="H58" s="62" t="str">
        <f>IFERROR(__xludf.DUMMYFUNCTION("""COMPUTED_VALUE"""),"cyamasak@eth.med.osaka-u.ac.jp")</f>
        <v>cyamasak@eth.med.osaka-u.ac.jp</v>
      </c>
      <c r="I58" s="62" t="str">
        <f>IFERROR(__xludf.DUMMYFUNCTION("""COMPUTED_VALUE"""),"Post Doc/Resident/Fellow (MD and/or PhD)")</f>
        <v>Post Doc/Resident/Fellow (MD and/or PhD)</v>
      </c>
      <c r="J58" s="62"/>
      <c r="K58" s="62"/>
      <c r="L58" s="62"/>
      <c r="M58" s="62"/>
      <c r="N58" s="62"/>
      <c r="O58" s="62"/>
      <c r="P58" s="62"/>
      <c r="Q58" s="62"/>
      <c r="R58" s="62"/>
      <c r="S58" s="62"/>
      <c r="T58" s="62"/>
      <c r="U58" s="62"/>
      <c r="V58" s="62"/>
      <c r="W58" s="62"/>
      <c r="X58" s="62"/>
      <c r="Y58" s="62"/>
      <c r="Z58" s="62"/>
    </row>
    <row r="59">
      <c r="A59" s="62" t="str">
        <f>IFERROR(__xludf.DUMMYFUNCTION("""COMPUTED_VALUE"""),"Unassigned")</f>
        <v>Unassigned</v>
      </c>
      <c r="B59" s="62" t="str">
        <f>IFERROR(__xludf.DUMMYFUNCTION("""COMPUTED_VALUE"""),"")</f>
        <v/>
      </c>
      <c r="C59" s="62" t="str">
        <f>IFERROR(__xludf.DUMMYFUNCTION("""COMPUTED_VALUE"""),"")</f>
        <v/>
      </c>
      <c r="D59" s="62" t="str">
        <f>IFERROR(__xludf.DUMMYFUNCTION("""COMPUTED_VALUE"""),"")</f>
        <v/>
      </c>
      <c r="E59" s="62" t="str">
        <f>IFERROR(__xludf.DUMMYFUNCTION("""COMPUTED_VALUE"""),"NA")</f>
        <v>NA</v>
      </c>
      <c r="F59" s="62" t="str">
        <f>IFERROR(__xludf.DUMMYFUNCTION("""COMPUTED_VALUE"""),"")</f>
        <v/>
      </c>
      <c r="G59" s="62" t="str">
        <f>IFERROR(__xludf.DUMMYFUNCTION("""COMPUTED_VALUE"""),"Patrick Forny")</f>
        <v>Patrick Forny</v>
      </c>
      <c r="H59" s="62" t="str">
        <f>IFERROR(__xludf.DUMMYFUNCTION("""COMPUTED_VALUE"""),"patrick.forny@kispi.uzh.ch")</f>
        <v>patrick.forny@kispi.uzh.ch</v>
      </c>
      <c r="I59" s="62" t="str">
        <f>IFERROR(__xludf.DUMMYFUNCTION("""COMPUTED_VALUE"""),"Post Doc/Resident/Fellow (MD and/or PhD)")</f>
        <v>Post Doc/Resident/Fellow (MD and/or PhD)</v>
      </c>
      <c r="J59" s="62"/>
      <c r="K59" s="62"/>
      <c r="L59" s="62"/>
      <c r="M59" s="62"/>
      <c r="N59" s="62"/>
      <c r="O59" s="62"/>
      <c r="P59" s="62"/>
      <c r="Q59" s="62"/>
      <c r="R59" s="62"/>
      <c r="S59" s="62"/>
      <c r="T59" s="62"/>
      <c r="U59" s="62"/>
      <c r="V59" s="62"/>
      <c r="W59" s="62"/>
      <c r="X59" s="62"/>
      <c r="Y59" s="62"/>
      <c r="Z59" s="62"/>
    </row>
    <row r="60">
      <c r="A60" s="62" t="str">
        <f>IFERROR(__xludf.DUMMYFUNCTION("""COMPUTED_VALUE"""),"Unassigned")</f>
        <v>Unassigned</v>
      </c>
      <c r="B60" s="62" t="str">
        <f>IFERROR(__xludf.DUMMYFUNCTION("""COMPUTED_VALUE"""),"")</f>
        <v/>
      </c>
      <c r="C60" s="62" t="str">
        <f>IFERROR(__xludf.DUMMYFUNCTION("""COMPUTED_VALUE"""),"")</f>
        <v/>
      </c>
      <c r="D60" s="62" t="str">
        <f>IFERROR(__xludf.DUMMYFUNCTION("""COMPUTED_VALUE"""),"")</f>
        <v/>
      </c>
      <c r="E60" s="62" t="str">
        <f>IFERROR(__xludf.DUMMYFUNCTION("""COMPUTED_VALUE"""),"NA")</f>
        <v>NA</v>
      </c>
      <c r="F60" s="62" t="str">
        <f>IFERROR(__xludf.DUMMYFUNCTION("""COMPUTED_VALUE"""),"")</f>
        <v/>
      </c>
      <c r="G60" s="62" t="str">
        <f>IFERROR(__xludf.DUMMYFUNCTION("""COMPUTED_VALUE"""),"Ximena Bonilla")</f>
        <v>Ximena Bonilla</v>
      </c>
      <c r="H60" s="62" t="str">
        <f>IFERROR(__xludf.DUMMYFUNCTION("""COMPUTED_VALUE"""),"ximena.bonilla@inf.ethz.ch")</f>
        <v>ximena.bonilla@inf.ethz.ch</v>
      </c>
      <c r="I60" s="62" t="str">
        <f>IFERROR(__xludf.DUMMYFUNCTION("""COMPUTED_VALUE"""),"Post Doc/Resident/Fellow (MD and/or PhD)")</f>
        <v>Post Doc/Resident/Fellow (MD and/or PhD)</v>
      </c>
      <c r="J60" s="62"/>
      <c r="K60" s="62"/>
      <c r="L60" s="62"/>
      <c r="M60" s="62"/>
      <c r="N60" s="62"/>
      <c r="O60" s="62"/>
      <c r="P60" s="62"/>
      <c r="Q60" s="62"/>
      <c r="R60" s="62"/>
      <c r="S60" s="62"/>
      <c r="T60" s="62"/>
      <c r="U60" s="62"/>
      <c r="V60" s="62"/>
      <c r="W60" s="62"/>
      <c r="X60" s="62"/>
      <c r="Y60" s="62"/>
      <c r="Z60" s="62"/>
    </row>
    <row r="61">
      <c r="A61" s="62" t="str">
        <f>IFERROR(__xludf.DUMMYFUNCTION("""COMPUTED_VALUE"""),"Unassigned")</f>
        <v>Unassigned</v>
      </c>
      <c r="B61" s="62" t="str">
        <f>IFERROR(__xludf.DUMMYFUNCTION("""COMPUTED_VALUE"""),"")</f>
        <v/>
      </c>
      <c r="C61" s="62" t="str">
        <f>IFERROR(__xludf.DUMMYFUNCTION("""COMPUTED_VALUE"""),"")</f>
        <v/>
      </c>
      <c r="D61" s="62" t="str">
        <f>IFERROR(__xludf.DUMMYFUNCTION("""COMPUTED_VALUE"""),"")</f>
        <v/>
      </c>
      <c r="E61" s="62" t="str">
        <f>IFERROR(__xludf.DUMMYFUNCTION("""COMPUTED_VALUE"""),"NA")</f>
        <v>NA</v>
      </c>
      <c r="F61" s="62" t="str">
        <f>IFERROR(__xludf.DUMMYFUNCTION("""COMPUTED_VALUE"""),"")</f>
        <v/>
      </c>
      <c r="G61" s="62" t="str">
        <f>IFERROR(__xludf.DUMMYFUNCTION("""COMPUTED_VALUE"""),"Lise Graversen")</f>
        <v>Lise Graversen</v>
      </c>
      <c r="H61" s="62" t="str">
        <f>IFERROR(__xludf.DUMMYFUNCTION("""COMPUTED_VALUE"""),"lisega@rm.dk")</f>
        <v>lisega@rm.dk</v>
      </c>
      <c r="I61" s="62" t="str">
        <f>IFERROR(__xludf.DUMMYFUNCTION("""COMPUTED_VALUE"""),"Clinical Medical Geneticist")</f>
        <v>Clinical Medical Geneticist</v>
      </c>
      <c r="J61" s="62"/>
      <c r="K61" s="62"/>
      <c r="L61" s="62"/>
      <c r="M61" s="62"/>
      <c r="N61" s="62"/>
      <c r="O61" s="62"/>
      <c r="P61" s="62"/>
      <c r="Q61" s="62"/>
      <c r="R61" s="62"/>
      <c r="S61" s="62"/>
      <c r="T61" s="62"/>
      <c r="U61" s="62"/>
      <c r="V61" s="62"/>
      <c r="W61" s="62"/>
      <c r="X61" s="62"/>
      <c r="Y61" s="62"/>
      <c r="Z61" s="62"/>
    </row>
    <row r="62">
      <c r="A62" s="62" t="str">
        <f>IFERROR(__xludf.DUMMYFUNCTION("""COMPUTED_VALUE"""),"Unassigned")</f>
        <v>Unassigned</v>
      </c>
      <c r="B62" s="62" t="str">
        <f>IFERROR(__xludf.DUMMYFUNCTION("""COMPUTED_VALUE"""),"")</f>
        <v/>
      </c>
      <c r="C62" s="62" t="str">
        <f>IFERROR(__xludf.DUMMYFUNCTION("""COMPUTED_VALUE"""),"")</f>
        <v/>
      </c>
      <c r="D62" s="62" t="str">
        <f>IFERROR(__xludf.DUMMYFUNCTION("""COMPUTED_VALUE"""),"")</f>
        <v/>
      </c>
      <c r="E62" s="62" t="str">
        <f>IFERROR(__xludf.DUMMYFUNCTION("""COMPUTED_VALUE"""),"NA")</f>
        <v>NA</v>
      </c>
      <c r="F62" s="62" t="str">
        <f>IFERROR(__xludf.DUMMYFUNCTION("""COMPUTED_VALUE"""),"")</f>
        <v/>
      </c>
      <c r="G62" s="62" t="str">
        <f>IFERROR(__xludf.DUMMYFUNCTION("""COMPUTED_VALUE"""),"Ke Yu")</f>
        <v>Ke Yu</v>
      </c>
      <c r="H62" s="62" t="str">
        <f>IFERROR(__xludf.DUMMYFUNCTION("""COMPUTED_VALUE"""),"yukefg@163.com")</f>
        <v>yukefg@163.com</v>
      </c>
      <c r="I62" s="62" t="str">
        <f>IFERROR(__xludf.DUMMYFUNCTION("""COMPUTED_VALUE"""),"Clinical laboratory geneticist")</f>
        <v>Clinical laboratory geneticist</v>
      </c>
      <c r="J62" s="62"/>
      <c r="K62" s="62"/>
      <c r="L62" s="62"/>
      <c r="M62" s="62"/>
      <c r="N62" s="62"/>
      <c r="O62" s="62"/>
      <c r="P62" s="62"/>
      <c r="Q62" s="62"/>
      <c r="R62" s="62"/>
      <c r="S62" s="62"/>
      <c r="T62" s="62"/>
      <c r="U62" s="62"/>
      <c r="V62" s="62"/>
      <c r="W62" s="62"/>
      <c r="X62" s="62"/>
      <c r="Y62" s="62"/>
      <c r="Z62" s="62"/>
    </row>
    <row r="63">
      <c r="A63" s="62" t="str">
        <f>IFERROR(__xludf.DUMMYFUNCTION("""COMPUTED_VALUE"""),"Unassigned")</f>
        <v>Unassigned</v>
      </c>
      <c r="B63" s="62" t="str">
        <f>IFERROR(__xludf.DUMMYFUNCTION("""COMPUTED_VALUE"""),"")</f>
        <v/>
      </c>
      <c r="C63" s="62" t="str">
        <f>IFERROR(__xludf.DUMMYFUNCTION("""COMPUTED_VALUE"""),"")</f>
        <v/>
      </c>
      <c r="D63" s="62" t="str">
        <f>IFERROR(__xludf.DUMMYFUNCTION("""COMPUTED_VALUE"""),"")</f>
        <v/>
      </c>
      <c r="E63" s="62" t="str">
        <f>IFERROR(__xludf.DUMMYFUNCTION("""COMPUTED_VALUE"""),"NA")</f>
        <v>NA</v>
      </c>
      <c r="F63" s="62" t="str">
        <f>IFERROR(__xludf.DUMMYFUNCTION("""COMPUTED_VALUE"""),"")</f>
        <v/>
      </c>
      <c r="G63" s="62" t="str">
        <f>IFERROR(__xludf.DUMMYFUNCTION("""COMPUTED_VALUE"""),"JELENA BREZO")</f>
        <v>JELENA BREZO</v>
      </c>
      <c r="H63" s="62" t="str">
        <f>IFERROR(__xludf.DUMMYFUNCTION("""COMPUTED_VALUE"""),"dnalphabet@gmail.com")</f>
        <v>dnalphabet@gmail.com</v>
      </c>
      <c r="I63" s="62" t="str">
        <f>IFERROR(__xludf.DUMMYFUNCTION("""COMPUTED_VALUE"""),"Clinical laboratory geneticist")</f>
        <v>Clinical laboratory geneticist</v>
      </c>
      <c r="J63" s="62"/>
      <c r="K63" s="62"/>
      <c r="L63" s="62"/>
      <c r="M63" s="62"/>
      <c r="N63" s="62"/>
      <c r="O63" s="62"/>
      <c r="P63" s="62"/>
      <c r="Q63" s="62"/>
      <c r="R63" s="62"/>
      <c r="S63" s="62"/>
      <c r="T63" s="62"/>
      <c r="U63" s="62"/>
      <c r="V63" s="62"/>
      <c r="W63" s="62"/>
      <c r="X63" s="62"/>
      <c r="Y63" s="62"/>
      <c r="Z63" s="62"/>
    </row>
    <row r="64">
      <c r="A64" s="62" t="str">
        <f>IFERROR(__xludf.DUMMYFUNCTION("""COMPUTED_VALUE"""),"Unassigned")</f>
        <v>Unassigned</v>
      </c>
      <c r="B64" s="62" t="str">
        <f>IFERROR(__xludf.DUMMYFUNCTION("""COMPUTED_VALUE"""),"")</f>
        <v/>
      </c>
      <c r="C64" s="62" t="str">
        <f>IFERROR(__xludf.DUMMYFUNCTION("""COMPUTED_VALUE"""),"")</f>
        <v/>
      </c>
      <c r="D64" s="62" t="str">
        <f>IFERROR(__xludf.DUMMYFUNCTION("""COMPUTED_VALUE"""),"")</f>
        <v/>
      </c>
      <c r="E64" s="62" t="str">
        <f>IFERROR(__xludf.DUMMYFUNCTION("""COMPUTED_VALUE"""),"NA")</f>
        <v>NA</v>
      </c>
      <c r="F64" s="62" t="str">
        <f>IFERROR(__xludf.DUMMYFUNCTION("""COMPUTED_VALUE"""),"")</f>
        <v/>
      </c>
      <c r="G64" s="62" t="str">
        <f>IFERROR(__xludf.DUMMYFUNCTION("""COMPUTED_VALUE"""),"Punithavathi Sundaramurthy")</f>
        <v>Punithavathi Sundaramurthy</v>
      </c>
      <c r="H64" s="62" t="str">
        <f>IFERROR(__xludf.DUMMYFUNCTION("""COMPUTED_VALUE"""),"PunitSundar95@gmail.com")</f>
        <v>PunitSundar95@gmail.com</v>
      </c>
      <c r="I64" s="62" t="str">
        <f>IFERROR(__xludf.DUMMYFUNCTION("""COMPUTED_VALUE"""),"Graduate Student")</f>
        <v>Graduate Student</v>
      </c>
      <c r="J64" s="62"/>
      <c r="K64" s="62"/>
      <c r="L64" s="62"/>
      <c r="M64" s="62"/>
      <c r="N64" s="62"/>
      <c r="O64" s="62"/>
      <c r="P64" s="62"/>
      <c r="Q64" s="62"/>
      <c r="R64" s="62"/>
      <c r="S64" s="62"/>
      <c r="T64" s="62"/>
      <c r="U64" s="62"/>
      <c r="V64" s="62"/>
      <c r="W64" s="62"/>
      <c r="X64" s="62"/>
      <c r="Y64" s="62"/>
      <c r="Z64" s="62"/>
    </row>
    <row r="65">
      <c r="A65" s="62" t="str">
        <f>IFERROR(__xludf.DUMMYFUNCTION("""COMPUTED_VALUE"""),"Unassigned")</f>
        <v>Unassigned</v>
      </c>
      <c r="B65" s="62" t="str">
        <f>IFERROR(__xludf.DUMMYFUNCTION("""COMPUTED_VALUE"""),"")</f>
        <v/>
      </c>
      <c r="C65" s="62" t="str">
        <f>IFERROR(__xludf.DUMMYFUNCTION("""COMPUTED_VALUE"""),"")</f>
        <v/>
      </c>
      <c r="D65" s="62" t="str">
        <f>IFERROR(__xludf.DUMMYFUNCTION("""COMPUTED_VALUE"""),"")</f>
        <v/>
      </c>
      <c r="E65" s="62" t="str">
        <f>IFERROR(__xludf.DUMMYFUNCTION("""COMPUTED_VALUE"""),"NA")</f>
        <v>NA</v>
      </c>
      <c r="F65" s="62" t="str">
        <f>IFERROR(__xludf.DUMMYFUNCTION("""COMPUTED_VALUE"""),"")</f>
        <v/>
      </c>
      <c r="G65" s="62" t="str">
        <f>IFERROR(__xludf.DUMMYFUNCTION("""COMPUTED_VALUE"""),"Madhulatha Pantrangi")</f>
        <v>Madhulatha Pantrangi</v>
      </c>
      <c r="H65" s="62" t="str">
        <f>IFERROR(__xludf.DUMMYFUNCTION("""COMPUTED_VALUE"""),"madhu.pantrangi@preventiongenetics.com")</f>
        <v>madhu.pantrangi@preventiongenetics.com</v>
      </c>
      <c r="I65" s="62" t="str">
        <f>IFERROR(__xludf.DUMMYFUNCTION("""COMPUTED_VALUE"""),"Clinical laboratory geneticist")</f>
        <v>Clinical laboratory geneticist</v>
      </c>
      <c r="J65" s="62"/>
      <c r="K65" s="62"/>
      <c r="L65" s="62"/>
      <c r="M65" s="62"/>
      <c r="N65" s="62"/>
      <c r="O65" s="62"/>
      <c r="P65" s="62"/>
      <c r="Q65" s="62"/>
      <c r="R65" s="62"/>
      <c r="S65" s="62"/>
      <c r="T65" s="62"/>
      <c r="U65" s="62"/>
      <c r="V65" s="62"/>
      <c r="W65" s="62"/>
      <c r="X65" s="62"/>
      <c r="Y65" s="62"/>
      <c r="Z65" s="62"/>
    </row>
    <row r="66">
      <c r="A66" s="62" t="str">
        <f>IFERROR(__xludf.DUMMYFUNCTION("""COMPUTED_VALUE"""),"Unassigned")</f>
        <v>Unassigned</v>
      </c>
      <c r="B66" s="62" t="str">
        <f>IFERROR(__xludf.DUMMYFUNCTION("""COMPUTED_VALUE"""),"")</f>
        <v/>
      </c>
      <c r="C66" s="62" t="str">
        <f>IFERROR(__xludf.DUMMYFUNCTION("""COMPUTED_VALUE"""),"")</f>
        <v/>
      </c>
      <c r="D66" s="62" t="str">
        <f>IFERROR(__xludf.DUMMYFUNCTION("""COMPUTED_VALUE"""),"")</f>
        <v/>
      </c>
      <c r="E66" s="62" t="str">
        <f>IFERROR(__xludf.DUMMYFUNCTION("""COMPUTED_VALUE"""),"NA")</f>
        <v>NA</v>
      </c>
      <c r="F66" s="62" t="str">
        <f>IFERROR(__xludf.DUMMYFUNCTION("""COMPUTED_VALUE"""),"")</f>
        <v/>
      </c>
      <c r="G66" s="62" t="str">
        <f>IFERROR(__xludf.DUMMYFUNCTION("""COMPUTED_VALUE"""),"rekha aaron")</f>
        <v>rekha aaron</v>
      </c>
      <c r="H66" s="62" t="str">
        <f>IFERROR(__xludf.DUMMYFUNCTION("""COMPUTED_VALUE"""),"rekha.a@cmcvellore.ac.in")</f>
        <v>rekha.a@cmcvellore.ac.in</v>
      </c>
      <c r="I66" s="62" t="str">
        <f>IFERROR(__xludf.DUMMYFUNCTION("""COMPUTED_VALUE"""),"Clinical laboratory geneticist")</f>
        <v>Clinical laboratory geneticist</v>
      </c>
      <c r="J66" s="62"/>
      <c r="K66" s="62"/>
      <c r="L66" s="62"/>
      <c r="M66" s="62"/>
      <c r="N66" s="62"/>
      <c r="O66" s="62"/>
      <c r="P66" s="62"/>
      <c r="Q66" s="62"/>
      <c r="R66" s="62"/>
      <c r="S66" s="62"/>
      <c r="T66" s="62"/>
      <c r="U66" s="62"/>
      <c r="V66" s="62"/>
      <c r="W66" s="62"/>
      <c r="X66" s="62"/>
      <c r="Y66" s="62"/>
      <c r="Z66" s="62"/>
    </row>
    <row r="67">
      <c r="A67" s="62" t="str">
        <f>IFERROR(__xludf.DUMMYFUNCTION("""COMPUTED_VALUE"""),"Unassigned")</f>
        <v>Unassigned</v>
      </c>
      <c r="B67" s="62" t="str">
        <f>IFERROR(__xludf.DUMMYFUNCTION("""COMPUTED_VALUE"""),"")</f>
        <v/>
      </c>
      <c r="C67" s="62" t="str">
        <f>IFERROR(__xludf.DUMMYFUNCTION("""COMPUTED_VALUE"""),"")</f>
        <v/>
      </c>
      <c r="D67" s="62" t="str">
        <f>IFERROR(__xludf.DUMMYFUNCTION("""COMPUTED_VALUE"""),"")</f>
        <v/>
      </c>
      <c r="E67" s="62" t="str">
        <f>IFERROR(__xludf.DUMMYFUNCTION("""COMPUTED_VALUE"""),"NA")</f>
        <v>NA</v>
      </c>
      <c r="F67" s="62" t="str">
        <f>IFERROR(__xludf.DUMMYFUNCTION("""COMPUTED_VALUE"""),"")</f>
        <v/>
      </c>
      <c r="G67" s="62" t="str">
        <f>IFERROR(__xludf.DUMMYFUNCTION("""COMPUTED_VALUE"""),"Jian Zhao")</f>
        <v>Jian Zhao</v>
      </c>
      <c r="H67" s="62" t="str">
        <f>IFERROR(__xludf.DUMMYFUNCTION("""COMPUTED_VALUE"""),"jian.zhao@aruplab.com")</f>
        <v>jian.zhao@aruplab.com</v>
      </c>
      <c r="I67" s="62" t="str">
        <f>IFERROR(__xludf.DUMMYFUNCTION("""COMPUTED_VALUE"""),"Post Doc/Resident/Fellow (MD and/or PhD)")</f>
        <v>Post Doc/Resident/Fellow (MD and/or PhD)</v>
      </c>
      <c r="J67" s="62"/>
      <c r="K67" s="62"/>
      <c r="L67" s="62"/>
      <c r="M67" s="62"/>
      <c r="N67" s="62"/>
      <c r="O67" s="62"/>
      <c r="P67" s="62"/>
      <c r="Q67" s="62"/>
      <c r="R67" s="62"/>
      <c r="S67" s="62"/>
      <c r="T67" s="62"/>
      <c r="U67" s="62"/>
      <c r="V67" s="62"/>
      <c r="W67" s="62"/>
      <c r="X67" s="62"/>
      <c r="Y67" s="62"/>
      <c r="Z67" s="62"/>
    </row>
    <row r="68">
      <c r="A68" s="62" t="str">
        <f>IFERROR(__xludf.DUMMYFUNCTION("""COMPUTED_VALUE"""),"Unassigned")</f>
        <v>Unassigned</v>
      </c>
      <c r="B68" s="62" t="str">
        <f>IFERROR(__xludf.DUMMYFUNCTION("""COMPUTED_VALUE"""),"")</f>
        <v/>
      </c>
      <c r="C68" s="62" t="str">
        <f>IFERROR(__xludf.DUMMYFUNCTION("""COMPUTED_VALUE"""),"")</f>
        <v/>
      </c>
      <c r="D68" s="62" t="str">
        <f>IFERROR(__xludf.DUMMYFUNCTION("""COMPUTED_VALUE"""),"")</f>
        <v/>
      </c>
      <c r="E68" s="62" t="str">
        <f>IFERROR(__xludf.DUMMYFUNCTION("""COMPUTED_VALUE"""),"NA")</f>
        <v>NA</v>
      </c>
      <c r="F68" s="62" t="str">
        <f>IFERROR(__xludf.DUMMYFUNCTION("""COMPUTED_VALUE"""),"")</f>
        <v/>
      </c>
      <c r="G68" s="62" t="str">
        <f>IFERROR(__xludf.DUMMYFUNCTION("""COMPUTED_VALUE"""),"Alaa Koleilat")</f>
        <v>Alaa Koleilat</v>
      </c>
      <c r="H68" s="62" t="str">
        <f>IFERROR(__xludf.DUMMYFUNCTION("""COMPUTED_VALUE"""),"koleilat.alaa@mayo.edu")</f>
        <v>koleilat.alaa@mayo.edu</v>
      </c>
      <c r="I68" s="62" t="str">
        <f>IFERROR(__xludf.DUMMYFUNCTION("""COMPUTED_VALUE"""),"Graduate Student")</f>
        <v>Graduate Student</v>
      </c>
      <c r="J68" s="62"/>
      <c r="K68" s="62"/>
      <c r="L68" s="62"/>
      <c r="M68" s="62"/>
      <c r="N68" s="62"/>
      <c r="O68" s="62"/>
      <c r="P68" s="62"/>
      <c r="Q68" s="62"/>
      <c r="R68" s="62"/>
      <c r="S68" s="62"/>
      <c r="T68" s="62"/>
      <c r="U68" s="62"/>
      <c r="V68" s="62"/>
      <c r="W68" s="62"/>
      <c r="X68" s="62"/>
      <c r="Y68" s="62"/>
      <c r="Z68" s="62"/>
    </row>
    <row r="69">
      <c r="A69" s="62" t="str">
        <f>IFERROR(__xludf.DUMMYFUNCTION("""COMPUTED_VALUE"""),"Unassigned")</f>
        <v>Unassigned</v>
      </c>
      <c r="B69" s="62" t="str">
        <f>IFERROR(__xludf.DUMMYFUNCTION("""COMPUTED_VALUE"""),"")</f>
        <v/>
      </c>
      <c r="C69" s="62" t="str">
        <f>IFERROR(__xludf.DUMMYFUNCTION("""COMPUTED_VALUE"""),"")</f>
        <v/>
      </c>
      <c r="D69" s="62" t="str">
        <f>IFERROR(__xludf.DUMMYFUNCTION("""COMPUTED_VALUE"""),"")</f>
        <v/>
      </c>
      <c r="E69" s="62" t="str">
        <f>IFERROR(__xludf.DUMMYFUNCTION("""COMPUTED_VALUE"""),"NA")</f>
        <v>NA</v>
      </c>
      <c r="F69" s="62" t="str">
        <f>IFERROR(__xludf.DUMMYFUNCTION("""COMPUTED_VALUE"""),"")</f>
        <v/>
      </c>
      <c r="G69" s="62" t="str">
        <f>IFERROR(__xludf.DUMMYFUNCTION("""COMPUTED_VALUE"""),"Erika Meaddough")</f>
        <v>Erika Meaddough</v>
      </c>
      <c r="H69" s="62" t="str">
        <f>IFERROR(__xludf.DUMMYFUNCTION("""COMPUTED_VALUE"""),"meaddough@yahoo.com")</f>
        <v>meaddough@yahoo.com</v>
      </c>
      <c r="I69" s="62" t="str">
        <f>IFERROR(__xludf.DUMMYFUNCTION("""COMPUTED_VALUE"""),"Graduate Student")</f>
        <v>Graduate Student</v>
      </c>
      <c r="J69" s="62"/>
      <c r="K69" s="62"/>
      <c r="L69" s="62"/>
      <c r="M69" s="62"/>
      <c r="N69" s="62"/>
      <c r="O69" s="62"/>
      <c r="P69" s="62"/>
      <c r="Q69" s="62"/>
      <c r="R69" s="62"/>
      <c r="S69" s="62"/>
      <c r="T69" s="62"/>
      <c r="U69" s="62"/>
      <c r="V69" s="62"/>
      <c r="W69" s="62"/>
      <c r="X69" s="62"/>
      <c r="Y69" s="62"/>
      <c r="Z69" s="62"/>
    </row>
    <row r="70">
      <c r="A70" s="62" t="str">
        <f>IFERROR(__xludf.DUMMYFUNCTION("""COMPUTED_VALUE"""),"Unassigned")</f>
        <v>Unassigned</v>
      </c>
      <c r="B70" s="62" t="str">
        <f>IFERROR(__xludf.DUMMYFUNCTION("""COMPUTED_VALUE"""),"")</f>
        <v/>
      </c>
      <c r="C70" s="62" t="str">
        <f>IFERROR(__xludf.DUMMYFUNCTION("""COMPUTED_VALUE"""),"")</f>
        <v/>
      </c>
      <c r="D70" s="62" t="str">
        <f>IFERROR(__xludf.DUMMYFUNCTION("""COMPUTED_VALUE"""),"")</f>
        <v/>
      </c>
      <c r="E70" s="62" t="str">
        <f>IFERROR(__xludf.DUMMYFUNCTION("""COMPUTED_VALUE"""),"NA")</f>
        <v>NA</v>
      </c>
      <c r="F70" s="62" t="str">
        <f>IFERROR(__xludf.DUMMYFUNCTION("""COMPUTED_VALUE"""),"")</f>
        <v/>
      </c>
      <c r="G70" s="62" t="str">
        <f>IFERROR(__xludf.DUMMYFUNCTION("""COMPUTED_VALUE"""),"Vijay Ganesh")</f>
        <v>Vijay Ganesh</v>
      </c>
      <c r="H70" s="62" t="str">
        <f>IFERROR(__xludf.DUMMYFUNCTION("""COMPUTED_VALUE"""),"vganesh@bwh.harvard.edu")</f>
        <v>vganesh@bwh.harvard.edu</v>
      </c>
      <c r="I70" s="62" t="str">
        <f>IFERROR(__xludf.DUMMYFUNCTION("""COMPUTED_VALUE"""),"Post Doc/Resident/Fellow (MD and/or PhD)")</f>
        <v>Post Doc/Resident/Fellow (MD and/or PhD)</v>
      </c>
      <c r="J70" s="62"/>
      <c r="K70" s="62"/>
      <c r="L70" s="62"/>
      <c r="M70" s="62"/>
      <c r="N70" s="62"/>
      <c r="O70" s="62"/>
      <c r="P70" s="62"/>
      <c r="Q70" s="62"/>
      <c r="R70" s="62"/>
      <c r="S70" s="62"/>
      <c r="T70" s="62"/>
      <c r="U70" s="62"/>
      <c r="V70" s="62"/>
      <c r="W70" s="62"/>
      <c r="X70" s="62"/>
      <c r="Y70" s="62"/>
      <c r="Z70" s="62"/>
    </row>
    <row r="71">
      <c r="A71" s="62" t="str">
        <f>IFERROR(__xludf.DUMMYFUNCTION("""COMPUTED_VALUE"""),"Assigned")</f>
        <v>Assigned</v>
      </c>
      <c r="B71" s="77">
        <f>IFERROR(__xludf.DUMMYFUNCTION("""COMPUTED_VALUE"""),43860.0)</f>
        <v>43860</v>
      </c>
      <c r="C71" s="62" t="str">
        <f>IFERROR(__xludf.DUMMYFUNCTION("""COMPUTED_VALUE"""),"")</f>
        <v/>
      </c>
      <c r="D71" s="62" t="str">
        <f>IFERROR(__xludf.DUMMYFUNCTION("""COMPUTED_VALUE"""),"")</f>
        <v/>
      </c>
      <c r="E71" s="62" t="str">
        <f>IFERROR(__xludf.DUMMYFUNCTION("""COMPUTED_VALUE"""),"NA")</f>
        <v>NA</v>
      </c>
      <c r="F71" s="62" t="str">
        <f>IFERROR(__xludf.DUMMYFUNCTION("""COMPUTED_VALUE"""),"")</f>
        <v/>
      </c>
      <c r="G71" s="62" t="str">
        <f>IFERROR(__xludf.DUMMYFUNCTION("""COMPUTED_VALUE"""),"George Jour")</f>
        <v>George Jour</v>
      </c>
      <c r="H71" s="62" t="str">
        <f>IFERROR(__xludf.DUMMYFUNCTION("""COMPUTED_VALUE"""),"george.jour@nyulangone.org")</f>
        <v>george.jour@nyulangone.org</v>
      </c>
      <c r="I71" s="62" t="str">
        <f>IFERROR(__xludf.DUMMYFUNCTION("""COMPUTED_VALUE"""),"Physician (Non-geneticist)")</f>
        <v>Physician (Non-geneticist)</v>
      </c>
      <c r="J71" s="62"/>
      <c r="K71" s="62"/>
      <c r="L71" s="62"/>
      <c r="M71" s="62"/>
      <c r="N71" s="62"/>
      <c r="O71" s="62"/>
      <c r="P71" s="62"/>
      <c r="Q71" s="62"/>
      <c r="R71" s="62"/>
      <c r="S71" s="62"/>
      <c r="T71" s="62"/>
      <c r="U71" s="62"/>
      <c r="V71" s="62"/>
      <c r="W71" s="62"/>
      <c r="X71" s="62"/>
      <c r="Y71" s="62"/>
      <c r="Z71" s="62"/>
    </row>
    <row r="72">
      <c r="A72" s="62" t="str">
        <f>IFERROR(__xludf.DUMMYFUNCTION("""COMPUTED_VALUE"""),"Unassigned")</f>
        <v>Unassigned</v>
      </c>
      <c r="B72" s="62" t="str">
        <f>IFERROR(__xludf.DUMMYFUNCTION("""COMPUTED_VALUE"""),"duplicate record")</f>
        <v>duplicate record</v>
      </c>
      <c r="C72" s="62" t="str">
        <f>IFERROR(__xludf.DUMMYFUNCTION("""COMPUTED_VALUE"""),"")</f>
        <v/>
      </c>
      <c r="D72" s="62" t="str">
        <f>IFERROR(__xludf.DUMMYFUNCTION("""COMPUTED_VALUE"""),"")</f>
        <v/>
      </c>
      <c r="E72" s="62" t="str">
        <f>IFERROR(__xludf.DUMMYFUNCTION("""COMPUTED_VALUE"""),"NA")</f>
        <v>NA</v>
      </c>
      <c r="F72" s="62" t="str">
        <f>IFERROR(__xludf.DUMMYFUNCTION("""COMPUTED_VALUE"""),"")</f>
        <v/>
      </c>
      <c r="G72" s="62" t="str">
        <f>IFERROR(__xludf.DUMMYFUNCTION("""COMPUTED_VALUE"""),"George Jour")</f>
        <v>George Jour</v>
      </c>
      <c r="H72" s="62" t="str">
        <f>IFERROR(__xludf.DUMMYFUNCTION("""COMPUTED_VALUE"""),"george.jour@nyulangone.org")</f>
        <v>george.jour@nyulangone.org</v>
      </c>
      <c r="I72" s="62" t="str">
        <f>IFERROR(__xludf.DUMMYFUNCTION("""COMPUTED_VALUE"""),"Physician (Non-geneticist)")</f>
        <v>Physician (Non-geneticist)</v>
      </c>
      <c r="J72" s="62"/>
      <c r="K72" s="62"/>
      <c r="L72" s="62"/>
      <c r="M72" s="62"/>
      <c r="N72" s="62"/>
      <c r="O72" s="62"/>
      <c r="P72" s="62"/>
      <c r="Q72" s="62"/>
      <c r="R72" s="62"/>
      <c r="S72" s="62"/>
      <c r="T72" s="62"/>
      <c r="U72" s="62"/>
      <c r="V72" s="62"/>
      <c r="W72" s="62"/>
      <c r="X72" s="62"/>
      <c r="Y72" s="62"/>
      <c r="Z72" s="62"/>
    </row>
    <row r="73">
      <c r="A73" s="62" t="str">
        <f>IFERROR(__xludf.DUMMYFUNCTION("""COMPUTED_VALUE"""),"Unassigned")</f>
        <v>Unassigned</v>
      </c>
      <c r="B73" s="62" t="str">
        <f>IFERROR(__xludf.DUMMYFUNCTION("""COMPUTED_VALUE"""),"")</f>
        <v/>
      </c>
      <c r="C73" s="62" t="str">
        <f>IFERROR(__xludf.DUMMYFUNCTION("""COMPUTED_VALUE"""),"")</f>
        <v/>
      </c>
      <c r="D73" s="62" t="str">
        <f>IFERROR(__xludf.DUMMYFUNCTION("""COMPUTED_VALUE"""),"")</f>
        <v/>
      </c>
      <c r="E73" s="62" t="str">
        <f>IFERROR(__xludf.DUMMYFUNCTION("""COMPUTED_VALUE"""),"NA")</f>
        <v>NA</v>
      </c>
      <c r="F73" s="62" t="str">
        <f>IFERROR(__xludf.DUMMYFUNCTION("""COMPUTED_VALUE"""),"")</f>
        <v/>
      </c>
      <c r="G73" s="62" t="str">
        <f>IFERROR(__xludf.DUMMYFUNCTION("""COMPUTED_VALUE"""),"Saurav Guha")</f>
        <v>Saurav Guha</v>
      </c>
      <c r="H73" s="62" t="str">
        <f>IFERROR(__xludf.DUMMYFUNCTION("""COMPUTED_VALUE"""),"sauravguha@gmail.com")</f>
        <v>sauravguha@gmail.com</v>
      </c>
      <c r="I73" s="62" t="str">
        <f>IFERROR(__xludf.DUMMYFUNCTION("""COMPUTED_VALUE"""),"Clinical laboratory geneticist")</f>
        <v>Clinical laboratory geneticist</v>
      </c>
      <c r="J73" s="62"/>
      <c r="K73" s="62"/>
      <c r="L73" s="62"/>
      <c r="M73" s="62"/>
      <c r="N73" s="62"/>
      <c r="O73" s="62"/>
      <c r="P73" s="62"/>
      <c r="Q73" s="62"/>
      <c r="R73" s="62"/>
      <c r="S73" s="62"/>
      <c r="T73" s="62"/>
      <c r="U73" s="62"/>
      <c r="V73" s="62"/>
      <c r="W73" s="62"/>
      <c r="X73" s="62"/>
      <c r="Y73" s="62"/>
      <c r="Z73" s="62"/>
    </row>
    <row r="74">
      <c r="A74" s="62" t="str">
        <f>IFERROR(__xludf.DUMMYFUNCTION("""COMPUTED_VALUE"""),"Unassigned")</f>
        <v>Unassigned</v>
      </c>
      <c r="B74" s="62" t="str">
        <f>IFERROR(__xludf.DUMMYFUNCTION("""COMPUTED_VALUE"""),"")</f>
        <v/>
      </c>
      <c r="C74" s="62" t="str">
        <f>IFERROR(__xludf.DUMMYFUNCTION("""COMPUTED_VALUE"""),"")</f>
        <v/>
      </c>
      <c r="D74" s="62" t="str">
        <f>IFERROR(__xludf.DUMMYFUNCTION("""COMPUTED_VALUE"""),"")</f>
        <v/>
      </c>
      <c r="E74" s="62" t="str">
        <f>IFERROR(__xludf.DUMMYFUNCTION("""COMPUTED_VALUE"""),"NA")</f>
        <v>NA</v>
      </c>
      <c r="F74" s="62" t="str">
        <f>IFERROR(__xludf.DUMMYFUNCTION("""COMPUTED_VALUE"""),"")</f>
        <v/>
      </c>
      <c r="G74" s="62" t="str">
        <f>IFERROR(__xludf.DUMMYFUNCTION("""COMPUTED_VALUE"""),"Hannah Lilligren")</f>
        <v>Hannah Lilligren</v>
      </c>
      <c r="H74" s="62" t="str">
        <f>IFERROR(__xludf.DUMMYFUNCTION("""COMPUTED_VALUE"""),"hannah.lilligren@gmail.com")</f>
        <v>hannah.lilligren@gmail.com</v>
      </c>
      <c r="I74" s="62" t="str">
        <f>IFERROR(__xludf.DUMMYFUNCTION("""COMPUTED_VALUE"""),"Graduate Student")</f>
        <v>Graduate Student</v>
      </c>
      <c r="J74" s="62"/>
      <c r="K74" s="62"/>
      <c r="L74" s="62"/>
      <c r="M74" s="62"/>
      <c r="N74" s="62"/>
      <c r="O74" s="62"/>
      <c r="P74" s="62"/>
      <c r="Q74" s="62"/>
      <c r="R74" s="62"/>
      <c r="S74" s="62"/>
      <c r="T74" s="62"/>
      <c r="U74" s="62"/>
      <c r="V74" s="62"/>
      <c r="W74" s="62"/>
      <c r="X74" s="62"/>
      <c r="Y74" s="62"/>
      <c r="Z74" s="62"/>
    </row>
    <row r="75">
      <c r="A75" s="62" t="str">
        <f>IFERROR(__xludf.DUMMYFUNCTION("""COMPUTED_VALUE"""),"Unassigned")</f>
        <v>Unassigned</v>
      </c>
      <c r="B75" s="62" t="str">
        <f>IFERROR(__xludf.DUMMYFUNCTION("""COMPUTED_VALUE"""),"")</f>
        <v/>
      </c>
      <c r="C75" s="62" t="str">
        <f>IFERROR(__xludf.DUMMYFUNCTION("""COMPUTED_VALUE"""),"")</f>
        <v/>
      </c>
      <c r="D75" s="62" t="str">
        <f>IFERROR(__xludf.DUMMYFUNCTION("""COMPUTED_VALUE"""),"")</f>
        <v/>
      </c>
      <c r="E75" s="62" t="str">
        <f>IFERROR(__xludf.DUMMYFUNCTION("""COMPUTED_VALUE"""),"NA")</f>
        <v>NA</v>
      </c>
      <c r="F75" s="62" t="str">
        <f>IFERROR(__xludf.DUMMYFUNCTION("""COMPUTED_VALUE"""),"")</f>
        <v/>
      </c>
      <c r="G75" s="62" t="str">
        <f>IFERROR(__xludf.DUMMYFUNCTION("""COMPUTED_VALUE"""),"Tiago Fernando Chaves")</f>
        <v>Tiago Fernando Chaves</v>
      </c>
      <c r="H75" s="62" t="str">
        <f>IFERROR(__xludf.DUMMYFUNCTION("""COMPUTED_VALUE"""),"tiagochavo@msn.com")</f>
        <v>tiagochavo@msn.com</v>
      </c>
      <c r="I75" s="62" t="str">
        <f>IFERROR(__xludf.DUMMYFUNCTION("""COMPUTED_VALUE"""),"Scientific Researcher")</f>
        <v>Scientific Researcher</v>
      </c>
      <c r="J75" s="62"/>
      <c r="K75" s="62"/>
      <c r="L75" s="62"/>
      <c r="M75" s="62"/>
      <c r="N75" s="62"/>
      <c r="O75" s="62"/>
      <c r="P75" s="62"/>
      <c r="Q75" s="62"/>
      <c r="R75" s="62"/>
      <c r="S75" s="62"/>
      <c r="T75" s="62"/>
      <c r="U75" s="62"/>
      <c r="V75" s="62"/>
      <c r="W75" s="62"/>
      <c r="X75" s="62"/>
      <c r="Y75" s="62"/>
      <c r="Z75" s="62"/>
    </row>
    <row r="76">
      <c r="A76" s="62" t="str">
        <f>IFERROR(__xludf.DUMMYFUNCTION("""COMPUTED_VALUE"""),"Unassigned")</f>
        <v>Unassigned</v>
      </c>
      <c r="B76" s="62" t="str">
        <f>IFERROR(__xludf.DUMMYFUNCTION("""COMPUTED_VALUE"""),"")</f>
        <v/>
      </c>
      <c r="C76" s="62" t="str">
        <f>IFERROR(__xludf.DUMMYFUNCTION("""COMPUTED_VALUE"""),"")</f>
        <v/>
      </c>
      <c r="D76" s="62" t="str">
        <f>IFERROR(__xludf.DUMMYFUNCTION("""COMPUTED_VALUE"""),"")</f>
        <v/>
      </c>
      <c r="E76" s="62" t="str">
        <f>IFERROR(__xludf.DUMMYFUNCTION("""COMPUTED_VALUE"""),"NA")</f>
        <v>NA</v>
      </c>
      <c r="F76" s="62" t="str">
        <f>IFERROR(__xludf.DUMMYFUNCTION("""COMPUTED_VALUE"""),"")</f>
        <v/>
      </c>
      <c r="G76" s="62" t="str">
        <f>IFERROR(__xludf.DUMMYFUNCTION("""COMPUTED_VALUE"""),"Michelle Mah")</f>
        <v>Michelle Mah</v>
      </c>
      <c r="H76" s="62" t="str">
        <f>IFERROR(__xludf.DUMMYFUNCTION("""COMPUTED_VALUE"""),"michelle.j.mah@gmail.com")</f>
        <v>michelle.j.mah@gmail.com</v>
      </c>
      <c r="I76" s="62" t="str">
        <f>IFERROR(__xludf.DUMMYFUNCTION("""COMPUTED_VALUE"""),"Genetics Technologist")</f>
        <v>Genetics Technologist</v>
      </c>
      <c r="J76" s="62"/>
      <c r="K76" s="62"/>
      <c r="L76" s="62"/>
      <c r="M76" s="62"/>
      <c r="N76" s="62"/>
      <c r="O76" s="62"/>
      <c r="P76" s="62"/>
      <c r="Q76" s="62"/>
      <c r="R76" s="62"/>
      <c r="S76" s="62"/>
      <c r="T76" s="62"/>
      <c r="U76" s="62"/>
      <c r="V76" s="62"/>
      <c r="W76" s="62"/>
      <c r="X76" s="62"/>
      <c r="Y76" s="62"/>
      <c r="Z76" s="62"/>
    </row>
    <row r="77">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2">
    <mergeCell ref="A1:F1"/>
    <mergeCell ref="G1:H1"/>
  </mergeCells>
  <conditionalFormatting sqref="A1:A1000">
    <cfRule type="containsText" dxfId="0" priority="1" operator="containsText" text="Unassigned">
      <formula>NOT(ISERROR(SEARCH(("Unassigned"),(A1))))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14"/>
    <col customWidth="1" min="2" max="2" width="15.86"/>
    <col customWidth="1" min="3" max="3" width="14.86"/>
    <col customWidth="1" min="4" max="4" width="20.14"/>
    <col customWidth="1" min="5" max="5" width="20.43"/>
    <col customWidth="1" min="6" max="6" width="19.43"/>
    <col customWidth="1" min="7" max="7" width="23.43"/>
    <col customWidth="1" min="8" max="8" width="33.57"/>
    <col customWidth="1" min="11" max="11" width="43.86"/>
  </cols>
  <sheetData>
    <row r="1">
      <c r="A1" s="8" t="s">
        <v>12</v>
      </c>
      <c r="B1" s="9"/>
      <c r="C1" s="9"/>
      <c r="D1" s="9"/>
      <c r="E1" s="9"/>
      <c r="F1" s="10"/>
      <c r="G1" s="8" t="s">
        <v>25</v>
      </c>
      <c r="H1" s="10"/>
      <c r="I1" s="62"/>
      <c r="J1" s="62"/>
      <c r="K1" s="62"/>
      <c r="L1" s="62"/>
      <c r="M1" s="62"/>
      <c r="N1" s="62"/>
      <c r="O1" s="62"/>
      <c r="P1" s="62"/>
      <c r="Q1" s="62"/>
      <c r="R1" s="62"/>
      <c r="S1" s="62"/>
      <c r="T1" s="62"/>
      <c r="U1" s="62"/>
      <c r="V1" s="62"/>
      <c r="W1" s="62"/>
      <c r="X1" s="62"/>
      <c r="Y1" s="62"/>
      <c r="Z1" s="62"/>
    </row>
    <row r="2">
      <c r="A2" s="19" t="s">
        <v>0</v>
      </c>
      <c r="B2" s="19" t="s">
        <v>73</v>
      </c>
      <c r="C2" s="19" t="s">
        <v>74</v>
      </c>
      <c r="D2" s="65" t="s">
        <v>75</v>
      </c>
      <c r="E2" s="19" t="s">
        <v>84</v>
      </c>
      <c r="F2" s="19" t="s">
        <v>199</v>
      </c>
      <c r="G2" s="65" t="s">
        <v>89</v>
      </c>
      <c r="H2" s="19" t="s">
        <v>90</v>
      </c>
      <c r="I2" s="62"/>
      <c r="J2" s="62"/>
      <c r="K2" s="62"/>
      <c r="L2" s="62"/>
      <c r="M2" s="62"/>
      <c r="N2" s="62"/>
      <c r="O2" s="62"/>
      <c r="P2" s="62"/>
      <c r="Q2" s="62"/>
      <c r="R2" s="62"/>
      <c r="S2" s="62"/>
      <c r="T2" s="62"/>
      <c r="U2" s="62"/>
      <c r="V2" s="62"/>
      <c r="W2" s="62"/>
      <c r="X2" s="62"/>
      <c r="Y2" s="62"/>
      <c r="Z2" s="62"/>
    </row>
    <row r="3">
      <c r="A3" s="67" t="str">
        <f>IFERROR(__xludf.DUMMYFUNCTION("filter(Assignments!B3:B1000,Assignments!O3:O1000=""Comprehensive"")"),"Declined")</f>
        <v>Declined</v>
      </c>
      <c r="B3" s="67" t="str">
        <f>IFERROR(__xludf.DUMMYFUNCTION("filter(Assignments!C3:C1000,Assignments!O3:O1000=""Comprehensive"")"),"")</f>
        <v/>
      </c>
      <c r="C3" s="62" t="str">
        <f>IFERROR(__xludf.DUMMYFUNCTION("filter(Assignments!D3:D1000,Assignments!O3:O1000=""Comprehensive"")"),"")</f>
        <v/>
      </c>
      <c r="D3" s="62" t="str">
        <f>IFERROR(__xludf.DUMMYFUNCTION("filter(Assignments!E3:E1000,Assignments!O3:O1000=""Comprehensive"")"),"No")</f>
        <v>No</v>
      </c>
      <c r="E3" s="62" t="str">
        <f>IFERROR(__xludf.DUMMYFUNCTION("filter(Assignments!G3:G1000,Assignments!O3:O1000=""Comprehensive"")"),"Somatic Cancer")</f>
        <v>Somatic Cancer</v>
      </c>
      <c r="F3" s="62" t="str">
        <f>IFERROR(__xludf.DUMMYFUNCTION("filter(Assignments!H3:H1000,Assignments!O3:O1000=""Comprehensive"")"),"Pediatric cancer")</f>
        <v>Pediatric cancer</v>
      </c>
      <c r="G3" s="62" t="str">
        <f>IFERROR(__xludf.DUMMYFUNCTION("filter(Assignments!L3:L1000,Assignments!O3:O1000=""Comprehensive"")"),"Suneeta Mandava")</f>
        <v>Suneeta Mandava</v>
      </c>
      <c r="H3" s="62" t="str">
        <f>IFERROR(__xludf.DUMMYFUNCTION("filter(Assignments!M3:M1000,Assignments!O3:O1000=""Comprehensive"")"),"suneeta.mandava@gmail.com")</f>
        <v>suneeta.mandava@gmail.com</v>
      </c>
      <c r="I3" s="67" t="str">
        <f>IFERROR(__xludf.DUMMYFUNCTION("filter(Assignments!N3:N1000,Assignments!O3:O1000=""Comprehensive"")"),"Variant Analyst/Scientist")</f>
        <v>Variant Analyst/Scientist</v>
      </c>
      <c r="J3" s="62"/>
      <c r="K3" s="67" t="str">
        <f>IFERROR(__xludf.DUMMYFUNCTION("filter(Assignments!P3:P1000,Assignments!O3:O1000=""Comprehensive"")"),"Somatic Cancer")</f>
        <v>Somatic Cancer</v>
      </c>
      <c r="L3" s="67"/>
      <c r="M3" s="67"/>
      <c r="N3" s="67"/>
      <c r="O3" s="67"/>
      <c r="P3" s="62"/>
      <c r="Q3" s="62"/>
      <c r="R3" s="62"/>
      <c r="S3" s="62"/>
      <c r="T3" s="62"/>
      <c r="U3" s="62"/>
      <c r="V3" s="62"/>
      <c r="W3" s="62"/>
      <c r="X3" s="62"/>
      <c r="Y3" s="62"/>
      <c r="Z3" s="62"/>
    </row>
    <row r="4">
      <c r="A4" s="62" t="str">
        <f>IFERROR(__xludf.DUMMYFUNCTION("""COMPUTED_VALUE"""),"Unresponsive")</f>
        <v>Unresponsive</v>
      </c>
      <c r="B4" s="62" t="str">
        <f>IFERROR(__xludf.DUMMYFUNCTION("""COMPUTED_VALUE"""),"")</f>
        <v/>
      </c>
      <c r="C4" s="62" t="str">
        <f>IFERROR(__xludf.DUMMYFUNCTION("""COMPUTED_VALUE"""),"")</f>
        <v/>
      </c>
      <c r="D4" s="62" t="str">
        <f>IFERROR(__xludf.DUMMYFUNCTION("""COMPUTED_VALUE"""),"No")</f>
        <v>No</v>
      </c>
      <c r="E4" s="62" t="str">
        <f>IFERROR(__xludf.DUMMYFUNCTION("""COMPUTED_VALUE"""),"Actionability")</f>
        <v>Actionability</v>
      </c>
      <c r="F4" s="62" t="str">
        <f>IFERROR(__xludf.DUMMYFUNCTION("""COMPUTED_VALUE"""),"")</f>
        <v/>
      </c>
      <c r="G4" s="62" t="str">
        <f>IFERROR(__xludf.DUMMYFUNCTION("""COMPUTED_VALUE"""),"Edwin Kim")</f>
        <v>Edwin Kim</v>
      </c>
      <c r="H4" s="62" t="str">
        <f>IFERROR(__xludf.DUMMYFUNCTION("""COMPUTED_VALUE"""),"Edwinkimmd@gmail.com")</f>
        <v>Edwinkimmd@gmail.com</v>
      </c>
      <c r="I4" s="62" t="str">
        <f>IFERROR(__xludf.DUMMYFUNCTION("""COMPUTED_VALUE"""),"Physician (Non-geneticist)")</f>
        <v>Physician (Non-geneticist)</v>
      </c>
      <c r="J4" s="62"/>
      <c r="K4" s="62" t="str">
        <f>IFERROR(__xludf.DUMMYFUNCTION("""COMPUTED_VALUE"""),"Clinical Actionability")</f>
        <v>Clinical Actionability</v>
      </c>
      <c r="L4" s="62"/>
      <c r="M4" s="62"/>
      <c r="N4" s="62"/>
      <c r="O4" s="62"/>
      <c r="P4" s="62"/>
      <c r="Q4" s="62"/>
      <c r="R4" s="62"/>
      <c r="S4" s="62"/>
      <c r="T4" s="62"/>
      <c r="U4" s="62"/>
      <c r="V4" s="62"/>
      <c r="W4" s="62"/>
      <c r="X4" s="62"/>
      <c r="Y4" s="62"/>
      <c r="Z4" s="62"/>
    </row>
    <row r="5">
      <c r="A5" s="62" t="str">
        <f>IFERROR(__xludf.DUMMYFUNCTION("""COMPUTED_VALUE"""),"Contacted")</f>
        <v>Contacted</v>
      </c>
      <c r="B5" s="62" t="str">
        <f>IFERROR(__xludf.DUMMYFUNCTION("""COMPUTED_VALUE"""),"")</f>
        <v/>
      </c>
      <c r="C5" s="105">
        <f>IFERROR(__xludf.DUMMYFUNCTION("""COMPUTED_VALUE"""),43570.0)</f>
        <v>43570</v>
      </c>
      <c r="D5" s="62" t="str">
        <f>IFERROR(__xludf.DUMMYFUNCTION("""COMPUTED_VALUE"""),"Yes")</f>
        <v>Yes</v>
      </c>
      <c r="E5" s="62" t="str">
        <f>IFERROR(__xludf.DUMMYFUNCTION("""COMPUTED_VALUE"""),"Gene Disease Validity")</f>
        <v>Gene Disease Validity</v>
      </c>
      <c r="F5" s="62" t="str">
        <f>IFERROR(__xludf.DUMMYFUNCTION("""COMPUTED_VALUE"""),"Epilepsy")</f>
        <v>Epilepsy</v>
      </c>
      <c r="G5" s="62" t="str">
        <f>IFERROR(__xludf.DUMMYFUNCTION("""COMPUTED_VALUE"""),"Xiaodong Wang")</f>
        <v>Xiaodong Wang</v>
      </c>
      <c r="H5" s="62" t="str">
        <f>IFERROR(__xludf.DUMMYFUNCTION("""COMPUTED_VALUE"""),"xdwang@ciphergene.com")</f>
        <v>xdwang@ciphergene.com</v>
      </c>
      <c r="I5" s="62" t="str">
        <f>IFERROR(__xludf.DUMMYFUNCTION("""COMPUTED_VALUE"""),"Variant Analyst/Scientist")</f>
        <v>Variant Analyst/Scientist</v>
      </c>
      <c r="J5" s="62"/>
      <c r="K5" s="62" t="str">
        <f>IFERROR(__xludf.DUMMYFUNCTION("""COMPUTED_VALUE"""),"Gene-Disease Validity")</f>
        <v>Gene-Disease Validity</v>
      </c>
      <c r="L5" s="62"/>
      <c r="M5" s="62"/>
      <c r="N5" s="62"/>
      <c r="O5" s="62"/>
      <c r="P5" s="62"/>
      <c r="Q5" s="62"/>
      <c r="R5" s="62"/>
      <c r="S5" s="62"/>
      <c r="T5" s="62"/>
      <c r="U5" s="62"/>
      <c r="V5" s="62"/>
      <c r="W5" s="62"/>
      <c r="X5" s="62"/>
      <c r="Y5" s="62"/>
      <c r="Z5" s="62"/>
    </row>
    <row r="6">
      <c r="A6" s="62" t="str">
        <f>IFERROR(__xludf.DUMMYFUNCTION("""COMPUTED_VALUE"""),"Declined")</f>
        <v>Declined</v>
      </c>
      <c r="B6" s="81">
        <f>IFERROR(__xludf.DUMMYFUNCTION("""COMPUTED_VALUE"""),43437.0)</f>
        <v>43437</v>
      </c>
      <c r="C6" s="81">
        <f>IFERROR(__xludf.DUMMYFUNCTION("""COMPUTED_VALUE"""),43446.0)</f>
        <v>43446</v>
      </c>
      <c r="D6" s="62" t="str">
        <f>IFERROR(__xludf.DUMMYFUNCTION("""COMPUTED_VALUE"""),"Yes")</f>
        <v>Yes</v>
      </c>
      <c r="E6" s="62" t="str">
        <f>IFERROR(__xludf.DUMMYFUNCTION("""COMPUTED_VALUE"""),"Gene Disease Validity")</f>
        <v>Gene Disease Validity</v>
      </c>
      <c r="F6" s="62" t="str">
        <f>IFERROR(__xludf.DUMMYFUNCTION("""COMPUTED_VALUE"""),"ID Autism")</f>
        <v>ID Autism</v>
      </c>
      <c r="G6" s="62" t="str">
        <f>IFERROR(__xludf.DUMMYFUNCTION("""COMPUTED_VALUE"""),"Jennifer Howe")</f>
        <v>Jennifer Howe</v>
      </c>
      <c r="H6" s="62" t="str">
        <f>IFERROR(__xludf.DUMMYFUNCTION("""COMPUTED_VALUE"""),"jhowe@sickkids.ca")</f>
        <v>jhowe@sickkids.ca</v>
      </c>
      <c r="I6" s="62" t="str">
        <f>IFERROR(__xludf.DUMMYFUNCTION("""COMPUTED_VALUE"""),"Senior Project Manager")</f>
        <v>Senior Project Manager</v>
      </c>
      <c r="J6" s="62"/>
      <c r="K6" s="62" t="str">
        <f>IFERROR(__xludf.DUMMYFUNCTION("""COMPUTED_VALUE"""),"Gene-Disease Validity")</f>
        <v>Gene-Disease Validity</v>
      </c>
      <c r="L6" s="62"/>
      <c r="M6" s="62"/>
      <c r="N6" s="62"/>
      <c r="O6" s="62"/>
      <c r="P6" s="62"/>
      <c r="Q6" s="62"/>
      <c r="R6" s="62"/>
      <c r="S6" s="62"/>
      <c r="T6" s="62"/>
      <c r="U6" s="62"/>
      <c r="V6" s="62"/>
      <c r="W6" s="62"/>
      <c r="X6" s="62"/>
      <c r="Y6" s="62"/>
      <c r="Z6" s="62"/>
    </row>
    <row r="7">
      <c r="A7" s="62" t="str">
        <f>IFERROR(__xludf.DUMMYFUNCTION("""COMPUTED_VALUE"""),"Declined")</f>
        <v>Declined</v>
      </c>
      <c r="B7" s="81">
        <f>IFERROR(__xludf.DUMMYFUNCTION("""COMPUTED_VALUE"""),43411.0)</f>
        <v>43411</v>
      </c>
      <c r="C7" s="81">
        <f>IFERROR(__xludf.DUMMYFUNCTION("""COMPUTED_VALUE"""),43446.0)</f>
        <v>43446</v>
      </c>
      <c r="D7" s="62" t="str">
        <f>IFERROR(__xludf.DUMMYFUNCTION("""COMPUTED_VALUE"""),"Yes")</f>
        <v>Yes</v>
      </c>
      <c r="E7" s="62" t="str">
        <f>IFERROR(__xludf.DUMMYFUNCTION("""COMPUTED_VALUE"""),"Gene Disease Validity")</f>
        <v>Gene Disease Validity</v>
      </c>
      <c r="F7" s="62" t="str">
        <f>IFERROR(__xludf.DUMMYFUNCTION("""COMPUTED_VALUE"""),"Hereditary Cancer")</f>
        <v>Hereditary Cancer</v>
      </c>
      <c r="G7" s="62" t="str">
        <f>IFERROR(__xludf.DUMMYFUNCTION("""COMPUTED_VALUE"""),"Kalpana Panneerselvam")</f>
        <v>Kalpana Panneerselvam</v>
      </c>
      <c r="H7" s="62" t="str">
        <f>IFERROR(__xludf.DUMMYFUNCTION("""COMPUTED_VALUE"""),"kalpanarpanneerselvam@gmail.com")</f>
        <v>kalpanarpanneerselvam@gmail.com</v>
      </c>
      <c r="I7" s="62" t="str">
        <f>IFERROR(__xludf.DUMMYFUNCTION("""COMPUTED_VALUE"""),"Biocurator")</f>
        <v>Biocurator</v>
      </c>
      <c r="J7" s="62"/>
      <c r="K7" s="62" t="str">
        <f>IFERROR(__xludf.DUMMYFUNCTION("""COMPUTED_VALUE"""),"Gene-Disease Validity")</f>
        <v>Gene-Disease Validity</v>
      </c>
      <c r="L7" s="62"/>
      <c r="M7" s="62"/>
      <c r="N7" s="62"/>
      <c r="O7" s="62"/>
      <c r="P7" s="62"/>
      <c r="Q7" s="62"/>
      <c r="R7" s="62"/>
      <c r="S7" s="62"/>
      <c r="T7" s="62"/>
      <c r="U7" s="62"/>
      <c r="V7" s="62"/>
      <c r="W7" s="62"/>
      <c r="X7" s="62"/>
      <c r="Y7" s="62"/>
      <c r="Z7" s="62"/>
    </row>
    <row r="8">
      <c r="A8" s="62" t="str">
        <f>IFERROR(__xludf.DUMMYFUNCTION("""COMPUTED_VALUE"""),"Assigned")</f>
        <v>Assigned</v>
      </c>
      <c r="B8" s="62" t="str">
        <f>IFERROR(__xludf.DUMMYFUNCTION("""COMPUTED_VALUE"""),"")</f>
        <v/>
      </c>
      <c r="C8" s="77">
        <f>IFERROR(__xludf.DUMMYFUNCTION("""COMPUTED_VALUE"""),43580.0)</f>
        <v>43580</v>
      </c>
      <c r="D8" s="62" t="str">
        <f>IFERROR(__xludf.DUMMYFUNCTION("""COMPUTED_VALUE"""),"Yes")</f>
        <v>Yes</v>
      </c>
      <c r="E8" s="62" t="str">
        <f>IFERROR(__xludf.DUMMYFUNCTION("""COMPUTED_VALUE"""),"Dosage Sensitivity")</f>
        <v>Dosage Sensitivity</v>
      </c>
      <c r="F8" s="62" t="str">
        <f>IFERROR(__xludf.DUMMYFUNCTION("""COMPUTED_VALUE"""),"Recurrent CNVs")</f>
        <v>Recurrent CNVs</v>
      </c>
      <c r="G8" s="62" t="str">
        <f>IFERROR(__xludf.DUMMYFUNCTION("""COMPUTED_VALUE"""),"Justin Schleede Phd")</f>
        <v>Justin Schleede Phd</v>
      </c>
      <c r="H8" s="62" t="str">
        <f>IFERROR(__xludf.DUMMYFUNCTION("""COMPUTED_VALUE"""),"schleej@labcorp.com")</f>
        <v>schleej@labcorp.com</v>
      </c>
      <c r="I8" s="62" t="str">
        <f>IFERROR(__xludf.DUMMYFUNCTION("""COMPUTED_VALUE"""),"Clinical laboratory geneticist")</f>
        <v>Clinical laboratory geneticist</v>
      </c>
      <c r="J8" s="62"/>
      <c r="K8" s="62" t="str">
        <f>IFERROR(__xludf.DUMMYFUNCTION("""COMPUTED_VALUE"""),"Dosage Sensitivity")</f>
        <v>Dosage Sensitivity</v>
      </c>
      <c r="L8" s="62"/>
      <c r="M8" s="62"/>
      <c r="N8" s="62"/>
      <c r="O8" s="62"/>
      <c r="P8" s="62"/>
      <c r="Q8" s="62"/>
      <c r="R8" s="62"/>
      <c r="S8" s="62"/>
      <c r="T8" s="62"/>
      <c r="U8" s="62"/>
      <c r="V8" s="62"/>
      <c r="W8" s="62"/>
      <c r="X8" s="62"/>
      <c r="Y8" s="62"/>
      <c r="Z8" s="62"/>
    </row>
    <row r="9">
      <c r="A9" s="62" t="str">
        <f>IFERROR(__xludf.DUMMYFUNCTION("""COMPUTED_VALUE"""),"Contacted")</f>
        <v>Contacted</v>
      </c>
      <c r="B9" s="62" t="str">
        <f>IFERROR(__xludf.DUMMYFUNCTION("""COMPUTED_VALUE"""),"")</f>
        <v/>
      </c>
      <c r="C9" s="77">
        <f>IFERROR(__xludf.DUMMYFUNCTION("""COMPUTED_VALUE"""),43678.0)</f>
        <v>43678</v>
      </c>
      <c r="D9" s="62" t="str">
        <f>IFERROR(__xludf.DUMMYFUNCTION("""COMPUTED_VALUE"""),"Yes")</f>
        <v>Yes</v>
      </c>
      <c r="E9" s="62" t="str">
        <f>IFERROR(__xludf.DUMMYFUNCTION("""COMPUTED_VALUE"""),"Actionability")</f>
        <v>Actionability</v>
      </c>
      <c r="F9" s="62" t="str">
        <f>IFERROR(__xludf.DUMMYFUNCTION("""COMPUTED_VALUE"""),"")</f>
        <v/>
      </c>
      <c r="G9" s="62" t="str">
        <f>IFERROR(__xludf.DUMMYFUNCTION("""COMPUTED_VALUE"""),"Juan Carlos Diaz ")</f>
        <v>Juan Carlos Diaz </v>
      </c>
      <c r="H9" s="62" t="str">
        <f>IFERROR(__xludf.DUMMYFUNCTION("""COMPUTED_VALUE"""),"cuallijuan@hotmail.com ")</f>
        <v>cuallijuan@hotmail.com </v>
      </c>
      <c r="I9" s="62" t="str">
        <f>IFERROR(__xludf.DUMMYFUNCTION("""COMPUTED_VALUE"""),"Scientific Researcher")</f>
        <v>Scientific Researcher</v>
      </c>
      <c r="J9" s="62"/>
      <c r="K9" s="62" t="str">
        <f>IFERROR(__xludf.DUMMYFUNCTION("""COMPUTED_VALUE"""),"Clinical Actionability")</f>
        <v>Clinical Actionability</v>
      </c>
      <c r="L9" s="62"/>
      <c r="M9" s="62"/>
      <c r="N9" s="62"/>
      <c r="O9" s="62"/>
      <c r="P9" s="62"/>
      <c r="Q9" s="62"/>
      <c r="R9" s="62"/>
      <c r="S9" s="62"/>
      <c r="T9" s="62"/>
      <c r="U9" s="62"/>
      <c r="V9" s="62"/>
      <c r="W9" s="62"/>
      <c r="X9" s="62"/>
      <c r="Y9" s="62"/>
      <c r="Z9" s="62"/>
    </row>
    <row r="10">
      <c r="A10" s="62" t="str">
        <f>IFERROR(__xludf.DUMMYFUNCTION("""COMPUTED_VALUE"""),"Contacted")</f>
        <v>Contacted</v>
      </c>
      <c r="B10" s="62" t="str">
        <f>IFERROR(__xludf.DUMMYFUNCTION("""COMPUTED_VALUE"""),"")</f>
        <v/>
      </c>
      <c r="C10" s="77">
        <f>IFERROR(__xludf.DUMMYFUNCTION("""COMPUTED_VALUE"""),43570.0)</f>
        <v>43570</v>
      </c>
      <c r="D10" s="62" t="str">
        <f>IFERROR(__xludf.DUMMYFUNCTION("""COMPUTED_VALUE"""),"Yes")</f>
        <v>Yes</v>
      </c>
      <c r="E10" s="62" t="str">
        <f>IFERROR(__xludf.DUMMYFUNCTION("""COMPUTED_VALUE"""),"Gene Disease Validity")</f>
        <v>Gene Disease Validity</v>
      </c>
      <c r="F10" s="62" t="str">
        <f>IFERROR(__xludf.DUMMYFUNCTION("""COMPUTED_VALUE"""),"Dilated Cardiomyopathy")</f>
        <v>Dilated Cardiomyopathy</v>
      </c>
      <c r="G10" s="62" t="str">
        <f>IFERROR(__xludf.DUMMYFUNCTION("""COMPUTED_VALUE"""),"Tomohiko Ai")</f>
        <v>Tomohiko Ai</v>
      </c>
      <c r="H10" s="62" t="str">
        <f>IFERROR(__xludf.DUMMYFUNCTION("""COMPUTED_VALUE"""),"Tomohiko.Ai@osumc.edu")</f>
        <v>Tomohiko.Ai@osumc.edu</v>
      </c>
      <c r="I10" s="62" t="str">
        <f>IFERROR(__xludf.DUMMYFUNCTION("""COMPUTED_VALUE"""),"Scientific Researcher")</f>
        <v>Scientific Researcher</v>
      </c>
      <c r="J10" s="62"/>
      <c r="K10" s="62" t="str">
        <f>IFERROR(__xludf.DUMMYFUNCTION("""COMPUTED_VALUE"""),"Gene-Disease Validity")</f>
        <v>Gene-Disease Validity</v>
      </c>
      <c r="L10" s="62"/>
      <c r="M10" s="62"/>
      <c r="N10" s="62"/>
      <c r="O10" s="62"/>
      <c r="P10" s="62"/>
      <c r="Q10" s="62"/>
      <c r="R10" s="62"/>
      <c r="S10" s="62"/>
      <c r="T10" s="62"/>
      <c r="U10" s="62"/>
      <c r="V10" s="62"/>
      <c r="W10" s="62"/>
      <c r="X10" s="62"/>
      <c r="Y10" s="62"/>
      <c r="Z10" s="62"/>
    </row>
    <row r="11">
      <c r="A11" s="62" t="str">
        <f>IFERROR(__xludf.DUMMYFUNCTION("""COMPUTED_VALUE"""),"Unresponsive")</f>
        <v>Unresponsive</v>
      </c>
      <c r="B11" s="81">
        <f>IFERROR(__xludf.DUMMYFUNCTION("""COMPUTED_VALUE"""),43474.0)</f>
        <v>43474</v>
      </c>
      <c r="C11" s="105">
        <f>IFERROR(__xludf.DUMMYFUNCTION("""COMPUTED_VALUE"""),43476.0)</f>
        <v>43476</v>
      </c>
      <c r="D11" s="62" t="str">
        <f>IFERROR(__xludf.DUMMYFUNCTION("""COMPUTED_VALUE"""),"Yes")</f>
        <v>Yes</v>
      </c>
      <c r="E11" s="62" t="str">
        <f>IFERROR(__xludf.DUMMYFUNCTION("""COMPUTED_VALUE"""),"Somatic Cancer")</f>
        <v>Somatic Cancer</v>
      </c>
      <c r="F11" s="62" t="str">
        <f>IFERROR(__xludf.DUMMYFUNCTION("""COMPUTED_VALUE"""),"Somatic WG")</f>
        <v>Somatic WG</v>
      </c>
      <c r="G11" s="62" t="str">
        <f>IFERROR(__xludf.DUMMYFUNCTION("""COMPUTED_VALUE"""),"Rajavarman Kittu")</f>
        <v>Rajavarman Kittu</v>
      </c>
      <c r="H11" s="62" t="str">
        <f>IFERROR(__xludf.DUMMYFUNCTION("""COMPUTED_VALUE"""),"rajavarman21@gmail.com")</f>
        <v>rajavarman21@gmail.com</v>
      </c>
      <c r="I11" s="62" t="str">
        <f>IFERROR(__xludf.DUMMYFUNCTION("""COMPUTED_VALUE"""),"Variant Analyst/Scientist")</f>
        <v>Variant Analyst/Scientist</v>
      </c>
      <c r="J11" s="62"/>
      <c r="K11" s="62" t="str">
        <f>IFERROR(__xludf.DUMMYFUNCTION("""COMPUTED_VALUE"""),"Somatic Cancer")</f>
        <v>Somatic Cancer</v>
      </c>
      <c r="L11" s="62"/>
      <c r="M11" s="62"/>
      <c r="N11" s="62"/>
      <c r="O11" s="62"/>
      <c r="P11" s="62"/>
      <c r="Q11" s="62"/>
      <c r="R11" s="62"/>
      <c r="S11" s="62"/>
      <c r="T11" s="62"/>
      <c r="U11" s="62"/>
      <c r="V11" s="62"/>
      <c r="W11" s="62"/>
      <c r="X11" s="62"/>
      <c r="Y11" s="62"/>
      <c r="Z11" s="62"/>
    </row>
    <row r="12">
      <c r="A12" s="62" t="str">
        <f>IFERROR(__xludf.DUMMYFUNCTION("""COMPUTED_VALUE"""),"Contacted")</f>
        <v>Contacted</v>
      </c>
      <c r="B12" s="62" t="str">
        <f>IFERROR(__xludf.DUMMYFUNCTION("""COMPUTED_VALUE"""),"")</f>
        <v/>
      </c>
      <c r="C12" s="77">
        <f>IFERROR(__xludf.DUMMYFUNCTION("""COMPUTED_VALUE"""),43678.0)</f>
        <v>43678</v>
      </c>
      <c r="D12" s="62" t="str">
        <f>IFERROR(__xludf.DUMMYFUNCTION("""COMPUTED_VALUE"""),"Yes")</f>
        <v>Yes</v>
      </c>
      <c r="E12" s="62" t="str">
        <f>IFERROR(__xludf.DUMMYFUNCTION("""COMPUTED_VALUE"""),"Actionability")</f>
        <v>Actionability</v>
      </c>
      <c r="F12" s="62" t="str">
        <f>IFERROR(__xludf.DUMMYFUNCTION("""COMPUTED_VALUE"""),"")</f>
        <v/>
      </c>
      <c r="G12" s="62" t="str">
        <f>IFERROR(__xludf.DUMMYFUNCTION("""COMPUTED_VALUE"""),"Rhea Vallente")</f>
        <v>Rhea Vallente</v>
      </c>
      <c r="H12" s="62" t="str">
        <f>IFERROR(__xludf.DUMMYFUNCTION("""COMPUTED_VALUE"""),"rvallente@fulgentgenetics.com")</f>
        <v>rvallente@fulgentgenetics.com</v>
      </c>
      <c r="I12" s="62" t="str">
        <f>IFERROR(__xludf.DUMMYFUNCTION("""COMPUTED_VALUE"""),"Variant Analyst/Scientist")</f>
        <v>Variant Analyst/Scientist</v>
      </c>
      <c r="J12" s="62"/>
      <c r="K12" s="62" t="str">
        <f>IFERROR(__xludf.DUMMYFUNCTION("""COMPUTED_VALUE"""),"Clinical Actionability")</f>
        <v>Clinical Actionability</v>
      </c>
      <c r="L12" s="62"/>
      <c r="M12" s="62"/>
      <c r="N12" s="62"/>
      <c r="O12" s="62"/>
      <c r="P12" s="62"/>
      <c r="Q12" s="62"/>
      <c r="R12" s="62"/>
      <c r="S12" s="62"/>
      <c r="T12" s="62"/>
      <c r="U12" s="62"/>
      <c r="V12" s="62"/>
      <c r="W12" s="62"/>
      <c r="X12" s="62"/>
      <c r="Y12" s="62"/>
      <c r="Z12" s="62"/>
    </row>
    <row r="13">
      <c r="A13" s="62" t="str">
        <f>IFERROR(__xludf.DUMMYFUNCTION("""COMPUTED_VALUE"""),"Declined")</f>
        <v>Declined</v>
      </c>
      <c r="B13" s="62" t="str">
        <f>IFERROR(__xludf.DUMMYFUNCTION("""COMPUTED_VALUE"""),"")</f>
        <v/>
      </c>
      <c r="C13" s="81">
        <f>IFERROR(__xludf.DUMMYFUNCTION("""COMPUTED_VALUE"""),43585.0)</f>
        <v>43585</v>
      </c>
      <c r="D13" s="62" t="str">
        <f>IFERROR(__xludf.DUMMYFUNCTION("""COMPUTED_VALUE"""),"Yes")</f>
        <v>Yes</v>
      </c>
      <c r="E13" s="62" t="str">
        <f>IFERROR(__xludf.DUMMYFUNCTION("""COMPUTED_VALUE"""),"Gene Disease Validity")</f>
        <v>Gene Disease Validity</v>
      </c>
      <c r="F13" s="62" t="str">
        <f>IFERROR(__xludf.DUMMYFUNCTION("""COMPUTED_VALUE"""),"ID/Autism")</f>
        <v>ID/Autism</v>
      </c>
      <c r="G13" s="62" t="str">
        <f>IFERROR(__xludf.DUMMYFUNCTION("""COMPUTED_VALUE"""),"Caitlin Hale")</f>
        <v>Caitlin Hale</v>
      </c>
      <c r="H13" s="62" t="str">
        <f>IFERROR(__xludf.DUMMYFUNCTION("""COMPUTED_VALUE"""),"CHale@stanfordchildrens.org")</f>
        <v>CHale@stanfordchildrens.org</v>
      </c>
      <c r="I13" s="62" t="str">
        <f>IFERROR(__xludf.DUMMYFUNCTION("""COMPUTED_VALUE"""),"Genetic counselor")</f>
        <v>Genetic counselor</v>
      </c>
      <c r="J13" s="62"/>
      <c r="K13" s="62" t="str">
        <f>IFERROR(__xludf.DUMMYFUNCTION("""COMPUTED_VALUE"""),"Gene-Disease Validity")</f>
        <v>Gene-Disease Validity</v>
      </c>
      <c r="L13" s="62"/>
      <c r="M13" s="62"/>
      <c r="N13" s="62"/>
      <c r="O13" s="62"/>
      <c r="P13" s="62"/>
      <c r="Q13" s="62"/>
      <c r="R13" s="62"/>
      <c r="S13" s="62"/>
      <c r="T13" s="62"/>
      <c r="U13" s="62"/>
      <c r="V13" s="62"/>
      <c r="W13" s="62"/>
      <c r="X13" s="62"/>
      <c r="Y13" s="62"/>
      <c r="Z13" s="62"/>
    </row>
    <row r="14">
      <c r="A14" s="62" t="str">
        <f>IFERROR(__xludf.DUMMYFUNCTION("""COMPUTED_VALUE"""),"Contacted")</f>
        <v>Contacted</v>
      </c>
      <c r="B14" s="62" t="str">
        <f>IFERROR(__xludf.DUMMYFUNCTION("""COMPUTED_VALUE"""),"")</f>
        <v/>
      </c>
      <c r="C14" s="106">
        <f>IFERROR(__xludf.DUMMYFUNCTION("""COMPUTED_VALUE"""),43567.0)</f>
        <v>43567</v>
      </c>
      <c r="D14" s="62" t="str">
        <f>IFERROR(__xludf.DUMMYFUNCTION("""COMPUTED_VALUE"""),"Yes")</f>
        <v>Yes</v>
      </c>
      <c r="E14" s="62" t="str">
        <f>IFERROR(__xludf.DUMMYFUNCTION("""COMPUTED_VALUE"""),"Actionability")</f>
        <v>Actionability</v>
      </c>
      <c r="F14" s="62" t="str">
        <f>IFERROR(__xludf.DUMMYFUNCTION("""COMPUTED_VALUE"""),"Actionability")</f>
        <v>Actionability</v>
      </c>
      <c r="G14" s="62" t="str">
        <f>IFERROR(__xludf.DUMMYFUNCTION("""COMPUTED_VALUE"""),"Melissa Murfin")</f>
        <v>Melissa Murfin</v>
      </c>
      <c r="H14" s="62" t="str">
        <f>IFERROR(__xludf.DUMMYFUNCTION("""COMPUTED_VALUE"""),"mmurfin@elon.edu")</f>
        <v>mmurfin@elon.edu</v>
      </c>
      <c r="I14" s="62" t="str">
        <f>IFERROR(__xludf.DUMMYFUNCTION("""COMPUTED_VALUE"""),"Pharmacist/PA-C, PA program director")</f>
        <v>Pharmacist/PA-C, PA program director</v>
      </c>
      <c r="J14" s="62"/>
      <c r="K14" s="62" t="str">
        <f>IFERROR(__xludf.DUMMYFUNCTION("""COMPUTED_VALUE"""),"Clinical Actionability")</f>
        <v>Clinical Actionability</v>
      </c>
      <c r="L14" s="62"/>
      <c r="M14" s="62"/>
      <c r="N14" s="62"/>
      <c r="O14" s="62"/>
      <c r="P14" s="62"/>
      <c r="Q14" s="62"/>
      <c r="R14" s="62"/>
      <c r="S14" s="62"/>
      <c r="T14" s="62"/>
      <c r="U14" s="62"/>
      <c r="V14" s="62"/>
      <c r="W14" s="62"/>
      <c r="X14" s="62"/>
      <c r="Y14" s="62"/>
      <c r="Z14" s="62"/>
    </row>
    <row r="15">
      <c r="A15" s="62" t="str">
        <f>IFERROR(__xludf.DUMMYFUNCTION("""COMPUTED_VALUE"""),"Contacted")</f>
        <v>Contacted</v>
      </c>
      <c r="B15" s="62" t="str">
        <f>IFERROR(__xludf.DUMMYFUNCTION("""COMPUTED_VALUE"""),"")</f>
        <v/>
      </c>
      <c r="C15" s="77">
        <f>IFERROR(__xludf.DUMMYFUNCTION("""COMPUTED_VALUE"""),43585.0)</f>
        <v>43585</v>
      </c>
      <c r="D15" s="62" t="str">
        <f>IFERROR(__xludf.DUMMYFUNCTION("""COMPUTED_VALUE"""),"Yes")</f>
        <v>Yes</v>
      </c>
      <c r="E15" s="62" t="str">
        <f>IFERROR(__xludf.DUMMYFUNCTION("""COMPUTED_VALUE"""),"Gene Disease Validity")</f>
        <v>Gene Disease Validity</v>
      </c>
      <c r="F15" s="62" t="str">
        <f>IFERROR(__xludf.DUMMYFUNCTION("""COMPUTED_VALUE"""),"Hemo/Thrombo")</f>
        <v>Hemo/Thrombo</v>
      </c>
      <c r="G15" s="62" t="str">
        <f>IFERROR(__xludf.DUMMYFUNCTION("""COMPUTED_VALUE"""),"Ana León")</f>
        <v>Ana León</v>
      </c>
      <c r="H15" s="62" t="str">
        <f>IFERROR(__xludf.DUMMYFUNCTION("""COMPUTED_VALUE"""),"aleon@pros.upv.es")</f>
        <v>aleon@pros.upv.es</v>
      </c>
      <c r="I15" s="62" t="str">
        <f>IFERROR(__xludf.DUMMYFUNCTION("""COMPUTED_VALUE"""),"PhD Student")</f>
        <v>PhD Student</v>
      </c>
      <c r="J15" s="62"/>
      <c r="K15" s="62" t="str">
        <f>IFERROR(__xludf.DUMMYFUNCTION("""COMPUTED_VALUE"""),"Gene-Disease Validity")</f>
        <v>Gene-Disease Validity</v>
      </c>
      <c r="L15" s="62"/>
      <c r="M15" s="62"/>
      <c r="N15" s="62"/>
      <c r="O15" s="62"/>
      <c r="P15" s="62"/>
      <c r="Q15" s="62"/>
      <c r="R15" s="62"/>
      <c r="S15" s="62"/>
      <c r="T15" s="62"/>
      <c r="U15" s="62"/>
      <c r="V15" s="62"/>
      <c r="W15" s="62"/>
      <c r="X15" s="62"/>
      <c r="Y15" s="62"/>
      <c r="Z15" s="62"/>
    </row>
    <row r="16">
      <c r="A16" s="62" t="str">
        <f>IFERROR(__xludf.DUMMYFUNCTION("""COMPUTED_VALUE"""),"Assigned")</f>
        <v>Assigned</v>
      </c>
      <c r="B16" s="81">
        <f>IFERROR(__xludf.DUMMYFUNCTION("""COMPUTED_VALUE"""),43437.0)</f>
        <v>43437</v>
      </c>
      <c r="C16" s="81">
        <f>IFERROR(__xludf.DUMMYFUNCTION("""COMPUTED_VALUE"""),43446.0)</f>
        <v>43446</v>
      </c>
      <c r="D16" s="62" t="str">
        <f>IFERROR(__xludf.DUMMYFUNCTION("""COMPUTED_VALUE"""),"Yes")</f>
        <v>Yes</v>
      </c>
      <c r="E16" s="62" t="str">
        <f>IFERROR(__xludf.DUMMYFUNCTION("""COMPUTED_VALUE"""),"Gene Disease Validity")</f>
        <v>Gene Disease Validity</v>
      </c>
      <c r="F16" s="62" t="str">
        <f>IFERROR(__xludf.DUMMYFUNCTION("""COMPUTED_VALUE"""),"ID Autism")</f>
        <v>ID Autism</v>
      </c>
      <c r="G16" s="62" t="str">
        <f>IFERROR(__xludf.DUMMYFUNCTION("""COMPUTED_VALUE"""),"Catalina Betancur")</f>
        <v>Catalina Betancur</v>
      </c>
      <c r="H16" s="62" t="str">
        <f>IFERROR(__xludf.DUMMYFUNCTION("""COMPUTED_VALUE"""),"Catalina.Betancur@inserm.fr")</f>
        <v>Catalina.Betancur@inserm.fr</v>
      </c>
      <c r="I16" s="62" t="str">
        <f>IFERROR(__xludf.DUMMYFUNCTION("""COMPUTED_VALUE"""),"NA")</f>
        <v>NA</v>
      </c>
      <c r="J16" s="62"/>
      <c r="K16" s="62" t="str">
        <f>IFERROR(__xludf.DUMMYFUNCTION("""COMPUTED_VALUE"""),"Gene-Disease Validity")</f>
        <v>Gene-Disease Validity</v>
      </c>
      <c r="L16" s="62"/>
      <c r="M16" s="62"/>
      <c r="N16" s="62"/>
      <c r="O16" s="62"/>
      <c r="P16" s="62"/>
      <c r="Q16" s="62"/>
      <c r="R16" s="62"/>
      <c r="S16" s="62"/>
      <c r="T16" s="62"/>
      <c r="U16" s="62"/>
      <c r="V16" s="62"/>
      <c r="W16" s="62"/>
      <c r="X16" s="62"/>
      <c r="Y16" s="62"/>
      <c r="Z16" s="62"/>
    </row>
    <row r="17">
      <c r="A17" s="62" t="str">
        <f>IFERROR(__xludf.DUMMYFUNCTION("""COMPUTED_VALUE"""),"Contacted")</f>
        <v>Contacted</v>
      </c>
      <c r="B17" s="62" t="str">
        <f>IFERROR(__xludf.DUMMYFUNCTION("""COMPUTED_VALUE"""),"")</f>
        <v/>
      </c>
      <c r="C17" s="77">
        <f>IFERROR(__xludf.DUMMYFUNCTION("""COMPUTED_VALUE"""),43580.0)</f>
        <v>43580</v>
      </c>
      <c r="D17" s="62" t="str">
        <f>IFERROR(__xludf.DUMMYFUNCTION("""COMPUTED_VALUE"""),"Yes")</f>
        <v>Yes</v>
      </c>
      <c r="E17" s="62" t="str">
        <f>IFERROR(__xludf.DUMMYFUNCTION("""COMPUTED_VALUE"""),"Dosage Sensitivity")</f>
        <v>Dosage Sensitivity</v>
      </c>
      <c r="F17" s="62" t="str">
        <f>IFERROR(__xludf.DUMMYFUNCTION("""COMPUTED_VALUE"""),"")</f>
        <v/>
      </c>
      <c r="G17" s="62" t="str">
        <f>IFERROR(__xludf.DUMMYFUNCTION("""COMPUTED_VALUE"""),"Shulin Zhang")</f>
        <v>Shulin Zhang</v>
      </c>
      <c r="H17" s="62" t="str">
        <f>IFERROR(__xludf.DUMMYFUNCTION("""COMPUTED_VALUE"""),"shulin.zhang@uky.edu")</f>
        <v>shulin.zhang@uky.edu</v>
      </c>
      <c r="I17" s="62" t="str">
        <f>IFERROR(__xludf.DUMMYFUNCTION("""COMPUTED_VALUE"""),"Clinical laboratory geneticist")</f>
        <v>Clinical laboratory geneticist</v>
      </c>
      <c r="J17" s="62"/>
      <c r="K17" s="62" t="str">
        <f>IFERROR(__xludf.DUMMYFUNCTION("""COMPUTED_VALUE"""),"Dosage Sensitivity")</f>
        <v>Dosage Sensitivity</v>
      </c>
      <c r="L17" s="62"/>
      <c r="M17" s="62"/>
      <c r="N17" s="62"/>
      <c r="O17" s="62"/>
      <c r="P17" s="62"/>
      <c r="Q17" s="62"/>
      <c r="R17" s="62"/>
      <c r="S17" s="62"/>
      <c r="T17" s="62"/>
      <c r="U17" s="62"/>
      <c r="V17" s="62"/>
      <c r="W17" s="62"/>
      <c r="X17" s="62"/>
      <c r="Y17" s="62"/>
      <c r="Z17" s="62"/>
    </row>
    <row r="18">
      <c r="A18" s="62" t="str">
        <f>IFERROR(__xludf.DUMMYFUNCTION("""COMPUTED_VALUE"""),"Contacted")</f>
        <v>Contacted</v>
      </c>
      <c r="B18" s="62" t="str">
        <f>IFERROR(__xludf.DUMMYFUNCTION("""COMPUTED_VALUE"""),"")</f>
        <v/>
      </c>
      <c r="C18" s="106">
        <f>IFERROR(__xludf.DUMMYFUNCTION("""COMPUTED_VALUE"""),43567.0)</f>
        <v>43567</v>
      </c>
      <c r="D18" s="62" t="str">
        <f>IFERROR(__xludf.DUMMYFUNCTION("""COMPUTED_VALUE"""),"Yes")</f>
        <v>Yes</v>
      </c>
      <c r="E18" s="62" t="str">
        <f>IFERROR(__xludf.DUMMYFUNCTION("""COMPUTED_VALUE"""),"Actionability")</f>
        <v>Actionability</v>
      </c>
      <c r="F18" s="62" t="str">
        <f>IFERROR(__xludf.DUMMYFUNCTION("""COMPUTED_VALUE"""),"")</f>
        <v/>
      </c>
      <c r="G18" s="62" t="str">
        <f>IFERROR(__xludf.DUMMYFUNCTION("""COMPUTED_VALUE"""),"Marwan Shinawi")</f>
        <v>Marwan Shinawi</v>
      </c>
      <c r="H18" s="62" t="str">
        <f>IFERROR(__xludf.DUMMYFUNCTION("""COMPUTED_VALUE"""),"mshinawi@wustl.edu")</f>
        <v>mshinawi@wustl.edu</v>
      </c>
      <c r="I18" s="62" t="str">
        <f>IFERROR(__xludf.DUMMYFUNCTION("""COMPUTED_VALUE"""),"Clinical Medical Geneticist")</f>
        <v>Clinical Medical Geneticist</v>
      </c>
      <c r="J18" s="62"/>
      <c r="K18" s="62" t="str">
        <f>IFERROR(__xludf.DUMMYFUNCTION("""COMPUTED_VALUE"""),"Clinical Actionability")</f>
        <v>Clinical Actionability</v>
      </c>
      <c r="L18" s="62"/>
      <c r="M18" s="62"/>
      <c r="N18" s="62"/>
      <c r="O18" s="62"/>
      <c r="P18" s="62"/>
      <c r="Q18" s="62"/>
      <c r="R18" s="62"/>
      <c r="S18" s="62"/>
      <c r="T18" s="62"/>
      <c r="U18" s="62"/>
      <c r="V18" s="62"/>
      <c r="W18" s="62"/>
      <c r="X18" s="62"/>
      <c r="Y18" s="62"/>
      <c r="Z18" s="62"/>
    </row>
    <row r="19">
      <c r="A19" s="62" t="str">
        <f>IFERROR(__xludf.DUMMYFUNCTION("""COMPUTED_VALUE"""),"Contacted")</f>
        <v>Contacted</v>
      </c>
      <c r="B19" s="62" t="str">
        <f>IFERROR(__xludf.DUMMYFUNCTION("""COMPUTED_VALUE"""),"")</f>
        <v/>
      </c>
      <c r="C19" s="77">
        <f>IFERROR(__xludf.DUMMYFUNCTION("""COMPUTED_VALUE"""),43605.0)</f>
        <v>43605</v>
      </c>
      <c r="D19" s="62" t="str">
        <f>IFERROR(__xludf.DUMMYFUNCTION("""COMPUTED_VALUE"""),"Yes")</f>
        <v>Yes</v>
      </c>
      <c r="E19" s="62" t="str">
        <f>IFERROR(__xludf.DUMMYFUNCTION("""COMPUTED_VALUE"""),"Variant Pathogenicity")</f>
        <v>Variant Pathogenicity</v>
      </c>
      <c r="F19" s="62" t="str">
        <f>IFERROR(__xludf.DUMMYFUNCTION("""COMPUTED_VALUE"""),"Hearing Loss")</f>
        <v>Hearing Loss</v>
      </c>
      <c r="G19" s="62" t="str">
        <f>IFERROR(__xludf.DUMMYFUNCTION("""COMPUTED_VALUE"""),"Adam Coovadia")</f>
        <v>Adam Coovadia</v>
      </c>
      <c r="H19" s="62" t="str">
        <f>IFERROR(__xludf.DUMMYFUNCTION("""COMPUTED_VALUE"""),"coovadiaa@gmail.com")</f>
        <v>coovadiaa@gmail.com</v>
      </c>
      <c r="I19" s="62" t="str">
        <f>IFERROR(__xludf.DUMMYFUNCTION("""COMPUTED_VALUE"""),"Former Lab Operations Director/Molecular Genetics Lab Supervisor and College Professor of Bioinformatics, Genetics, Cell Biology, Biotechnology")</f>
        <v>Former Lab Operations Director/Molecular Genetics Lab Supervisor and College Professor of Bioinformatics, Genetics, Cell Biology, Biotechnology</v>
      </c>
      <c r="J19" s="62"/>
      <c r="K19" s="62" t="str">
        <f>IFERROR(__xludf.DUMMYFUNCTION("""COMPUTED_VALUE"""),"Variant Pathogenicity")</f>
        <v>Variant Pathogenicity</v>
      </c>
      <c r="L19" s="62"/>
      <c r="M19" s="62"/>
      <c r="N19" s="62"/>
      <c r="O19" s="62"/>
      <c r="P19" s="62"/>
      <c r="Q19" s="62"/>
      <c r="R19" s="62"/>
      <c r="S19" s="62"/>
      <c r="T19" s="62"/>
      <c r="U19" s="62"/>
      <c r="V19" s="62"/>
      <c r="W19" s="62"/>
      <c r="X19" s="62"/>
      <c r="Y19" s="62"/>
      <c r="Z19" s="62"/>
    </row>
    <row r="20">
      <c r="A20" s="62" t="str">
        <f>IFERROR(__xludf.DUMMYFUNCTION("""COMPUTED_VALUE"""),"Assigned")</f>
        <v>Assigned</v>
      </c>
      <c r="B20" s="81">
        <f>IFERROR(__xludf.DUMMYFUNCTION("""COMPUTED_VALUE"""),43446.0)</f>
        <v>43446</v>
      </c>
      <c r="C20" s="81">
        <f>IFERROR(__xludf.DUMMYFUNCTION("""COMPUTED_VALUE"""),43446.0)</f>
        <v>43446</v>
      </c>
      <c r="D20" s="62" t="str">
        <f>IFERROR(__xludf.DUMMYFUNCTION("""COMPUTED_VALUE"""),"Yes")</f>
        <v>Yes</v>
      </c>
      <c r="E20" s="62" t="str">
        <f>IFERROR(__xludf.DUMMYFUNCTION("""COMPUTED_VALUE"""),"Gene Disease Validity")</f>
        <v>Gene Disease Validity</v>
      </c>
      <c r="F20" s="62" t="str">
        <f>IFERROR(__xludf.DUMMYFUNCTION("""COMPUTED_VALUE"""),"Hereditary Cancer")</f>
        <v>Hereditary Cancer</v>
      </c>
      <c r="G20" s="62" t="str">
        <f>IFERROR(__xludf.DUMMYFUNCTION("""COMPUTED_VALUE"""),"Volkan Okur")</f>
        <v>Volkan Okur</v>
      </c>
      <c r="H20" s="62" t="str">
        <f>IFERROR(__xludf.DUMMYFUNCTION("""COMPUTED_VALUE"""),"vokur@bcm.edu")</f>
        <v>vokur@bcm.edu</v>
      </c>
      <c r="I20" s="62" t="str">
        <f>IFERROR(__xludf.DUMMYFUNCTION("""COMPUTED_VALUE"""),"Clinical medical geneticist/Clinical laboratory geneticist/Post Doc/Resident/Fellow (MD and/or Phd)/Scientific Researcher/Variant Analyst/Scientist")</f>
        <v>Clinical medical geneticist/Clinical laboratory geneticist/Post Doc/Resident/Fellow (MD and/or Phd)/Scientific Researcher/Variant Analyst/Scientist</v>
      </c>
      <c r="J20" s="62"/>
      <c r="K20" s="62" t="str">
        <f>IFERROR(__xludf.DUMMYFUNCTION("""COMPUTED_VALUE"""),"Gene-Disease Validity")</f>
        <v>Gene-Disease Validity</v>
      </c>
      <c r="L20" s="62"/>
      <c r="M20" s="62"/>
      <c r="N20" s="62"/>
      <c r="O20" s="62"/>
      <c r="P20" s="62"/>
      <c r="Q20" s="62"/>
      <c r="R20" s="62"/>
      <c r="S20" s="62"/>
      <c r="T20" s="62"/>
      <c r="U20" s="62"/>
      <c r="V20" s="62"/>
      <c r="W20" s="62"/>
      <c r="X20" s="62"/>
      <c r="Y20" s="62"/>
      <c r="Z20" s="62"/>
    </row>
    <row r="21">
      <c r="A21" s="62" t="str">
        <f>IFERROR(__xludf.DUMMYFUNCTION("""COMPUTED_VALUE"""),"Assigned")</f>
        <v>Assigned</v>
      </c>
      <c r="B21" s="81">
        <f>IFERROR(__xludf.DUMMYFUNCTION("""COMPUTED_VALUE"""),43411.0)</f>
        <v>43411</v>
      </c>
      <c r="C21" s="81">
        <f>IFERROR(__xludf.DUMMYFUNCTION("""COMPUTED_VALUE"""),43446.0)</f>
        <v>43446</v>
      </c>
      <c r="D21" s="62" t="str">
        <f>IFERROR(__xludf.DUMMYFUNCTION("""COMPUTED_VALUE"""),"Yes")</f>
        <v>Yes</v>
      </c>
      <c r="E21" s="62" t="str">
        <f>IFERROR(__xludf.DUMMYFUNCTION("""COMPUTED_VALUE"""),"Gene Disease Validity")</f>
        <v>Gene Disease Validity</v>
      </c>
      <c r="F21" s="62" t="str">
        <f>IFERROR(__xludf.DUMMYFUNCTION("""COMPUTED_VALUE"""),"ID/Autism")</f>
        <v>ID/Autism</v>
      </c>
      <c r="G21" s="62" t="str">
        <f>IFERROR(__xludf.DUMMYFUNCTION("""COMPUTED_VALUE"""),"Mythily Ganapathi")</f>
        <v>Mythily Ganapathi</v>
      </c>
      <c r="H21" s="62" t="str">
        <f>IFERROR(__xludf.DUMMYFUNCTION("""COMPUTED_VALUE"""),"mg3560@cumc.columbia.edu")</f>
        <v>mg3560@cumc.columbia.edu</v>
      </c>
      <c r="I21" s="62" t="str">
        <f>IFERROR(__xludf.DUMMYFUNCTION("""COMPUTED_VALUE"""),"Clinical laboratory geneticist")</f>
        <v>Clinical laboratory geneticist</v>
      </c>
      <c r="J21" s="62"/>
      <c r="K21" s="62" t="str">
        <f>IFERROR(__xludf.DUMMYFUNCTION("""COMPUTED_VALUE"""),"Gene-Disease Validity")</f>
        <v>Gene-Disease Validity</v>
      </c>
      <c r="L21" s="62"/>
      <c r="M21" s="62"/>
      <c r="N21" s="62"/>
      <c r="O21" s="62"/>
      <c r="P21" s="62"/>
      <c r="Q21" s="62"/>
      <c r="R21" s="62"/>
      <c r="S21" s="62"/>
      <c r="T21" s="62"/>
      <c r="U21" s="62"/>
      <c r="V21" s="62"/>
      <c r="W21" s="62"/>
      <c r="X21" s="62"/>
      <c r="Y21" s="62"/>
      <c r="Z21" s="62"/>
    </row>
    <row r="22">
      <c r="A22" s="62" t="str">
        <f>IFERROR(__xludf.DUMMYFUNCTION("""COMPUTED_VALUE"""),"Unresponsive")</f>
        <v>Unresponsive</v>
      </c>
      <c r="B22" s="106" t="str">
        <f>IFERROR(__xludf.DUMMYFUNCTION("""COMPUTED_VALUE"""),"")</f>
        <v/>
      </c>
      <c r="C22" s="77">
        <f>IFERROR(__xludf.DUMMYFUNCTION("""COMPUTED_VALUE"""),43585.0)</f>
        <v>43585</v>
      </c>
      <c r="D22" s="62" t="str">
        <f>IFERROR(__xludf.DUMMYFUNCTION("""COMPUTED_VALUE"""),"Yes")</f>
        <v>Yes</v>
      </c>
      <c r="E22" s="62" t="str">
        <f>IFERROR(__xludf.DUMMYFUNCTION("""COMPUTED_VALUE"""),"Gene Disease Validity")</f>
        <v>Gene Disease Validity</v>
      </c>
      <c r="F22" s="62" t="str">
        <f>IFERROR(__xludf.DUMMYFUNCTION("""COMPUTED_VALUE"""),"")</f>
        <v/>
      </c>
      <c r="G22" s="62" t="str">
        <f>IFERROR(__xludf.DUMMYFUNCTION("""COMPUTED_VALUE"""),"Leslie Oldfield")</f>
        <v>Leslie Oldfield</v>
      </c>
      <c r="H22" s="62" t="str">
        <f>IFERROR(__xludf.DUMMYFUNCTION("""COMPUTED_VALUE"""),"leslie.oldfield@gmail.com")</f>
        <v>leslie.oldfield@gmail.com</v>
      </c>
      <c r="I22" s="62" t="str">
        <f>IFERROR(__xludf.DUMMYFUNCTION("""COMPUTED_VALUE"""),"Research Associate")</f>
        <v>Research Associate</v>
      </c>
      <c r="J22" s="62"/>
      <c r="K22" s="62" t="str">
        <f>IFERROR(__xludf.DUMMYFUNCTION("""COMPUTED_VALUE"""),"Gene-Disease Validity")</f>
        <v>Gene-Disease Validity</v>
      </c>
      <c r="L22" s="62"/>
      <c r="M22" s="62"/>
      <c r="N22" s="62"/>
      <c r="O22" s="62"/>
      <c r="P22" s="62"/>
      <c r="Q22" s="62"/>
      <c r="R22" s="62"/>
      <c r="S22" s="62"/>
      <c r="T22" s="62"/>
      <c r="U22" s="62"/>
      <c r="V22" s="62"/>
      <c r="W22" s="62"/>
      <c r="X22" s="62"/>
      <c r="Y22" s="62"/>
      <c r="Z22" s="62"/>
    </row>
    <row r="23">
      <c r="A23" s="62" t="str">
        <f>IFERROR(__xludf.DUMMYFUNCTION("""COMPUTED_VALUE"""),"Assigned")</f>
        <v>Assigned</v>
      </c>
      <c r="B23" s="106">
        <f>IFERROR(__xludf.DUMMYFUNCTION("""COMPUTED_VALUE"""),43411.0)</f>
        <v>43411</v>
      </c>
      <c r="C23" s="81">
        <f>IFERROR(__xludf.DUMMYFUNCTION("""COMPUTED_VALUE"""),43446.0)</f>
        <v>43446</v>
      </c>
      <c r="D23" s="62" t="str">
        <f>IFERROR(__xludf.DUMMYFUNCTION("""COMPUTED_VALUE"""),"Yes")</f>
        <v>Yes</v>
      </c>
      <c r="E23" s="62" t="str">
        <f>IFERROR(__xludf.DUMMYFUNCTION("""COMPUTED_VALUE"""),"Gene Disease Validity")</f>
        <v>Gene Disease Validity</v>
      </c>
      <c r="F23" s="62" t="str">
        <f>IFERROR(__xludf.DUMMYFUNCTION("""COMPUTED_VALUE"""),"Mitochondrial GCEP")</f>
        <v>Mitochondrial GCEP</v>
      </c>
      <c r="G23" s="62" t="str">
        <f>IFERROR(__xludf.DUMMYFUNCTION("""COMPUTED_VALUE"""),"John Shoffner")</f>
        <v>John Shoffner</v>
      </c>
      <c r="H23" s="62" t="str">
        <f>IFERROR(__xludf.DUMMYFUNCTION("""COMPUTED_VALUE"""),"jmsiv9903@icloud.com")</f>
        <v>jmsiv9903@icloud.com</v>
      </c>
      <c r="I23" s="62" t="str">
        <f>IFERROR(__xludf.DUMMYFUNCTION("""COMPUTED_VALUE"""),"Clinical medical geneticist/Clinical laboratory geneticist and Neurology, Biochemical and Molecular Genetics")</f>
        <v>Clinical medical geneticist/Clinical laboratory geneticist and Neurology, Biochemical and Molecular Genetics</v>
      </c>
      <c r="J23" s="62"/>
      <c r="K23" s="62" t="str">
        <f>IFERROR(__xludf.DUMMYFUNCTION("""COMPUTED_VALUE"""),"Gene-Disease Validity")</f>
        <v>Gene-Disease Validity</v>
      </c>
      <c r="L23" s="62"/>
      <c r="M23" s="62"/>
      <c r="N23" s="62"/>
      <c r="O23" s="62"/>
      <c r="P23" s="62"/>
      <c r="Q23" s="62"/>
      <c r="R23" s="62"/>
      <c r="S23" s="62"/>
      <c r="T23" s="62"/>
      <c r="U23" s="62"/>
      <c r="V23" s="62"/>
      <c r="W23" s="62"/>
      <c r="X23" s="62"/>
      <c r="Y23" s="62"/>
      <c r="Z23" s="62"/>
    </row>
    <row r="24">
      <c r="A24" s="62" t="str">
        <f>IFERROR(__xludf.DUMMYFUNCTION("""COMPUTED_VALUE"""),"Assigned")</f>
        <v>Assigned</v>
      </c>
      <c r="B24" s="106">
        <f>IFERROR(__xludf.DUMMYFUNCTION("""COMPUTED_VALUE"""),43411.0)</f>
        <v>43411</v>
      </c>
      <c r="C24" s="81">
        <f>IFERROR(__xludf.DUMMYFUNCTION("""COMPUTED_VALUE"""),43446.0)</f>
        <v>43446</v>
      </c>
      <c r="D24" s="62" t="str">
        <f>IFERROR(__xludf.DUMMYFUNCTION("""COMPUTED_VALUE"""),"Yes")</f>
        <v>Yes</v>
      </c>
      <c r="E24" s="62" t="str">
        <f>IFERROR(__xludf.DUMMYFUNCTION("""COMPUTED_VALUE"""),"Gene Disease Validity")</f>
        <v>Gene Disease Validity</v>
      </c>
      <c r="F24" s="62" t="str">
        <f>IFERROR(__xludf.DUMMYFUNCTION("""COMPUTED_VALUE"""),"Mitochondrial GCEP")</f>
        <v>Mitochondrial GCEP</v>
      </c>
      <c r="G24" s="62" t="str">
        <f>IFERROR(__xludf.DUMMYFUNCTION("""COMPUTED_VALUE"""),"Isabelle Thiffault")</f>
        <v>Isabelle Thiffault</v>
      </c>
      <c r="H24" s="62" t="str">
        <f>IFERROR(__xludf.DUMMYFUNCTION("""COMPUTED_VALUE"""),"ithiffault@cmh.edu")</f>
        <v>ithiffault@cmh.edu</v>
      </c>
      <c r="I24" s="62" t="str">
        <f>IFERROR(__xludf.DUMMYFUNCTION("""COMPUTED_VALUE"""),"Undergraduate")</f>
        <v>Undergraduate</v>
      </c>
      <c r="J24" s="62"/>
      <c r="K24" s="62" t="str">
        <f>IFERROR(__xludf.DUMMYFUNCTION("""COMPUTED_VALUE"""),"Gene-Disease Validity")</f>
        <v>Gene-Disease Validity</v>
      </c>
      <c r="L24" s="62"/>
      <c r="M24" s="62"/>
      <c r="N24" s="62"/>
      <c r="O24" s="62"/>
      <c r="P24" s="62"/>
      <c r="Q24" s="62"/>
      <c r="R24" s="62"/>
      <c r="S24" s="62"/>
      <c r="T24" s="62"/>
      <c r="U24" s="62"/>
      <c r="V24" s="62"/>
      <c r="W24" s="62"/>
      <c r="X24" s="62"/>
      <c r="Y24" s="62"/>
      <c r="Z24" s="62"/>
    </row>
    <row r="25">
      <c r="A25" s="62" t="str">
        <f>IFERROR(__xludf.DUMMYFUNCTION("""COMPUTED_VALUE"""),"Assigned")</f>
        <v>Assigned</v>
      </c>
      <c r="B25" s="62" t="str">
        <f>IFERROR(__xludf.DUMMYFUNCTION("""COMPUTED_VALUE"""),"unknown")</f>
        <v>unknown</v>
      </c>
      <c r="C25" s="62" t="str">
        <f>IFERROR(__xludf.DUMMYFUNCTION("""COMPUTED_VALUE"""),"Trained before C3")</f>
        <v>Trained before C3</v>
      </c>
      <c r="D25" s="62" t="str">
        <f>IFERROR(__xludf.DUMMYFUNCTION("""COMPUTED_VALUE"""),"No")</f>
        <v>No</v>
      </c>
      <c r="E25" s="62" t="str">
        <f>IFERROR(__xludf.DUMMYFUNCTION("""COMPUTED_VALUE"""),"Gene Disease Validity")</f>
        <v>Gene Disease Validity</v>
      </c>
      <c r="F25" s="62" t="str">
        <f>IFERROR(__xludf.DUMMYFUNCTION("""COMPUTED_VALUE"""),"Hereditary Cancer")</f>
        <v>Hereditary Cancer</v>
      </c>
      <c r="G25" s="62" t="str">
        <f>IFERROR(__xludf.DUMMYFUNCTION("""COMPUTED_VALUE"""),"Ye Cao")</f>
        <v>Ye Cao</v>
      </c>
      <c r="H25" s="62" t="str">
        <f>IFERROR(__xludf.DUMMYFUNCTION("""COMPUTED_VALUE"""),"ye.cao@bcm.edu")</f>
        <v>ye.cao@bcm.edu</v>
      </c>
      <c r="I25" s="62" t="str">
        <f>IFERROR(__xludf.DUMMYFUNCTION("""COMPUTED_VALUE"""),"Clinical laboratory geneticist and Post Doc/Resident/Fellow (MD and/or PhD)")</f>
        <v>Clinical laboratory geneticist and Post Doc/Resident/Fellow (MD and/or PhD)</v>
      </c>
      <c r="J25" s="62"/>
      <c r="K25" s="62" t="str">
        <f>IFERROR(__xludf.DUMMYFUNCTION("""COMPUTED_VALUE"""),"Gene-Disease Validity")</f>
        <v>Gene-Disease Validity</v>
      </c>
      <c r="L25" s="62"/>
      <c r="M25" s="62"/>
      <c r="N25" s="62"/>
      <c r="O25" s="62"/>
      <c r="P25" s="62"/>
      <c r="Q25" s="62"/>
      <c r="R25" s="62"/>
      <c r="S25" s="62"/>
      <c r="T25" s="62"/>
      <c r="U25" s="62"/>
      <c r="V25" s="62"/>
      <c r="W25" s="62"/>
      <c r="X25" s="62"/>
      <c r="Y25" s="62"/>
      <c r="Z25" s="62"/>
    </row>
    <row r="26">
      <c r="A26" s="62" t="str">
        <f>IFERROR(__xludf.DUMMYFUNCTION("""COMPUTED_VALUE"""),"Unresponsive")</f>
        <v>Unresponsive</v>
      </c>
      <c r="B26" s="106">
        <f>IFERROR(__xludf.DUMMYFUNCTION("""COMPUTED_VALUE"""),43411.0)</f>
        <v>43411</v>
      </c>
      <c r="C26" s="81">
        <f>IFERROR(__xludf.DUMMYFUNCTION("""COMPUTED_VALUE"""),43446.0)</f>
        <v>43446</v>
      </c>
      <c r="D26" s="62" t="str">
        <f>IFERROR(__xludf.DUMMYFUNCTION("""COMPUTED_VALUE"""),"No")</f>
        <v>No</v>
      </c>
      <c r="E26" s="62" t="str">
        <f>IFERROR(__xludf.DUMMYFUNCTION("""COMPUTED_VALUE"""),"Gene Disease Validity")</f>
        <v>Gene Disease Validity</v>
      </c>
      <c r="F26" s="62" t="str">
        <f>IFERROR(__xludf.DUMMYFUNCTION("""COMPUTED_VALUE"""),"")</f>
        <v/>
      </c>
      <c r="G26" s="62" t="str">
        <f>IFERROR(__xludf.DUMMYFUNCTION("""COMPUTED_VALUE"""),"Samar Khalefa")</f>
        <v>Samar Khalefa</v>
      </c>
      <c r="H26" s="62" t="str">
        <f>IFERROR(__xludf.DUMMYFUNCTION("""COMPUTED_VALUE"""),"samarkhalifa@hotmail.com")</f>
        <v>samarkhalifa@hotmail.com</v>
      </c>
      <c r="I26" s="62" t="str">
        <f>IFERROR(__xludf.DUMMYFUNCTION("""COMPUTED_VALUE"""),"High School Student")</f>
        <v>High School Student</v>
      </c>
      <c r="J26" s="62"/>
      <c r="K26" s="62" t="str">
        <f>IFERROR(__xludf.DUMMYFUNCTION("""COMPUTED_VALUE"""),"Gene-Disease Validity")</f>
        <v>Gene-Disease Validity</v>
      </c>
      <c r="L26" s="62"/>
      <c r="M26" s="62"/>
      <c r="N26" s="62"/>
      <c r="O26" s="62"/>
      <c r="P26" s="62"/>
      <c r="Q26" s="62"/>
      <c r="R26" s="62"/>
      <c r="S26" s="62"/>
      <c r="T26" s="62"/>
      <c r="U26" s="62"/>
      <c r="V26" s="62"/>
      <c r="W26" s="62"/>
      <c r="X26" s="62"/>
      <c r="Y26" s="62"/>
      <c r="Z26" s="62"/>
    </row>
    <row r="27">
      <c r="A27" s="62" t="str">
        <f>IFERROR(__xludf.DUMMYFUNCTION("""COMPUTED_VALUE"""),"Assigned")</f>
        <v>Assigned</v>
      </c>
      <c r="B27" s="106">
        <f>IFERROR(__xludf.DUMMYFUNCTION("""COMPUTED_VALUE"""),43350.0)</f>
        <v>43350</v>
      </c>
      <c r="C27" s="81">
        <f>IFERROR(__xludf.DUMMYFUNCTION("""COMPUTED_VALUE"""),43446.0)</f>
        <v>43446</v>
      </c>
      <c r="D27" s="62" t="str">
        <f>IFERROR(__xludf.DUMMYFUNCTION("""COMPUTED_VALUE"""),"Yes")</f>
        <v>Yes</v>
      </c>
      <c r="E27" s="62" t="str">
        <f>IFERROR(__xludf.DUMMYFUNCTION("""COMPUTED_VALUE"""),"Gene Disease Validity")</f>
        <v>Gene Disease Validity</v>
      </c>
      <c r="F27" s="62" t="str">
        <f>IFERROR(__xludf.DUMMYFUNCTION("""COMPUTED_VALUE"""),"Epilepsy GCEP")</f>
        <v>Epilepsy GCEP</v>
      </c>
      <c r="G27" s="62" t="str">
        <f>IFERROR(__xludf.DUMMYFUNCTION("""COMPUTED_VALUE"""),"Colin Ellis")</f>
        <v>Colin Ellis</v>
      </c>
      <c r="H27" s="62" t="str">
        <f>IFERROR(__xludf.DUMMYFUNCTION("""COMPUTED_VALUE"""),"colin.ellis@uphs.upenn.edu")</f>
        <v>colin.ellis@uphs.upenn.edu</v>
      </c>
      <c r="I27" s="62" t="str">
        <f>IFERROR(__xludf.DUMMYFUNCTION("""COMPUTED_VALUE"""),"Physician (Non-geneticist)")</f>
        <v>Physician (Non-geneticist)</v>
      </c>
      <c r="J27" s="62"/>
      <c r="K27" s="62" t="str">
        <f>IFERROR(__xludf.DUMMYFUNCTION("""COMPUTED_VALUE"""),"Gene-Disease Validity")</f>
        <v>Gene-Disease Validity</v>
      </c>
      <c r="L27" s="62"/>
      <c r="M27" s="62"/>
      <c r="N27" s="62"/>
      <c r="O27" s="62"/>
      <c r="P27" s="62"/>
      <c r="Q27" s="62"/>
      <c r="R27" s="62"/>
      <c r="S27" s="62"/>
      <c r="T27" s="62"/>
      <c r="U27" s="62"/>
      <c r="V27" s="62"/>
      <c r="W27" s="62"/>
      <c r="X27" s="62"/>
      <c r="Y27" s="62"/>
      <c r="Z27" s="62"/>
    </row>
    <row r="28">
      <c r="A28" s="62" t="str">
        <f>IFERROR(__xludf.DUMMYFUNCTION("""COMPUTED_VALUE"""),"Declined")</f>
        <v>Declined</v>
      </c>
      <c r="B28" s="106">
        <f>IFERROR(__xludf.DUMMYFUNCTION("""COMPUTED_VALUE"""),43411.0)</f>
        <v>43411</v>
      </c>
      <c r="C28" s="81">
        <f>IFERROR(__xludf.DUMMYFUNCTION("""COMPUTED_VALUE"""),43446.0)</f>
        <v>43446</v>
      </c>
      <c r="D28" s="62" t="str">
        <f>IFERROR(__xludf.DUMMYFUNCTION("""COMPUTED_VALUE"""),"Yes")</f>
        <v>Yes</v>
      </c>
      <c r="E28" s="62" t="str">
        <f>IFERROR(__xludf.DUMMYFUNCTION("""COMPUTED_VALUE"""),"Gene Disease Validity")</f>
        <v>Gene Disease Validity</v>
      </c>
      <c r="F28" s="62" t="str">
        <f>IFERROR(__xludf.DUMMYFUNCTION("""COMPUTED_VALUE"""),"Hereditary Cancer")</f>
        <v>Hereditary Cancer</v>
      </c>
      <c r="G28" s="62" t="str">
        <f>IFERROR(__xludf.DUMMYFUNCTION("""COMPUTED_VALUE"""),"Mansour Zamanpoor")</f>
        <v>Mansour Zamanpoor</v>
      </c>
      <c r="H28" s="62" t="str">
        <f>IFERROR(__xludf.DUMMYFUNCTION("""COMPUTED_VALUE"""),"mansour.zamanpoor@ccdhb.org.nz")</f>
        <v>mansour.zamanpoor@ccdhb.org.nz</v>
      </c>
      <c r="I28" s="62" t="str">
        <f>IFERROR(__xludf.DUMMYFUNCTION("""COMPUTED_VALUE"""),"Clinical laboratory genetist, PhD candidate")</f>
        <v>Clinical laboratory genetist, PhD candidate</v>
      </c>
      <c r="J28" s="62"/>
      <c r="K28" s="62" t="str">
        <f>IFERROR(__xludf.DUMMYFUNCTION("""COMPUTED_VALUE"""),"Gene-Disease Validity")</f>
        <v>Gene-Disease Validity</v>
      </c>
      <c r="L28" s="62"/>
      <c r="M28" s="62"/>
      <c r="N28" s="62"/>
      <c r="O28" s="62"/>
      <c r="P28" s="62"/>
      <c r="Q28" s="62"/>
      <c r="R28" s="62"/>
      <c r="S28" s="62"/>
      <c r="T28" s="62"/>
      <c r="U28" s="62"/>
      <c r="V28" s="62"/>
      <c r="W28" s="62"/>
      <c r="X28" s="62"/>
      <c r="Y28" s="62"/>
      <c r="Z28" s="62"/>
    </row>
    <row r="29">
      <c r="A29" s="62" t="str">
        <f>IFERROR(__xludf.DUMMYFUNCTION("""COMPUTED_VALUE"""),"Assigned")</f>
        <v>Assigned</v>
      </c>
      <c r="B29" s="106">
        <f>IFERROR(__xludf.DUMMYFUNCTION("""COMPUTED_VALUE"""),43411.0)</f>
        <v>43411</v>
      </c>
      <c r="C29" s="81">
        <f>IFERROR(__xludf.DUMMYFUNCTION("""COMPUTED_VALUE"""),43446.0)</f>
        <v>43446</v>
      </c>
      <c r="D29" s="62" t="str">
        <f>IFERROR(__xludf.DUMMYFUNCTION("""COMPUTED_VALUE"""),"Yes")</f>
        <v>Yes</v>
      </c>
      <c r="E29" s="62" t="str">
        <f>IFERROR(__xludf.DUMMYFUNCTION("""COMPUTED_VALUE"""),"Gene Disease Validity")</f>
        <v>Gene Disease Validity</v>
      </c>
      <c r="F29" s="62" t="str">
        <f>IFERROR(__xludf.DUMMYFUNCTION("""COMPUTED_VALUE"""),"Epilepsy ")</f>
        <v>Epilepsy </v>
      </c>
      <c r="G29" s="62" t="str">
        <f>IFERROR(__xludf.DUMMYFUNCTION("""COMPUTED_VALUE"""),"Benjamin Kang")</f>
        <v>Benjamin Kang</v>
      </c>
      <c r="H29" s="62" t="str">
        <f>IFERROR(__xludf.DUMMYFUNCTION("""COMPUTED_VALUE"""),"bekang@emory.edu")</f>
        <v>bekang@emory.edu</v>
      </c>
      <c r="I29" s="62" t="str">
        <f>IFERROR(__xludf.DUMMYFUNCTION("""COMPUTED_VALUE"""),"Post Doc/Resident/Fellow (MD and/or PhD)")</f>
        <v>Post Doc/Resident/Fellow (MD and/or PhD)</v>
      </c>
      <c r="J29" s="62"/>
      <c r="K29" s="62" t="str">
        <f>IFERROR(__xludf.DUMMYFUNCTION("""COMPUTED_VALUE"""),"Gene-Disease Validity")</f>
        <v>Gene-Disease Validity</v>
      </c>
      <c r="L29" s="62"/>
      <c r="M29" s="62"/>
      <c r="N29" s="62"/>
      <c r="O29" s="62"/>
      <c r="P29" s="62"/>
      <c r="Q29" s="62"/>
      <c r="R29" s="62"/>
      <c r="S29" s="62"/>
      <c r="T29" s="62"/>
      <c r="U29" s="62"/>
      <c r="V29" s="62"/>
      <c r="W29" s="62"/>
      <c r="X29" s="62"/>
      <c r="Y29" s="62"/>
      <c r="Z29" s="62"/>
    </row>
    <row r="30">
      <c r="A30" s="62" t="str">
        <f>IFERROR(__xludf.DUMMYFUNCTION("""COMPUTED_VALUE"""),"Contacted")</f>
        <v>Contacted</v>
      </c>
      <c r="B30" s="62" t="str">
        <f>IFERROR(__xludf.DUMMYFUNCTION("""COMPUTED_VALUE"""),"")</f>
        <v/>
      </c>
      <c r="C30" s="81">
        <f>IFERROR(__xludf.DUMMYFUNCTION("""COMPUTED_VALUE"""),43585.0)</f>
        <v>43585</v>
      </c>
      <c r="D30" s="62" t="str">
        <f>IFERROR(__xludf.DUMMYFUNCTION("""COMPUTED_VALUE"""),"Yes")</f>
        <v>Yes</v>
      </c>
      <c r="E30" s="62" t="str">
        <f>IFERROR(__xludf.DUMMYFUNCTION("""COMPUTED_VALUE"""),"Gene Disease Validity")</f>
        <v>Gene Disease Validity</v>
      </c>
      <c r="F30" s="62" t="str">
        <f>IFERROR(__xludf.DUMMYFUNCTION("""COMPUTED_VALUE"""),"Aminoacidopathy")</f>
        <v>Aminoacidopathy</v>
      </c>
      <c r="G30" s="62" t="str">
        <f>IFERROR(__xludf.DUMMYFUNCTION("""COMPUTED_VALUE"""),"Ljubica Caldovic")</f>
        <v>Ljubica Caldovic</v>
      </c>
      <c r="H30" s="62" t="str">
        <f>IFERROR(__xludf.DUMMYFUNCTION("""COMPUTED_VALUE"""),"lcaldovic@childrensnational.org")</f>
        <v>lcaldovic@childrensnational.org</v>
      </c>
      <c r="I30" s="62" t="str">
        <f>IFERROR(__xludf.DUMMYFUNCTION("""COMPUTED_VALUE"""),"Scientific Researcher, Variant Analyst/Scientist")</f>
        <v>Scientific Researcher, Variant Analyst/Scientist</v>
      </c>
      <c r="J30" s="62"/>
      <c r="K30" s="62" t="str">
        <f>IFERROR(__xludf.DUMMYFUNCTION("""COMPUTED_VALUE"""),"Gene-Disease Validity")</f>
        <v>Gene-Disease Validity</v>
      </c>
      <c r="L30" s="62"/>
      <c r="M30" s="62"/>
      <c r="N30" s="62"/>
      <c r="O30" s="62"/>
      <c r="P30" s="62"/>
      <c r="Q30" s="62"/>
      <c r="R30" s="62"/>
      <c r="S30" s="62"/>
      <c r="T30" s="62"/>
      <c r="U30" s="62"/>
      <c r="V30" s="62"/>
      <c r="W30" s="62"/>
      <c r="X30" s="62"/>
      <c r="Y30" s="62"/>
      <c r="Z30" s="62"/>
    </row>
    <row r="31">
      <c r="A31" s="62" t="str">
        <f>IFERROR(__xludf.DUMMYFUNCTION("""COMPUTED_VALUE"""),"Assigned")</f>
        <v>Assigned</v>
      </c>
      <c r="B31" s="106">
        <f>IFERROR(__xludf.DUMMYFUNCTION("""COMPUTED_VALUE"""),43347.0)</f>
        <v>43347</v>
      </c>
      <c r="C31" s="81">
        <f>IFERROR(__xludf.DUMMYFUNCTION("""COMPUTED_VALUE"""),43446.0)</f>
        <v>43446</v>
      </c>
      <c r="D31" s="62" t="str">
        <f>IFERROR(__xludf.DUMMYFUNCTION("""COMPUTED_VALUE"""),"No")</f>
        <v>No</v>
      </c>
      <c r="E31" s="62" t="str">
        <f>IFERROR(__xludf.DUMMYFUNCTION("""COMPUTED_VALUE"""),"Gene Disease Validity")</f>
        <v>Gene Disease Validity</v>
      </c>
      <c r="F31" s="62" t="str">
        <f>IFERROR(__xludf.DUMMYFUNCTION("""COMPUTED_VALUE"""),"Epilepsy ")</f>
        <v>Epilepsy </v>
      </c>
      <c r="G31" s="62" t="str">
        <f>IFERROR(__xludf.DUMMYFUNCTION("""COMPUTED_VALUE"""),"John Millichap")</f>
        <v>John Millichap</v>
      </c>
      <c r="H31" s="62" t="str">
        <f>IFERROR(__xludf.DUMMYFUNCTION("""COMPUTED_VALUE"""),"jmillichap@luriechildrens.org")</f>
        <v>jmillichap@luriechildrens.org</v>
      </c>
      <c r="I31" s="62" t="str">
        <f>IFERROR(__xludf.DUMMYFUNCTION("""COMPUTED_VALUE"""),"Physician (Non-geneticist)")</f>
        <v>Physician (Non-geneticist)</v>
      </c>
      <c r="J31" s="62"/>
      <c r="K31" s="62" t="str">
        <f>IFERROR(__xludf.DUMMYFUNCTION("""COMPUTED_VALUE"""),"Gene-Disease Validity")</f>
        <v>Gene-Disease Validity</v>
      </c>
      <c r="L31" s="62"/>
      <c r="M31" s="62"/>
      <c r="N31" s="62"/>
      <c r="O31" s="62"/>
      <c r="P31" s="62"/>
      <c r="Q31" s="62"/>
      <c r="R31" s="62"/>
      <c r="S31" s="62"/>
      <c r="T31" s="62"/>
      <c r="U31" s="62"/>
      <c r="V31" s="62"/>
      <c r="W31" s="62"/>
      <c r="X31" s="62"/>
      <c r="Y31" s="62"/>
      <c r="Z31" s="62"/>
    </row>
    <row r="32">
      <c r="A32" s="62" t="str">
        <f>IFERROR(__xludf.DUMMYFUNCTION("""COMPUTED_VALUE"""),"Contacted")</f>
        <v>Contacted</v>
      </c>
      <c r="B32" s="106">
        <f>IFERROR(__xludf.DUMMYFUNCTION("""COMPUTED_VALUE"""),43411.0)</f>
        <v>43411</v>
      </c>
      <c r="C32" s="81">
        <f>IFERROR(__xludf.DUMMYFUNCTION("""COMPUTED_VALUE"""),43446.0)</f>
        <v>43446</v>
      </c>
      <c r="D32" s="62" t="str">
        <f>IFERROR(__xludf.DUMMYFUNCTION("""COMPUTED_VALUE"""),"No")</f>
        <v>No</v>
      </c>
      <c r="E32" s="62" t="str">
        <f>IFERROR(__xludf.DUMMYFUNCTION("""COMPUTED_VALUE"""),"NA")</f>
        <v>NA</v>
      </c>
      <c r="F32" s="62" t="str">
        <f>IFERROR(__xludf.DUMMYFUNCTION("""COMPUTED_VALUE"""),"")</f>
        <v/>
      </c>
      <c r="G32" s="62" t="str">
        <f>IFERROR(__xludf.DUMMYFUNCTION("""COMPUTED_VALUE"""),"Vladimir Lialine")</f>
        <v>Vladimir Lialine</v>
      </c>
      <c r="H32" s="62" t="str">
        <f>IFERROR(__xludf.DUMMYFUNCTION("""COMPUTED_VALUE"""),"vlad@twixsoft.com")</f>
        <v>vlad@twixsoft.com</v>
      </c>
      <c r="I32" s="62" t="str">
        <f>IFERROR(__xludf.DUMMYFUNCTION("""COMPUTED_VALUE"""),"Scientific Researcher, Graduate Student, Citizen Scientist/Patient Advocate")</f>
        <v>Scientific Researcher, Graduate Student, Citizen Scientist/Patient Advocate</v>
      </c>
      <c r="J32" s="62"/>
      <c r="K32" s="62" t="str">
        <f>IFERROR(__xludf.DUMMYFUNCTION("""COMPUTED_VALUE"""),"Gene-Disease Validity")</f>
        <v>Gene-Disease Validity</v>
      </c>
      <c r="L32" s="62"/>
      <c r="M32" s="62"/>
      <c r="N32" s="62"/>
      <c r="O32" s="62"/>
      <c r="P32" s="62"/>
      <c r="Q32" s="62"/>
      <c r="R32" s="62"/>
      <c r="S32" s="62"/>
      <c r="T32" s="62"/>
      <c r="U32" s="62"/>
      <c r="V32" s="62"/>
      <c r="W32" s="62"/>
      <c r="X32" s="62"/>
      <c r="Y32" s="62"/>
      <c r="Z32" s="62"/>
    </row>
    <row r="33">
      <c r="A33" s="62" t="str">
        <f>IFERROR(__xludf.DUMMYFUNCTION("""COMPUTED_VALUE"""),"Contacted")</f>
        <v>Contacted</v>
      </c>
      <c r="B33" s="81">
        <f>IFERROR(__xludf.DUMMYFUNCTION("""COMPUTED_VALUE"""),43430.0)</f>
        <v>43430</v>
      </c>
      <c r="C33" s="81">
        <f>IFERROR(__xludf.DUMMYFUNCTION("""COMPUTED_VALUE"""),43446.0)</f>
        <v>43446</v>
      </c>
      <c r="D33" s="62" t="str">
        <f>IFERROR(__xludf.DUMMYFUNCTION("""COMPUTED_VALUE"""),"Yes")</f>
        <v>Yes</v>
      </c>
      <c r="E33" s="62" t="str">
        <f>IFERROR(__xludf.DUMMYFUNCTION("""COMPUTED_VALUE"""),"Gene Disease Validity")</f>
        <v>Gene Disease Validity</v>
      </c>
      <c r="F33" s="62" t="str">
        <f>IFERROR(__xludf.DUMMYFUNCTION("""COMPUTED_VALUE"""),"")</f>
        <v/>
      </c>
      <c r="G33" s="62" t="str">
        <f>IFERROR(__xludf.DUMMYFUNCTION("""COMPUTED_VALUE"""),"Vaidehi Jobanputra")</f>
        <v>Vaidehi Jobanputra</v>
      </c>
      <c r="H33" s="62" t="str">
        <f>IFERROR(__xludf.DUMMYFUNCTION("""COMPUTED_VALUE"""),"vjobanputra@nygenome.org")</f>
        <v>vjobanputra@nygenome.org</v>
      </c>
      <c r="I33" s="62" t="str">
        <f>IFERROR(__xludf.DUMMYFUNCTION("""COMPUTED_VALUE"""),"Clinical laboratory geneticist")</f>
        <v>Clinical laboratory geneticist</v>
      </c>
      <c r="J33" s="62"/>
      <c r="K33" s="62" t="str">
        <f>IFERROR(__xludf.DUMMYFUNCTION("""COMPUTED_VALUE"""),"Gene-Disease Validity")</f>
        <v>Gene-Disease Validity</v>
      </c>
      <c r="L33" s="62"/>
      <c r="M33" s="62"/>
      <c r="N33" s="62"/>
      <c r="O33" s="62"/>
      <c r="P33" s="62"/>
      <c r="Q33" s="62"/>
      <c r="R33" s="62"/>
      <c r="S33" s="62"/>
      <c r="T33" s="62"/>
      <c r="U33" s="62"/>
      <c r="V33" s="62"/>
      <c r="W33" s="62"/>
      <c r="X33" s="62"/>
      <c r="Y33" s="62"/>
      <c r="Z33" s="62"/>
    </row>
    <row r="34">
      <c r="A34" s="62" t="str">
        <f>IFERROR(__xludf.DUMMYFUNCTION("""COMPUTED_VALUE"""),"Contacted")</f>
        <v>Contacted</v>
      </c>
      <c r="B34" s="62" t="str">
        <f>IFERROR(__xludf.DUMMYFUNCTION("""COMPUTED_VALUE"""),"11/07/18
REcontacted June 2019 and responsive, changed status")</f>
        <v>11/07/18
REcontacted June 2019 and responsive, changed status</v>
      </c>
      <c r="C34" s="81">
        <f>IFERROR(__xludf.DUMMYFUNCTION("""COMPUTED_VALUE"""),43446.0)</f>
        <v>43446</v>
      </c>
      <c r="D34" s="62" t="str">
        <f>IFERROR(__xludf.DUMMYFUNCTION("""COMPUTED_VALUE"""),"No")</f>
        <v>No</v>
      </c>
      <c r="E34" s="62" t="str">
        <f>IFERROR(__xludf.DUMMYFUNCTION("""COMPUTED_VALUE"""),"Gene Disease Validity")</f>
        <v>Gene Disease Validity</v>
      </c>
      <c r="F34" s="62" t="str">
        <f>IFERROR(__xludf.DUMMYFUNCTION("""COMPUTED_VALUE"""),"")</f>
        <v/>
      </c>
      <c r="G34" s="62" t="str">
        <f>IFERROR(__xludf.DUMMYFUNCTION("""COMPUTED_VALUE"""),"Khushnooda Ramzan")</f>
        <v>Khushnooda Ramzan</v>
      </c>
      <c r="H34" s="62" t="str">
        <f>IFERROR(__xludf.DUMMYFUNCTION("""COMPUTED_VALUE"""),"khushnooda@gmail.com")</f>
        <v>khushnooda@gmail.com</v>
      </c>
      <c r="I34" s="62" t="str">
        <f>IFERROR(__xludf.DUMMYFUNCTION("""COMPUTED_VALUE"""),"Scientific Research/ Variant Analyst")</f>
        <v>Scientific Research/ Variant Analyst</v>
      </c>
      <c r="J34" s="62"/>
      <c r="K34" s="62" t="str">
        <f>IFERROR(__xludf.DUMMYFUNCTION("""COMPUTED_VALUE"""),"Gene-Disease Validity")</f>
        <v>Gene-Disease Validity</v>
      </c>
      <c r="L34" s="62"/>
      <c r="M34" s="62"/>
      <c r="N34" s="62"/>
      <c r="O34" s="62"/>
      <c r="P34" s="62"/>
      <c r="Q34" s="62"/>
      <c r="R34" s="62"/>
      <c r="S34" s="62"/>
      <c r="T34" s="62"/>
      <c r="U34" s="62"/>
      <c r="V34" s="62"/>
      <c r="W34" s="62"/>
      <c r="X34" s="62"/>
      <c r="Y34" s="62"/>
      <c r="Z34" s="62"/>
    </row>
    <row r="35">
      <c r="A35" s="62" t="str">
        <f>IFERROR(__xludf.DUMMYFUNCTION("""COMPUTED_VALUE"""),"Contacted")</f>
        <v>Contacted</v>
      </c>
      <c r="B35" s="81" t="str">
        <f>IFERROR(__xludf.DUMMYFUNCTION("""COMPUTED_VALUE"""),"")</f>
        <v/>
      </c>
      <c r="C35" s="77">
        <f>IFERROR(__xludf.DUMMYFUNCTION("""COMPUTED_VALUE"""),43585.0)</f>
        <v>43585</v>
      </c>
      <c r="D35" s="62" t="str">
        <f>IFERROR(__xludf.DUMMYFUNCTION("""COMPUTED_VALUE"""),"Yes")</f>
        <v>Yes</v>
      </c>
      <c r="E35" s="62" t="str">
        <f>IFERROR(__xludf.DUMMYFUNCTION("""COMPUTED_VALUE"""),"Gene Disease Validity")</f>
        <v>Gene Disease Validity</v>
      </c>
      <c r="F35" s="62" t="str">
        <f>IFERROR(__xludf.DUMMYFUNCTION("""COMPUTED_VALUE"""),"Epilepsy")</f>
        <v>Epilepsy</v>
      </c>
      <c r="G35" s="62" t="str">
        <f>IFERROR(__xludf.DUMMYFUNCTION("""COMPUTED_VALUE"""),"Erik Thorland")</f>
        <v>Erik Thorland</v>
      </c>
      <c r="H35" s="62" t="str">
        <f>IFERROR(__xludf.DUMMYFUNCTION("""COMPUTED_VALUE"""),"thorland.erik@mayo.edu")</f>
        <v>thorland.erik@mayo.edu</v>
      </c>
      <c r="I35" s="62" t="str">
        <f>IFERROR(__xludf.DUMMYFUNCTION("""COMPUTED_VALUE"""),"Clinical laboratory geneticist")</f>
        <v>Clinical laboratory geneticist</v>
      </c>
      <c r="J35" s="62"/>
      <c r="K35" s="62" t="str">
        <f>IFERROR(__xludf.DUMMYFUNCTION("""COMPUTED_VALUE"""),"Gene-Disease Validity")</f>
        <v>Gene-Disease Validity</v>
      </c>
      <c r="L35" s="62"/>
      <c r="M35" s="62"/>
      <c r="N35" s="62"/>
      <c r="O35" s="62"/>
      <c r="P35" s="62"/>
      <c r="Q35" s="62"/>
      <c r="R35" s="62"/>
      <c r="S35" s="62"/>
      <c r="T35" s="62"/>
      <c r="U35" s="62"/>
      <c r="V35" s="62"/>
      <c r="W35" s="62"/>
      <c r="X35" s="62"/>
      <c r="Y35" s="62"/>
      <c r="Z35" s="62"/>
    </row>
    <row r="36">
      <c r="A36" s="62" t="str">
        <f>IFERROR(__xludf.DUMMYFUNCTION("""COMPUTED_VALUE"""),"Assigned")</f>
        <v>Assigned</v>
      </c>
      <c r="B36" s="106">
        <f>IFERROR(__xludf.DUMMYFUNCTION("""COMPUTED_VALUE"""),43437.0)</f>
        <v>43437</v>
      </c>
      <c r="C36" s="81">
        <f>IFERROR(__xludf.DUMMYFUNCTION("""COMPUTED_VALUE"""),43446.0)</f>
        <v>43446</v>
      </c>
      <c r="D36" s="62" t="str">
        <f>IFERROR(__xludf.DUMMYFUNCTION("""COMPUTED_VALUE"""),"Yes")</f>
        <v>Yes</v>
      </c>
      <c r="E36" s="62" t="str">
        <f>IFERROR(__xludf.DUMMYFUNCTION("""COMPUTED_VALUE"""),"Gene Disease Validity")</f>
        <v>Gene Disease Validity</v>
      </c>
      <c r="F36" s="62" t="str">
        <f>IFERROR(__xludf.DUMMYFUNCTION("""COMPUTED_VALUE"""),"ID Autism")</f>
        <v>ID Autism</v>
      </c>
      <c r="G36" s="62" t="str">
        <f>IFERROR(__xludf.DUMMYFUNCTION("""COMPUTED_VALUE"""),"Olivia Rennie")</f>
        <v>Olivia Rennie</v>
      </c>
      <c r="H36" s="62" t="str">
        <f>IFERROR(__xludf.DUMMYFUNCTION("""COMPUTED_VALUE"""),"olivia.rennie@sickkids.ca")</f>
        <v>olivia.rennie@sickkids.ca</v>
      </c>
      <c r="I36" s="62" t="str">
        <f>IFERROR(__xludf.DUMMYFUNCTION("""COMPUTED_VALUE"""),"Variant Analyst/Scientist")</f>
        <v>Variant Analyst/Scientist</v>
      </c>
      <c r="J36" s="62"/>
      <c r="K36" s="62" t="str">
        <f>IFERROR(__xludf.DUMMYFUNCTION("""COMPUTED_VALUE"""),"Gene-Disease Validity")</f>
        <v>Gene-Disease Validity</v>
      </c>
      <c r="L36" s="62"/>
      <c r="M36" s="62"/>
      <c r="N36" s="62"/>
      <c r="O36" s="62"/>
      <c r="P36" s="62"/>
      <c r="Q36" s="62"/>
      <c r="R36" s="62"/>
      <c r="S36" s="62"/>
      <c r="T36" s="62"/>
      <c r="U36" s="62"/>
      <c r="V36" s="62"/>
      <c r="W36" s="62"/>
      <c r="X36" s="62"/>
      <c r="Y36" s="62"/>
      <c r="Z36" s="62"/>
    </row>
    <row r="37">
      <c r="A37" s="62" t="str">
        <f>IFERROR(__xludf.DUMMYFUNCTION("""COMPUTED_VALUE"""),"Declined")</f>
        <v>Declined</v>
      </c>
      <c r="B37" s="106">
        <f>IFERROR(__xludf.DUMMYFUNCTION("""COMPUTED_VALUE"""),43437.0)</f>
        <v>43437</v>
      </c>
      <c r="C37" s="81">
        <f>IFERROR(__xludf.DUMMYFUNCTION("""COMPUTED_VALUE"""),43446.0)</f>
        <v>43446</v>
      </c>
      <c r="D37" s="62" t="str">
        <f>IFERROR(__xludf.DUMMYFUNCTION("""COMPUTED_VALUE"""),"Yes")</f>
        <v>Yes</v>
      </c>
      <c r="E37" s="62" t="str">
        <f>IFERROR(__xludf.DUMMYFUNCTION("""COMPUTED_VALUE"""),"Gene Disease Validity")</f>
        <v>Gene Disease Validity</v>
      </c>
      <c r="F37" s="62" t="str">
        <f>IFERROR(__xludf.DUMMYFUNCTION("""COMPUTED_VALUE"""),"ID Autism")</f>
        <v>ID Autism</v>
      </c>
      <c r="G37" s="62" t="str">
        <f>IFERROR(__xludf.DUMMYFUNCTION("""COMPUTED_VALUE"""),"Kira Dies")</f>
        <v>Kira Dies</v>
      </c>
      <c r="H37" s="62" t="str">
        <f>IFERROR(__xludf.DUMMYFUNCTION("""COMPUTED_VALUE"""),"Kira.Dies@childrens.harvard.edu")</f>
        <v>Kira.Dies@childrens.harvard.edu</v>
      </c>
      <c r="I37" s="62" t="str">
        <f>IFERROR(__xludf.DUMMYFUNCTION("""COMPUTED_VALUE"""),"Genetic counselor")</f>
        <v>Genetic counselor</v>
      </c>
      <c r="J37" s="62"/>
      <c r="K37" s="62" t="str">
        <f>IFERROR(__xludf.DUMMYFUNCTION("""COMPUTED_VALUE"""),"Gene-Disease Validity")</f>
        <v>Gene-Disease Validity</v>
      </c>
      <c r="L37" s="62"/>
      <c r="M37" s="62"/>
      <c r="N37" s="62"/>
      <c r="O37" s="62"/>
      <c r="P37" s="62"/>
      <c r="Q37" s="62"/>
      <c r="R37" s="62"/>
      <c r="S37" s="62"/>
      <c r="T37" s="62"/>
      <c r="U37" s="62"/>
      <c r="V37" s="62"/>
      <c r="W37" s="62"/>
      <c r="X37" s="62"/>
      <c r="Y37" s="62"/>
      <c r="Z37" s="62"/>
    </row>
    <row r="38">
      <c r="A38" s="62" t="str">
        <f>IFERROR(__xludf.DUMMYFUNCTION("""COMPUTED_VALUE"""),"Assigned")</f>
        <v>Assigned</v>
      </c>
      <c r="B38" s="106">
        <f>IFERROR(__xludf.DUMMYFUNCTION("""COMPUTED_VALUE"""),43341.0)</f>
        <v>43341</v>
      </c>
      <c r="C38" s="106">
        <f>IFERROR(__xludf.DUMMYFUNCTION("""COMPUTED_VALUE"""),43341.0)</f>
        <v>43341</v>
      </c>
      <c r="D38" s="62" t="str">
        <f>IFERROR(__xludf.DUMMYFUNCTION("""COMPUTED_VALUE"""),"Yes")</f>
        <v>Yes</v>
      </c>
      <c r="E38" s="62" t="str">
        <f>IFERROR(__xludf.DUMMYFUNCTION("""COMPUTED_VALUE"""),"Gene Disease Validity")</f>
        <v>Gene Disease Validity</v>
      </c>
      <c r="F38" s="62" t="str">
        <f>IFERROR(__xludf.DUMMYFUNCTION("""COMPUTED_VALUE"""),"Hereditary Cancer")</f>
        <v>Hereditary Cancer</v>
      </c>
      <c r="G38" s="62" t="str">
        <f>IFERROR(__xludf.DUMMYFUNCTION("""COMPUTED_VALUE"""),"Sainan Wei")</f>
        <v>Sainan Wei</v>
      </c>
      <c r="H38" s="62" t="str">
        <f>IFERROR(__xludf.DUMMYFUNCTION("""COMPUTED_VALUE"""),"sainan.wei@uky.edu ")</f>
        <v>sainan.wei@uky.edu </v>
      </c>
      <c r="I38" s="62" t="str">
        <f>IFERROR(__xludf.DUMMYFUNCTION("""COMPUTED_VALUE"""),"Clinical laboratory geneticist")</f>
        <v>Clinical laboratory geneticist</v>
      </c>
      <c r="J38" s="62"/>
      <c r="K38" s="62" t="str">
        <f>IFERROR(__xludf.DUMMYFUNCTION("""COMPUTED_VALUE"""),"Gene-Disease Validity")</f>
        <v>Gene-Disease Validity</v>
      </c>
      <c r="L38" s="62"/>
      <c r="M38" s="62"/>
      <c r="N38" s="62"/>
      <c r="O38" s="62"/>
      <c r="P38" s="62"/>
      <c r="Q38" s="62"/>
      <c r="R38" s="62"/>
      <c r="S38" s="62"/>
      <c r="T38" s="62"/>
      <c r="U38" s="62"/>
      <c r="V38" s="62"/>
      <c r="W38" s="62"/>
      <c r="X38" s="62"/>
      <c r="Y38" s="62"/>
      <c r="Z38" s="62"/>
    </row>
    <row r="39">
      <c r="A39" s="62" t="str">
        <f>IFERROR(__xludf.DUMMYFUNCTION("""COMPUTED_VALUE"""),"Assigned")</f>
        <v>Assigned</v>
      </c>
      <c r="B39" s="106">
        <f>IFERROR(__xludf.DUMMYFUNCTION("""COMPUTED_VALUE"""),43411.0)</f>
        <v>43411</v>
      </c>
      <c r="C39" s="81">
        <f>IFERROR(__xludf.DUMMYFUNCTION("""COMPUTED_VALUE"""),43453.0)</f>
        <v>43453</v>
      </c>
      <c r="D39" s="62" t="str">
        <f>IFERROR(__xludf.DUMMYFUNCTION("""COMPUTED_VALUE"""),"Yes")</f>
        <v>Yes</v>
      </c>
      <c r="E39" s="62" t="str">
        <f>IFERROR(__xludf.DUMMYFUNCTION("""COMPUTED_VALUE"""),"Dosage Sensitivity")</f>
        <v>Dosage Sensitivity</v>
      </c>
      <c r="F39" s="62" t="str">
        <f>IFERROR(__xludf.DUMMYFUNCTION("""COMPUTED_VALUE"""),"")</f>
        <v/>
      </c>
      <c r="G39" s="62" t="str">
        <f>IFERROR(__xludf.DUMMYFUNCTION("""COMPUTED_VALUE"""),"Preti Jain")</f>
        <v>Preti Jain</v>
      </c>
      <c r="H39" s="62" t="str">
        <f>IFERROR(__xludf.DUMMYFUNCTION("""COMPUTED_VALUE"""),"preti.jain@yale.edu")</f>
        <v>preti.jain@yale.edu</v>
      </c>
      <c r="I39" s="62" t="str">
        <f>IFERROR(__xludf.DUMMYFUNCTION("""COMPUTED_VALUE"""),"Clinical laboratory geneticist")</f>
        <v>Clinical laboratory geneticist</v>
      </c>
      <c r="J39" s="62"/>
      <c r="K39" s="62" t="str">
        <f>IFERROR(__xludf.DUMMYFUNCTION("""COMPUTED_VALUE"""),"Dosage Sensitivity")</f>
        <v>Dosage Sensitivity</v>
      </c>
      <c r="L39" s="62"/>
      <c r="M39" s="62"/>
      <c r="N39" s="62"/>
      <c r="O39" s="62"/>
      <c r="P39" s="62"/>
      <c r="Q39" s="62"/>
      <c r="R39" s="62"/>
      <c r="S39" s="62"/>
      <c r="T39" s="62"/>
      <c r="U39" s="62"/>
      <c r="V39" s="62"/>
      <c r="W39" s="62"/>
      <c r="X39" s="62"/>
      <c r="Y39" s="62"/>
      <c r="Z39" s="62"/>
    </row>
    <row r="40">
      <c r="A40" s="62" t="str">
        <f>IFERROR(__xludf.DUMMYFUNCTION("""COMPUTED_VALUE"""),"Assigned")</f>
        <v>Assigned</v>
      </c>
      <c r="B40" s="106">
        <f>IFERROR(__xludf.DUMMYFUNCTION("""COMPUTED_VALUE"""),43356.0)</f>
        <v>43356</v>
      </c>
      <c r="C40" s="106">
        <f>IFERROR(__xludf.DUMMYFUNCTION("""COMPUTED_VALUE"""),43341.0)</f>
        <v>43341</v>
      </c>
      <c r="D40" s="62" t="str">
        <f>IFERROR(__xludf.DUMMYFUNCTION("""COMPUTED_VALUE"""),"Yes")</f>
        <v>Yes</v>
      </c>
      <c r="E40" s="62" t="str">
        <f>IFERROR(__xludf.DUMMYFUNCTION("""COMPUTED_VALUE"""),"Dosage Sensitivity")</f>
        <v>Dosage Sensitivity</v>
      </c>
      <c r="F40" s="62" t="str">
        <f>IFERROR(__xludf.DUMMYFUNCTION("""COMPUTED_VALUE"""),"")</f>
        <v/>
      </c>
      <c r="G40" s="62" t="str">
        <f>IFERROR(__xludf.DUMMYFUNCTION("""COMPUTED_VALUE"""),"Andrea Vaags")</f>
        <v>Andrea Vaags</v>
      </c>
      <c r="H40" s="62" t="str">
        <f>IFERROR(__xludf.DUMMYFUNCTION("""COMPUTED_VALUE"""),"andrea.vaags@thp.ca")</f>
        <v>andrea.vaags@thp.ca</v>
      </c>
      <c r="I40" s="62" t="str">
        <f>IFERROR(__xludf.DUMMYFUNCTION("""COMPUTED_VALUE"""),"Clinical laboratory geneticist")</f>
        <v>Clinical laboratory geneticist</v>
      </c>
      <c r="J40" s="62"/>
      <c r="K40" s="62" t="str">
        <f>IFERROR(__xludf.DUMMYFUNCTION("""COMPUTED_VALUE"""),"Dosage Sensitivity")</f>
        <v>Dosage Sensitivity</v>
      </c>
      <c r="L40" s="62"/>
      <c r="M40" s="62"/>
      <c r="N40" s="62"/>
      <c r="O40" s="62"/>
      <c r="P40" s="62"/>
      <c r="Q40" s="62"/>
      <c r="R40" s="62"/>
      <c r="S40" s="62"/>
      <c r="T40" s="62"/>
      <c r="U40" s="62"/>
      <c r="V40" s="62"/>
      <c r="W40" s="62"/>
      <c r="X40" s="62"/>
      <c r="Y40" s="62"/>
      <c r="Z40" s="62"/>
    </row>
    <row r="41">
      <c r="A41" s="62" t="str">
        <f>IFERROR(__xludf.DUMMYFUNCTION("""COMPUTED_VALUE"""),"Assigned")</f>
        <v>Assigned</v>
      </c>
      <c r="B41" s="106">
        <f>IFERROR(__xludf.DUMMYFUNCTION("""COMPUTED_VALUE"""),43411.0)</f>
        <v>43411</v>
      </c>
      <c r="C41" s="81">
        <f>IFERROR(__xludf.DUMMYFUNCTION("""COMPUTED_VALUE"""),43453.0)</f>
        <v>43453</v>
      </c>
      <c r="D41" s="62" t="str">
        <f>IFERROR(__xludf.DUMMYFUNCTION("""COMPUTED_VALUE"""),"Yes")</f>
        <v>Yes</v>
      </c>
      <c r="E41" s="62" t="str">
        <f>IFERROR(__xludf.DUMMYFUNCTION("""COMPUTED_VALUE"""),"Dosage Sensitivity")</f>
        <v>Dosage Sensitivity</v>
      </c>
      <c r="F41" s="62" t="str">
        <f>IFERROR(__xludf.DUMMYFUNCTION("""COMPUTED_VALUE"""),"")</f>
        <v/>
      </c>
      <c r="G41" s="62" t="str">
        <f>IFERROR(__xludf.DUMMYFUNCTION("""COMPUTED_VALUE"""),"George Burghel")</f>
        <v>George Burghel</v>
      </c>
      <c r="H41" s="62" t="str">
        <f>IFERROR(__xludf.DUMMYFUNCTION("""COMPUTED_VALUE"""),"george.burghel@mft.nhs.uk")</f>
        <v>george.burghel@mft.nhs.uk</v>
      </c>
      <c r="I41" s="62" t="str">
        <f>IFERROR(__xludf.DUMMYFUNCTION("""COMPUTED_VALUE"""),"Clinical laboratory geneticist")</f>
        <v>Clinical laboratory geneticist</v>
      </c>
      <c r="J41" s="62"/>
      <c r="K41" s="62" t="str">
        <f>IFERROR(__xludf.DUMMYFUNCTION("""COMPUTED_VALUE"""),"Dosage Sensitivity")</f>
        <v>Dosage Sensitivity</v>
      </c>
      <c r="L41" s="62"/>
      <c r="M41" s="62"/>
      <c r="N41" s="62"/>
      <c r="O41" s="62"/>
      <c r="P41" s="62"/>
      <c r="Q41" s="62"/>
      <c r="R41" s="62"/>
      <c r="S41" s="62"/>
      <c r="T41" s="62"/>
      <c r="U41" s="62"/>
      <c r="V41" s="62"/>
      <c r="W41" s="62"/>
      <c r="X41" s="62"/>
      <c r="Y41" s="62"/>
      <c r="Z41" s="62"/>
    </row>
    <row r="42">
      <c r="A42" s="62" t="str">
        <f>IFERROR(__xludf.DUMMYFUNCTION("""COMPUTED_VALUE"""),"Assigned")</f>
        <v>Assigned</v>
      </c>
      <c r="B42" s="81">
        <f>IFERROR(__xludf.DUMMYFUNCTION("""COMPUTED_VALUE"""),43430.0)</f>
        <v>43430</v>
      </c>
      <c r="C42" s="81">
        <f>IFERROR(__xludf.DUMMYFUNCTION("""COMPUTED_VALUE"""),43453.0)</f>
        <v>43453</v>
      </c>
      <c r="D42" s="62" t="str">
        <f>IFERROR(__xludf.DUMMYFUNCTION("""COMPUTED_VALUE"""),"Yes")</f>
        <v>Yes</v>
      </c>
      <c r="E42" s="62" t="str">
        <f>IFERROR(__xludf.DUMMYFUNCTION("""COMPUTED_VALUE"""),"Dosage Sensitivity")</f>
        <v>Dosage Sensitivity</v>
      </c>
      <c r="F42" s="62" t="str">
        <f>IFERROR(__xludf.DUMMYFUNCTION("""COMPUTED_VALUE"""),"")</f>
        <v/>
      </c>
      <c r="G42" s="62" t="str">
        <f>IFERROR(__xludf.DUMMYFUNCTION("""COMPUTED_VALUE"""),"Coumarane Mani")</f>
        <v>Coumarane Mani</v>
      </c>
      <c r="H42" s="62" t="str">
        <f>IFERROR(__xludf.DUMMYFUNCTION("""COMPUTED_VALUE"""),"coumarane.mani@aruplab.com")</f>
        <v>coumarane.mani@aruplab.com</v>
      </c>
      <c r="I42" s="62" t="str">
        <f>IFERROR(__xludf.DUMMYFUNCTION("""COMPUTED_VALUE"""),"Variant Analyst/Scientist")</f>
        <v>Variant Analyst/Scientist</v>
      </c>
      <c r="J42" s="62"/>
      <c r="K42" s="62" t="str">
        <f>IFERROR(__xludf.DUMMYFUNCTION("""COMPUTED_VALUE"""),"Dosage Sensitivity")</f>
        <v>Dosage Sensitivity</v>
      </c>
      <c r="L42" s="62"/>
      <c r="M42" s="62"/>
      <c r="N42" s="62"/>
      <c r="O42" s="62"/>
      <c r="P42" s="62"/>
      <c r="Q42" s="62"/>
      <c r="R42" s="62"/>
      <c r="S42" s="62"/>
      <c r="T42" s="62"/>
      <c r="U42" s="62"/>
      <c r="V42" s="62"/>
      <c r="W42" s="62"/>
      <c r="X42" s="62"/>
      <c r="Y42" s="62"/>
      <c r="Z42" s="62"/>
    </row>
    <row r="43">
      <c r="A43" s="62" t="str">
        <f>IFERROR(__xludf.DUMMYFUNCTION("""COMPUTED_VALUE"""),"Assigned")</f>
        <v>Assigned</v>
      </c>
      <c r="B43" s="62" t="str">
        <f>IFERROR(__xludf.DUMMYFUNCTION("""COMPUTED_VALUE"""),"")</f>
        <v/>
      </c>
      <c r="C43" s="81">
        <f>IFERROR(__xludf.DUMMYFUNCTION("""COMPUTED_VALUE"""),43453.0)</f>
        <v>43453</v>
      </c>
      <c r="D43" s="62" t="str">
        <f>IFERROR(__xludf.DUMMYFUNCTION("""COMPUTED_VALUE"""),"Yes")</f>
        <v>Yes</v>
      </c>
      <c r="E43" s="62" t="str">
        <f>IFERROR(__xludf.DUMMYFUNCTION("""COMPUTED_VALUE"""),"Dosage Sensitivity")</f>
        <v>Dosage Sensitivity</v>
      </c>
      <c r="F43" s="62" t="str">
        <f>IFERROR(__xludf.DUMMYFUNCTION("""COMPUTED_VALUE"""),"")</f>
        <v/>
      </c>
      <c r="G43" s="62" t="str">
        <f>IFERROR(__xludf.DUMMYFUNCTION("""COMPUTED_VALUE"""),"Mahesh Iddawela")</f>
        <v>Mahesh Iddawela</v>
      </c>
      <c r="H43" s="62" t="str">
        <f>IFERROR(__xludf.DUMMYFUNCTION("""COMPUTED_VALUE"""),"mahesh.iddawela@monash.edu")</f>
        <v>mahesh.iddawela@monash.edu</v>
      </c>
      <c r="I43" s="62" t="str">
        <f>IFERROR(__xludf.DUMMYFUNCTION("""COMPUTED_VALUE"""),"Clinician Scientist Medical Oncology")</f>
        <v>Clinician Scientist Medical Oncology</v>
      </c>
      <c r="J43" s="62"/>
      <c r="K43" s="62" t="str">
        <f>IFERROR(__xludf.DUMMYFUNCTION("""COMPUTED_VALUE"""),"Dosage Sensitivity")</f>
        <v>Dosage Sensitivity</v>
      </c>
      <c r="L43" s="62"/>
      <c r="M43" s="62"/>
      <c r="N43" s="62"/>
      <c r="O43" s="62"/>
      <c r="P43" s="62"/>
      <c r="Q43" s="62"/>
      <c r="R43" s="62"/>
      <c r="S43" s="62"/>
      <c r="T43" s="62"/>
      <c r="U43" s="62"/>
      <c r="V43" s="62"/>
      <c r="W43" s="62"/>
      <c r="X43" s="62"/>
      <c r="Y43" s="62"/>
      <c r="Z43" s="62"/>
    </row>
    <row r="44">
      <c r="A44" s="62" t="str">
        <f>IFERROR(__xludf.DUMMYFUNCTION("""COMPUTED_VALUE"""),"Assigned")</f>
        <v>Assigned</v>
      </c>
      <c r="B44" s="62" t="str">
        <f>IFERROR(__xludf.DUMMYFUNCTION("""COMPUTED_VALUE"""),"")</f>
        <v/>
      </c>
      <c r="C44" s="81">
        <f>IFERROR(__xludf.DUMMYFUNCTION("""COMPUTED_VALUE"""),43453.0)</f>
        <v>43453</v>
      </c>
      <c r="D44" s="62" t="str">
        <f>IFERROR(__xludf.DUMMYFUNCTION("""COMPUTED_VALUE"""),"Yes")</f>
        <v>Yes</v>
      </c>
      <c r="E44" s="62" t="str">
        <f>IFERROR(__xludf.DUMMYFUNCTION("""COMPUTED_VALUE"""),"Dosage Sensitivity")</f>
        <v>Dosage Sensitivity</v>
      </c>
      <c r="F44" s="62" t="str">
        <f>IFERROR(__xludf.DUMMYFUNCTION("""COMPUTED_VALUE"""),"")</f>
        <v/>
      </c>
      <c r="G44" s="62" t="str">
        <f>IFERROR(__xludf.DUMMYFUNCTION("""COMPUTED_VALUE"""),"Diogo Ventura Lovato")</f>
        <v>Diogo Ventura Lovato</v>
      </c>
      <c r="H44" s="62" t="str">
        <f>IFERROR(__xludf.DUMMYFUNCTION("""COMPUTED_VALUE"""),"diogo.v.lovato@gmail.com")</f>
        <v>diogo.v.lovato@gmail.com</v>
      </c>
      <c r="I44" s="62" t="str">
        <f>IFERROR(__xludf.DUMMYFUNCTION("""COMPUTED_VALUE"""),"Clinical laboratory geneticist, Scientific Researcher, Biocurator, Variant Analyst/Scientist")</f>
        <v>Clinical laboratory geneticist, Scientific Researcher, Biocurator, Variant Analyst/Scientist</v>
      </c>
      <c r="J44" s="62"/>
      <c r="K44" s="62" t="str">
        <f>IFERROR(__xludf.DUMMYFUNCTION("""COMPUTED_VALUE"""),"Dosage Sensitivity")</f>
        <v>Dosage Sensitivity</v>
      </c>
      <c r="L44" s="62"/>
      <c r="M44" s="62"/>
      <c r="N44" s="62"/>
      <c r="O44" s="62"/>
      <c r="P44" s="62"/>
      <c r="Q44" s="62"/>
      <c r="R44" s="62"/>
      <c r="S44" s="62"/>
      <c r="T44" s="62"/>
      <c r="U44" s="62"/>
      <c r="V44" s="62"/>
      <c r="W44" s="62"/>
      <c r="X44" s="62"/>
      <c r="Y44" s="62"/>
      <c r="Z44" s="62"/>
    </row>
    <row r="45">
      <c r="A45" s="62" t="str">
        <f>IFERROR(__xludf.DUMMYFUNCTION("""COMPUTED_VALUE"""),"Unresponsive")</f>
        <v>Unresponsive</v>
      </c>
      <c r="B45" s="77">
        <f>IFERROR(__xludf.DUMMYFUNCTION("""COMPUTED_VALUE"""),43476.0)</f>
        <v>43476</v>
      </c>
      <c r="C45" s="105">
        <f>IFERROR(__xludf.DUMMYFUNCTION("""COMPUTED_VALUE"""),43476.0)</f>
        <v>43476</v>
      </c>
      <c r="D45" s="62" t="str">
        <f>IFERROR(__xludf.DUMMYFUNCTION("""COMPUTED_VALUE"""),"Yes")</f>
        <v>Yes</v>
      </c>
      <c r="E45" s="62" t="str">
        <f>IFERROR(__xludf.DUMMYFUNCTION("""COMPUTED_VALUE"""),"Somatic Cancer")</f>
        <v>Somatic Cancer</v>
      </c>
      <c r="F45" s="62" t="str">
        <f>IFERROR(__xludf.DUMMYFUNCTION("""COMPUTED_VALUE"""),"pancreatic cancer taskforce")</f>
        <v>pancreatic cancer taskforce</v>
      </c>
      <c r="G45" s="62" t="str">
        <f>IFERROR(__xludf.DUMMYFUNCTION("""COMPUTED_VALUE"""),"Sameeha Shirwadkar")</f>
        <v>Sameeha Shirwadkar</v>
      </c>
      <c r="H45" s="62" t="str">
        <f>IFERROR(__xludf.DUMMYFUNCTION("""COMPUTED_VALUE"""),"sameeha9@gmail.com")</f>
        <v>sameeha9@gmail.com</v>
      </c>
      <c r="I45" s="62" t="str">
        <f>IFERROR(__xludf.DUMMYFUNCTION("""COMPUTED_VALUE"""),"Biocurator and Variant Analyst Scientist")</f>
        <v>Biocurator and Variant Analyst Scientist</v>
      </c>
      <c r="J45" s="62"/>
      <c r="K45" s="62" t="str">
        <f>IFERROR(__xludf.DUMMYFUNCTION("""COMPUTED_VALUE"""),"Somatic Cancer")</f>
        <v>Somatic Cancer</v>
      </c>
      <c r="L45" s="62"/>
      <c r="M45" s="62"/>
      <c r="N45" s="62"/>
      <c r="O45" s="62"/>
      <c r="P45" s="62"/>
      <c r="Q45" s="62"/>
      <c r="R45" s="62"/>
      <c r="S45" s="62"/>
      <c r="T45" s="62"/>
      <c r="U45" s="62"/>
      <c r="V45" s="62"/>
      <c r="W45" s="62"/>
      <c r="X45" s="62"/>
      <c r="Y45" s="62"/>
      <c r="Z45" s="62"/>
    </row>
    <row r="46">
      <c r="A46" s="62" t="str">
        <f>IFERROR(__xludf.DUMMYFUNCTION("""COMPUTED_VALUE"""),"Unresponsive")</f>
        <v>Unresponsive</v>
      </c>
      <c r="B46" s="62" t="str">
        <f>IFERROR(__xludf.DUMMYFUNCTION("""COMPUTED_VALUE"""),"")</f>
        <v/>
      </c>
      <c r="C46" s="105" t="str">
        <f>IFERROR(__xludf.DUMMYFUNCTION("""COMPUTED_VALUE"""),"")</f>
        <v/>
      </c>
      <c r="D46" s="62" t="str">
        <f>IFERROR(__xludf.DUMMYFUNCTION("""COMPUTED_VALUE"""),"No")</f>
        <v>No</v>
      </c>
      <c r="E46" s="62" t="str">
        <f>IFERROR(__xludf.DUMMYFUNCTION("""COMPUTED_VALUE"""),"Somatic Cancer")</f>
        <v>Somatic Cancer</v>
      </c>
      <c r="F46" s="62" t="str">
        <f>IFERROR(__xludf.DUMMYFUNCTION("""COMPUTED_VALUE"""),"pediatric cancer taskforce")</f>
        <v>pediatric cancer taskforce</v>
      </c>
      <c r="G46" s="62" t="str">
        <f>IFERROR(__xludf.DUMMYFUNCTION("""COMPUTED_VALUE"""),"Heather Williams")</f>
        <v>Heather Williams</v>
      </c>
      <c r="H46" s="62" t="str">
        <f>IFERROR(__xludf.DUMMYFUNCTION("""COMPUTED_VALUE"""),"heather.williams30@nhs.net")</f>
        <v>heather.williams30@nhs.net</v>
      </c>
      <c r="I46" s="62" t="str">
        <f>IFERROR(__xludf.DUMMYFUNCTION("""COMPUTED_VALUE"""),"Clinical laboratory geneticist")</f>
        <v>Clinical laboratory geneticist</v>
      </c>
      <c r="J46" s="62"/>
      <c r="K46" s="62" t="str">
        <f>IFERROR(__xludf.DUMMYFUNCTION("""COMPUTED_VALUE"""),"Somatic Cancer")</f>
        <v>Somatic Cancer</v>
      </c>
      <c r="L46" s="62"/>
      <c r="M46" s="62"/>
      <c r="N46" s="62"/>
      <c r="O46" s="62"/>
      <c r="P46" s="62"/>
      <c r="Q46" s="62"/>
      <c r="R46" s="62"/>
      <c r="S46" s="62"/>
      <c r="T46" s="62"/>
      <c r="U46" s="62"/>
      <c r="V46" s="62"/>
      <c r="W46" s="62"/>
      <c r="X46" s="62"/>
      <c r="Y46" s="62"/>
      <c r="Z46" s="62"/>
    </row>
    <row r="47">
      <c r="A47" s="62" t="str">
        <f>IFERROR(__xludf.DUMMYFUNCTION("""COMPUTED_VALUE"""),"Unresponsive")</f>
        <v>Unresponsive</v>
      </c>
      <c r="B47" s="106">
        <f>IFERROR(__xludf.DUMMYFUNCTION("""COMPUTED_VALUE"""),43411.0)</f>
        <v>43411</v>
      </c>
      <c r="C47" s="105">
        <f>IFERROR(__xludf.DUMMYFUNCTION("""COMPUTED_VALUE"""),43476.0)</f>
        <v>43476</v>
      </c>
      <c r="D47" s="62" t="str">
        <f>IFERROR(__xludf.DUMMYFUNCTION("""COMPUTED_VALUE"""),"Yes")</f>
        <v>Yes</v>
      </c>
      <c r="E47" s="62" t="str">
        <f>IFERROR(__xludf.DUMMYFUNCTION("""COMPUTED_VALUE"""),"Somatic Cancer")</f>
        <v>Somatic Cancer</v>
      </c>
      <c r="F47" s="62" t="str">
        <f>IFERROR(__xludf.DUMMYFUNCTION("""COMPUTED_VALUE"""),"pediatric cancer taskforce")</f>
        <v>pediatric cancer taskforce</v>
      </c>
      <c r="G47" s="62" t="str">
        <f>IFERROR(__xludf.DUMMYFUNCTION("""COMPUTED_VALUE"""),"Laura Richards")</f>
        <v>Laura Richards</v>
      </c>
      <c r="H47" s="62" t="str">
        <f>IFERROR(__xludf.DUMMYFUNCTION("""COMPUTED_VALUE"""),"lauram.richards@mail.utoronto.ca")</f>
        <v>lauram.richards@mail.utoronto.ca</v>
      </c>
      <c r="I47" s="62" t="str">
        <f>IFERROR(__xludf.DUMMYFUNCTION("""COMPUTED_VALUE"""),"Graduate Student")</f>
        <v>Graduate Student</v>
      </c>
      <c r="J47" s="62"/>
      <c r="K47" s="62" t="str">
        <f>IFERROR(__xludf.DUMMYFUNCTION("""COMPUTED_VALUE"""),"Somatic Cancer")</f>
        <v>Somatic Cancer</v>
      </c>
      <c r="L47" s="62"/>
      <c r="M47" s="62"/>
      <c r="N47" s="62"/>
      <c r="O47" s="62"/>
      <c r="P47" s="62"/>
      <c r="Q47" s="62"/>
      <c r="R47" s="62"/>
      <c r="S47" s="62"/>
      <c r="T47" s="62"/>
      <c r="U47" s="62"/>
      <c r="V47" s="62"/>
      <c r="W47" s="62"/>
      <c r="X47" s="62"/>
      <c r="Y47" s="62"/>
      <c r="Z47" s="62"/>
    </row>
    <row r="48">
      <c r="A48" s="62" t="str">
        <f>IFERROR(__xludf.DUMMYFUNCTION("""COMPUTED_VALUE"""),"Unresponsive")</f>
        <v>Unresponsive</v>
      </c>
      <c r="B48" s="106">
        <f>IFERROR(__xludf.DUMMYFUNCTION("""COMPUTED_VALUE"""),43411.0)</f>
        <v>43411</v>
      </c>
      <c r="C48" s="105" t="str">
        <f>IFERROR(__xludf.DUMMYFUNCTION("""COMPUTED_VALUE"""),"")</f>
        <v/>
      </c>
      <c r="D48" s="62" t="str">
        <f>IFERROR(__xludf.DUMMYFUNCTION("""COMPUTED_VALUE"""),"No")</f>
        <v>No</v>
      </c>
      <c r="E48" s="62" t="str">
        <f>IFERROR(__xludf.DUMMYFUNCTION("""COMPUTED_VALUE"""),"Somatic Cancer")</f>
        <v>Somatic Cancer</v>
      </c>
      <c r="F48" s="62" t="str">
        <f>IFERROR(__xludf.DUMMYFUNCTION("""COMPUTED_VALUE"""),"")</f>
        <v/>
      </c>
      <c r="G48" s="62" t="str">
        <f>IFERROR(__xludf.DUMMYFUNCTION("""COMPUTED_VALUE"""),"Aysegul Ozanturk")</f>
        <v>Aysegul Ozanturk</v>
      </c>
      <c r="H48" s="62" t="str">
        <f>IFERROR(__xludf.DUMMYFUNCTION("""COMPUTED_VALUE"""),"aozanturk@gmail.com")</f>
        <v>aozanturk@gmail.com</v>
      </c>
      <c r="I48" s="62" t="str">
        <f>IFERROR(__xludf.DUMMYFUNCTION("""COMPUTED_VALUE"""),"Scientific Researcher, Variant Analyst/Scientist")</f>
        <v>Scientific Researcher, Variant Analyst/Scientist</v>
      </c>
      <c r="J48" s="62"/>
      <c r="K48" s="62" t="str">
        <f>IFERROR(__xludf.DUMMYFUNCTION("""COMPUTED_VALUE"""),"Somatic Cancer")</f>
        <v>Somatic Cancer</v>
      </c>
      <c r="L48" s="62"/>
      <c r="M48" s="62"/>
      <c r="N48" s="62"/>
      <c r="O48" s="62"/>
      <c r="P48" s="62"/>
      <c r="Q48" s="62"/>
      <c r="R48" s="62"/>
      <c r="S48" s="62"/>
      <c r="T48" s="62"/>
      <c r="U48" s="62"/>
      <c r="V48" s="62"/>
      <c r="W48" s="62"/>
      <c r="X48" s="62"/>
      <c r="Y48" s="62"/>
      <c r="Z48" s="62"/>
    </row>
    <row r="49">
      <c r="A49" s="62" t="str">
        <f>IFERROR(__xludf.DUMMYFUNCTION("""COMPUTED_VALUE"""),"Declined")</f>
        <v>Declined</v>
      </c>
      <c r="B49" s="106">
        <f>IFERROR(__xludf.DUMMYFUNCTION("""COMPUTED_VALUE"""),43411.0)</f>
        <v>43411</v>
      </c>
      <c r="C49" s="105">
        <f>IFERROR(__xludf.DUMMYFUNCTION("""COMPUTED_VALUE"""),43476.0)</f>
        <v>43476</v>
      </c>
      <c r="D49" s="62" t="str">
        <f>IFERROR(__xludf.DUMMYFUNCTION("""COMPUTED_VALUE"""),"Yes")</f>
        <v>Yes</v>
      </c>
      <c r="E49" s="62" t="str">
        <f>IFERROR(__xludf.DUMMYFUNCTION("""COMPUTED_VALUE"""),"Somatic Cancer")</f>
        <v>Somatic Cancer</v>
      </c>
      <c r="F49" s="62" t="str">
        <f>IFERROR(__xludf.DUMMYFUNCTION("""COMPUTED_VALUE"""),"pancreatic cancer taskforce")</f>
        <v>pancreatic cancer taskforce</v>
      </c>
      <c r="G49" s="62" t="str">
        <f>IFERROR(__xludf.DUMMYFUNCTION("""COMPUTED_VALUE"""),"Kaylee Barber")</f>
        <v>Kaylee Barber</v>
      </c>
      <c r="H49" s="62" t="str">
        <f>IFERROR(__xludf.DUMMYFUNCTION("""COMPUTED_VALUE"""),"kbarber@bioreference.com")</f>
        <v>kbarber@bioreference.com</v>
      </c>
      <c r="I49" s="62" t="str">
        <f>IFERROR(__xludf.DUMMYFUNCTION("""COMPUTED_VALUE"""),"Genetic counselor")</f>
        <v>Genetic counselor</v>
      </c>
      <c r="J49" s="62"/>
      <c r="K49" s="62" t="str">
        <f>IFERROR(__xludf.DUMMYFUNCTION("""COMPUTED_VALUE"""),"Somatic Cancer")</f>
        <v>Somatic Cancer</v>
      </c>
      <c r="L49" s="62"/>
      <c r="M49" s="62"/>
      <c r="N49" s="62"/>
      <c r="O49" s="62"/>
      <c r="P49" s="62"/>
      <c r="Q49" s="62"/>
      <c r="R49" s="62"/>
      <c r="S49" s="62"/>
      <c r="T49" s="62"/>
      <c r="U49" s="62"/>
      <c r="V49" s="62"/>
      <c r="W49" s="62"/>
      <c r="X49" s="62"/>
      <c r="Y49" s="62"/>
      <c r="Z49" s="62"/>
    </row>
    <row r="50">
      <c r="A50" s="62" t="str">
        <f>IFERROR(__xludf.DUMMYFUNCTION("""COMPUTED_VALUE"""),"Assigned")</f>
        <v>Assigned</v>
      </c>
      <c r="B50" s="106">
        <f>IFERROR(__xludf.DUMMYFUNCTION("""COMPUTED_VALUE"""),43411.0)</f>
        <v>43411</v>
      </c>
      <c r="C50" s="105">
        <f>IFERROR(__xludf.DUMMYFUNCTION("""COMPUTED_VALUE"""),43476.0)</f>
        <v>43476</v>
      </c>
      <c r="D50" s="62" t="str">
        <f>IFERROR(__xludf.DUMMYFUNCTION("""COMPUTED_VALUE"""),"Yes")</f>
        <v>Yes</v>
      </c>
      <c r="E50" s="62" t="str">
        <f>IFERROR(__xludf.DUMMYFUNCTION("""COMPUTED_VALUE"""),"Somatic Cancer")</f>
        <v>Somatic Cancer</v>
      </c>
      <c r="F50" s="62" t="str">
        <f>IFERROR(__xludf.DUMMYFUNCTION("""COMPUTED_VALUE"""),"pediatric and pancreatic cancer taskforces")</f>
        <v>pediatric and pancreatic cancer taskforces</v>
      </c>
      <c r="G50" s="62" t="str">
        <f>IFERROR(__xludf.DUMMYFUNCTION("""COMPUTED_VALUE"""),"Wan-Hsin Lin")</f>
        <v>Wan-Hsin Lin</v>
      </c>
      <c r="H50" s="62" t="str">
        <f>IFERROR(__xludf.DUMMYFUNCTION("""COMPUTED_VALUE"""),"lin.wanhsin@mayo.edu")</f>
        <v>lin.wanhsin@mayo.edu</v>
      </c>
      <c r="I50" s="62" t="str">
        <f>IFERROR(__xludf.DUMMYFUNCTION("""COMPUTED_VALUE"""),"Post Doc/Resident/Fellow (MD and/or PhD)")</f>
        <v>Post Doc/Resident/Fellow (MD and/or PhD)</v>
      </c>
      <c r="J50" s="62"/>
      <c r="K50" s="62" t="str">
        <f>IFERROR(__xludf.DUMMYFUNCTION("""COMPUTED_VALUE"""),"Somatic Cancer")</f>
        <v>Somatic Cancer</v>
      </c>
      <c r="L50" s="62"/>
      <c r="M50" s="62"/>
      <c r="N50" s="62"/>
      <c r="O50" s="62"/>
      <c r="P50" s="62"/>
      <c r="Q50" s="62"/>
      <c r="R50" s="62"/>
      <c r="S50" s="62"/>
      <c r="T50" s="62"/>
      <c r="U50" s="62"/>
      <c r="V50" s="62"/>
      <c r="W50" s="62"/>
      <c r="X50" s="62"/>
      <c r="Y50" s="62"/>
      <c r="Z50" s="62"/>
    </row>
    <row r="51">
      <c r="A51" s="62" t="str">
        <f>IFERROR(__xludf.DUMMYFUNCTION("""COMPUTED_VALUE"""),"Unresponsive")</f>
        <v>Unresponsive</v>
      </c>
      <c r="B51" s="106">
        <f>IFERROR(__xludf.DUMMYFUNCTION("""COMPUTED_VALUE"""),43411.0)</f>
        <v>43411</v>
      </c>
      <c r="C51" s="105">
        <f>IFERROR(__xludf.DUMMYFUNCTION("""COMPUTED_VALUE"""),43476.0)</f>
        <v>43476</v>
      </c>
      <c r="D51" s="62" t="str">
        <f>IFERROR(__xludf.DUMMYFUNCTION("""COMPUTED_VALUE"""),"Yes")</f>
        <v>Yes</v>
      </c>
      <c r="E51" s="62" t="str">
        <f>IFERROR(__xludf.DUMMYFUNCTION("""COMPUTED_VALUE"""),"Somatic Cancer")</f>
        <v>Somatic Cancer</v>
      </c>
      <c r="F51" s="62" t="str">
        <f>IFERROR(__xludf.DUMMYFUNCTION("""COMPUTED_VALUE"""),"pediatric cancer taskforce")</f>
        <v>pediatric cancer taskforce</v>
      </c>
      <c r="G51" s="62" t="str">
        <f>IFERROR(__xludf.DUMMYFUNCTION("""COMPUTED_VALUE"""),"Stefan Rentas")</f>
        <v>Stefan Rentas</v>
      </c>
      <c r="H51" s="62" t="str">
        <f>IFERROR(__xludf.DUMMYFUNCTION("""COMPUTED_VALUE"""),"rentass@email.chop.edu")</f>
        <v>rentass@email.chop.edu</v>
      </c>
      <c r="I51" s="62" t="str">
        <f>IFERROR(__xludf.DUMMYFUNCTION("""COMPUTED_VALUE"""),"Post Doc/Resident/Fellow (MD and/or PhD)")</f>
        <v>Post Doc/Resident/Fellow (MD and/or PhD)</v>
      </c>
      <c r="J51" s="62"/>
      <c r="K51" s="62" t="str">
        <f>IFERROR(__xludf.DUMMYFUNCTION("""COMPUTED_VALUE"""),"Somatic Cancer")</f>
        <v>Somatic Cancer</v>
      </c>
      <c r="L51" s="62"/>
      <c r="M51" s="62"/>
      <c r="N51" s="62"/>
      <c r="O51" s="62"/>
      <c r="P51" s="62"/>
      <c r="Q51" s="62"/>
      <c r="R51" s="62"/>
      <c r="S51" s="62"/>
      <c r="T51" s="62"/>
      <c r="U51" s="62"/>
      <c r="V51" s="62"/>
      <c r="W51" s="62"/>
      <c r="X51" s="62"/>
      <c r="Y51" s="62"/>
      <c r="Z51" s="62"/>
    </row>
    <row r="52">
      <c r="A52" s="62" t="str">
        <f>IFERROR(__xludf.DUMMYFUNCTION("""COMPUTED_VALUE"""),"Unresponsive")</f>
        <v>Unresponsive</v>
      </c>
      <c r="B52" s="81">
        <f>IFERROR(__xludf.DUMMYFUNCTION("""COMPUTED_VALUE"""),43434.0)</f>
        <v>43434</v>
      </c>
      <c r="C52" s="105" t="str">
        <f>IFERROR(__xludf.DUMMYFUNCTION("""COMPUTED_VALUE"""),"")</f>
        <v/>
      </c>
      <c r="D52" s="62" t="str">
        <f>IFERROR(__xludf.DUMMYFUNCTION("""COMPUTED_VALUE"""),"No")</f>
        <v>No</v>
      </c>
      <c r="E52" s="62" t="str">
        <f>IFERROR(__xludf.DUMMYFUNCTION("""COMPUTED_VALUE"""),"Somatic Cancer")</f>
        <v>Somatic Cancer</v>
      </c>
      <c r="F52" s="62" t="str">
        <f>IFERROR(__xludf.DUMMYFUNCTION("""COMPUTED_VALUE"""),"")</f>
        <v/>
      </c>
      <c r="G52" s="62" t="str">
        <f>IFERROR(__xludf.DUMMYFUNCTION("""COMPUTED_VALUE"""),"Willonie Mendonca")</f>
        <v>Willonie Mendonca</v>
      </c>
      <c r="H52" s="62" t="str">
        <f>IFERROR(__xludf.DUMMYFUNCTION("""COMPUTED_VALUE"""),"willonie@gmail.com")</f>
        <v>willonie@gmail.com</v>
      </c>
      <c r="I52" s="62" t="str">
        <f>IFERROR(__xludf.DUMMYFUNCTION("""COMPUTED_VALUE"""),"Genetic counselor")</f>
        <v>Genetic counselor</v>
      </c>
      <c r="J52" s="62"/>
      <c r="K52" s="62" t="str">
        <f>IFERROR(__xludf.DUMMYFUNCTION("""COMPUTED_VALUE"""),"Somatic Cancer")</f>
        <v>Somatic Cancer</v>
      </c>
      <c r="L52" s="62"/>
      <c r="M52" s="62"/>
      <c r="N52" s="62"/>
      <c r="O52" s="62"/>
      <c r="P52" s="62"/>
      <c r="Q52" s="62"/>
      <c r="R52" s="62"/>
      <c r="S52" s="62"/>
      <c r="T52" s="62"/>
      <c r="U52" s="62"/>
      <c r="V52" s="62"/>
      <c r="W52" s="62"/>
      <c r="X52" s="62"/>
      <c r="Y52" s="62"/>
      <c r="Z52" s="62"/>
    </row>
    <row r="53">
      <c r="A53" s="62" t="str">
        <f>IFERROR(__xludf.DUMMYFUNCTION("""COMPUTED_VALUE"""),"Unresponsive")</f>
        <v>Unresponsive</v>
      </c>
      <c r="B53" s="81">
        <f>IFERROR(__xludf.DUMMYFUNCTION("""COMPUTED_VALUE"""),43434.0)</f>
        <v>43434</v>
      </c>
      <c r="C53" s="105">
        <f>IFERROR(__xludf.DUMMYFUNCTION("""COMPUTED_VALUE"""),43476.0)</f>
        <v>43476</v>
      </c>
      <c r="D53" s="62" t="str">
        <f>IFERROR(__xludf.DUMMYFUNCTION("""COMPUTED_VALUE"""),"Yes")</f>
        <v>Yes</v>
      </c>
      <c r="E53" s="62" t="str">
        <f>IFERROR(__xludf.DUMMYFUNCTION("""COMPUTED_VALUE"""),"Somatic Cancer")</f>
        <v>Somatic Cancer</v>
      </c>
      <c r="F53" s="62" t="str">
        <f>IFERROR(__xludf.DUMMYFUNCTION("""COMPUTED_VALUE"""),"pancreatic cancer taskforce")</f>
        <v>pancreatic cancer taskforce</v>
      </c>
      <c r="G53" s="62" t="str">
        <f>IFERROR(__xludf.DUMMYFUNCTION("""COMPUTED_VALUE"""),"Iman Haroun")</f>
        <v>Iman Haroun</v>
      </c>
      <c r="H53" s="62" t="str">
        <f>IFERROR(__xludf.DUMMYFUNCTION("""COMPUTED_VALUE"""),"iman.haroun@readinghealth.org")</f>
        <v>iman.haroun@readinghealth.org</v>
      </c>
      <c r="I53" s="62" t="str">
        <f>IFERROR(__xludf.DUMMYFUNCTION("""COMPUTED_VALUE"""),"Genetic counselor")</f>
        <v>Genetic counselor</v>
      </c>
      <c r="J53" s="62"/>
      <c r="K53" s="62" t="str">
        <f>IFERROR(__xludf.DUMMYFUNCTION("""COMPUTED_VALUE"""),"Somatic Cancer")</f>
        <v>Somatic Cancer</v>
      </c>
      <c r="L53" s="62"/>
      <c r="M53" s="62"/>
      <c r="N53" s="62"/>
      <c r="O53" s="62"/>
      <c r="P53" s="62"/>
      <c r="Q53" s="62"/>
      <c r="R53" s="62"/>
      <c r="S53" s="62"/>
      <c r="T53" s="62"/>
      <c r="U53" s="62"/>
      <c r="V53" s="62"/>
      <c r="W53" s="62"/>
      <c r="X53" s="62"/>
      <c r="Y53" s="62"/>
      <c r="Z53" s="62"/>
    </row>
    <row r="54">
      <c r="A54" s="62" t="str">
        <f>IFERROR(__xludf.DUMMYFUNCTION("""COMPUTED_VALUE"""),"Unresponsive")</f>
        <v>Unresponsive</v>
      </c>
      <c r="B54" s="106">
        <f>IFERROR(__xludf.DUMMYFUNCTION("""COMPUTED_VALUE"""),43439.0)</f>
        <v>43439</v>
      </c>
      <c r="C54" s="62" t="str">
        <f>IFERROR(__xludf.DUMMYFUNCTION("""COMPUTED_VALUE"""),"")</f>
        <v/>
      </c>
      <c r="D54" s="62" t="str">
        <f>IFERROR(__xludf.DUMMYFUNCTION("""COMPUTED_VALUE"""),"No")</f>
        <v>No</v>
      </c>
      <c r="E54" s="62" t="str">
        <f>IFERROR(__xludf.DUMMYFUNCTION("""COMPUTED_VALUE"""),"Variant Pathogenicity")</f>
        <v>Variant Pathogenicity</v>
      </c>
      <c r="F54" s="62" t="str">
        <f>IFERROR(__xludf.DUMMYFUNCTION("""COMPUTED_VALUE"""),"")</f>
        <v/>
      </c>
      <c r="G54" s="62" t="str">
        <f>IFERROR(__xludf.DUMMYFUNCTION("""COMPUTED_VALUE"""),"Daniel Bellissimo")</f>
        <v>Daniel Bellissimo</v>
      </c>
      <c r="H54" s="62" t="str">
        <f>IFERROR(__xludf.DUMMYFUNCTION("""COMPUTED_VALUE"""),"BELLISSIMOD@MAIL.MAGEE.EDU")</f>
        <v>BELLISSIMOD@MAIL.MAGEE.EDU</v>
      </c>
      <c r="I54" s="62" t="str">
        <f>IFERROR(__xludf.DUMMYFUNCTION("""COMPUTED_VALUE"""),"Clinical laboratory geneticist")</f>
        <v>Clinical laboratory geneticist</v>
      </c>
      <c r="J54" s="62"/>
      <c r="K54" s="62" t="str">
        <f>IFERROR(__xludf.DUMMYFUNCTION("""COMPUTED_VALUE"""),"Variant Pathogenicity")</f>
        <v>Variant Pathogenicity</v>
      </c>
      <c r="L54" s="62"/>
      <c r="M54" s="62"/>
      <c r="N54" s="62"/>
      <c r="O54" s="62"/>
      <c r="P54" s="62"/>
      <c r="Q54" s="62"/>
      <c r="R54" s="62"/>
      <c r="S54" s="62"/>
      <c r="T54" s="62"/>
      <c r="U54" s="62"/>
      <c r="V54" s="62"/>
      <c r="W54" s="62"/>
      <c r="X54" s="62"/>
      <c r="Y54" s="62"/>
      <c r="Z54" s="62"/>
    </row>
    <row r="55">
      <c r="A55" s="62" t="str">
        <f>IFERROR(__xludf.DUMMYFUNCTION("""COMPUTED_VALUE"""),"Contacted")</f>
        <v>Contacted</v>
      </c>
      <c r="B55" s="106">
        <f>IFERROR(__xludf.DUMMYFUNCTION("""COMPUTED_VALUE"""),43439.0)</f>
        <v>43439</v>
      </c>
      <c r="C55" s="62" t="str">
        <f>IFERROR(__xludf.DUMMYFUNCTION("""COMPUTED_VALUE"""),"")</f>
        <v/>
      </c>
      <c r="D55" s="62" t="str">
        <f>IFERROR(__xludf.DUMMYFUNCTION("""COMPUTED_VALUE"""),"No")</f>
        <v>No</v>
      </c>
      <c r="E55" s="62" t="str">
        <f>IFERROR(__xludf.DUMMYFUNCTION("""COMPUTED_VALUE"""),"Variant Pathogenicity")</f>
        <v>Variant Pathogenicity</v>
      </c>
      <c r="F55" s="62" t="str">
        <f>IFERROR(__xludf.DUMMYFUNCTION("""COMPUTED_VALUE"""),"")</f>
        <v/>
      </c>
      <c r="G55" s="62" t="str">
        <f>IFERROR(__xludf.DUMMYFUNCTION("""COMPUTED_VALUE"""),"Alexa Dickson ")</f>
        <v>Alexa Dickson </v>
      </c>
      <c r="H55" s="62" t="str">
        <f>IFERROR(__xludf.DUMMYFUNCTION("""COMPUTED_VALUE"""),"alexa.dickson@aruplab.com")</f>
        <v>alexa.dickson@aruplab.com</v>
      </c>
      <c r="I55" s="62" t="str">
        <f>IFERROR(__xludf.DUMMYFUNCTION("""COMPUTED_VALUE"""),"Clinical laboratory geneticist")</f>
        <v>Clinical laboratory geneticist</v>
      </c>
      <c r="J55" s="62"/>
      <c r="K55" s="62" t="str">
        <f>IFERROR(__xludf.DUMMYFUNCTION("""COMPUTED_VALUE"""),"Variant Pathogenicity")</f>
        <v>Variant Pathogenicity</v>
      </c>
      <c r="L55" s="62"/>
      <c r="M55" s="62"/>
      <c r="N55" s="62"/>
      <c r="O55" s="62"/>
      <c r="P55" s="62"/>
      <c r="Q55" s="62"/>
      <c r="R55" s="62"/>
      <c r="S55" s="62"/>
      <c r="T55" s="62"/>
      <c r="U55" s="62"/>
      <c r="V55" s="62"/>
      <c r="W55" s="62"/>
      <c r="X55" s="62"/>
      <c r="Y55" s="62"/>
      <c r="Z55" s="62"/>
    </row>
    <row r="56">
      <c r="A56" s="62" t="str">
        <f>IFERROR(__xludf.DUMMYFUNCTION("""COMPUTED_VALUE"""),"Unresponsive")</f>
        <v>Unresponsive</v>
      </c>
      <c r="B56" s="106">
        <f>IFERROR(__xludf.DUMMYFUNCTION("""COMPUTED_VALUE"""),43439.0)</f>
        <v>43439</v>
      </c>
      <c r="C56" s="77">
        <f>IFERROR(__xludf.DUMMYFUNCTION("""COMPUTED_VALUE"""),43605.0)</f>
        <v>43605</v>
      </c>
      <c r="D56" s="62" t="str">
        <f>IFERROR(__xludf.DUMMYFUNCTION("""COMPUTED_VALUE"""),"Yes")</f>
        <v>Yes</v>
      </c>
      <c r="E56" s="62" t="str">
        <f>IFERROR(__xludf.DUMMYFUNCTION("""COMPUTED_VALUE"""),"Variant Pathogenicity")</f>
        <v>Variant Pathogenicity</v>
      </c>
      <c r="F56" s="62" t="str">
        <f>IFERROR(__xludf.DUMMYFUNCTION("""COMPUTED_VALUE"""),"")</f>
        <v/>
      </c>
      <c r="G56" s="62" t="str">
        <f>IFERROR(__xludf.DUMMYFUNCTION("""COMPUTED_VALUE"""),"Luke Drury")</f>
        <v>Luke Drury</v>
      </c>
      <c r="H56" s="62" t="str">
        <f>IFERROR(__xludf.DUMMYFUNCTION("""COMPUTED_VALUE"""),"luke.drury@preventiongenetics.com")</f>
        <v>luke.drury@preventiongenetics.com</v>
      </c>
      <c r="I56" s="62" t="str">
        <f>IFERROR(__xludf.DUMMYFUNCTION("""COMPUTED_VALUE"""),"Variant Analyst/Scientist")</f>
        <v>Variant Analyst/Scientist</v>
      </c>
      <c r="J56" s="62"/>
      <c r="K56" s="62" t="str">
        <f>IFERROR(__xludf.DUMMYFUNCTION("""COMPUTED_VALUE"""),"Variant Pathogenicity")</f>
        <v>Variant Pathogenicity</v>
      </c>
      <c r="L56" s="62"/>
      <c r="M56" s="62"/>
      <c r="N56" s="62"/>
      <c r="O56" s="62"/>
      <c r="P56" s="62"/>
      <c r="Q56" s="62"/>
      <c r="R56" s="62"/>
      <c r="S56" s="62"/>
      <c r="T56" s="62"/>
      <c r="U56" s="62"/>
      <c r="V56" s="62"/>
      <c r="W56" s="62"/>
      <c r="X56" s="62"/>
      <c r="Y56" s="62"/>
      <c r="Z56" s="62"/>
    </row>
    <row r="57">
      <c r="A57" s="62" t="str">
        <f>IFERROR(__xludf.DUMMYFUNCTION("""COMPUTED_VALUE"""),"Assigned")</f>
        <v>Assigned</v>
      </c>
      <c r="B57" s="106">
        <f>IFERROR(__xludf.DUMMYFUNCTION("""COMPUTED_VALUE"""),43439.0)</f>
        <v>43439</v>
      </c>
      <c r="C57" s="77">
        <f>IFERROR(__xludf.DUMMYFUNCTION("""COMPUTED_VALUE"""),43605.0)</f>
        <v>43605</v>
      </c>
      <c r="D57" s="62" t="str">
        <f>IFERROR(__xludf.DUMMYFUNCTION("""COMPUTED_VALUE"""),"Yes")</f>
        <v>Yes</v>
      </c>
      <c r="E57" s="62" t="str">
        <f>IFERROR(__xludf.DUMMYFUNCTION("""COMPUTED_VALUE"""),"Variant Pathogenicity")</f>
        <v>Variant Pathogenicity</v>
      </c>
      <c r="F57" s="62" t="str">
        <f>IFERROR(__xludf.DUMMYFUNCTION("""COMPUTED_VALUE"""),"Storage Disease")</f>
        <v>Storage Disease</v>
      </c>
      <c r="G57" s="62" t="str">
        <f>IFERROR(__xludf.DUMMYFUNCTION("""COMPUTED_VALUE"""),"Lynne Rosenblum")</f>
        <v>Lynne Rosenblum</v>
      </c>
      <c r="H57" s="62" t="str">
        <f>IFERROR(__xludf.DUMMYFUNCTION("""COMPUTED_VALUE"""),"lynne.rosenblum@integratedgenetics.com")</f>
        <v>lynne.rosenblum@integratedgenetics.com</v>
      </c>
      <c r="I57" s="62" t="str">
        <f>IFERROR(__xludf.DUMMYFUNCTION("""COMPUTED_VALUE"""),"Clinical laboratory geneticist")</f>
        <v>Clinical laboratory geneticist</v>
      </c>
      <c r="J57" s="62"/>
      <c r="K57" s="62" t="str">
        <f>IFERROR(__xludf.DUMMYFUNCTION("""COMPUTED_VALUE"""),"Variant Pathogenicity")</f>
        <v>Variant Pathogenicity</v>
      </c>
      <c r="L57" s="62"/>
      <c r="M57" s="62"/>
      <c r="N57" s="62"/>
      <c r="O57" s="62"/>
      <c r="P57" s="62"/>
      <c r="Q57" s="62"/>
      <c r="R57" s="62"/>
      <c r="S57" s="62"/>
      <c r="T57" s="62"/>
      <c r="U57" s="62"/>
      <c r="V57" s="62"/>
      <c r="W57" s="62"/>
      <c r="X57" s="62"/>
      <c r="Y57" s="62"/>
      <c r="Z57" s="62"/>
    </row>
    <row r="58">
      <c r="A58" s="62" t="str">
        <f>IFERROR(__xludf.DUMMYFUNCTION("""COMPUTED_VALUE"""),"Assigned")</f>
        <v>Assigned</v>
      </c>
      <c r="B58" s="106">
        <f>IFERROR(__xludf.DUMMYFUNCTION("""COMPUTED_VALUE"""),43439.0)</f>
        <v>43439</v>
      </c>
      <c r="C58" s="77">
        <f>IFERROR(__xludf.DUMMYFUNCTION("""COMPUTED_VALUE"""),43605.0)</f>
        <v>43605</v>
      </c>
      <c r="D58" s="62" t="str">
        <f>IFERROR(__xludf.DUMMYFUNCTION("""COMPUTED_VALUE"""),"Yes")</f>
        <v>Yes</v>
      </c>
      <c r="E58" s="62" t="str">
        <f>IFERROR(__xludf.DUMMYFUNCTION("""COMPUTED_VALUE"""),"Variant Pathogenicity")</f>
        <v>Variant Pathogenicity</v>
      </c>
      <c r="F58" s="62" t="str">
        <f>IFERROR(__xludf.DUMMYFUNCTION("""COMPUTED_VALUE"""),"ACADVL")</f>
        <v>ACADVL</v>
      </c>
      <c r="G58" s="62" t="str">
        <f>IFERROR(__xludf.DUMMYFUNCTION("""COMPUTED_VALUE"""),"Yang Wang")</f>
        <v>Yang Wang</v>
      </c>
      <c r="H58" s="62" t="str">
        <f>IFERROR(__xludf.DUMMYFUNCTION("""COMPUTED_VALUE"""),"yangwangcmg@gmail.com")</f>
        <v>yangwangcmg@gmail.com</v>
      </c>
      <c r="I58" s="62" t="str">
        <f>IFERROR(__xludf.DUMMYFUNCTION("""COMPUTED_VALUE"""),"Clinical laboratory geneticist")</f>
        <v>Clinical laboratory geneticist</v>
      </c>
      <c r="J58" s="62"/>
      <c r="K58" s="62" t="str">
        <f>IFERROR(__xludf.DUMMYFUNCTION("""COMPUTED_VALUE"""),"Variant Pathogenicity")</f>
        <v>Variant Pathogenicity</v>
      </c>
      <c r="L58" s="62"/>
      <c r="M58" s="62"/>
      <c r="N58" s="62"/>
      <c r="O58" s="62"/>
      <c r="P58" s="62"/>
      <c r="Q58" s="62"/>
      <c r="R58" s="62"/>
      <c r="S58" s="62"/>
      <c r="T58" s="62"/>
      <c r="U58" s="62"/>
      <c r="V58" s="62"/>
      <c r="W58" s="62"/>
      <c r="X58" s="62"/>
      <c r="Y58" s="62"/>
      <c r="Z58" s="62"/>
    </row>
    <row r="59">
      <c r="A59" s="62" t="str">
        <f>IFERROR(__xludf.DUMMYFUNCTION("""COMPUTED_VALUE"""),"Contacted")</f>
        <v>Contacted</v>
      </c>
      <c r="B59" s="106">
        <f>IFERROR(__xludf.DUMMYFUNCTION("""COMPUTED_VALUE"""),43439.0)</f>
        <v>43439</v>
      </c>
      <c r="C59" s="81">
        <f>IFERROR(__xludf.DUMMYFUNCTION("""COMPUTED_VALUE"""),43446.0)</f>
        <v>43446</v>
      </c>
      <c r="D59" s="62" t="str">
        <f>IFERROR(__xludf.DUMMYFUNCTION("""COMPUTED_VALUE"""),"Yes")</f>
        <v>Yes</v>
      </c>
      <c r="E59" s="62" t="str">
        <f>IFERROR(__xludf.DUMMYFUNCTION("""COMPUTED_VALUE"""),"Gene Disease Validity")</f>
        <v>Gene Disease Validity</v>
      </c>
      <c r="F59" s="62" t="str">
        <f>IFERROR(__xludf.DUMMYFUNCTION("""COMPUTED_VALUE"""),"")</f>
        <v/>
      </c>
      <c r="G59" s="62" t="str">
        <f>IFERROR(__xludf.DUMMYFUNCTION("""COMPUTED_VALUE"""),"Elaine Spector ")</f>
        <v>Elaine Spector </v>
      </c>
      <c r="H59" s="62" t="str">
        <f>IFERROR(__xludf.DUMMYFUNCTION("""COMPUTED_VALUE"""),"elaine.spector@childrenscolorado.org")</f>
        <v>elaine.spector@childrenscolorado.org</v>
      </c>
      <c r="I59" s="62" t="str">
        <f>IFERROR(__xludf.DUMMYFUNCTION("""COMPUTED_VALUE"""),"Clinical laboratory geneticist")</f>
        <v>Clinical laboratory geneticist</v>
      </c>
      <c r="J59" s="62"/>
      <c r="K59" s="62" t="str">
        <f>IFERROR(__xludf.DUMMYFUNCTION("""COMPUTED_VALUE"""),"Gene-Disease Validity")</f>
        <v>Gene-Disease Validity</v>
      </c>
      <c r="L59" s="62"/>
      <c r="M59" s="62"/>
      <c r="N59" s="62"/>
      <c r="O59" s="62"/>
      <c r="P59" s="62"/>
      <c r="Q59" s="62"/>
      <c r="R59" s="62"/>
      <c r="S59" s="62"/>
      <c r="T59" s="62"/>
      <c r="U59" s="62"/>
      <c r="V59" s="62"/>
      <c r="W59" s="62"/>
      <c r="X59" s="62"/>
      <c r="Y59" s="62"/>
      <c r="Z59" s="62"/>
    </row>
    <row r="60">
      <c r="A60" s="62" t="str">
        <f>IFERROR(__xludf.DUMMYFUNCTION("""COMPUTED_VALUE"""),"Unresponsive")</f>
        <v>Unresponsive</v>
      </c>
      <c r="B60" s="106">
        <f>IFERROR(__xludf.DUMMYFUNCTION("""COMPUTED_VALUE"""),43439.0)</f>
        <v>43439</v>
      </c>
      <c r="C60" s="62" t="str">
        <f>IFERROR(__xludf.DUMMYFUNCTION("""COMPUTED_VALUE"""),"")</f>
        <v/>
      </c>
      <c r="D60" s="62" t="str">
        <f>IFERROR(__xludf.DUMMYFUNCTION("""COMPUTED_VALUE"""),"No")</f>
        <v>No</v>
      </c>
      <c r="E60" s="62" t="str">
        <f>IFERROR(__xludf.DUMMYFUNCTION("""COMPUTED_VALUE"""),"Variant Pathogenicity")</f>
        <v>Variant Pathogenicity</v>
      </c>
      <c r="F60" s="62" t="str">
        <f>IFERROR(__xludf.DUMMYFUNCTION("""COMPUTED_VALUE"""),"")</f>
        <v/>
      </c>
      <c r="G60" s="62" t="str">
        <f>IFERROR(__xludf.DUMMYFUNCTION("""COMPUTED_VALUE"""),"Samya Chakravorty")</f>
        <v>Samya Chakravorty</v>
      </c>
      <c r="H60" s="62" t="str">
        <f>IFERROR(__xludf.DUMMYFUNCTION("""COMPUTED_VALUE"""),"samya.chakravorty@emory.edu")</f>
        <v>samya.chakravorty@emory.edu</v>
      </c>
      <c r="I60" s="62" t="str">
        <f>IFERROR(__xludf.DUMMYFUNCTION("""COMPUTED_VALUE"""),"Post Doc/Resident/Fellow (MD and/or PhD)")</f>
        <v>Post Doc/Resident/Fellow (MD and/or PhD)</v>
      </c>
      <c r="J60" s="62"/>
      <c r="K60" s="62" t="str">
        <f>IFERROR(__xludf.DUMMYFUNCTION("""COMPUTED_VALUE"""),"Variant Pathogenicity")</f>
        <v>Variant Pathogenicity</v>
      </c>
      <c r="L60" s="62"/>
      <c r="M60" s="62"/>
      <c r="N60" s="62"/>
      <c r="O60" s="62"/>
      <c r="P60" s="62"/>
      <c r="Q60" s="62"/>
      <c r="R60" s="62"/>
      <c r="S60" s="62"/>
      <c r="T60" s="62"/>
      <c r="U60" s="62"/>
      <c r="V60" s="62"/>
      <c r="W60" s="62"/>
      <c r="X60" s="62"/>
      <c r="Y60" s="62"/>
      <c r="Z60" s="62"/>
    </row>
    <row r="61">
      <c r="A61" s="62" t="str">
        <f>IFERROR(__xludf.DUMMYFUNCTION("""COMPUTED_VALUE"""),"Unresponsive")</f>
        <v>Unresponsive</v>
      </c>
      <c r="B61" s="106">
        <f>IFERROR(__xludf.DUMMYFUNCTION("""COMPUTED_VALUE"""),43439.0)</f>
        <v>43439</v>
      </c>
      <c r="C61" s="62" t="str">
        <f>IFERROR(__xludf.DUMMYFUNCTION("""COMPUTED_VALUE"""),"")</f>
        <v/>
      </c>
      <c r="D61" s="62" t="str">
        <f>IFERROR(__xludf.DUMMYFUNCTION("""COMPUTED_VALUE"""),"No")</f>
        <v>No</v>
      </c>
      <c r="E61" s="62" t="str">
        <f>IFERROR(__xludf.DUMMYFUNCTION("""COMPUTED_VALUE"""),"Variant Pathogenicity")</f>
        <v>Variant Pathogenicity</v>
      </c>
      <c r="F61" s="62" t="str">
        <f>IFERROR(__xludf.DUMMYFUNCTION("""COMPUTED_VALUE"""),"")</f>
        <v/>
      </c>
      <c r="G61" s="62" t="str">
        <f>IFERROR(__xludf.DUMMYFUNCTION("""COMPUTED_VALUE"""),"Marco Leung")</f>
        <v>Marco Leung</v>
      </c>
      <c r="H61" s="62" t="str">
        <f>IFERROR(__xludf.DUMMYFUNCTION("""COMPUTED_VALUE"""),"leungm@email.chop.edu")</f>
        <v>leungm@email.chop.edu</v>
      </c>
      <c r="I61" s="62" t="str">
        <f>IFERROR(__xludf.DUMMYFUNCTION("""COMPUTED_VALUE"""),"Clinical laboratory geneticist")</f>
        <v>Clinical laboratory geneticist</v>
      </c>
      <c r="J61" s="62"/>
      <c r="K61" s="62" t="str">
        <f>IFERROR(__xludf.DUMMYFUNCTION("""COMPUTED_VALUE"""),"Variant Pathogenicity")</f>
        <v>Variant Pathogenicity</v>
      </c>
      <c r="L61" s="62"/>
      <c r="M61" s="62"/>
      <c r="N61" s="62"/>
      <c r="O61" s="62"/>
      <c r="P61" s="62"/>
      <c r="Q61" s="62"/>
      <c r="R61" s="62"/>
      <c r="S61" s="62"/>
      <c r="T61" s="62"/>
      <c r="U61" s="62"/>
      <c r="V61" s="62"/>
      <c r="W61" s="62"/>
      <c r="X61" s="62"/>
      <c r="Y61" s="62"/>
      <c r="Z61" s="62"/>
    </row>
    <row r="62">
      <c r="A62" s="62" t="str">
        <f>IFERROR(__xludf.DUMMYFUNCTION("""COMPUTED_VALUE"""),"Unresponsive")</f>
        <v>Unresponsive</v>
      </c>
      <c r="B62" s="106">
        <f>IFERROR(__xludf.DUMMYFUNCTION("""COMPUTED_VALUE"""),43439.0)</f>
        <v>43439</v>
      </c>
      <c r="C62" s="62" t="str">
        <f>IFERROR(__xludf.DUMMYFUNCTION("""COMPUTED_VALUE"""),"")</f>
        <v/>
      </c>
      <c r="D62" s="62" t="str">
        <f>IFERROR(__xludf.DUMMYFUNCTION("""COMPUTED_VALUE"""),"No")</f>
        <v>No</v>
      </c>
      <c r="E62" s="62" t="str">
        <f>IFERROR(__xludf.DUMMYFUNCTION("""COMPUTED_VALUE"""),"Variant Pathogenicity")</f>
        <v>Variant Pathogenicity</v>
      </c>
      <c r="F62" s="62" t="str">
        <f>IFERROR(__xludf.DUMMYFUNCTION("""COMPUTED_VALUE"""),"")</f>
        <v/>
      </c>
      <c r="G62" s="62" t="str">
        <f>IFERROR(__xludf.DUMMYFUNCTION("""COMPUTED_VALUE"""),"Emily Groopman")</f>
        <v>Emily Groopman</v>
      </c>
      <c r="H62" s="62" t="str">
        <f>IFERROR(__xludf.DUMMYFUNCTION("""COMPUTED_VALUE"""),"ee.groopman@gmail.com")</f>
        <v>ee.groopman@gmail.com</v>
      </c>
      <c r="I62" s="62" t="str">
        <f>IFERROR(__xludf.DUMMYFUNCTION("""COMPUTED_VALUE"""),"Post Doc/Resident/Fellow (MD and/or PhD)")</f>
        <v>Post Doc/Resident/Fellow (MD and/or PhD)</v>
      </c>
      <c r="J62" s="62"/>
      <c r="K62" s="62" t="str">
        <f>IFERROR(__xludf.DUMMYFUNCTION("""COMPUTED_VALUE"""),"Variant Pathogenicity")</f>
        <v>Variant Pathogenicity</v>
      </c>
      <c r="L62" s="62"/>
      <c r="M62" s="62"/>
      <c r="N62" s="62"/>
      <c r="O62" s="62"/>
      <c r="P62" s="62"/>
      <c r="Q62" s="62"/>
      <c r="R62" s="62"/>
      <c r="S62" s="62"/>
      <c r="T62" s="62"/>
      <c r="U62" s="62"/>
      <c r="V62" s="62"/>
      <c r="W62" s="62"/>
      <c r="X62" s="62"/>
      <c r="Y62" s="62"/>
      <c r="Z62" s="62"/>
    </row>
    <row r="63">
      <c r="A63" s="62" t="str">
        <f>IFERROR(__xludf.DUMMYFUNCTION("""COMPUTED_VALUE"""),"Assigned")</f>
        <v>Assigned</v>
      </c>
      <c r="B63" s="106">
        <f>IFERROR(__xludf.DUMMYFUNCTION("""COMPUTED_VALUE"""),43439.0)</f>
        <v>43439</v>
      </c>
      <c r="C63" s="77">
        <f>IFERROR(__xludf.DUMMYFUNCTION("""COMPUTED_VALUE"""),43608.0)</f>
        <v>43608</v>
      </c>
      <c r="D63" s="62" t="str">
        <f>IFERROR(__xludf.DUMMYFUNCTION("""COMPUTED_VALUE"""),"Yes")</f>
        <v>Yes</v>
      </c>
      <c r="E63" s="62" t="str">
        <f>IFERROR(__xludf.DUMMYFUNCTION("""COMPUTED_VALUE"""),"Variant Pathogenicity")</f>
        <v>Variant Pathogenicity</v>
      </c>
      <c r="F63" s="62" t="str">
        <f>IFERROR(__xludf.DUMMYFUNCTION("""COMPUTED_VALUE"""),"Brain Malformations")</f>
        <v>Brain Malformations</v>
      </c>
      <c r="G63" s="62" t="str">
        <f>IFERROR(__xludf.DUMMYFUNCTION("""COMPUTED_VALUE"""),"Rhonda Lassiter ")</f>
        <v>Rhonda Lassiter </v>
      </c>
      <c r="H63" s="62" t="str">
        <f>IFERROR(__xludf.DUMMYFUNCTION("""COMPUTED_VALUE"""),"rlassiter@ambrygen.com")</f>
        <v>rlassiter@ambrygen.com</v>
      </c>
      <c r="I63" s="62" t="str">
        <f>IFERROR(__xludf.DUMMYFUNCTION("""COMPUTED_VALUE"""),"Variant Analyst/Scientist")</f>
        <v>Variant Analyst/Scientist</v>
      </c>
      <c r="J63" s="62"/>
      <c r="K63" s="62" t="str">
        <f>IFERROR(__xludf.DUMMYFUNCTION("""COMPUTED_VALUE"""),"Variant Pathogenicity")</f>
        <v>Variant Pathogenicity</v>
      </c>
      <c r="L63" s="62"/>
      <c r="M63" s="62"/>
      <c r="N63" s="62"/>
      <c r="O63" s="62"/>
      <c r="P63" s="62"/>
      <c r="Q63" s="62"/>
      <c r="R63" s="62"/>
      <c r="S63" s="62"/>
      <c r="T63" s="62"/>
      <c r="U63" s="62"/>
      <c r="V63" s="62"/>
      <c r="W63" s="62"/>
      <c r="X63" s="62"/>
      <c r="Y63" s="62"/>
      <c r="Z63" s="62"/>
    </row>
    <row r="64">
      <c r="A64" s="62" t="str">
        <f>IFERROR(__xludf.DUMMYFUNCTION("""COMPUTED_VALUE"""),"Contacted")</f>
        <v>Contacted</v>
      </c>
      <c r="B64" s="106">
        <f>IFERROR(__xludf.DUMMYFUNCTION("""COMPUTED_VALUE"""),43439.0)</f>
        <v>43439</v>
      </c>
      <c r="C64" s="77">
        <f>IFERROR(__xludf.DUMMYFUNCTION("""COMPUTED_VALUE"""),43608.0)</f>
        <v>43608</v>
      </c>
      <c r="D64" s="62" t="str">
        <f>IFERROR(__xludf.DUMMYFUNCTION("""COMPUTED_VALUE"""),"Yes")</f>
        <v>Yes</v>
      </c>
      <c r="E64" s="62" t="str">
        <f>IFERROR(__xludf.DUMMYFUNCTION("""COMPUTED_VALUE"""),"Variant Pathogenicity")</f>
        <v>Variant Pathogenicity</v>
      </c>
      <c r="F64" s="62" t="str">
        <f>IFERROR(__xludf.DUMMYFUNCTION("""COMPUTED_VALUE"""),"Mito")</f>
        <v>Mito</v>
      </c>
      <c r="G64" s="62" t="str">
        <f>IFERROR(__xludf.DUMMYFUNCTION("""COMPUTED_VALUE"""),"Emma Reble ")</f>
        <v>Emma Reble </v>
      </c>
      <c r="H64" s="62" t="str">
        <f>IFERROR(__xludf.DUMMYFUNCTION("""COMPUTED_VALUE"""),"reblee@smh.ca")</f>
        <v>reblee@smh.ca</v>
      </c>
      <c r="I64" s="62" t="str">
        <f>IFERROR(__xludf.DUMMYFUNCTION("""COMPUTED_VALUE"""),"Variant Analyst/Scientist")</f>
        <v>Variant Analyst/Scientist</v>
      </c>
      <c r="J64" s="62"/>
      <c r="K64" s="62" t="str">
        <f>IFERROR(__xludf.DUMMYFUNCTION("""COMPUTED_VALUE"""),"Variant Pathogenicity")</f>
        <v>Variant Pathogenicity</v>
      </c>
      <c r="L64" s="62"/>
      <c r="M64" s="62"/>
      <c r="N64" s="62"/>
      <c r="O64" s="62"/>
      <c r="P64" s="62"/>
      <c r="Q64" s="62"/>
      <c r="R64" s="62"/>
      <c r="S64" s="62"/>
      <c r="T64" s="62"/>
      <c r="U64" s="62"/>
      <c r="V64" s="62"/>
      <c r="W64" s="62"/>
      <c r="X64" s="62"/>
      <c r="Y64" s="62"/>
      <c r="Z64" s="62"/>
    </row>
    <row r="65">
      <c r="A65" s="62" t="str">
        <f>IFERROR(__xludf.DUMMYFUNCTION("""COMPUTED_VALUE"""),"Unresponsive")</f>
        <v>Unresponsive</v>
      </c>
      <c r="B65" s="106">
        <f>IFERROR(__xludf.DUMMYFUNCTION("""COMPUTED_VALUE"""),43439.0)</f>
        <v>43439</v>
      </c>
      <c r="C65" s="77" t="str">
        <f>IFERROR(__xludf.DUMMYFUNCTION("""COMPUTED_VALUE"""),"")</f>
        <v/>
      </c>
      <c r="D65" s="62" t="str">
        <f>IFERROR(__xludf.DUMMYFUNCTION("""COMPUTED_VALUE"""),"No")</f>
        <v>No</v>
      </c>
      <c r="E65" s="62" t="str">
        <f>IFERROR(__xludf.DUMMYFUNCTION("""COMPUTED_VALUE"""),"Variant Pathogenicity")</f>
        <v>Variant Pathogenicity</v>
      </c>
      <c r="F65" s="62" t="str">
        <f>IFERROR(__xludf.DUMMYFUNCTION("""COMPUTED_VALUE"""),"")</f>
        <v/>
      </c>
      <c r="G65" s="62" t="str">
        <f>IFERROR(__xludf.DUMMYFUNCTION("""COMPUTED_VALUE"""),"Bryony Thompson")</f>
        <v>Bryony Thompson</v>
      </c>
      <c r="H65" s="62" t="str">
        <f>IFERROR(__xludf.DUMMYFUNCTION("""COMPUTED_VALUE"""),"Bryony.Thompson@mh.org.au")</f>
        <v>Bryony.Thompson@mh.org.au</v>
      </c>
      <c r="I65" s="62" t="str">
        <f>IFERROR(__xludf.DUMMYFUNCTION("""COMPUTED_VALUE"""),"Post Doc/Resident/Fellow (MD and/or PhD)")</f>
        <v>Post Doc/Resident/Fellow (MD and/or PhD)</v>
      </c>
      <c r="J65" s="62"/>
      <c r="K65" s="62" t="str">
        <f>IFERROR(__xludf.DUMMYFUNCTION("""COMPUTED_VALUE"""),"Variant Pathogenicity")</f>
        <v>Variant Pathogenicity</v>
      </c>
      <c r="L65" s="62"/>
      <c r="M65" s="62"/>
      <c r="N65" s="62"/>
      <c r="O65" s="62"/>
      <c r="P65" s="62"/>
      <c r="Q65" s="62"/>
      <c r="R65" s="62"/>
      <c r="S65" s="62"/>
      <c r="T65" s="62"/>
      <c r="U65" s="62"/>
      <c r="V65" s="62"/>
      <c r="W65" s="62"/>
      <c r="X65" s="62"/>
      <c r="Y65" s="62"/>
      <c r="Z65" s="62"/>
    </row>
    <row r="66">
      <c r="A66" s="62" t="str">
        <f>IFERROR(__xludf.DUMMYFUNCTION("""COMPUTED_VALUE"""),"Assigned")</f>
        <v>Assigned</v>
      </c>
      <c r="B66" s="106">
        <f>IFERROR(__xludf.DUMMYFUNCTION("""COMPUTED_VALUE"""),43439.0)</f>
        <v>43439</v>
      </c>
      <c r="C66" s="77">
        <f>IFERROR(__xludf.DUMMYFUNCTION("""COMPUTED_VALUE"""),43608.0)</f>
        <v>43608</v>
      </c>
      <c r="D66" s="62" t="str">
        <f>IFERROR(__xludf.DUMMYFUNCTION("""COMPUTED_VALUE"""),"Yes")</f>
        <v>Yes</v>
      </c>
      <c r="E66" s="62" t="str">
        <f>IFERROR(__xludf.DUMMYFUNCTION("""COMPUTED_VALUE"""),"Variant Pathogenicity")</f>
        <v>Variant Pathogenicity</v>
      </c>
      <c r="F66" s="62" t="str">
        <f>IFERROR(__xludf.DUMMYFUNCTION("""COMPUTED_VALUE"""),"Coagulation Factor Deficiency")</f>
        <v>Coagulation Factor Deficiency</v>
      </c>
      <c r="G66" s="62" t="str">
        <f>IFERROR(__xludf.DUMMYFUNCTION("""COMPUTED_VALUE"""),"Qiliang Ding")</f>
        <v>Qiliang Ding</v>
      </c>
      <c r="H66" s="62" t="str">
        <f>IFERROR(__xludf.DUMMYFUNCTION("""COMPUTED_VALUE"""),"qd29@cornell.edu")</f>
        <v>qd29@cornell.edu</v>
      </c>
      <c r="I66" s="62" t="str">
        <f>IFERROR(__xludf.DUMMYFUNCTION("""COMPUTED_VALUE"""),"Graduate Student")</f>
        <v>Graduate Student</v>
      </c>
      <c r="J66" s="62"/>
      <c r="K66" s="62" t="str">
        <f>IFERROR(__xludf.DUMMYFUNCTION("""COMPUTED_VALUE"""),"Variant Pathogenicity")</f>
        <v>Variant Pathogenicity</v>
      </c>
      <c r="L66" s="62"/>
      <c r="M66" s="62"/>
      <c r="N66" s="62"/>
      <c r="O66" s="62"/>
      <c r="P66" s="62"/>
      <c r="Q66" s="62"/>
      <c r="R66" s="62"/>
      <c r="S66" s="62"/>
      <c r="T66" s="62"/>
      <c r="U66" s="62"/>
      <c r="V66" s="62"/>
      <c r="W66" s="62"/>
      <c r="X66" s="62"/>
      <c r="Y66" s="62"/>
      <c r="Z66" s="62"/>
    </row>
    <row r="67">
      <c r="A67" s="62" t="str">
        <f>IFERROR(__xludf.DUMMYFUNCTION("""COMPUTED_VALUE"""),"Contacted")</f>
        <v>Contacted</v>
      </c>
      <c r="B67" s="106">
        <f>IFERROR(__xludf.DUMMYFUNCTION("""COMPUTED_VALUE"""),43439.0)</f>
        <v>43439</v>
      </c>
      <c r="C67" s="77">
        <f>IFERROR(__xludf.DUMMYFUNCTION("""COMPUTED_VALUE"""),43608.0)</f>
        <v>43608</v>
      </c>
      <c r="D67" s="62" t="str">
        <f>IFERROR(__xludf.DUMMYFUNCTION("""COMPUTED_VALUE"""),"Yes")</f>
        <v>Yes</v>
      </c>
      <c r="E67" s="62" t="str">
        <f>IFERROR(__xludf.DUMMYFUNCTION("""COMPUTED_VALUE"""),"Variant Pathogenicity")</f>
        <v>Variant Pathogenicity</v>
      </c>
      <c r="F67" s="62" t="str">
        <f>IFERROR(__xludf.DUMMYFUNCTION("""COMPUTED_VALUE"""),"")</f>
        <v/>
      </c>
      <c r="G67" s="62" t="str">
        <f>IFERROR(__xludf.DUMMYFUNCTION("""COMPUTED_VALUE"""),"Amy Donahue")</f>
        <v>Amy Donahue</v>
      </c>
      <c r="H67" s="62" t="str">
        <f>IFERROR(__xludf.DUMMYFUNCTION("""COMPUTED_VALUE"""),"adonahue@mcw.edu")</f>
        <v>adonahue@mcw.edu</v>
      </c>
      <c r="I67" s="62" t="str">
        <f>IFERROR(__xludf.DUMMYFUNCTION("""COMPUTED_VALUE"""),"Genetic counselor")</f>
        <v>Genetic counselor</v>
      </c>
      <c r="J67" s="62"/>
      <c r="K67" s="62" t="str">
        <f>IFERROR(__xludf.DUMMYFUNCTION("""COMPUTED_VALUE"""),"Variant Pathogenicity")</f>
        <v>Variant Pathogenicity</v>
      </c>
      <c r="L67" s="62"/>
      <c r="M67" s="62"/>
      <c r="N67" s="62"/>
      <c r="O67" s="62"/>
      <c r="P67" s="62"/>
      <c r="Q67" s="62"/>
      <c r="R67" s="62"/>
      <c r="S67" s="62"/>
      <c r="T67" s="62"/>
      <c r="U67" s="62"/>
      <c r="V67" s="62"/>
      <c r="W67" s="62"/>
      <c r="X67" s="62"/>
      <c r="Y67" s="62"/>
      <c r="Z67" s="62"/>
    </row>
    <row r="68">
      <c r="A68" s="62" t="str">
        <f>IFERROR(__xludf.DUMMYFUNCTION("""COMPUTED_VALUE"""),"Assigned")</f>
        <v>Assigned</v>
      </c>
      <c r="B68" s="106">
        <f>IFERROR(__xludf.DUMMYFUNCTION("""COMPUTED_VALUE"""),43109.0)</f>
        <v>43109</v>
      </c>
      <c r="C68" s="77">
        <f>IFERROR(__xludf.DUMMYFUNCTION("""COMPUTED_VALUE"""),43605.0)</f>
        <v>43605</v>
      </c>
      <c r="D68" s="62" t="str">
        <f>IFERROR(__xludf.DUMMYFUNCTION("""COMPUTED_VALUE"""),"Yes")</f>
        <v>Yes</v>
      </c>
      <c r="E68" s="62" t="str">
        <f>IFERROR(__xludf.DUMMYFUNCTION("""COMPUTED_VALUE"""),"Variant Pathogenicity")</f>
        <v>Variant Pathogenicity</v>
      </c>
      <c r="F68" s="62" t="str">
        <f>IFERROR(__xludf.DUMMYFUNCTION("""COMPUTED_VALUE"""),"Mito")</f>
        <v>Mito</v>
      </c>
      <c r="G68" s="62" t="str">
        <f>IFERROR(__xludf.DUMMYFUNCTION("""COMPUTED_VALUE"""),"Dave Ferguson")</f>
        <v>Dave Ferguson</v>
      </c>
      <c r="H68" s="62" t="str">
        <f>IFERROR(__xludf.DUMMYFUNCTION("""COMPUTED_VALUE"""),"dferguso@uci.edu")</f>
        <v>dferguso@uci.edu</v>
      </c>
      <c r="I68" s="62" t="str">
        <f>IFERROR(__xludf.DUMMYFUNCTION("""COMPUTED_VALUE"""),"Scientific Researcher")</f>
        <v>Scientific Researcher</v>
      </c>
      <c r="J68" s="62"/>
      <c r="K68" s="62" t="str">
        <f>IFERROR(__xludf.DUMMYFUNCTION("""COMPUTED_VALUE"""),"Variant Pathogenicity")</f>
        <v>Variant Pathogenicity</v>
      </c>
      <c r="L68" s="62"/>
      <c r="M68" s="62"/>
      <c r="N68" s="62"/>
      <c r="O68" s="62"/>
      <c r="P68" s="62"/>
      <c r="Q68" s="62"/>
      <c r="R68" s="62"/>
      <c r="S68" s="62"/>
      <c r="T68" s="62"/>
      <c r="U68" s="62"/>
      <c r="V68" s="62"/>
      <c r="W68" s="62"/>
      <c r="X68" s="62"/>
      <c r="Y68" s="62"/>
      <c r="Z68" s="62"/>
    </row>
    <row r="69">
      <c r="A69" s="62" t="str">
        <f>IFERROR(__xludf.DUMMYFUNCTION("""COMPUTED_VALUE"""),"Unresponsive")</f>
        <v>Unresponsive</v>
      </c>
      <c r="B69" s="106">
        <f>IFERROR(__xludf.DUMMYFUNCTION("""COMPUTED_VALUE"""),43109.0)</f>
        <v>43109</v>
      </c>
      <c r="C69" s="62" t="str">
        <f>IFERROR(__xludf.DUMMYFUNCTION("""COMPUTED_VALUE"""),"")</f>
        <v/>
      </c>
      <c r="D69" s="62" t="str">
        <f>IFERROR(__xludf.DUMMYFUNCTION("""COMPUTED_VALUE"""),"No")</f>
        <v>No</v>
      </c>
      <c r="E69" s="62" t="str">
        <f>IFERROR(__xludf.DUMMYFUNCTION("""COMPUTED_VALUE"""),"Variant Pathogenicity")</f>
        <v>Variant Pathogenicity</v>
      </c>
      <c r="F69" s="62" t="str">
        <f>IFERROR(__xludf.DUMMYFUNCTION("""COMPUTED_VALUE"""),"")</f>
        <v/>
      </c>
      <c r="G69" s="62" t="str">
        <f>IFERROR(__xludf.DUMMYFUNCTION("""COMPUTED_VALUE"""),"Santhi Ramachandran")</f>
        <v>Santhi Ramachandran</v>
      </c>
      <c r="H69" s="62" t="str">
        <f>IFERROR(__xludf.DUMMYFUNCTION("""COMPUTED_VALUE"""),"santhialways4u@gmail.com")</f>
        <v>santhialways4u@gmail.com</v>
      </c>
      <c r="I69" s="62" t="str">
        <f>IFERROR(__xludf.DUMMYFUNCTION("""COMPUTED_VALUE"""),"Biocurator")</f>
        <v>Biocurator</v>
      </c>
      <c r="J69" s="62"/>
      <c r="K69" s="62" t="str">
        <f>IFERROR(__xludf.DUMMYFUNCTION("""COMPUTED_VALUE"""),"Variant Pathogenicity")</f>
        <v>Variant Pathogenicity</v>
      </c>
      <c r="L69" s="62"/>
      <c r="M69" s="62"/>
      <c r="N69" s="62"/>
      <c r="O69" s="62"/>
      <c r="P69" s="62"/>
      <c r="Q69" s="62"/>
      <c r="R69" s="62"/>
      <c r="S69" s="62"/>
      <c r="T69" s="62"/>
      <c r="U69" s="62"/>
      <c r="V69" s="62"/>
      <c r="W69" s="62"/>
      <c r="X69" s="62"/>
      <c r="Y69" s="62"/>
      <c r="Z69" s="62"/>
    </row>
    <row r="70">
      <c r="A70" s="62" t="str">
        <f>IFERROR(__xludf.DUMMYFUNCTION("""COMPUTED_VALUE"""),"Unresponsive")</f>
        <v>Unresponsive</v>
      </c>
      <c r="B70" s="106">
        <f>IFERROR(__xludf.DUMMYFUNCTION("""COMPUTED_VALUE"""),43439.0)</f>
        <v>43439</v>
      </c>
      <c r="C70" s="62" t="str">
        <f>IFERROR(__xludf.DUMMYFUNCTION("""COMPUTED_VALUE"""),"")</f>
        <v/>
      </c>
      <c r="D70" s="62" t="str">
        <f>IFERROR(__xludf.DUMMYFUNCTION("""COMPUTED_VALUE"""),"No")</f>
        <v>No</v>
      </c>
      <c r="E70" s="62" t="str">
        <f>IFERROR(__xludf.DUMMYFUNCTION("""COMPUTED_VALUE"""),"Variant Pathogenicity")</f>
        <v>Variant Pathogenicity</v>
      </c>
      <c r="F70" s="62" t="str">
        <f>IFERROR(__xludf.DUMMYFUNCTION("""COMPUTED_VALUE"""),"")</f>
        <v/>
      </c>
      <c r="G70" s="62" t="str">
        <f>IFERROR(__xludf.DUMMYFUNCTION("""COMPUTED_VALUE"""),"Megan Nathan")</f>
        <v>Megan Nathan</v>
      </c>
      <c r="H70" s="62" t="str">
        <f>IFERROR(__xludf.DUMMYFUNCTION("""COMPUTED_VALUE"""),"mlnathan.genetics@gmail.com")</f>
        <v>mlnathan.genetics@gmail.com</v>
      </c>
      <c r="I70" s="62" t="str">
        <f>IFERROR(__xludf.DUMMYFUNCTION("""COMPUTED_VALUE"""),"Genetic counselor")</f>
        <v>Genetic counselor</v>
      </c>
      <c r="J70" s="62"/>
      <c r="K70" s="62" t="str">
        <f>IFERROR(__xludf.DUMMYFUNCTION("""COMPUTED_VALUE"""),"Variant Pathogenicity")</f>
        <v>Variant Pathogenicity</v>
      </c>
      <c r="L70" s="62"/>
      <c r="M70" s="62"/>
      <c r="N70" s="62"/>
      <c r="O70" s="62"/>
      <c r="P70" s="62"/>
      <c r="Q70" s="62"/>
      <c r="R70" s="62"/>
      <c r="S70" s="62"/>
      <c r="T70" s="62"/>
      <c r="U70" s="62"/>
      <c r="V70" s="62"/>
      <c r="W70" s="62"/>
      <c r="X70" s="62"/>
      <c r="Y70" s="62"/>
      <c r="Z70" s="62"/>
    </row>
    <row r="71">
      <c r="A71" s="62" t="str">
        <f>IFERROR(__xludf.DUMMYFUNCTION("""COMPUTED_VALUE"""),"Unresponsive")</f>
        <v>Unresponsive</v>
      </c>
      <c r="B71" s="62" t="str">
        <f>IFERROR(__xludf.DUMMYFUNCTION("""COMPUTED_VALUE"""),"01/09/18
Unresponsive as of 7-7-19")</f>
        <v>01/09/18
Unresponsive as of 7-7-19</v>
      </c>
      <c r="C71" s="62" t="str">
        <f>IFERROR(__xludf.DUMMYFUNCTION("""COMPUTED_VALUE"""),"")</f>
        <v/>
      </c>
      <c r="D71" s="62" t="str">
        <f>IFERROR(__xludf.DUMMYFUNCTION("""COMPUTED_VALUE"""),"No")</f>
        <v>No</v>
      </c>
      <c r="E71" s="62" t="str">
        <f>IFERROR(__xludf.DUMMYFUNCTION("""COMPUTED_VALUE"""),"Variant Pathogenicity")</f>
        <v>Variant Pathogenicity</v>
      </c>
      <c r="F71" s="62" t="str">
        <f>IFERROR(__xludf.DUMMYFUNCTION("""COMPUTED_VALUE"""),"")</f>
        <v/>
      </c>
      <c r="G71" s="62" t="str">
        <f>IFERROR(__xludf.DUMMYFUNCTION("""COMPUTED_VALUE"""),"Ellen Xu")</f>
        <v>Ellen Xu</v>
      </c>
      <c r="H71" s="62" t="str">
        <f>IFERROR(__xludf.DUMMYFUNCTION("""COMPUTED_VALUE"""),"")</f>
        <v/>
      </c>
      <c r="I71" s="62" t="str">
        <f>IFERROR(__xludf.DUMMYFUNCTION("""COMPUTED_VALUE"""),"Genetic counselor")</f>
        <v>Genetic counselor</v>
      </c>
      <c r="J71" s="62"/>
      <c r="K71" s="62" t="str">
        <f>IFERROR(__xludf.DUMMYFUNCTION("""COMPUTED_VALUE"""),"Variant Pathogenicity")</f>
        <v>Variant Pathogenicity</v>
      </c>
      <c r="L71" s="62"/>
      <c r="M71" s="62"/>
      <c r="N71" s="62"/>
      <c r="O71" s="62"/>
      <c r="P71" s="62"/>
      <c r="Q71" s="62"/>
      <c r="R71" s="62"/>
      <c r="S71" s="62"/>
      <c r="T71" s="62"/>
      <c r="U71" s="62"/>
      <c r="V71" s="62"/>
      <c r="W71" s="62"/>
      <c r="X71" s="62"/>
      <c r="Y71" s="62"/>
      <c r="Z71" s="62"/>
    </row>
    <row r="72">
      <c r="A72" s="62" t="str">
        <f>IFERROR(__xludf.DUMMYFUNCTION("""COMPUTED_VALUE"""),"Assigned")</f>
        <v>Assigned</v>
      </c>
      <c r="B72" s="106">
        <f>IFERROR(__xludf.DUMMYFUNCTION("""COMPUTED_VALUE"""),43109.0)</f>
        <v>43109</v>
      </c>
      <c r="C72" s="77">
        <f>IFERROR(__xludf.DUMMYFUNCTION("""COMPUTED_VALUE"""),43608.0)</f>
        <v>43608</v>
      </c>
      <c r="D72" s="62" t="str">
        <f>IFERROR(__xludf.DUMMYFUNCTION("""COMPUTED_VALUE"""),"Yes")</f>
        <v>Yes</v>
      </c>
      <c r="E72" s="62" t="str">
        <f>IFERROR(__xludf.DUMMYFUNCTION("""COMPUTED_VALUE"""),"Variant Pathogenicity")</f>
        <v>Variant Pathogenicity</v>
      </c>
      <c r="F72" s="62" t="str">
        <f>IFERROR(__xludf.DUMMYFUNCTION("""COMPUTED_VALUE"""),"TP53")</f>
        <v>TP53</v>
      </c>
      <c r="G72" s="62" t="str">
        <f>IFERROR(__xludf.DUMMYFUNCTION("""COMPUTED_VALUE"""),"Alisdair Philp")</f>
        <v>Alisdair Philp</v>
      </c>
      <c r="H72" s="62" t="str">
        <f>IFERROR(__xludf.DUMMYFUNCTION("""COMPUTED_VALUE"""),"arphilp@gmail.com")</f>
        <v>arphilp@gmail.com</v>
      </c>
      <c r="I72" s="62" t="str">
        <f>IFERROR(__xludf.DUMMYFUNCTION("""COMPUTED_VALUE"""),"Genetic counselor")</f>
        <v>Genetic counselor</v>
      </c>
      <c r="J72" s="62"/>
      <c r="K72" s="62" t="str">
        <f>IFERROR(__xludf.DUMMYFUNCTION("""COMPUTED_VALUE"""),"Variant Pathogenicity")</f>
        <v>Variant Pathogenicity</v>
      </c>
      <c r="L72" s="62"/>
      <c r="M72" s="62"/>
      <c r="N72" s="62"/>
      <c r="O72" s="62"/>
      <c r="P72" s="62"/>
      <c r="Q72" s="62"/>
      <c r="R72" s="62"/>
      <c r="S72" s="62"/>
      <c r="T72" s="62"/>
      <c r="U72" s="62"/>
      <c r="V72" s="62"/>
      <c r="W72" s="62"/>
      <c r="X72" s="62"/>
      <c r="Y72" s="62"/>
      <c r="Z72" s="62"/>
    </row>
    <row r="73">
      <c r="A73" s="62" t="str">
        <f>IFERROR(__xludf.DUMMYFUNCTION("""COMPUTED_VALUE"""),"Unresponsive")</f>
        <v>Unresponsive</v>
      </c>
      <c r="B73" s="106">
        <f>IFERROR(__xludf.DUMMYFUNCTION("""COMPUTED_VALUE"""),43109.0)</f>
        <v>43109</v>
      </c>
      <c r="C73" s="62" t="str">
        <f>IFERROR(__xludf.DUMMYFUNCTION("""COMPUTED_VALUE"""),"")</f>
        <v/>
      </c>
      <c r="D73" s="62" t="str">
        <f>IFERROR(__xludf.DUMMYFUNCTION("""COMPUTED_VALUE"""),"No")</f>
        <v>No</v>
      </c>
      <c r="E73" s="62" t="str">
        <f>IFERROR(__xludf.DUMMYFUNCTION("""COMPUTED_VALUE"""),"Dosage Sensitivity")</f>
        <v>Dosage Sensitivity</v>
      </c>
      <c r="F73" s="62" t="str">
        <f>IFERROR(__xludf.DUMMYFUNCTION("""COMPUTED_VALUE"""),"")</f>
        <v/>
      </c>
      <c r="G73" s="62" t="str">
        <f>IFERROR(__xludf.DUMMYFUNCTION("""COMPUTED_VALUE"""),"Jenna Guiltinan")</f>
        <v>Jenna Guiltinan</v>
      </c>
      <c r="H73" s="62" t="str">
        <f>IFERROR(__xludf.DUMMYFUNCTION("""COMPUTED_VALUE"""),"jenna.guiltinan@invitae.com")</f>
        <v>jenna.guiltinan@invitae.com</v>
      </c>
      <c r="I73" s="62" t="str">
        <f>IFERROR(__xludf.DUMMYFUNCTION("""COMPUTED_VALUE"""),"Variant Analyst/Scientist")</f>
        <v>Variant Analyst/Scientist</v>
      </c>
      <c r="J73" s="62"/>
      <c r="K73" s="62" t="str">
        <f>IFERROR(__xludf.DUMMYFUNCTION("""COMPUTED_VALUE"""),"Dosage Sensitivity")</f>
        <v>Dosage Sensitivity</v>
      </c>
      <c r="L73" s="62"/>
      <c r="M73" s="62"/>
      <c r="N73" s="62"/>
      <c r="O73" s="62"/>
      <c r="P73" s="62"/>
      <c r="Q73" s="62"/>
      <c r="R73" s="62"/>
      <c r="S73" s="62"/>
      <c r="T73" s="62"/>
      <c r="U73" s="62"/>
      <c r="V73" s="62"/>
      <c r="W73" s="62"/>
      <c r="X73" s="62"/>
      <c r="Y73" s="62"/>
      <c r="Z73" s="62"/>
    </row>
    <row r="74">
      <c r="A74" s="62" t="str">
        <f>IFERROR(__xludf.DUMMYFUNCTION("""COMPUTED_VALUE"""),"Unresponsive")</f>
        <v>Unresponsive</v>
      </c>
      <c r="B74" s="62" t="str">
        <f>IFERROR(__xludf.DUMMYFUNCTION("""COMPUTED_VALUE"""),"")</f>
        <v/>
      </c>
      <c r="C74" s="62" t="str">
        <f>IFERROR(__xludf.DUMMYFUNCTION("""COMPUTED_VALUE"""),"")</f>
        <v/>
      </c>
      <c r="D74" s="62" t="str">
        <f>IFERROR(__xludf.DUMMYFUNCTION("""COMPUTED_VALUE"""),"No")</f>
        <v>No</v>
      </c>
      <c r="E74" s="62" t="str">
        <f>IFERROR(__xludf.DUMMYFUNCTION("""COMPUTED_VALUE"""),"Variant Pathogenicity")</f>
        <v>Variant Pathogenicity</v>
      </c>
      <c r="F74" s="62" t="str">
        <f>IFERROR(__xludf.DUMMYFUNCTION("""COMPUTED_VALUE"""),"")</f>
        <v/>
      </c>
      <c r="G74" s="62" t="str">
        <f>IFERROR(__xludf.DUMMYFUNCTION("""COMPUTED_VALUE"""),"Ron Agatep")</f>
        <v>Ron Agatep</v>
      </c>
      <c r="H74" s="62" t="str">
        <f>IFERROR(__xludf.DUMMYFUNCTION("""COMPUTED_VALUE"""),"ragatep@sharedhealthmb.ca")</f>
        <v>ragatep@sharedhealthmb.ca</v>
      </c>
      <c r="I74" s="62" t="str">
        <f>IFERROR(__xludf.DUMMYFUNCTION("""COMPUTED_VALUE"""),"Clinical laboratory geneticist")</f>
        <v>Clinical laboratory geneticist</v>
      </c>
      <c r="J74" s="62"/>
      <c r="K74" s="62" t="str">
        <f>IFERROR(__xludf.DUMMYFUNCTION("""COMPUTED_VALUE"""),"Variant Pathogenicity")</f>
        <v>Variant Pathogenicity</v>
      </c>
      <c r="L74" s="62"/>
      <c r="M74" s="62"/>
      <c r="N74" s="62"/>
      <c r="O74" s="62"/>
      <c r="P74" s="62"/>
      <c r="Q74" s="62"/>
      <c r="R74" s="62"/>
      <c r="S74" s="62"/>
      <c r="T74" s="62"/>
      <c r="U74" s="62"/>
      <c r="V74" s="62"/>
      <c r="W74" s="62"/>
      <c r="X74" s="62"/>
      <c r="Y74" s="62"/>
      <c r="Z74" s="62"/>
    </row>
    <row r="75">
      <c r="A75" s="62" t="str">
        <f>IFERROR(__xludf.DUMMYFUNCTION("""COMPUTED_VALUE"""),"Contacted")</f>
        <v>Contacted</v>
      </c>
      <c r="B75" s="62" t="str">
        <f>IFERROR(__xludf.DUMMYFUNCTION("""COMPUTED_VALUE"""),"")</f>
        <v/>
      </c>
      <c r="C75" s="77">
        <f>IFERROR(__xludf.DUMMYFUNCTION("""COMPUTED_VALUE"""),43580.0)</f>
        <v>43580</v>
      </c>
      <c r="D75" s="62" t="str">
        <f>IFERROR(__xludf.DUMMYFUNCTION("""COMPUTED_VALUE"""),"Yes")</f>
        <v>Yes</v>
      </c>
      <c r="E75" s="62" t="str">
        <f>IFERROR(__xludf.DUMMYFUNCTION("""COMPUTED_VALUE"""),"Dosage Sensitivity")</f>
        <v>Dosage Sensitivity</v>
      </c>
      <c r="F75" s="62" t="str">
        <f>IFERROR(__xludf.DUMMYFUNCTION("""COMPUTED_VALUE"""),"")</f>
        <v/>
      </c>
      <c r="G75" s="62" t="str">
        <f>IFERROR(__xludf.DUMMYFUNCTION("""COMPUTED_VALUE"""),"Nan Jiang")</f>
        <v>Nan Jiang</v>
      </c>
      <c r="H75" s="62" t="str">
        <f>IFERROR(__xludf.DUMMYFUNCTION("""COMPUTED_VALUE"""),"naj018@ucsd.edu")</f>
        <v>naj018@ucsd.edu</v>
      </c>
      <c r="I75" s="62" t="str">
        <f>IFERROR(__xludf.DUMMYFUNCTION("""COMPUTED_VALUE"""),"Post Doc/Resident/Fellow (MD and/or PhD)")</f>
        <v>Post Doc/Resident/Fellow (MD and/or PhD)</v>
      </c>
      <c r="J75" s="62"/>
      <c r="K75" s="62" t="str">
        <f>IFERROR(__xludf.DUMMYFUNCTION("""COMPUTED_VALUE"""),"Dosage Sensitivity")</f>
        <v>Dosage Sensitivity</v>
      </c>
      <c r="L75" s="62"/>
      <c r="M75" s="62"/>
      <c r="N75" s="62"/>
      <c r="O75" s="62"/>
      <c r="P75" s="62"/>
      <c r="Q75" s="62"/>
      <c r="R75" s="62"/>
      <c r="S75" s="62"/>
      <c r="T75" s="62"/>
      <c r="U75" s="62"/>
      <c r="V75" s="62"/>
      <c r="W75" s="62"/>
      <c r="X75" s="62"/>
      <c r="Y75" s="62"/>
      <c r="Z75" s="62"/>
    </row>
    <row r="76">
      <c r="A76" s="62" t="str">
        <f>IFERROR(__xludf.DUMMYFUNCTION("""COMPUTED_VALUE"""),"Unresponsive")</f>
        <v>Unresponsive</v>
      </c>
      <c r="B76" s="62" t="str">
        <f>IFERROR(__xludf.DUMMYFUNCTION("""COMPUTED_VALUE"""),"")</f>
        <v/>
      </c>
      <c r="C76" s="62" t="str">
        <f>IFERROR(__xludf.DUMMYFUNCTION("""COMPUTED_VALUE"""),"")</f>
        <v/>
      </c>
      <c r="D76" s="62" t="str">
        <f>IFERROR(__xludf.DUMMYFUNCTION("""COMPUTED_VALUE"""),"No")</f>
        <v>No</v>
      </c>
      <c r="E76" s="62" t="str">
        <f>IFERROR(__xludf.DUMMYFUNCTION("""COMPUTED_VALUE"""),"Somatic Cancer")</f>
        <v>Somatic Cancer</v>
      </c>
      <c r="F76" s="62" t="str">
        <f>IFERROR(__xludf.DUMMYFUNCTION("""COMPUTED_VALUE"""),"")</f>
        <v/>
      </c>
      <c r="G76" s="62" t="str">
        <f>IFERROR(__xludf.DUMMYFUNCTION("""COMPUTED_VALUE"""),"Anna Tanska")</f>
        <v>Anna Tanska</v>
      </c>
      <c r="H76" s="62" t="str">
        <f>IFERROR(__xludf.DUMMYFUNCTION("""COMPUTED_VALUE"""),"""anna.tanska@petermac.org """)</f>
        <v>"anna.tanska@petermac.org "</v>
      </c>
      <c r="I76" s="62" t="str">
        <f>IFERROR(__xludf.DUMMYFUNCTION("""COMPUTED_VALUE"""),"Variant Analyst/Scientist")</f>
        <v>Variant Analyst/Scientist</v>
      </c>
      <c r="J76" s="62"/>
      <c r="K76" s="62" t="str">
        <f>IFERROR(__xludf.DUMMYFUNCTION("""COMPUTED_VALUE"""),"")</f>
        <v/>
      </c>
      <c r="L76" s="62"/>
      <c r="M76" s="62"/>
      <c r="N76" s="62"/>
      <c r="O76" s="62"/>
      <c r="P76" s="62"/>
      <c r="Q76" s="62"/>
      <c r="R76" s="62"/>
      <c r="S76" s="62"/>
      <c r="T76" s="62"/>
      <c r="U76" s="62"/>
      <c r="V76" s="62"/>
      <c r="W76" s="62"/>
      <c r="X76" s="62"/>
      <c r="Y76" s="62"/>
      <c r="Z76" s="62"/>
    </row>
    <row r="77">
      <c r="A77" s="62" t="str">
        <f>IFERROR(__xludf.DUMMYFUNCTION("""COMPUTED_VALUE"""),"Declined")</f>
        <v>Declined</v>
      </c>
      <c r="B77" s="106">
        <f>IFERROR(__xludf.DUMMYFUNCTION("""COMPUTED_VALUE"""),43437.0)</f>
        <v>43437</v>
      </c>
      <c r="C77" s="81">
        <f>IFERROR(__xludf.DUMMYFUNCTION("""COMPUTED_VALUE"""),43446.0)</f>
        <v>43446</v>
      </c>
      <c r="D77" s="62" t="str">
        <f>IFERROR(__xludf.DUMMYFUNCTION("""COMPUTED_VALUE"""),"Yes")</f>
        <v>Yes</v>
      </c>
      <c r="E77" s="62" t="str">
        <f>IFERROR(__xludf.DUMMYFUNCTION("""COMPUTED_VALUE"""),"Gene Disease Validity")</f>
        <v>Gene Disease Validity</v>
      </c>
      <c r="F77" s="62" t="str">
        <f>IFERROR(__xludf.DUMMYFUNCTION("""COMPUTED_VALUE"""),"ID Autism")</f>
        <v>ID Autism</v>
      </c>
      <c r="G77" s="62" t="str">
        <f>IFERROR(__xludf.DUMMYFUNCTION("""COMPUTED_VALUE"""),"Ny Hoang")</f>
        <v>Ny Hoang</v>
      </c>
      <c r="H77" s="62" t="str">
        <f>IFERROR(__xludf.DUMMYFUNCTION("""COMPUTED_VALUE"""),"ny.hoang@sickkids.ca")</f>
        <v>ny.hoang@sickkids.ca</v>
      </c>
      <c r="I77" s="62" t="str">
        <f>IFERROR(__xludf.DUMMYFUNCTION("""COMPUTED_VALUE"""),"Genetic counselor")</f>
        <v>Genetic counselor</v>
      </c>
      <c r="J77" s="62"/>
      <c r="K77" s="62" t="str">
        <f>IFERROR(__xludf.DUMMYFUNCTION("""COMPUTED_VALUE"""),"Gene-Disease Validity")</f>
        <v>Gene-Disease Validity</v>
      </c>
      <c r="L77" s="62"/>
      <c r="M77" s="62"/>
      <c r="N77" s="62"/>
      <c r="O77" s="62"/>
      <c r="P77" s="62"/>
      <c r="Q77" s="62"/>
      <c r="R77" s="62"/>
      <c r="S77" s="62"/>
      <c r="T77" s="62"/>
      <c r="U77" s="62"/>
      <c r="V77" s="62"/>
      <c r="W77" s="62"/>
      <c r="X77" s="62"/>
      <c r="Y77" s="62"/>
      <c r="Z77" s="62"/>
    </row>
    <row r="78">
      <c r="A78" s="62" t="str">
        <f>IFERROR(__xludf.DUMMYFUNCTION("""COMPUTED_VALUE"""),"Assigned")</f>
        <v>Assigned</v>
      </c>
      <c r="B78" s="106">
        <f>IFERROR(__xludf.DUMMYFUNCTION("""COMPUTED_VALUE"""),43437.0)</f>
        <v>43437</v>
      </c>
      <c r="C78" s="81">
        <f>IFERROR(__xludf.DUMMYFUNCTION("""COMPUTED_VALUE"""),43446.0)</f>
        <v>43446</v>
      </c>
      <c r="D78" s="62" t="str">
        <f>IFERROR(__xludf.DUMMYFUNCTION("""COMPUTED_VALUE"""),"No")</f>
        <v>No</v>
      </c>
      <c r="E78" s="62" t="str">
        <f>IFERROR(__xludf.DUMMYFUNCTION("""COMPUTED_VALUE"""),"Gene Disease Validity")</f>
        <v>Gene Disease Validity</v>
      </c>
      <c r="F78" s="62" t="str">
        <f>IFERROR(__xludf.DUMMYFUNCTION("""COMPUTED_VALUE"""),"ID Autism")</f>
        <v>ID Autism</v>
      </c>
      <c r="G78" s="62" t="str">
        <f>IFERROR(__xludf.DUMMYFUNCTION("""COMPUTED_VALUE"""),"Jacob Vorstman")</f>
        <v>Jacob Vorstman</v>
      </c>
      <c r="H78" s="62" t="str">
        <f>IFERROR(__xludf.DUMMYFUNCTION("""COMPUTED_VALUE"""),"jacob.vorstman@sickkids.ca")</f>
        <v>jacob.vorstman@sickkids.ca</v>
      </c>
      <c r="I78" s="62" t="str">
        <f>IFERROR(__xludf.DUMMYFUNCTION("""COMPUTED_VALUE"""),"Post Doc/Resident/Fellow (MD and/or Phd), Scientific Researcher, Physician (non-geneticist)")</f>
        <v>Post Doc/Resident/Fellow (MD and/or Phd), Scientific Researcher, Physician (non-geneticist)</v>
      </c>
      <c r="J78" s="62"/>
      <c r="K78" s="62" t="str">
        <f>IFERROR(__xludf.DUMMYFUNCTION("""COMPUTED_VALUE"""),"Gene-Disease Validity")</f>
        <v>Gene-Disease Validity</v>
      </c>
      <c r="L78" s="62"/>
      <c r="M78" s="62"/>
      <c r="N78" s="62"/>
      <c r="O78" s="62"/>
      <c r="P78" s="62"/>
      <c r="Q78" s="62"/>
      <c r="R78" s="62"/>
      <c r="S78" s="62"/>
      <c r="T78" s="62"/>
      <c r="U78" s="62"/>
      <c r="V78" s="62"/>
      <c r="W78" s="62"/>
      <c r="X78" s="62"/>
      <c r="Y78" s="62"/>
      <c r="Z78" s="62"/>
    </row>
    <row r="79">
      <c r="A79" s="62" t="str">
        <f>IFERROR(__xludf.DUMMYFUNCTION("""COMPUTED_VALUE"""),"Contacted")</f>
        <v>Contacted</v>
      </c>
      <c r="B79" s="62" t="str">
        <f>IFERROR(__xludf.DUMMYFUNCTION("""COMPUTED_VALUE"""),"")</f>
        <v/>
      </c>
      <c r="C79" s="105">
        <f>IFERROR(__xludf.DUMMYFUNCTION("""COMPUTED_VALUE"""),43598.0)</f>
        <v>43598</v>
      </c>
      <c r="D79" s="62" t="str">
        <f>IFERROR(__xludf.DUMMYFUNCTION("""COMPUTED_VALUE"""),"Yes")</f>
        <v>Yes</v>
      </c>
      <c r="E79" s="62" t="str">
        <f>IFERROR(__xludf.DUMMYFUNCTION("""COMPUTED_VALUE"""),"Somatic Cancer")</f>
        <v>Somatic Cancer</v>
      </c>
      <c r="F79" s="62" t="str">
        <f>IFERROR(__xludf.DUMMYFUNCTION("""COMPUTED_VALUE"""),"")</f>
        <v/>
      </c>
      <c r="G79" s="62" t="str">
        <f>IFERROR(__xludf.DUMMYFUNCTION("""COMPUTED_VALUE"""),"Qiuxiang Ou")</f>
        <v>Qiuxiang Ou</v>
      </c>
      <c r="H79" s="62" t="str">
        <f>IFERROR(__xludf.DUMMYFUNCTION("""COMPUTED_VALUE"""),"dorothy.ou@gmail.com")</f>
        <v>dorothy.ou@gmail.com</v>
      </c>
      <c r="I79" s="62" t="str">
        <f>IFERROR(__xludf.DUMMYFUNCTION("""COMPUTED_VALUE"""),"Scientific Researcher")</f>
        <v>Scientific Researcher</v>
      </c>
      <c r="J79" s="62"/>
      <c r="K79" s="62" t="str">
        <f>IFERROR(__xludf.DUMMYFUNCTION("""COMPUTED_VALUE"""),"Somatic Cancer")</f>
        <v>Somatic Cancer</v>
      </c>
      <c r="L79" s="62"/>
      <c r="M79" s="62"/>
      <c r="N79" s="62"/>
      <c r="O79" s="62"/>
      <c r="P79" s="62"/>
      <c r="Q79" s="62"/>
      <c r="R79" s="62"/>
      <c r="S79" s="62"/>
      <c r="T79" s="62"/>
      <c r="U79" s="62"/>
      <c r="V79" s="62"/>
      <c r="W79" s="62"/>
      <c r="X79" s="62"/>
      <c r="Y79" s="62"/>
      <c r="Z79" s="62"/>
    </row>
    <row r="80">
      <c r="A80" s="62" t="str">
        <f>IFERROR(__xludf.DUMMYFUNCTION("""COMPUTED_VALUE"""),"Assigned")</f>
        <v>Assigned</v>
      </c>
      <c r="B80" s="81">
        <f>IFERROR(__xludf.DUMMYFUNCTION("""COMPUTED_VALUE"""),43434.0)</f>
        <v>43434</v>
      </c>
      <c r="C80" s="106">
        <f>IFERROR(__xludf.DUMMYFUNCTION("""COMPUTED_VALUE"""),43522.0)</f>
        <v>43522</v>
      </c>
      <c r="D80" s="62" t="str">
        <f>IFERROR(__xludf.DUMMYFUNCTION("""COMPUTED_VALUE"""),"Yes")</f>
        <v>Yes</v>
      </c>
      <c r="E80" s="62" t="str">
        <f>IFERROR(__xludf.DUMMYFUNCTION("""COMPUTED_VALUE"""),"Actionability")</f>
        <v>Actionability</v>
      </c>
      <c r="F80" s="62" t="str">
        <f>IFERROR(__xludf.DUMMYFUNCTION("""COMPUTED_VALUE"""),"Actionability")</f>
        <v>Actionability</v>
      </c>
      <c r="G80" s="62" t="str">
        <f>IFERROR(__xludf.DUMMYFUNCTION("""COMPUTED_VALUE"""),"Kylin Boehler")</f>
        <v>Kylin Boehler</v>
      </c>
      <c r="H80" s="62" t="str">
        <f>IFERROR(__xludf.DUMMYFUNCTION("""COMPUTED_VALUE"""),"kylin.y.boehler@questdiagnostics.com")</f>
        <v>kylin.y.boehler@questdiagnostics.com</v>
      </c>
      <c r="I80" s="62" t="str">
        <f>IFERROR(__xludf.DUMMYFUNCTION("""COMPUTED_VALUE"""),"Genetic counselor")</f>
        <v>Genetic counselor</v>
      </c>
      <c r="J80" s="62"/>
      <c r="K80" s="62" t="str">
        <f>IFERROR(__xludf.DUMMYFUNCTION("""COMPUTED_VALUE"""),"Clinical Actionability")</f>
        <v>Clinical Actionability</v>
      </c>
      <c r="L80" s="62"/>
      <c r="M80" s="62"/>
      <c r="N80" s="62"/>
      <c r="O80" s="62"/>
      <c r="P80" s="62"/>
      <c r="Q80" s="62"/>
      <c r="R80" s="62"/>
      <c r="S80" s="62"/>
      <c r="T80" s="62"/>
      <c r="U80" s="62"/>
      <c r="V80" s="62"/>
      <c r="W80" s="62"/>
      <c r="X80" s="62"/>
      <c r="Y80" s="62"/>
      <c r="Z80" s="62"/>
    </row>
    <row r="81">
      <c r="A81" s="62" t="str">
        <f>IFERROR(__xludf.DUMMYFUNCTION("""COMPUTED_VALUE"""),"Unresponsive")</f>
        <v>Unresponsive</v>
      </c>
      <c r="B81" s="81">
        <f>IFERROR(__xludf.DUMMYFUNCTION("""COMPUTED_VALUE"""),43434.0)</f>
        <v>43434</v>
      </c>
      <c r="C81" s="62" t="str">
        <f>IFERROR(__xludf.DUMMYFUNCTION("""COMPUTED_VALUE"""),"")</f>
        <v/>
      </c>
      <c r="D81" s="62" t="str">
        <f>IFERROR(__xludf.DUMMYFUNCTION("""COMPUTED_VALUE"""),"No")</f>
        <v>No</v>
      </c>
      <c r="E81" s="62" t="str">
        <f>IFERROR(__xludf.DUMMYFUNCTION("""COMPUTED_VALUE"""),"Actionability")</f>
        <v>Actionability</v>
      </c>
      <c r="F81" s="62" t="str">
        <f>IFERROR(__xludf.DUMMYFUNCTION("""COMPUTED_VALUE"""),"")</f>
        <v/>
      </c>
      <c r="G81" s="62" t="str">
        <f>IFERROR(__xludf.DUMMYFUNCTION("""COMPUTED_VALUE"""),"Lisa Diller")</f>
        <v>Lisa Diller</v>
      </c>
      <c r="H81" s="62" t="str">
        <f>IFERROR(__xludf.DUMMYFUNCTION("""COMPUTED_VALUE"""),"lisa_diller@dfci.harvard.edu")</f>
        <v>lisa_diller@dfci.harvard.edu</v>
      </c>
      <c r="I81" s="62" t="str">
        <f>IFERROR(__xludf.DUMMYFUNCTION("""COMPUTED_VALUE"""),"Physician (Non-geneticist)")</f>
        <v>Physician (Non-geneticist)</v>
      </c>
      <c r="J81" s="62"/>
      <c r="K81" s="62" t="str">
        <f>IFERROR(__xludf.DUMMYFUNCTION("""COMPUTED_VALUE"""),"Clinical Actionability")</f>
        <v>Clinical Actionability</v>
      </c>
      <c r="L81" s="62"/>
      <c r="M81" s="62"/>
      <c r="N81" s="62"/>
      <c r="O81" s="62"/>
      <c r="P81" s="62"/>
      <c r="Q81" s="62"/>
      <c r="R81" s="62"/>
      <c r="S81" s="62"/>
      <c r="T81" s="62"/>
      <c r="U81" s="62"/>
      <c r="V81" s="62"/>
      <c r="W81" s="62"/>
      <c r="X81" s="62"/>
      <c r="Y81" s="62"/>
      <c r="Z81" s="62"/>
    </row>
    <row r="82">
      <c r="A82" s="62" t="str">
        <f>IFERROR(__xludf.DUMMYFUNCTION("""COMPUTED_VALUE"""),"Unresponsive")</f>
        <v>Unresponsive</v>
      </c>
      <c r="B82" s="81">
        <f>IFERROR(__xludf.DUMMYFUNCTION("""COMPUTED_VALUE"""),43434.0)</f>
        <v>43434</v>
      </c>
      <c r="C82" s="106">
        <f>IFERROR(__xludf.DUMMYFUNCTION("""COMPUTED_VALUE"""),43567.0)</f>
        <v>43567</v>
      </c>
      <c r="D82" s="62" t="str">
        <f>IFERROR(__xludf.DUMMYFUNCTION("""COMPUTED_VALUE"""),"Yes")</f>
        <v>Yes</v>
      </c>
      <c r="E82" s="62" t="str">
        <f>IFERROR(__xludf.DUMMYFUNCTION("""COMPUTED_VALUE"""),"Actionability")</f>
        <v>Actionability</v>
      </c>
      <c r="F82" s="62" t="str">
        <f>IFERROR(__xludf.DUMMYFUNCTION("""COMPUTED_VALUE"""),"")</f>
        <v/>
      </c>
      <c r="G82" s="62" t="str">
        <f>IFERROR(__xludf.DUMMYFUNCTION("""COMPUTED_VALUE"""),"Nharimann Azima")</f>
        <v>Nharimann Azima</v>
      </c>
      <c r="H82" s="62" t="str">
        <f>IFERROR(__xludf.DUMMYFUNCTION("""COMPUTED_VALUE"""),"naa3f@gwu.edu")</f>
        <v>naa3f@gwu.edu</v>
      </c>
      <c r="I82" s="62" t="str">
        <f>IFERROR(__xludf.DUMMYFUNCTION("""COMPUTED_VALUE"""),"Analyst")</f>
        <v>Analyst</v>
      </c>
      <c r="J82" s="62"/>
      <c r="K82" s="62" t="str">
        <f>IFERROR(__xludf.DUMMYFUNCTION("""COMPUTED_VALUE"""),"Clinical Actionability")</f>
        <v>Clinical Actionability</v>
      </c>
      <c r="L82" s="62"/>
      <c r="M82" s="62"/>
      <c r="N82" s="62"/>
      <c r="O82" s="62"/>
      <c r="P82" s="62"/>
      <c r="Q82" s="62"/>
      <c r="R82" s="62"/>
      <c r="S82" s="62"/>
      <c r="T82" s="62"/>
      <c r="U82" s="62"/>
      <c r="V82" s="62"/>
      <c r="W82" s="62"/>
      <c r="X82" s="62"/>
      <c r="Y82" s="62"/>
      <c r="Z82" s="62"/>
    </row>
    <row r="83">
      <c r="A83" s="62" t="str">
        <f>IFERROR(__xludf.DUMMYFUNCTION("""COMPUTED_VALUE"""),"Assigned")</f>
        <v>Assigned</v>
      </c>
      <c r="B83" s="81">
        <f>IFERROR(__xludf.DUMMYFUNCTION("""COMPUTED_VALUE"""),43434.0)</f>
        <v>43434</v>
      </c>
      <c r="C83" s="77">
        <f>IFERROR(__xludf.DUMMYFUNCTION("""COMPUTED_VALUE"""),43678.0)</f>
        <v>43678</v>
      </c>
      <c r="D83" s="62" t="str">
        <f>IFERROR(__xludf.DUMMYFUNCTION("""COMPUTED_VALUE"""),"Yes")</f>
        <v>Yes</v>
      </c>
      <c r="E83" s="62" t="str">
        <f>IFERROR(__xludf.DUMMYFUNCTION("""COMPUTED_VALUE"""),"Actionability")</f>
        <v>Actionability</v>
      </c>
      <c r="F83" s="62" t="str">
        <f>IFERROR(__xludf.DUMMYFUNCTION("""COMPUTED_VALUE"""),"Actionability")</f>
        <v>Actionability</v>
      </c>
      <c r="G83" s="62" t="str">
        <f>IFERROR(__xludf.DUMMYFUNCTION("""COMPUTED_VALUE"""),"Krzysztof Szczaluba")</f>
        <v>Krzysztof Szczaluba</v>
      </c>
      <c r="H83" s="62" t="str">
        <f>IFERROR(__xludf.DUMMYFUNCTION("""COMPUTED_VALUE"""),"krzysztof.szczaluba@gmail.com")</f>
        <v>krzysztof.szczaluba@gmail.com</v>
      </c>
      <c r="I83" s="62" t="str">
        <f>IFERROR(__xludf.DUMMYFUNCTION("""COMPUTED_VALUE"""),"Clinical Medical Geneticist")</f>
        <v>Clinical Medical Geneticist</v>
      </c>
      <c r="J83" s="62"/>
      <c r="K83" s="62" t="str">
        <f>IFERROR(__xludf.DUMMYFUNCTION("""COMPUTED_VALUE"""),"Clinical Actionability")</f>
        <v>Clinical Actionability</v>
      </c>
      <c r="L83" s="62"/>
      <c r="M83" s="62"/>
      <c r="N83" s="62"/>
      <c r="O83" s="62"/>
      <c r="P83" s="62"/>
      <c r="Q83" s="62"/>
      <c r="R83" s="62"/>
      <c r="S83" s="62"/>
      <c r="T83" s="62"/>
      <c r="U83" s="62"/>
      <c r="V83" s="62"/>
      <c r="W83" s="62"/>
      <c r="X83" s="62"/>
      <c r="Y83" s="62"/>
      <c r="Z83" s="62"/>
    </row>
    <row r="84">
      <c r="A84" s="62" t="str">
        <f>IFERROR(__xludf.DUMMYFUNCTION("""COMPUTED_VALUE"""),"Unresponsive")</f>
        <v>Unresponsive</v>
      </c>
      <c r="B84" s="81">
        <f>IFERROR(__xludf.DUMMYFUNCTION("""COMPUTED_VALUE"""),43434.0)</f>
        <v>43434</v>
      </c>
      <c r="C84" s="62" t="str">
        <f>IFERROR(__xludf.DUMMYFUNCTION("""COMPUTED_VALUE"""),"")</f>
        <v/>
      </c>
      <c r="D84" s="62" t="str">
        <f>IFERROR(__xludf.DUMMYFUNCTION("""COMPUTED_VALUE"""),"No")</f>
        <v>No</v>
      </c>
      <c r="E84" s="62" t="str">
        <f>IFERROR(__xludf.DUMMYFUNCTION("""COMPUTED_VALUE"""),"Actionability")</f>
        <v>Actionability</v>
      </c>
      <c r="F84" s="62" t="str">
        <f>IFERROR(__xludf.DUMMYFUNCTION("""COMPUTED_VALUE"""),"")</f>
        <v/>
      </c>
      <c r="G84" s="62" t="str">
        <f>IFERROR(__xludf.DUMMYFUNCTION("""COMPUTED_VALUE"""),"Robin Bennett")</f>
        <v>Robin Bennett</v>
      </c>
      <c r="H84" s="62" t="str">
        <f>IFERROR(__xludf.DUMMYFUNCTION("""COMPUTED_VALUE"""),"robinb@uw.edu")</f>
        <v>robinb@uw.edu</v>
      </c>
      <c r="I84" s="62" t="str">
        <f>IFERROR(__xludf.DUMMYFUNCTION("""COMPUTED_VALUE"""),"Genetic counselor")</f>
        <v>Genetic counselor</v>
      </c>
      <c r="J84" s="62"/>
      <c r="K84" s="62" t="str">
        <f>IFERROR(__xludf.DUMMYFUNCTION("""COMPUTED_VALUE"""),"Clinical Actionability")</f>
        <v>Clinical Actionability</v>
      </c>
      <c r="L84" s="62"/>
      <c r="M84" s="62"/>
      <c r="N84" s="62"/>
      <c r="O84" s="62"/>
      <c r="P84" s="62"/>
      <c r="Q84" s="62"/>
      <c r="R84" s="62"/>
      <c r="S84" s="62"/>
      <c r="T84" s="62"/>
      <c r="U84" s="62"/>
      <c r="V84" s="62"/>
      <c r="W84" s="62"/>
      <c r="X84" s="62"/>
      <c r="Y84" s="62"/>
      <c r="Z84" s="62"/>
    </row>
    <row r="85">
      <c r="A85" s="62" t="str">
        <f>IFERROR(__xludf.DUMMYFUNCTION("""COMPUTED_VALUE"""),"Unresponsive")</f>
        <v>Unresponsive</v>
      </c>
      <c r="B85" s="81">
        <f>IFERROR(__xludf.DUMMYFUNCTION("""COMPUTED_VALUE"""),43434.0)</f>
        <v>43434</v>
      </c>
      <c r="C85" s="106">
        <f>IFERROR(__xludf.DUMMYFUNCTION("""COMPUTED_VALUE"""),43522.0)</f>
        <v>43522</v>
      </c>
      <c r="D85" s="62" t="str">
        <f>IFERROR(__xludf.DUMMYFUNCTION("""COMPUTED_VALUE"""),"Yes")</f>
        <v>Yes</v>
      </c>
      <c r="E85" s="62" t="str">
        <f>IFERROR(__xludf.DUMMYFUNCTION("""COMPUTED_VALUE"""),"Actionability")</f>
        <v>Actionability</v>
      </c>
      <c r="F85" s="62" t="str">
        <f>IFERROR(__xludf.DUMMYFUNCTION("""COMPUTED_VALUE"""),"Actionability")</f>
        <v>Actionability</v>
      </c>
      <c r="G85" s="62" t="str">
        <f>IFERROR(__xludf.DUMMYFUNCTION("""COMPUTED_VALUE"""),"Fiona Curtis")</f>
        <v>Fiona Curtis</v>
      </c>
      <c r="H85" s="62" t="str">
        <f>IFERROR(__xludf.DUMMYFUNCTION("""COMPUTED_VALUE"""),"fionakatherinecurtis@yahoo.ca")</f>
        <v>fionakatherinecurtis@yahoo.ca</v>
      </c>
      <c r="I85" s="62" t="str">
        <f>IFERROR(__xludf.DUMMYFUNCTION("""COMPUTED_VALUE"""),"Genetic counselor")</f>
        <v>Genetic counselor</v>
      </c>
      <c r="J85" s="62"/>
      <c r="K85" s="62" t="str">
        <f>IFERROR(__xludf.DUMMYFUNCTION("""COMPUTED_VALUE"""),"Clinical Actionability")</f>
        <v>Clinical Actionability</v>
      </c>
      <c r="L85" s="62"/>
      <c r="M85" s="62"/>
      <c r="N85" s="62"/>
      <c r="O85" s="62"/>
      <c r="P85" s="62"/>
      <c r="Q85" s="62"/>
      <c r="R85" s="62"/>
      <c r="S85" s="62"/>
      <c r="T85" s="62"/>
      <c r="U85" s="62"/>
      <c r="V85" s="62"/>
      <c r="W85" s="62"/>
      <c r="X85" s="62"/>
      <c r="Y85" s="62"/>
      <c r="Z85" s="62"/>
    </row>
    <row r="86">
      <c r="A86" s="62" t="str">
        <f>IFERROR(__xludf.DUMMYFUNCTION("""COMPUTED_VALUE"""),"Unresponsive")</f>
        <v>Unresponsive</v>
      </c>
      <c r="B86" s="81">
        <f>IFERROR(__xludf.DUMMYFUNCTION("""COMPUTED_VALUE"""),43434.0)</f>
        <v>43434</v>
      </c>
      <c r="C86" s="62" t="str">
        <f>IFERROR(__xludf.DUMMYFUNCTION("""COMPUTED_VALUE"""),"")</f>
        <v/>
      </c>
      <c r="D86" s="62" t="str">
        <f>IFERROR(__xludf.DUMMYFUNCTION("""COMPUTED_VALUE"""),"No")</f>
        <v>No</v>
      </c>
      <c r="E86" s="62" t="str">
        <f>IFERROR(__xludf.DUMMYFUNCTION("""COMPUTED_VALUE"""),"Actionability")</f>
        <v>Actionability</v>
      </c>
      <c r="F86" s="62" t="str">
        <f>IFERROR(__xludf.DUMMYFUNCTION("""COMPUTED_VALUE"""),"")</f>
        <v/>
      </c>
      <c r="G86" s="62" t="str">
        <f>IFERROR(__xludf.DUMMYFUNCTION("""COMPUTED_VALUE"""),"Jennifer Marie Lee")</f>
        <v>Jennifer Marie Lee</v>
      </c>
      <c r="H86" s="62" t="str">
        <f>IFERROR(__xludf.DUMMYFUNCTION("""COMPUTED_VALUE"""),"Jennifer.Lee2@nih.gov")</f>
        <v>Jennifer.Lee2@nih.gov</v>
      </c>
      <c r="I86" s="62" t="str">
        <f>IFERROR(__xludf.DUMMYFUNCTION("""COMPUTED_VALUE"""),"Scientific Researcher")</f>
        <v>Scientific Researcher</v>
      </c>
      <c r="J86" s="62"/>
      <c r="K86" s="62" t="str">
        <f>IFERROR(__xludf.DUMMYFUNCTION("""COMPUTED_VALUE"""),"Clinical Actionability")</f>
        <v>Clinical Actionability</v>
      </c>
      <c r="L86" s="62"/>
      <c r="M86" s="62"/>
      <c r="N86" s="62"/>
      <c r="O86" s="62"/>
      <c r="P86" s="62"/>
      <c r="Q86" s="62"/>
      <c r="R86" s="62"/>
      <c r="S86" s="62"/>
      <c r="T86" s="62"/>
      <c r="U86" s="62"/>
      <c r="V86" s="62"/>
      <c r="W86" s="62"/>
      <c r="X86" s="62"/>
      <c r="Y86" s="62"/>
      <c r="Z86" s="62"/>
    </row>
    <row r="87">
      <c r="A87" s="62" t="str">
        <f>IFERROR(__xludf.DUMMYFUNCTION("""COMPUTED_VALUE"""),"Assigned")</f>
        <v>Assigned</v>
      </c>
      <c r="B87" s="106">
        <f>IFERROR(__xludf.DUMMYFUNCTION("""COMPUTED_VALUE"""),43467.0)</f>
        <v>43467</v>
      </c>
      <c r="C87" s="81">
        <f>IFERROR(__xludf.DUMMYFUNCTION("""COMPUTED_VALUE"""),43476.0)</f>
        <v>43476</v>
      </c>
      <c r="D87" s="62" t="str">
        <f>IFERROR(__xludf.DUMMYFUNCTION("""COMPUTED_VALUE"""),"Yes")</f>
        <v>Yes</v>
      </c>
      <c r="E87" s="62" t="str">
        <f>IFERROR(__xludf.DUMMYFUNCTION("""COMPUTED_VALUE"""),"Actionability")</f>
        <v>Actionability</v>
      </c>
      <c r="F87" s="62" t="str">
        <f>IFERROR(__xludf.DUMMYFUNCTION("""COMPUTED_VALUE"""),"Actionability")</f>
        <v>Actionability</v>
      </c>
      <c r="G87" s="62" t="str">
        <f>IFERROR(__xludf.DUMMYFUNCTION("""COMPUTED_VALUE"""),"Laura Fuqua")</f>
        <v>Laura Fuqua</v>
      </c>
      <c r="H87" s="62" t="str">
        <f>IFERROR(__xludf.DUMMYFUNCTION("""COMPUTED_VALUE"""),"laura.fuqua@gmail.com")</f>
        <v>laura.fuqua@gmail.com</v>
      </c>
      <c r="I87" s="62" t="str">
        <f>IFERROR(__xludf.DUMMYFUNCTION("""COMPUTED_VALUE"""),"Genetic counselor")</f>
        <v>Genetic counselor</v>
      </c>
      <c r="J87" s="62"/>
      <c r="K87" s="62" t="str">
        <f>IFERROR(__xludf.DUMMYFUNCTION("""COMPUTED_VALUE"""),"Somatic Cancer")</f>
        <v>Somatic Cancer</v>
      </c>
      <c r="L87" s="62"/>
      <c r="M87" s="62"/>
      <c r="N87" s="62"/>
      <c r="O87" s="62"/>
      <c r="P87" s="62"/>
      <c r="Q87" s="62"/>
      <c r="R87" s="62"/>
      <c r="S87" s="62"/>
      <c r="T87" s="62"/>
      <c r="U87" s="62"/>
      <c r="V87" s="62"/>
      <c r="W87" s="62"/>
      <c r="X87" s="62"/>
      <c r="Y87" s="62"/>
      <c r="Z87" s="62"/>
    </row>
    <row r="88">
      <c r="A88" s="62" t="str">
        <f>IFERROR(__xludf.DUMMYFUNCTION("""COMPUTED_VALUE"""),"Follow up email")</f>
        <v>Follow up email</v>
      </c>
      <c r="B88" s="62" t="str">
        <f>IFERROR(__xludf.DUMMYFUNCTION("""COMPUTED_VALUE"""),"12/18/18 (assigned)
declined(5-2-19)
Renewed interest 8/12/19")</f>
        <v>12/18/18 (assigned)
declined(5-2-19)
Renewed interest 8/12/19</v>
      </c>
      <c r="C88" s="77">
        <f>IFERROR(__xludf.DUMMYFUNCTION("""COMPUTED_VALUE"""),43769.0)</f>
        <v>43769</v>
      </c>
      <c r="D88" s="62" t="str">
        <f>IFERROR(__xludf.DUMMYFUNCTION("""COMPUTED_VALUE"""),"Yes")</f>
        <v>Yes</v>
      </c>
      <c r="E88" s="62" t="str">
        <f>IFERROR(__xludf.DUMMYFUNCTION("""COMPUTED_VALUE"""),"Actionability")</f>
        <v>Actionability</v>
      </c>
      <c r="F88" s="62" t="str">
        <f>IFERROR(__xludf.DUMMYFUNCTION("""COMPUTED_VALUE"""),"Actionability")</f>
        <v>Actionability</v>
      </c>
      <c r="G88" s="62" t="str">
        <f>IFERROR(__xludf.DUMMYFUNCTION("""COMPUTED_VALUE"""),"Morgan Similuk")</f>
        <v>Morgan Similuk</v>
      </c>
      <c r="H88" s="62" t="str">
        <f>IFERROR(__xludf.DUMMYFUNCTION("""COMPUTED_VALUE"""),"Morgan.similuk@nih.gov")</f>
        <v>Morgan.similuk@nih.gov</v>
      </c>
      <c r="I88" s="62" t="str">
        <f>IFERROR(__xludf.DUMMYFUNCTION("""COMPUTED_VALUE"""),"Genetic counselor")</f>
        <v>Genetic counselor</v>
      </c>
      <c r="J88" s="62"/>
      <c r="K88" s="62" t="str">
        <f>IFERROR(__xludf.DUMMYFUNCTION("""COMPUTED_VALUE"""),"Clinical Actionability")</f>
        <v>Clinical Actionability</v>
      </c>
      <c r="L88" s="62"/>
      <c r="M88" s="62"/>
      <c r="N88" s="62"/>
      <c r="O88" s="62"/>
      <c r="P88" s="62"/>
      <c r="Q88" s="62"/>
      <c r="R88" s="62"/>
      <c r="S88" s="62"/>
      <c r="T88" s="62"/>
      <c r="U88" s="62"/>
      <c r="V88" s="62"/>
      <c r="W88" s="62"/>
      <c r="X88" s="62"/>
      <c r="Y88" s="62"/>
      <c r="Z88" s="62"/>
    </row>
    <row r="89">
      <c r="A89" s="62" t="str">
        <f>IFERROR(__xludf.DUMMYFUNCTION("""COMPUTED_VALUE"""),"Unresponsive")</f>
        <v>Unresponsive</v>
      </c>
      <c r="B89" s="81">
        <f>IFERROR(__xludf.DUMMYFUNCTION("""COMPUTED_VALUE"""),43452.0)</f>
        <v>43452</v>
      </c>
      <c r="C89" s="77">
        <f>IFERROR(__xludf.DUMMYFUNCTION("""COMPUTED_VALUE"""),43678.0)</f>
        <v>43678</v>
      </c>
      <c r="D89" s="62" t="str">
        <f>IFERROR(__xludf.DUMMYFUNCTION("""COMPUTED_VALUE"""),"Yes")</f>
        <v>Yes</v>
      </c>
      <c r="E89" s="62" t="str">
        <f>IFERROR(__xludf.DUMMYFUNCTION("""COMPUTED_VALUE"""),"Actionability")</f>
        <v>Actionability</v>
      </c>
      <c r="F89" s="62" t="str">
        <f>IFERROR(__xludf.DUMMYFUNCTION("""COMPUTED_VALUE"""),"")</f>
        <v/>
      </c>
      <c r="G89" s="62" t="str">
        <f>IFERROR(__xludf.DUMMYFUNCTION("""COMPUTED_VALUE"""),"Sandra P Smieszek")</f>
        <v>Sandra P Smieszek</v>
      </c>
      <c r="H89" s="62" t="str">
        <f>IFERROR(__xludf.DUMMYFUNCTION("""COMPUTED_VALUE"""),"sps92@case.edu")</f>
        <v>sps92@case.edu</v>
      </c>
      <c r="I89" s="62" t="str">
        <f>IFERROR(__xludf.DUMMYFUNCTION("""COMPUTED_VALUE"""),"Post Doc/Resident/Fellow (MD and/or PhD)")</f>
        <v>Post Doc/Resident/Fellow (MD and/or PhD)</v>
      </c>
      <c r="J89" s="62"/>
      <c r="K89" s="62" t="str">
        <f>IFERROR(__xludf.DUMMYFUNCTION("""COMPUTED_VALUE"""),"Clinical Actionability")</f>
        <v>Clinical Actionability</v>
      </c>
      <c r="L89" s="62"/>
      <c r="M89" s="62"/>
      <c r="N89" s="62"/>
      <c r="O89" s="62"/>
      <c r="P89" s="62"/>
      <c r="Q89" s="62"/>
      <c r="R89" s="62"/>
      <c r="S89" s="62"/>
      <c r="T89" s="62"/>
      <c r="U89" s="62"/>
      <c r="V89" s="62"/>
      <c r="W89" s="62"/>
      <c r="X89" s="62"/>
      <c r="Y89" s="62"/>
      <c r="Z89" s="62"/>
    </row>
    <row r="90">
      <c r="A90" s="62" t="str">
        <f>IFERROR(__xludf.DUMMYFUNCTION("""COMPUTED_VALUE"""),"Unresponsive")</f>
        <v>Unresponsive</v>
      </c>
      <c r="B90" s="62" t="str">
        <f>IFERROR(__xludf.DUMMYFUNCTION("""COMPUTED_VALUE"""),"")</f>
        <v/>
      </c>
      <c r="C90" s="62" t="str">
        <f>IFERROR(__xludf.DUMMYFUNCTION("""COMPUTED_VALUE"""),"")</f>
        <v/>
      </c>
      <c r="D90" s="62" t="str">
        <f>IFERROR(__xludf.DUMMYFUNCTION("""COMPUTED_VALUE"""),"No")</f>
        <v>No</v>
      </c>
      <c r="E90" s="62" t="str">
        <f>IFERROR(__xludf.DUMMYFUNCTION("""COMPUTED_VALUE"""),"Somatic Cancer")</f>
        <v>Somatic Cancer</v>
      </c>
      <c r="F90" s="62" t="str">
        <f>IFERROR(__xludf.DUMMYFUNCTION("""COMPUTED_VALUE"""),"")</f>
        <v/>
      </c>
      <c r="G90" s="62" t="str">
        <f>IFERROR(__xludf.DUMMYFUNCTION("""COMPUTED_VALUE"""),"Milda Auglyte")</f>
        <v>Milda Auglyte</v>
      </c>
      <c r="H90" s="62" t="str">
        <f>IFERROR(__xludf.DUMMYFUNCTION("""COMPUTED_VALUE"""),"mildaaug@gmail.com")</f>
        <v>mildaaug@gmail.com</v>
      </c>
      <c r="I90" s="62" t="str">
        <f>IFERROR(__xludf.DUMMYFUNCTION("""COMPUTED_VALUE"""),"Graduate Student")</f>
        <v>Graduate Student</v>
      </c>
      <c r="J90" s="62"/>
      <c r="K90" s="62" t="str">
        <f>IFERROR(__xludf.DUMMYFUNCTION("""COMPUTED_VALUE"""),"Somatic Cancer")</f>
        <v>Somatic Cancer</v>
      </c>
      <c r="L90" s="62"/>
      <c r="M90" s="62"/>
      <c r="N90" s="62"/>
      <c r="O90" s="62"/>
      <c r="P90" s="62"/>
      <c r="Q90" s="62"/>
      <c r="R90" s="62"/>
      <c r="S90" s="62"/>
      <c r="T90" s="62"/>
      <c r="U90" s="62"/>
      <c r="V90" s="62"/>
      <c r="W90" s="62"/>
      <c r="X90" s="62"/>
      <c r="Y90" s="62"/>
      <c r="Z90" s="62"/>
    </row>
    <row r="91">
      <c r="A91" s="62" t="str">
        <f>IFERROR(__xludf.DUMMYFUNCTION("""COMPUTED_VALUE"""),"Declined")</f>
        <v>Declined</v>
      </c>
      <c r="B91" s="62" t="str">
        <f>IFERROR(__xludf.DUMMYFUNCTION("""COMPUTED_VALUE"""),"")</f>
        <v/>
      </c>
      <c r="C91" s="62" t="str">
        <f>IFERROR(__xludf.DUMMYFUNCTION("""COMPUTED_VALUE"""),"")</f>
        <v/>
      </c>
      <c r="D91" s="62" t="str">
        <f>IFERROR(__xludf.DUMMYFUNCTION("""COMPUTED_VALUE"""),"No")</f>
        <v>No</v>
      </c>
      <c r="E91" s="62" t="str">
        <f>IFERROR(__xludf.DUMMYFUNCTION("""COMPUTED_VALUE"""),"Somatic Cancer")</f>
        <v>Somatic Cancer</v>
      </c>
      <c r="F91" s="62" t="str">
        <f>IFERROR(__xludf.DUMMYFUNCTION("""COMPUTED_VALUE"""),"Pediatric cancer taskforce")</f>
        <v>Pediatric cancer taskforce</v>
      </c>
      <c r="G91" s="62" t="str">
        <f>IFERROR(__xludf.DUMMYFUNCTION("""COMPUTED_VALUE"""),"Andres Ressia")</f>
        <v>Andres Ressia</v>
      </c>
      <c r="H91" s="62" t="str">
        <f>IFERROR(__xludf.DUMMYFUNCTION("""COMPUTED_VALUE"""),"andresressiacolino@gmail.com")</f>
        <v>andresressiacolino@gmail.com</v>
      </c>
      <c r="I91" s="62" t="str">
        <f>IFERROR(__xludf.DUMMYFUNCTION("""COMPUTED_VALUE"""),"Post-Bachelors")</f>
        <v>Post-Bachelors</v>
      </c>
      <c r="J91" s="62"/>
      <c r="K91" s="62" t="str">
        <f>IFERROR(__xludf.DUMMYFUNCTION("""COMPUTED_VALUE"""),"Somatic Cancer")</f>
        <v>Somatic Cancer</v>
      </c>
      <c r="L91" s="62"/>
      <c r="M91" s="62"/>
      <c r="N91" s="62"/>
      <c r="O91" s="62"/>
      <c r="P91" s="62"/>
      <c r="Q91" s="62"/>
      <c r="R91" s="62"/>
      <c r="S91" s="62"/>
      <c r="T91" s="62"/>
      <c r="U91" s="62"/>
      <c r="V91" s="62"/>
      <c r="W91" s="62"/>
      <c r="X91" s="62"/>
      <c r="Y91" s="62"/>
      <c r="Z91" s="62"/>
    </row>
    <row r="92">
      <c r="A92" s="62" t="str">
        <f>IFERROR(__xludf.DUMMYFUNCTION("""COMPUTED_VALUE"""),"Assigned")</f>
        <v>Assigned</v>
      </c>
      <c r="B92" s="81">
        <f>IFERROR(__xludf.DUMMYFUNCTION("""COMPUTED_VALUE"""),43452.0)</f>
        <v>43452</v>
      </c>
      <c r="C92" s="105">
        <f>IFERROR(__xludf.DUMMYFUNCTION("""COMPUTED_VALUE"""),43581.0)</f>
        <v>43581</v>
      </c>
      <c r="D92" s="62" t="str">
        <f>IFERROR(__xludf.DUMMYFUNCTION("""COMPUTED_VALUE"""),"Yes")</f>
        <v>Yes</v>
      </c>
      <c r="E92" s="62" t="str">
        <f>IFERROR(__xludf.DUMMYFUNCTION("""COMPUTED_VALUE"""),"Somatic Cancer")</f>
        <v>Somatic Cancer</v>
      </c>
      <c r="F92" s="62" t="str">
        <f>IFERROR(__xludf.DUMMYFUNCTION("""COMPUTED_VALUE"""),"Pancreatic cancer taskforce")</f>
        <v>Pancreatic cancer taskforce</v>
      </c>
      <c r="G92" s="62" t="str">
        <f>IFERROR(__xludf.DUMMYFUNCTION("""COMPUTED_VALUE"""),"Parisa Lotfi")</f>
        <v>Parisa Lotfi</v>
      </c>
      <c r="H92" s="62" t="str">
        <f>IFERROR(__xludf.DUMMYFUNCTION("""COMPUTED_VALUE"""),"Parisa_Lotfi@yahoo.com")</f>
        <v>Parisa_Lotfi@yahoo.com</v>
      </c>
      <c r="I92" s="62" t="str">
        <f>IFERROR(__xludf.DUMMYFUNCTION("""COMPUTED_VALUE"""),"Post Doc/Resident/Fellow (MD and/or Phd), Scientific Researcher")</f>
        <v>Post Doc/Resident/Fellow (MD and/or Phd), Scientific Researcher</v>
      </c>
      <c r="J92" s="62"/>
      <c r="K92" s="62" t="str">
        <f>IFERROR(__xludf.DUMMYFUNCTION("""COMPUTED_VALUE"""),"Somatic Cancer")</f>
        <v>Somatic Cancer</v>
      </c>
      <c r="L92" s="62"/>
      <c r="M92" s="62"/>
      <c r="N92" s="62"/>
      <c r="O92" s="62"/>
      <c r="P92" s="62"/>
      <c r="Q92" s="62"/>
      <c r="R92" s="62"/>
      <c r="S92" s="62"/>
      <c r="T92" s="62"/>
      <c r="U92" s="62"/>
      <c r="V92" s="62"/>
      <c r="W92" s="62"/>
      <c r="X92" s="62"/>
      <c r="Y92" s="62"/>
      <c r="Z92" s="62"/>
    </row>
    <row r="93">
      <c r="A93" s="62" t="str">
        <f>IFERROR(__xludf.DUMMYFUNCTION("""COMPUTED_VALUE"""),"Declined")</f>
        <v>Declined</v>
      </c>
      <c r="B93" s="81">
        <f>IFERROR(__xludf.DUMMYFUNCTION("""COMPUTED_VALUE"""),43452.0)</f>
        <v>43452</v>
      </c>
      <c r="C93" s="62" t="str">
        <f>IFERROR(__xludf.DUMMYFUNCTION("""COMPUTED_VALUE"""),"")</f>
        <v/>
      </c>
      <c r="D93" s="62" t="str">
        <f>IFERROR(__xludf.DUMMYFUNCTION("""COMPUTED_VALUE"""),"No")</f>
        <v>No</v>
      </c>
      <c r="E93" s="62" t="str">
        <f>IFERROR(__xludf.DUMMYFUNCTION("""COMPUTED_VALUE"""),"Somatic Cancer")</f>
        <v>Somatic Cancer</v>
      </c>
      <c r="F93" s="62" t="str">
        <f>IFERROR(__xludf.DUMMYFUNCTION("""COMPUTED_VALUE"""),"Pediatric cancer taskforce")</f>
        <v>Pediatric cancer taskforce</v>
      </c>
      <c r="G93" s="62" t="str">
        <f>IFERROR(__xludf.DUMMYFUNCTION("""COMPUTED_VALUE"""),"Huei San Leong")</f>
        <v>Huei San Leong</v>
      </c>
      <c r="H93" s="62" t="str">
        <f>IFERROR(__xludf.DUMMYFUNCTION("""COMPUTED_VALUE"""),"hueisan.leong@petermac.org")</f>
        <v>hueisan.leong@petermac.org</v>
      </c>
      <c r="I93" s="62" t="str">
        <f>IFERROR(__xludf.DUMMYFUNCTION("""COMPUTED_VALUE"""),"Variant Analyst/Scientist")</f>
        <v>Variant Analyst/Scientist</v>
      </c>
      <c r="J93" s="62"/>
      <c r="K93" s="62" t="str">
        <f>IFERROR(__xludf.DUMMYFUNCTION("""COMPUTED_VALUE"""),"Somatic Cancer")</f>
        <v>Somatic Cancer</v>
      </c>
      <c r="L93" s="62"/>
      <c r="M93" s="62"/>
      <c r="N93" s="62"/>
      <c r="O93" s="62"/>
      <c r="P93" s="62"/>
      <c r="Q93" s="62"/>
      <c r="R93" s="62"/>
      <c r="S93" s="62"/>
      <c r="T93" s="62"/>
      <c r="U93" s="62"/>
      <c r="V93" s="62"/>
      <c r="W93" s="62"/>
      <c r="X93" s="62"/>
      <c r="Y93" s="62"/>
      <c r="Z93" s="62"/>
    </row>
    <row r="94">
      <c r="A94" s="62" t="str">
        <f>IFERROR(__xludf.DUMMYFUNCTION("""COMPUTED_VALUE"""),"Unresponsive")</f>
        <v>Unresponsive</v>
      </c>
      <c r="B94" s="81">
        <f>IFERROR(__xludf.DUMMYFUNCTION("""COMPUTED_VALUE"""),43452.0)</f>
        <v>43452</v>
      </c>
      <c r="C94" s="62" t="str">
        <f>IFERROR(__xludf.DUMMYFUNCTION("""COMPUTED_VALUE"""),"")</f>
        <v/>
      </c>
      <c r="D94" s="62" t="str">
        <f>IFERROR(__xludf.DUMMYFUNCTION("""COMPUTED_VALUE"""),"No")</f>
        <v>No</v>
      </c>
      <c r="E94" s="62" t="str">
        <f>IFERROR(__xludf.DUMMYFUNCTION("""COMPUTED_VALUE"""),"Somatic Cancer")</f>
        <v>Somatic Cancer</v>
      </c>
      <c r="F94" s="62" t="str">
        <f>IFERROR(__xludf.DUMMYFUNCTION("""COMPUTED_VALUE"""),"")</f>
        <v/>
      </c>
      <c r="G94" s="62" t="str">
        <f>IFERROR(__xludf.DUMMYFUNCTION("""COMPUTED_VALUE"""),"Pandurang Kolekar")</f>
        <v>Pandurang Kolekar</v>
      </c>
      <c r="H94" s="62" t="str">
        <f>IFERROR(__xludf.DUMMYFUNCTION("""COMPUTED_VALUE"""),"pandurang.kolekar@gmail.com")</f>
        <v>pandurang.kolekar@gmail.com</v>
      </c>
      <c r="I94" s="62" t="str">
        <f>IFERROR(__xludf.DUMMYFUNCTION("""COMPUTED_VALUE"""),"""Scientific Researcher, Biocurator, Variant Analyst/Scientist, Other (please specify): Bioinformatics Engineer""")</f>
        <v>"Scientific Researcher, Biocurator, Variant Analyst/Scientist, Other (please specify): Bioinformatics Engineer"</v>
      </c>
      <c r="J94" s="62"/>
      <c r="K94" s="62" t="str">
        <f>IFERROR(__xludf.DUMMYFUNCTION("""COMPUTED_VALUE"""),"Somatic Cancer")</f>
        <v>Somatic Cancer</v>
      </c>
      <c r="L94" s="62"/>
      <c r="M94" s="62"/>
      <c r="N94" s="62"/>
      <c r="O94" s="62"/>
      <c r="P94" s="62"/>
      <c r="Q94" s="62"/>
      <c r="R94" s="62"/>
      <c r="S94" s="62"/>
      <c r="T94" s="62"/>
      <c r="U94" s="62"/>
      <c r="V94" s="62"/>
      <c r="W94" s="62"/>
      <c r="X94" s="62"/>
      <c r="Y94" s="62"/>
      <c r="Z94" s="62"/>
    </row>
    <row r="95">
      <c r="A95" s="62" t="str">
        <f>IFERROR(__xludf.DUMMYFUNCTION("""COMPUTED_VALUE"""),"Unresponsive")</f>
        <v>Unresponsive</v>
      </c>
      <c r="B95" s="62" t="str">
        <f>IFERROR(__xludf.DUMMYFUNCTION("""COMPUTED_VALUE"""),"")</f>
        <v/>
      </c>
      <c r="C95" s="62" t="str">
        <f>IFERROR(__xludf.DUMMYFUNCTION("""COMPUTED_VALUE"""),"")</f>
        <v/>
      </c>
      <c r="D95" s="62" t="str">
        <f>IFERROR(__xludf.DUMMYFUNCTION("""COMPUTED_VALUE"""),"No")</f>
        <v>No</v>
      </c>
      <c r="E95" s="62" t="str">
        <f>IFERROR(__xludf.DUMMYFUNCTION("""COMPUTED_VALUE"""),"Actionability")</f>
        <v>Actionability</v>
      </c>
      <c r="F95" s="62" t="str">
        <f>IFERROR(__xludf.DUMMYFUNCTION("""COMPUTED_VALUE"""),"")</f>
        <v/>
      </c>
      <c r="G95" s="62" t="str">
        <f>IFERROR(__xludf.DUMMYFUNCTION("""COMPUTED_VALUE"""),"Samata Singhi")</f>
        <v>Samata Singhi</v>
      </c>
      <c r="H95" s="62" t="str">
        <f>IFERROR(__xludf.DUMMYFUNCTION("""COMPUTED_VALUE"""),"samata.singhi@gmail.com")</f>
        <v>samata.singhi@gmail.com</v>
      </c>
      <c r="I95" s="62" t="str">
        <f>IFERROR(__xludf.DUMMYFUNCTION("""COMPUTED_VALUE"""),"Physician (Non-geneticist)")</f>
        <v>Physician (Non-geneticist)</v>
      </c>
      <c r="J95" s="62"/>
      <c r="K95" s="62" t="str">
        <f>IFERROR(__xludf.DUMMYFUNCTION("""COMPUTED_VALUE"""),"Clinical Actionability")</f>
        <v>Clinical Actionability</v>
      </c>
      <c r="L95" s="62"/>
      <c r="M95" s="62"/>
      <c r="N95" s="62"/>
      <c r="O95" s="62"/>
      <c r="P95" s="62"/>
      <c r="Q95" s="62"/>
      <c r="R95" s="62"/>
      <c r="S95" s="62"/>
      <c r="T95" s="62"/>
      <c r="U95" s="62"/>
      <c r="V95" s="62"/>
      <c r="W95" s="62"/>
      <c r="X95" s="62"/>
      <c r="Y95" s="62"/>
      <c r="Z95" s="62"/>
    </row>
    <row r="96">
      <c r="A96" s="62" t="str">
        <f>IFERROR(__xludf.DUMMYFUNCTION("""COMPUTED_VALUE"""),"Contacted")</f>
        <v>Contacted</v>
      </c>
      <c r="B96" s="62" t="str">
        <f>IFERROR(__xludf.DUMMYFUNCTION("""COMPUTED_VALUE"""),"")</f>
        <v/>
      </c>
      <c r="C96" s="77">
        <f>IFERROR(__xludf.DUMMYFUNCTION("""COMPUTED_VALUE"""),43692.0)</f>
        <v>43692</v>
      </c>
      <c r="D96" s="62" t="str">
        <f>IFERROR(__xludf.DUMMYFUNCTION("""COMPUTED_VALUE"""),"Yes")</f>
        <v>Yes</v>
      </c>
      <c r="E96" s="62" t="str">
        <f>IFERROR(__xludf.DUMMYFUNCTION("""COMPUTED_VALUE"""),"Gene Disease Validity")</f>
        <v>Gene Disease Validity</v>
      </c>
      <c r="F96" s="62" t="str">
        <f>IFERROR(__xludf.DUMMYFUNCTION("""COMPUTED_VALUE"""),"")</f>
        <v/>
      </c>
      <c r="G96" s="62" t="str">
        <f>IFERROR(__xludf.DUMMYFUNCTION("""COMPUTED_VALUE"""),"Szabolcs Szelinger")</f>
        <v>Szabolcs Szelinger</v>
      </c>
      <c r="H96" s="62" t="str">
        <f>IFERROR(__xludf.DUMMYFUNCTION("""COMPUTED_VALUE"""),"sszelinger@tgen.org")</f>
        <v>sszelinger@tgen.org</v>
      </c>
      <c r="I96" s="62" t="str">
        <f>IFERROR(__xludf.DUMMYFUNCTION("""COMPUTED_VALUE"""),"Clinical laboratory geneticist")</f>
        <v>Clinical laboratory geneticist</v>
      </c>
      <c r="J96" s="62"/>
      <c r="K96" s="62" t="str">
        <f>IFERROR(__xludf.DUMMYFUNCTION("""COMPUTED_VALUE"""),"Gene-Disease Validity")</f>
        <v>Gene-Disease Validity</v>
      </c>
      <c r="L96" s="62"/>
      <c r="M96" s="62"/>
      <c r="N96" s="62"/>
      <c r="O96" s="62"/>
      <c r="P96" s="62"/>
      <c r="Q96" s="62"/>
      <c r="R96" s="62"/>
      <c r="S96" s="62"/>
      <c r="T96" s="62"/>
      <c r="U96" s="62"/>
      <c r="V96" s="62"/>
      <c r="W96" s="62"/>
      <c r="X96" s="62"/>
      <c r="Y96" s="62"/>
      <c r="Z96" s="62"/>
    </row>
    <row r="97">
      <c r="A97" s="62" t="str">
        <f>IFERROR(__xludf.DUMMYFUNCTION("""COMPUTED_VALUE"""),"Unresponsive")</f>
        <v>Unresponsive</v>
      </c>
      <c r="B97" s="81">
        <f>IFERROR(__xludf.DUMMYFUNCTION("""COMPUTED_VALUE"""),43452.0)</f>
        <v>43452</v>
      </c>
      <c r="C97" s="62" t="str">
        <f>IFERROR(__xludf.DUMMYFUNCTION("""COMPUTED_VALUE"""),"")</f>
        <v/>
      </c>
      <c r="D97" s="62" t="str">
        <f>IFERROR(__xludf.DUMMYFUNCTION("""COMPUTED_VALUE"""),"No")</f>
        <v>No</v>
      </c>
      <c r="E97" s="62" t="str">
        <f>IFERROR(__xludf.DUMMYFUNCTION("""COMPUTED_VALUE"""),"Somatic Cancer")</f>
        <v>Somatic Cancer</v>
      </c>
      <c r="F97" s="62" t="str">
        <f>IFERROR(__xludf.DUMMYFUNCTION("""COMPUTED_VALUE"""),"")</f>
        <v/>
      </c>
      <c r="G97" s="62" t="str">
        <f>IFERROR(__xludf.DUMMYFUNCTION("""COMPUTED_VALUE"""),"Jianhong Zhou")</f>
        <v>Jianhong Zhou</v>
      </c>
      <c r="H97" s="62" t="str">
        <f>IFERROR(__xludf.DUMMYFUNCTION("""COMPUTED_VALUE"""),"jhzhou2008@hotmail.com")</f>
        <v>jhzhou2008@hotmail.com</v>
      </c>
      <c r="I97" s="62" t="str">
        <f>IFERROR(__xludf.DUMMYFUNCTION("""COMPUTED_VALUE"""),"Post Doc/Resident/Fellow (MD and/or Phd), Scientific Researcher, Focus on bioinformatics and computational biology")</f>
        <v>Post Doc/Resident/Fellow (MD and/or Phd), Scientific Researcher, Focus on bioinformatics and computational biology</v>
      </c>
      <c r="J97" s="62"/>
      <c r="K97" s="62" t="str">
        <f>IFERROR(__xludf.DUMMYFUNCTION("""COMPUTED_VALUE"""),"Somatic Cancer")</f>
        <v>Somatic Cancer</v>
      </c>
      <c r="L97" s="62"/>
      <c r="M97" s="62"/>
      <c r="N97" s="62"/>
      <c r="O97" s="62"/>
      <c r="P97" s="62"/>
      <c r="Q97" s="62"/>
      <c r="R97" s="62"/>
      <c r="S97" s="62"/>
      <c r="T97" s="62"/>
      <c r="U97" s="62"/>
      <c r="V97" s="62"/>
      <c r="W97" s="62"/>
      <c r="X97" s="62"/>
      <c r="Y97" s="62"/>
      <c r="Z97" s="62"/>
    </row>
    <row r="98">
      <c r="A98" s="62" t="str">
        <f>IFERROR(__xludf.DUMMYFUNCTION("""COMPUTED_VALUE"""),"Unresponsive")</f>
        <v>Unresponsive</v>
      </c>
      <c r="B98" s="62" t="str">
        <f>IFERROR(__xludf.DUMMYFUNCTION("""COMPUTED_VALUE"""),"")</f>
        <v/>
      </c>
      <c r="C98" s="106">
        <f>IFERROR(__xludf.DUMMYFUNCTION("""COMPUTED_VALUE"""),43567.0)</f>
        <v>43567</v>
      </c>
      <c r="D98" s="62" t="str">
        <f>IFERROR(__xludf.DUMMYFUNCTION("""COMPUTED_VALUE"""),"Yes")</f>
        <v>Yes</v>
      </c>
      <c r="E98" s="62" t="str">
        <f>IFERROR(__xludf.DUMMYFUNCTION("""COMPUTED_VALUE"""),"Actionability")</f>
        <v>Actionability</v>
      </c>
      <c r="F98" s="62" t="str">
        <f>IFERROR(__xludf.DUMMYFUNCTION("""COMPUTED_VALUE"""),"Actionability")</f>
        <v>Actionability</v>
      </c>
      <c r="G98" s="62" t="str">
        <f>IFERROR(__xludf.DUMMYFUNCTION("""COMPUTED_VALUE"""),"Ramesh Vaidyanathan")</f>
        <v>Ramesh Vaidyanathan</v>
      </c>
      <c r="H98" s="62" t="str">
        <f>IFERROR(__xludf.DUMMYFUNCTION("""COMPUTED_VALUE"""),"vaid@rocketmail.com")</f>
        <v>vaid@rocketmail.com</v>
      </c>
      <c r="I98" s="62" t="str">
        <f>IFERROR(__xludf.DUMMYFUNCTION("""COMPUTED_VALUE"""),"Biotech Professional with Biochemistry and Genomics background and a Citizen Scientist")</f>
        <v>Biotech Professional with Biochemistry and Genomics background and a Citizen Scientist</v>
      </c>
      <c r="J98" s="62"/>
      <c r="K98" s="62" t="str">
        <f>IFERROR(__xludf.DUMMYFUNCTION("""COMPUTED_VALUE"""),"Clinical Actionability")</f>
        <v>Clinical Actionability</v>
      </c>
      <c r="L98" s="62"/>
      <c r="M98" s="62"/>
      <c r="N98" s="62"/>
      <c r="O98" s="62"/>
      <c r="P98" s="62"/>
      <c r="Q98" s="62"/>
      <c r="R98" s="62"/>
      <c r="S98" s="62"/>
      <c r="T98" s="62"/>
      <c r="U98" s="62"/>
      <c r="V98" s="62"/>
      <c r="W98" s="62"/>
      <c r="X98" s="62"/>
      <c r="Y98" s="62"/>
      <c r="Z98" s="62"/>
    </row>
    <row r="99">
      <c r="A99" s="62" t="str">
        <f>IFERROR(__xludf.DUMMYFUNCTION("""COMPUTED_VALUE"""),"Contacted")</f>
        <v>Contacted</v>
      </c>
      <c r="B99" s="62" t="str">
        <f>IFERROR(__xludf.DUMMYFUNCTION("""COMPUTED_VALUE"""),"")</f>
        <v/>
      </c>
      <c r="C99" s="105">
        <f>IFERROR(__xludf.DUMMYFUNCTION("""COMPUTED_VALUE"""),43598.0)</f>
        <v>43598</v>
      </c>
      <c r="D99" s="62" t="str">
        <f>IFERROR(__xludf.DUMMYFUNCTION("""COMPUTED_VALUE"""),"Yes")</f>
        <v>Yes</v>
      </c>
      <c r="E99" s="62" t="str">
        <f>IFERROR(__xludf.DUMMYFUNCTION("""COMPUTED_VALUE"""),"Somatic Cancer")</f>
        <v>Somatic Cancer</v>
      </c>
      <c r="F99" s="62" t="str">
        <f>IFERROR(__xludf.DUMMYFUNCTION("""COMPUTED_VALUE"""),"")</f>
        <v/>
      </c>
      <c r="G99" s="62" t="str">
        <f>IFERROR(__xludf.DUMMYFUNCTION("""COMPUTED_VALUE"""),"Ranjit Shetty")</f>
        <v>Ranjit Shetty</v>
      </c>
      <c r="H99" s="62" t="str">
        <f>IFERROR(__xludf.DUMMYFUNCTION("""COMPUTED_VALUE"""),"ranjit.shetty@novartis.com")</f>
        <v>ranjit.shetty@novartis.com</v>
      </c>
      <c r="I99" s="62" t="str">
        <f>IFERROR(__xludf.DUMMYFUNCTION("""COMPUTED_VALUE"""),"Scientific Researcher")</f>
        <v>Scientific Researcher</v>
      </c>
      <c r="J99" s="62"/>
      <c r="K99" s="62" t="str">
        <f>IFERROR(__xludf.DUMMYFUNCTION("""COMPUTED_VALUE"""),"Somatic Cancer")</f>
        <v>Somatic Cancer</v>
      </c>
      <c r="L99" s="62"/>
      <c r="M99" s="62"/>
      <c r="N99" s="62"/>
      <c r="O99" s="62"/>
      <c r="P99" s="62"/>
      <c r="Q99" s="62"/>
      <c r="R99" s="62"/>
      <c r="S99" s="62"/>
      <c r="T99" s="62"/>
      <c r="U99" s="62"/>
      <c r="V99" s="62"/>
      <c r="W99" s="62"/>
      <c r="X99" s="62"/>
      <c r="Y99" s="62"/>
      <c r="Z99" s="62"/>
    </row>
    <row r="100">
      <c r="A100" s="62" t="str">
        <f>IFERROR(__xludf.DUMMYFUNCTION("""COMPUTED_VALUE"""),"Contacted")</f>
        <v>Contacted</v>
      </c>
      <c r="B100" s="62" t="str">
        <f>IFERROR(__xludf.DUMMYFUNCTION("""COMPUTED_VALUE"""),"")</f>
        <v/>
      </c>
      <c r="C100" s="77">
        <f>IFERROR(__xludf.DUMMYFUNCTION("""COMPUTED_VALUE"""),43696.0)</f>
        <v>43696</v>
      </c>
      <c r="D100" s="62" t="str">
        <f>IFERROR(__xludf.DUMMYFUNCTION("""COMPUTED_VALUE"""),"Yes")</f>
        <v>Yes</v>
      </c>
      <c r="E100" s="62" t="str">
        <f>IFERROR(__xludf.DUMMYFUNCTION("""COMPUTED_VALUE"""),"Gene Disease Validity")</f>
        <v>Gene Disease Validity</v>
      </c>
      <c r="F100" s="62" t="str">
        <f>IFERROR(__xludf.DUMMYFUNCTION("""COMPUTED_VALUE"""),"")</f>
        <v/>
      </c>
      <c r="G100" s="62" t="str">
        <f>IFERROR(__xludf.DUMMYFUNCTION("""COMPUTED_VALUE"""),"Brooke H. Miller")</f>
        <v>Brooke H. Miller</v>
      </c>
      <c r="H100" s="62" t="str">
        <f>IFERROR(__xludf.DUMMYFUNCTION("""COMPUTED_VALUE"""),"brooke.h.miller@gmail.com")</f>
        <v>brooke.h.miller@gmail.com</v>
      </c>
      <c r="I100" s="62" t="str">
        <f>IFERROR(__xludf.DUMMYFUNCTION("""COMPUTED_VALUE"""),"Scientific Researcher")</f>
        <v>Scientific Researcher</v>
      </c>
      <c r="J100" s="62"/>
      <c r="K100" s="62" t="str">
        <f>IFERROR(__xludf.DUMMYFUNCTION("""COMPUTED_VALUE"""),"Gene-Disease Validity")</f>
        <v>Gene-Disease Validity</v>
      </c>
      <c r="L100" s="62"/>
      <c r="M100" s="62"/>
      <c r="N100" s="62"/>
      <c r="O100" s="62"/>
      <c r="P100" s="62"/>
      <c r="Q100" s="62"/>
      <c r="R100" s="62"/>
      <c r="S100" s="62"/>
      <c r="T100" s="62"/>
      <c r="U100" s="62"/>
      <c r="V100" s="62"/>
      <c r="W100" s="62"/>
      <c r="X100" s="62"/>
      <c r="Y100" s="62"/>
      <c r="Z100" s="62"/>
    </row>
    <row r="101">
      <c r="A101" s="62" t="str">
        <f>IFERROR(__xludf.DUMMYFUNCTION("""COMPUTED_VALUE"""),"Unresponsive")</f>
        <v>Unresponsive</v>
      </c>
      <c r="B101" s="62" t="str">
        <f>IFERROR(__xludf.DUMMYFUNCTION("""COMPUTED_VALUE"""),"")</f>
        <v/>
      </c>
      <c r="C101" s="62" t="str">
        <f>IFERROR(__xludf.DUMMYFUNCTION("""COMPUTED_VALUE"""),"")</f>
        <v/>
      </c>
      <c r="D101" s="62" t="str">
        <f>IFERROR(__xludf.DUMMYFUNCTION("""COMPUTED_VALUE"""),"No")</f>
        <v>No</v>
      </c>
      <c r="E101" s="62" t="str">
        <f>IFERROR(__xludf.DUMMYFUNCTION("""COMPUTED_VALUE"""),"Dosage Sensitivity")</f>
        <v>Dosage Sensitivity</v>
      </c>
      <c r="F101" s="62" t="str">
        <f>IFERROR(__xludf.DUMMYFUNCTION("""COMPUTED_VALUE"""),"")</f>
        <v/>
      </c>
      <c r="G101" s="62" t="str">
        <f>IFERROR(__xludf.DUMMYFUNCTION("""COMPUTED_VALUE"""),"Elizabeth Spiteri")</f>
        <v>Elizabeth Spiteri</v>
      </c>
      <c r="H101" s="62" t="str">
        <f>IFERROR(__xludf.DUMMYFUNCTION("""COMPUTED_VALUE"""),"espiteri@gmail.com")</f>
        <v>espiteri@gmail.com</v>
      </c>
      <c r="I101" s="62" t="str">
        <f>IFERROR(__xludf.DUMMYFUNCTION("""COMPUTED_VALUE"""),"Clinical laboratory geneticist")</f>
        <v>Clinical laboratory geneticist</v>
      </c>
      <c r="J101" s="62"/>
      <c r="K101" s="62" t="str">
        <f>IFERROR(__xludf.DUMMYFUNCTION("""COMPUTED_VALUE"""),"Dosage Sensitivity")</f>
        <v>Dosage Sensitivity</v>
      </c>
      <c r="L101" s="62"/>
      <c r="M101" s="62"/>
      <c r="N101" s="62"/>
      <c r="O101" s="62"/>
      <c r="P101" s="62"/>
      <c r="Q101" s="62"/>
      <c r="R101" s="62"/>
      <c r="S101" s="62"/>
      <c r="T101" s="62"/>
      <c r="U101" s="62"/>
      <c r="V101" s="62"/>
      <c r="W101" s="62"/>
      <c r="X101" s="62"/>
      <c r="Y101" s="62"/>
      <c r="Z101" s="62"/>
    </row>
    <row r="102">
      <c r="A102" s="62" t="str">
        <f>IFERROR(__xludf.DUMMYFUNCTION("""COMPUTED_VALUE"""),"Unresponsive")</f>
        <v>Unresponsive</v>
      </c>
      <c r="B102" s="62" t="str">
        <f>IFERROR(__xludf.DUMMYFUNCTION("""COMPUTED_VALUE"""),"")</f>
        <v/>
      </c>
      <c r="C102" s="62" t="str">
        <f>IFERROR(__xludf.DUMMYFUNCTION("""COMPUTED_VALUE"""),"")</f>
        <v/>
      </c>
      <c r="D102" s="62" t="str">
        <f>IFERROR(__xludf.DUMMYFUNCTION("""COMPUTED_VALUE"""),"No")</f>
        <v>No</v>
      </c>
      <c r="E102" s="62" t="str">
        <f>IFERROR(__xludf.DUMMYFUNCTION("""COMPUTED_VALUE"""),"Variant Pathogenicity")</f>
        <v>Variant Pathogenicity</v>
      </c>
      <c r="F102" s="62" t="str">
        <f>IFERROR(__xludf.DUMMYFUNCTION("""COMPUTED_VALUE"""),"")</f>
        <v/>
      </c>
      <c r="G102" s="62" t="str">
        <f>IFERROR(__xludf.DUMMYFUNCTION("""COMPUTED_VALUE"""),"Yasser Sullcahuaman")</f>
        <v>Yasser Sullcahuaman</v>
      </c>
      <c r="H102" s="62" t="str">
        <f>IFERROR(__xludf.DUMMYFUNCTION("""COMPUTED_VALUE"""),"ysullcahuaman@gmail.com")</f>
        <v>ysullcahuaman@gmail.com</v>
      </c>
      <c r="I102" s="62" t="str">
        <f>IFERROR(__xludf.DUMMYFUNCTION("""COMPUTED_VALUE"""),"Clinical Medical Geneticist")</f>
        <v>Clinical Medical Geneticist</v>
      </c>
      <c r="J102" s="62"/>
      <c r="K102" s="62" t="str">
        <f>IFERROR(__xludf.DUMMYFUNCTION("""COMPUTED_VALUE"""),"Variant Pathogenicity")</f>
        <v>Variant Pathogenicity</v>
      </c>
      <c r="L102" s="62"/>
      <c r="M102" s="62"/>
      <c r="N102" s="62"/>
      <c r="O102" s="62"/>
      <c r="P102" s="62"/>
      <c r="Q102" s="62"/>
      <c r="R102" s="62"/>
      <c r="S102" s="62"/>
      <c r="T102" s="62"/>
      <c r="U102" s="62"/>
      <c r="V102" s="62"/>
      <c r="W102" s="62"/>
      <c r="X102" s="62"/>
      <c r="Y102" s="62"/>
      <c r="Z102" s="62"/>
    </row>
    <row r="103">
      <c r="A103" s="62" t="str">
        <f>IFERROR(__xludf.DUMMYFUNCTION("""COMPUTED_VALUE"""),"Contacted")</f>
        <v>Contacted</v>
      </c>
      <c r="B103" s="62" t="str">
        <f>IFERROR(__xludf.DUMMYFUNCTION("""COMPUTED_VALUE"""),"")</f>
        <v/>
      </c>
      <c r="C103" s="105">
        <f>IFERROR(__xludf.DUMMYFUNCTION("""COMPUTED_VALUE"""),43581.0)</f>
        <v>43581</v>
      </c>
      <c r="D103" s="62" t="str">
        <f>IFERROR(__xludf.DUMMYFUNCTION("""COMPUTED_VALUE"""),"Yes")</f>
        <v>Yes</v>
      </c>
      <c r="E103" s="62" t="str">
        <f>IFERROR(__xludf.DUMMYFUNCTION("""COMPUTED_VALUE"""),"Somatic Cancer")</f>
        <v>Somatic Cancer</v>
      </c>
      <c r="F103" s="62" t="str">
        <f>IFERROR(__xludf.DUMMYFUNCTION("""COMPUTED_VALUE"""),"Pediatric cancer taskforce")</f>
        <v>Pediatric cancer taskforce</v>
      </c>
      <c r="G103" s="62" t="str">
        <f>IFERROR(__xludf.DUMMYFUNCTION("""COMPUTED_VALUE"""),"HUILING XU")</f>
        <v>HUILING XU</v>
      </c>
      <c r="H103" s="62" t="str">
        <f>IFERROR(__xludf.DUMMYFUNCTION("""COMPUTED_VALUE"""),"huiling.xu@petermac.org")</f>
        <v>huiling.xu@petermac.org</v>
      </c>
      <c r="I103" s="62" t="str">
        <f>IFERROR(__xludf.DUMMYFUNCTION("""COMPUTED_VALUE"""),"Variant Analyst/Scientist - Academic")</f>
        <v>Variant Analyst/Scientist - Academic</v>
      </c>
      <c r="J103" s="62"/>
      <c r="K103" s="62" t="str">
        <f>IFERROR(__xludf.DUMMYFUNCTION("""COMPUTED_VALUE"""),"Somatic Cancer")</f>
        <v>Somatic Cancer</v>
      </c>
      <c r="L103" s="62"/>
      <c r="M103" s="62"/>
      <c r="N103" s="62"/>
      <c r="O103" s="62"/>
      <c r="P103" s="62"/>
      <c r="Q103" s="62"/>
      <c r="R103" s="62"/>
      <c r="S103" s="62"/>
      <c r="T103" s="62"/>
      <c r="U103" s="62"/>
      <c r="V103" s="62"/>
      <c r="W103" s="62"/>
      <c r="X103" s="62"/>
      <c r="Y103" s="62"/>
      <c r="Z103" s="62"/>
    </row>
    <row r="104">
      <c r="A104" s="62" t="str">
        <f>IFERROR(__xludf.DUMMYFUNCTION("""COMPUTED_VALUE"""),"Contacted")</f>
        <v>Contacted</v>
      </c>
      <c r="B104" s="62" t="str">
        <f>IFERROR(__xludf.DUMMYFUNCTION("""COMPUTED_VALUE"""),"")</f>
        <v/>
      </c>
      <c r="C104" s="105">
        <f>IFERROR(__xludf.DUMMYFUNCTION("""COMPUTED_VALUE"""),43570.0)</f>
        <v>43570</v>
      </c>
      <c r="D104" s="62" t="str">
        <f>IFERROR(__xludf.DUMMYFUNCTION("""COMPUTED_VALUE"""),"Yes")</f>
        <v>Yes</v>
      </c>
      <c r="E104" s="62" t="str">
        <f>IFERROR(__xludf.DUMMYFUNCTION("""COMPUTED_VALUE"""),"Gene Disease Validity")</f>
        <v>Gene Disease Validity</v>
      </c>
      <c r="F104" s="62" t="str">
        <f>IFERROR(__xludf.DUMMYFUNCTION("""COMPUTED_VALUE"""),"Aminoacidopathy")</f>
        <v>Aminoacidopathy</v>
      </c>
      <c r="G104" s="62" t="str">
        <f>IFERROR(__xludf.DUMMYFUNCTION("""COMPUTED_VALUE"""),"Nilufar Inamdar")</f>
        <v>Nilufar Inamdar</v>
      </c>
      <c r="H104" s="62" t="str">
        <f>IFERROR(__xludf.DUMMYFUNCTION("""COMPUTED_VALUE"""),"inamdar555@yahoo.com")</f>
        <v>inamdar555@yahoo.com</v>
      </c>
      <c r="I104" s="62" t="str">
        <f>IFERROR(__xludf.DUMMYFUNCTION("""COMPUTED_VALUE"""),"Clinical laboratory geneticist")</f>
        <v>Clinical laboratory geneticist</v>
      </c>
      <c r="J104" s="62"/>
      <c r="K104" s="62" t="str">
        <f>IFERROR(__xludf.DUMMYFUNCTION("""COMPUTED_VALUE"""),"Gene-Disease Validity")</f>
        <v>Gene-Disease Validity</v>
      </c>
      <c r="L104" s="62"/>
      <c r="M104" s="62"/>
      <c r="N104" s="62"/>
      <c r="O104" s="62"/>
      <c r="P104" s="62"/>
      <c r="Q104" s="62"/>
      <c r="R104" s="62"/>
      <c r="S104" s="62"/>
      <c r="T104" s="62"/>
      <c r="U104" s="62"/>
      <c r="V104" s="62"/>
      <c r="W104" s="62"/>
      <c r="X104" s="62"/>
      <c r="Y104" s="62"/>
      <c r="Z104" s="62"/>
    </row>
    <row r="105">
      <c r="A105" s="62" t="str">
        <f>IFERROR(__xludf.DUMMYFUNCTION("""COMPUTED_VALUE"""),"Contacted")</f>
        <v>Contacted</v>
      </c>
      <c r="B105" s="62" t="str">
        <f>IFERROR(__xludf.DUMMYFUNCTION("""COMPUTED_VALUE"""),"")</f>
        <v/>
      </c>
      <c r="C105" s="81">
        <f>IFERROR(__xludf.DUMMYFUNCTION("""COMPUTED_VALUE"""),43608.0)</f>
        <v>43608</v>
      </c>
      <c r="D105" s="62" t="str">
        <f>IFERROR(__xludf.DUMMYFUNCTION("""COMPUTED_VALUE"""),"Yes")</f>
        <v>Yes</v>
      </c>
      <c r="E105" s="62" t="str">
        <f>IFERROR(__xludf.DUMMYFUNCTION("""COMPUTED_VALUE"""),"Variant Pathogenicity")</f>
        <v>Variant Pathogenicity</v>
      </c>
      <c r="F105" s="62" t="str">
        <f>IFERROR(__xludf.DUMMYFUNCTION("""COMPUTED_VALUE"""),"ACADVL")</f>
        <v>ACADVL</v>
      </c>
      <c r="G105" s="62" t="str">
        <f>IFERROR(__xludf.DUMMYFUNCTION("""COMPUTED_VALUE"""),"Michael McLachlan")</f>
        <v>Michael McLachlan</v>
      </c>
      <c r="H105" s="62" t="str">
        <f>IFERROR(__xludf.DUMMYFUNCTION("""COMPUTED_VALUE"""),"mikejmclachlan@gmail.com")</f>
        <v>mikejmclachlan@gmail.com</v>
      </c>
      <c r="I105" s="62" t="str">
        <f>IFERROR(__xludf.DUMMYFUNCTION("""COMPUTED_VALUE"""),"Scientific Researcher")</f>
        <v>Scientific Researcher</v>
      </c>
      <c r="J105" s="62"/>
      <c r="K105" s="62" t="str">
        <f>IFERROR(__xludf.DUMMYFUNCTION("""COMPUTED_VALUE"""),"Variant Pathogenicity")</f>
        <v>Variant Pathogenicity</v>
      </c>
      <c r="L105" s="62"/>
      <c r="M105" s="62"/>
      <c r="N105" s="62"/>
      <c r="O105" s="62"/>
      <c r="P105" s="62"/>
      <c r="Q105" s="62"/>
      <c r="R105" s="62"/>
      <c r="S105" s="62"/>
      <c r="T105" s="62"/>
      <c r="U105" s="62"/>
      <c r="V105" s="62"/>
      <c r="W105" s="62"/>
      <c r="X105" s="62"/>
      <c r="Y105" s="62"/>
      <c r="Z105" s="62"/>
    </row>
    <row r="106">
      <c r="A106" s="62" t="str">
        <f>IFERROR(__xludf.DUMMYFUNCTION("""COMPUTED_VALUE"""),"Unresponsive")</f>
        <v>Unresponsive</v>
      </c>
      <c r="B106" s="62" t="str">
        <f>IFERROR(__xludf.DUMMYFUNCTION("""COMPUTED_VALUE"""),"")</f>
        <v/>
      </c>
      <c r="C106" s="62" t="str">
        <f>IFERROR(__xludf.DUMMYFUNCTION("""COMPUTED_VALUE"""),"")</f>
        <v/>
      </c>
      <c r="D106" s="62" t="str">
        <f>IFERROR(__xludf.DUMMYFUNCTION("""COMPUTED_VALUE"""),"No")</f>
        <v>No</v>
      </c>
      <c r="E106" s="62" t="str">
        <f>IFERROR(__xludf.DUMMYFUNCTION("""COMPUTED_VALUE"""),"Gene Disease Validity")</f>
        <v>Gene Disease Validity</v>
      </c>
      <c r="F106" s="62" t="str">
        <f>IFERROR(__xludf.DUMMYFUNCTION("""COMPUTED_VALUE"""),"")</f>
        <v/>
      </c>
      <c r="G106" s="62" t="str">
        <f>IFERROR(__xludf.DUMMYFUNCTION("""COMPUTED_VALUE"""),"Anand Narayanan")</f>
        <v>Anand Narayanan</v>
      </c>
      <c r="H106" s="62" t="str">
        <f>IFERROR(__xludf.DUMMYFUNCTION("""COMPUTED_VALUE"""),"anandnpillai@gmail.com")</f>
        <v>anandnpillai@gmail.com</v>
      </c>
      <c r="I106" s="62" t="str">
        <f>IFERROR(__xludf.DUMMYFUNCTION("""COMPUTED_VALUE"""),"Post Doc/Resident/Fellow (MD and/or PhD)")</f>
        <v>Post Doc/Resident/Fellow (MD and/or PhD)</v>
      </c>
      <c r="J106" s="62"/>
      <c r="K106" s="62" t="str">
        <f>IFERROR(__xludf.DUMMYFUNCTION("""COMPUTED_VALUE"""),"Gene-Disease Validity")</f>
        <v>Gene-Disease Validity</v>
      </c>
      <c r="L106" s="62"/>
      <c r="M106" s="62"/>
      <c r="N106" s="62"/>
      <c r="O106" s="62"/>
      <c r="P106" s="62"/>
      <c r="Q106" s="62"/>
      <c r="R106" s="62"/>
      <c r="S106" s="62"/>
      <c r="T106" s="62"/>
      <c r="U106" s="62"/>
      <c r="V106" s="62"/>
      <c r="W106" s="62"/>
      <c r="X106" s="62"/>
      <c r="Y106" s="62"/>
      <c r="Z106" s="62"/>
    </row>
    <row r="107">
      <c r="A107" s="62" t="str">
        <f>IFERROR(__xludf.DUMMYFUNCTION("""COMPUTED_VALUE"""),"Contacted")</f>
        <v>Contacted</v>
      </c>
      <c r="B107" s="62" t="str">
        <f>IFERROR(__xludf.DUMMYFUNCTION("""COMPUTED_VALUE"""),"")</f>
        <v/>
      </c>
      <c r="C107" s="77">
        <f>IFERROR(__xludf.DUMMYFUNCTION("""COMPUTED_VALUE"""),43585.0)</f>
        <v>43585</v>
      </c>
      <c r="D107" s="62" t="str">
        <f>IFERROR(__xludf.DUMMYFUNCTION("""COMPUTED_VALUE"""),"Yes")</f>
        <v>Yes</v>
      </c>
      <c r="E107" s="62" t="str">
        <f>IFERROR(__xludf.DUMMYFUNCTION("""COMPUTED_VALUE"""),"Gene Disease Validity")</f>
        <v>Gene Disease Validity</v>
      </c>
      <c r="F107" s="62" t="str">
        <f>IFERROR(__xludf.DUMMYFUNCTION("""COMPUTED_VALUE"""),"")</f>
        <v/>
      </c>
      <c r="G107" s="62" t="str">
        <f>IFERROR(__xludf.DUMMYFUNCTION("""COMPUTED_VALUE"""),"Urjit Patel")</f>
        <v>Urjit Patel</v>
      </c>
      <c r="H107" s="62" t="str">
        <f>IFERROR(__xludf.DUMMYFUNCTION("""COMPUTED_VALUE"""),"urjit.x.patel@questdiagnostics.com")</f>
        <v>urjit.x.patel@questdiagnostics.com</v>
      </c>
      <c r="I107" s="62" t="str">
        <f>IFERROR(__xludf.DUMMYFUNCTION("""COMPUTED_VALUE"""),"Variant Analyst/Scientist - Industry")</f>
        <v>Variant Analyst/Scientist - Industry</v>
      </c>
      <c r="J107" s="62"/>
      <c r="K107" s="62" t="str">
        <f>IFERROR(__xludf.DUMMYFUNCTION("""COMPUTED_VALUE"""),"Gene-Disease Validity")</f>
        <v>Gene-Disease Validity</v>
      </c>
      <c r="L107" s="62"/>
      <c r="M107" s="62"/>
      <c r="N107" s="62"/>
      <c r="O107" s="62"/>
      <c r="P107" s="62"/>
      <c r="Q107" s="62"/>
      <c r="R107" s="62"/>
      <c r="S107" s="62"/>
      <c r="T107" s="62"/>
      <c r="U107" s="62"/>
      <c r="V107" s="62"/>
      <c r="W107" s="62"/>
      <c r="X107" s="62"/>
      <c r="Y107" s="62"/>
      <c r="Z107" s="62"/>
    </row>
    <row r="108">
      <c r="A108" s="62" t="str">
        <f>IFERROR(__xludf.DUMMYFUNCTION("""COMPUTED_VALUE"""),"Unresponsive")</f>
        <v>Unresponsive</v>
      </c>
      <c r="B108" s="62" t="str">
        <f>IFERROR(__xludf.DUMMYFUNCTION("""COMPUTED_VALUE"""),"")</f>
        <v/>
      </c>
      <c r="C108" s="106">
        <f>IFERROR(__xludf.DUMMYFUNCTION("""COMPUTED_VALUE"""),43567.0)</f>
        <v>43567</v>
      </c>
      <c r="D108" s="62" t="str">
        <f>IFERROR(__xludf.DUMMYFUNCTION("""COMPUTED_VALUE"""),"Yes")</f>
        <v>Yes</v>
      </c>
      <c r="E108" s="62" t="str">
        <f>IFERROR(__xludf.DUMMYFUNCTION("""COMPUTED_VALUE"""),"Actionability")</f>
        <v>Actionability</v>
      </c>
      <c r="F108" s="62" t="str">
        <f>IFERROR(__xludf.DUMMYFUNCTION("""COMPUTED_VALUE"""),"Actionability")</f>
        <v>Actionability</v>
      </c>
      <c r="G108" s="62" t="str">
        <f>IFERROR(__xludf.DUMMYFUNCTION("""COMPUTED_VALUE"""),"Lesley Northrop")</f>
        <v>Lesley Northrop</v>
      </c>
      <c r="H108" s="62" t="str">
        <f>IFERROR(__xludf.DUMMYFUNCTION("""COMPUTED_VALUE"""),"lesleyenorthrop@gmail.com")</f>
        <v>lesleyenorthrop@gmail.com</v>
      </c>
      <c r="I108" s="62" t="str">
        <f>IFERROR(__xludf.DUMMYFUNCTION("""COMPUTED_VALUE"""),"Clinical laboratory geneticist")</f>
        <v>Clinical laboratory geneticist</v>
      </c>
      <c r="J108" s="62"/>
      <c r="K108" s="62" t="str">
        <f>IFERROR(__xludf.DUMMYFUNCTION("""COMPUTED_VALUE"""),"Clinical Actionability")</f>
        <v>Clinical Actionability</v>
      </c>
      <c r="L108" s="62"/>
      <c r="M108" s="62"/>
      <c r="N108" s="62"/>
      <c r="O108" s="62"/>
      <c r="P108" s="62"/>
      <c r="Q108" s="62"/>
      <c r="R108" s="62"/>
      <c r="S108" s="62"/>
      <c r="T108" s="62"/>
      <c r="U108" s="62"/>
      <c r="V108" s="62"/>
      <c r="W108" s="62"/>
      <c r="X108" s="62"/>
      <c r="Y108" s="62"/>
      <c r="Z108" s="62"/>
    </row>
    <row r="109">
      <c r="A109" s="62" t="str">
        <f>IFERROR(__xludf.DUMMYFUNCTION("""COMPUTED_VALUE"""),"Unresponsive")</f>
        <v>Unresponsive</v>
      </c>
      <c r="B109" s="62" t="str">
        <f>IFERROR(__xludf.DUMMYFUNCTION("""COMPUTED_VALUE"""),"")</f>
        <v/>
      </c>
      <c r="C109" s="62" t="str">
        <f>IFERROR(__xludf.DUMMYFUNCTION("""COMPUTED_VALUE"""),"")</f>
        <v/>
      </c>
      <c r="D109" s="62" t="str">
        <f>IFERROR(__xludf.DUMMYFUNCTION("""COMPUTED_VALUE"""),"No")</f>
        <v>No</v>
      </c>
      <c r="E109" s="62" t="str">
        <f>IFERROR(__xludf.DUMMYFUNCTION("""COMPUTED_VALUE"""),"Dosage Sensitivity")</f>
        <v>Dosage Sensitivity</v>
      </c>
      <c r="F109" s="62" t="str">
        <f>IFERROR(__xludf.DUMMYFUNCTION("""COMPUTED_VALUE"""),"")</f>
        <v/>
      </c>
      <c r="G109" s="62" t="str">
        <f>IFERROR(__xludf.DUMMYFUNCTION("""COMPUTED_VALUE"""),"Hafsa Amtul")</f>
        <v>Hafsa Amtul</v>
      </c>
      <c r="H109" s="62" t="str">
        <f>IFERROR(__xludf.DUMMYFUNCTION("""COMPUTED_VALUE"""),"hafsa.amtul2502@gmail.com")</f>
        <v>hafsa.amtul2502@gmail.com</v>
      </c>
      <c r="I109" s="62" t="str">
        <f>IFERROR(__xludf.DUMMYFUNCTION("""COMPUTED_VALUE"""),"Scientific Researcher")</f>
        <v>Scientific Researcher</v>
      </c>
      <c r="J109" s="62"/>
      <c r="K109" s="62" t="str">
        <f>IFERROR(__xludf.DUMMYFUNCTION("""COMPUTED_VALUE"""),"Dosage Sensitivity")</f>
        <v>Dosage Sensitivity</v>
      </c>
      <c r="L109" s="62"/>
      <c r="M109" s="62"/>
      <c r="N109" s="62"/>
      <c r="O109" s="62"/>
      <c r="P109" s="62"/>
      <c r="Q109" s="62"/>
      <c r="R109" s="62"/>
      <c r="S109" s="62"/>
      <c r="T109" s="62"/>
      <c r="U109" s="62"/>
      <c r="V109" s="62"/>
      <c r="W109" s="62"/>
      <c r="X109" s="62"/>
      <c r="Y109" s="62"/>
      <c r="Z109" s="62"/>
    </row>
    <row r="110">
      <c r="A110" s="62" t="str">
        <f>IFERROR(__xludf.DUMMYFUNCTION("""COMPUTED_VALUE"""),"Contacted")</f>
        <v>Contacted</v>
      </c>
      <c r="B110" s="62" t="str">
        <f>IFERROR(__xludf.DUMMYFUNCTION("""COMPUTED_VALUE"""),"")</f>
        <v/>
      </c>
      <c r="C110" s="105">
        <f>IFERROR(__xludf.DUMMYFUNCTION("""COMPUTED_VALUE"""),43570.0)</f>
        <v>43570</v>
      </c>
      <c r="D110" s="62" t="str">
        <f>IFERROR(__xludf.DUMMYFUNCTION("""COMPUTED_VALUE"""),"Yes")</f>
        <v>Yes</v>
      </c>
      <c r="E110" s="62" t="str">
        <f>IFERROR(__xludf.DUMMYFUNCTION("""COMPUTED_VALUE"""),"Gene Disease Validity")</f>
        <v>Gene Disease Validity</v>
      </c>
      <c r="F110" s="62" t="str">
        <f>IFERROR(__xludf.DUMMYFUNCTION("""COMPUTED_VALUE"""),"Epilepsy")</f>
        <v>Epilepsy</v>
      </c>
      <c r="G110" s="62" t="str">
        <f>IFERROR(__xludf.DUMMYFUNCTION("""COMPUTED_VALUE"""),"Angela Pickart")</f>
        <v>Angela Pickart</v>
      </c>
      <c r="H110" s="62" t="str">
        <f>IFERROR(__xludf.DUMMYFUNCTION("""COMPUTED_VALUE"""),"pickart.angela@mayo.edu")</f>
        <v>pickart.angela@mayo.edu</v>
      </c>
      <c r="I110" s="62" t="str">
        <f>IFERROR(__xludf.DUMMYFUNCTION("""COMPUTED_VALUE"""),"Genetic counselor")</f>
        <v>Genetic counselor</v>
      </c>
      <c r="J110" s="62"/>
      <c r="K110" s="62" t="str">
        <f>IFERROR(__xludf.DUMMYFUNCTION("""COMPUTED_VALUE"""),"Gene-Disease Validity")</f>
        <v>Gene-Disease Validity</v>
      </c>
      <c r="L110" s="62"/>
      <c r="M110" s="62"/>
      <c r="N110" s="62"/>
      <c r="O110" s="62"/>
      <c r="P110" s="62"/>
      <c r="Q110" s="62"/>
      <c r="R110" s="62"/>
      <c r="S110" s="62"/>
      <c r="T110" s="62"/>
      <c r="U110" s="62"/>
      <c r="V110" s="62"/>
      <c r="W110" s="62"/>
      <c r="X110" s="62"/>
      <c r="Y110" s="62"/>
      <c r="Z110" s="62"/>
    </row>
    <row r="111">
      <c r="A111" s="62" t="str">
        <f>IFERROR(__xludf.DUMMYFUNCTION("""COMPUTED_VALUE"""),"Assigned")</f>
        <v>Assigned</v>
      </c>
      <c r="B111" s="62" t="str">
        <f>IFERROR(__xludf.DUMMYFUNCTION("""COMPUTED_VALUE"""),"")</f>
        <v/>
      </c>
      <c r="C111" s="77">
        <f>IFERROR(__xludf.DUMMYFUNCTION("""COMPUTED_VALUE"""),43605.0)</f>
        <v>43605</v>
      </c>
      <c r="D111" s="62" t="str">
        <f>IFERROR(__xludf.DUMMYFUNCTION("""COMPUTED_VALUE"""),"Yes")</f>
        <v>Yes</v>
      </c>
      <c r="E111" s="62" t="str">
        <f>IFERROR(__xludf.DUMMYFUNCTION("""COMPUTED_VALUE"""),"Variant Pathogenicity")</f>
        <v>Variant Pathogenicity</v>
      </c>
      <c r="F111" s="62" t="str">
        <f>IFERROR(__xludf.DUMMYFUNCTION("""COMPUTED_VALUE"""),"Storage Disease")</f>
        <v>Storage Disease</v>
      </c>
      <c r="G111" s="62" t="str">
        <f>IFERROR(__xludf.DUMMYFUNCTION("""COMPUTED_VALUE"""),"Jing Xie")</f>
        <v>Jing Xie</v>
      </c>
      <c r="H111" s="62" t="str">
        <f>IFERROR(__xludf.DUMMYFUNCTION("""COMPUTED_VALUE"""),"jingxiegene@gmail.com")</f>
        <v>jingxiegene@gmail.com</v>
      </c>
      <c r="I111" s="62" t="str">
        <f>IFERROR(__xludf.DUMMYFUNCTION("""COMPUTED_VALUE"""),"Clinical laboratory geneticist")</f>
        <v>Clinical laboratory geneticist</v>
      </c>
      <c r="J111" s="62"/>
      <c r="K111" s="62" t="str">
        <f>IFERROR(__xludf.DUMMYFUNCTION("""COMPUTED_VALUE"""),"Variant Pathogenicity")</f>
        <v>Variant Pathogenicity</v>
      </c>
      <c r="L111" s="62"/>
      <c r="M111" s="62"/>
      <c r="N111" s="62"/>
      <c r="O111" s="62"/>
      <c r="P111" s="62"/>
      <c r="Q111" s="62"/>
      <c r="R111" s="62"/>
      <c r="S111" s="62"/>
      <c r="T111" s="62"/>
      <c r="U111" s="62"/>
      <c r="V111" s="62"/>
      <c r="W111" s="62"/>
      <c r="X111" s="62"/>
      <c r="Y111" s="62"/>
      <c r="Z111" s="62"/>
    </row>
    <row r="112">
      <c r="A112" s="62" t="str">
        <f>IFERROR(__xludf.DUMMYFUNCTION("""COMPUTED_VALUE"""),"Contacted")</f>
        <v>Contacted</v>
      </c>
      <c r="B112" s="62" t="str">
        <f>IFERROR(__xludf.DUMMYFUNCTION("""COMPUTED_VALUE"""),"")</f>
        <v/>
      </c>
      <c r="C112" s="77">
        <f>IFERROR(__xludf.DUMMYFUNCTION("""COMPUTED_VALUE"""),43605.0)</f>
        <v>43605</v>
      </c>
      <c r="D112" s="62" t="str">
        <f>IFERROR(__xludf.DUMMYFUNCTION("""COMPUTED_VALUE"""),"Yes")</f>
        <v>Yes</v>
      </c>
      <c r="E112" s="62" t="str">
        <f>IFERROR(__xludf.DUMMYFUNCTION("""COMPUTED_VALUE"""),"Variant Pathogenicity")</f>
        <v>Variant Pathogenicity</v>
      </c>
      <c r="F112" s="62" t="str">
        <f>IFERROR(__xludf.DUMMYFUNCTION("""COMPUTED_VALUE"""),"RASopathy")</f>
        <v>RASopathy</v>
      </c>
      <c r="G112" s="62" t="str">
        <f>IFERROR(__xludf.DUMMYFUNCTION("""COMPUTED_VALUE"""),"Kathryn Kronquist")</f>
        <v>Kathryn Kronquist</v>
      </c>
      <c r="H112" s="62" t="str">
        <f>IFERROR(__xludf.DUMMYFUNCTION("""COMPUTED_VALUE"""),"Kathryn.Kronquist@childrenscolorado.org")</f>
        <v>Kathryn.Kronquist@childrenscolorado.org</v>
      </c>
      <c r="I112" s="62" t="str">
        <f>IFERROR(__xludf.DUMMYFUNCTION("""COMPUTED_VALUE"""),"Clinical laboratory geneticist")</f>
        <v>Clinical laboratory geneticist</v>
      </c>
      <c r="J112" s="62"/>
      <c r="K112" s="62" t="str">
        <f>IFERROR(__xludf.DUMMYFUNCTION("""COMPUTED_VALUE"""),"Variant Pathogenicity")</f>
        <v>Variant Pathogenicity</v>
      </c>
      <c r="L112" s="62"/>
      <c r="M112" s="62"/>
      <c r="N112" s="62"/>
      <c r="O112" s="62"/>
      <c r="P112" s="62"/>
      <c r="Q112" s="62"/>
      <c r="R112" s="62"/>
      <c r="S112" s="62"/>
      <c r="T112" s="62"/>
      <c r="U112" s="62"/>
      <c r="V112" s="62"/>
      <c r="W112" s="62"/>
      <c r="X112" s="62"/>
      <c r="Y112" s="62"/>
      <c r="Z112" s="62"/>
    </row>
    <row r="113">
      <c r="A113" s="62" t="str">
        <f>IFERROR(__xludf.DUMMYFUNCTION("""COMPUTED_VALUE"""),"Contacted")</f>
        <v>Contacted</v>
      </c>
      <c r="B113" s="62" t="str">
        <f>IFERROR(__xludf.DUMMYFUNCTION("""COMPUTED_VALUE"""),"")</f>
        <v/>
      </c>
      <c r="C113" s="62" t="str">
        <f>IFERROR(__xludf.DUMMYFUNCTION("""COMPUTED_VALUE"""),"")</f>
        <v/>
      </c>
      <c r="D113" s="62" t="str">
        <f>IFERROR(__xludf.DUMMYFUNCTION("""COMPUTED_VALUE"""),"No")</f>
        <v>No</v>
      </c>
      <c r="E113" s="62" t="str">
        <f>IFERROR(__xludf.DUMMYFUNCTION("""COMPUTED_VALUE"""),"Baseline")</f>
        <v>Baseline</v>
      </c>
      <c r="F113" s="62" t="str">
        <f>IFERROR(__xludf.DUMMYFUNCTION("""COMPUTED_VALUE"""),"")</f>
        <v/>
      </c>
      <c r="G113" s="62" t="str">
        <f>IFERROR(__xludf.DUMMYFUNCTION("""COMPUTED_VALUE"""),"Kristen L Deak")</f>
        <v>Kristen L Deak</v>
      </c>
      <c r="H113" s="62" t="str">
        <f>IFERROR(__xludf.DUMMYFUNCTION("""COMPUTED_VALUE"""),"kristen.deak@duke.edu")</f>
        <v>kristen.deak@duke.edu</v>
      </c>
      <c r="I113" s="62" t="str">
        <f>IFERROR(__xludf.DUMMYFUNCTION("""COMPUTED_VALUE"""),"Clinical laboratory geneticist")</f>
        <v>Clinical laboratory geneticist</v>
      </c>
      <c r="J113" s="62"/>
      <c r="K113" s="62" t="str">
        <f>IFERROR(__xludf.DUMMYFUNCTION("""COMPUTED_VALUE"""),"Variant Pathogenicity")</f>
        <v>Variant Pathogenicity</v>
      </c>
      <c r="L113" s="62"/>
      <c r="M113" s="62"/>
      <c r="N113" s="62"/>
      <c r="O113" s="62"/>
      <c r="P113" s="62"/>
      <c r="Q113" s="62"/>
      <c r="R113" s="62"/>
      <c r="S113" s="62"/>
      <c r="T113" s="62"/>
      <c r="U113" s="62"/>
      <c r="V113" s="62"/>
      <c r="W113" s="62"/>
      <c r="X113" s="62"/>
      <c r="Y113" s="62"/>
      <c r="Z113" s="62"/>
    </row>
    <row r="114">
      <c r="A114" s="62" t="str">
        <f>IFERROR(__xludf.DUMMYFUNCTION("""COMPUTED_VALUE"""),"Contacted")</f>
        <v>Contacted</v>
      </c>
      <c r="B114" s="62" t="str">
        <f>IFERROR(__xludf.DUMMYFUNCTION("""COMPUTED_VALUE"""),"")</f>
        <v/>
      </c>
      <c r="C114" s="105">
        <f>IFERROR(__xludf.DUMMYFUNCTION("""COMPUTED_VALUE"""),43581.0)</f>
        <v>43581</v>
      </c>
      <c r="D114" s="62" t="str">
        <f>IFERROR(__xludf.DUMMYFUNCTION("""COMPUTED_VALUE"""),"Yes")</f>
        <v>Yes</v>
      </c>
      <c r="E114" s="62" t="str">
        <f>IFERROR(__xludf.DUMMYFUNCTION("""COMPUTED_VALUE"""),"Somatic Cancer")</f>
        <v>Somatic Cancer</v>
      </c>
      <c r="F114" s="62" t="str">
        <f>IFERROR(__xludf.DUMMYFUNCTION("""COMPUTED_VALUE"""),"")</f>
        <v/>
      </c>
      <c r="G114" s="62" t="str">
        <f>IFERROR(__xludf.DUMMYFUNCTION("""COMPUTED_VALUE"""),"Venkataswamy Eswarachari")</f>
        <v>Venkataswamy Eswarachari</v>
      </c>
      <c r="H114" s="62" t="str">
        <f>IFERROR(__xludf.DUMMYFUNCTION("""COMPUTED_VALUE"""),"venkataswamy@medgenome.com")</f>
        <v>venkataswamy@medgenome.com</v>
      </c>
      <c r="I114" s="62" t="str">
        <f>IFERROR(__xludf.DUMMYFUNCTION("""COMPUTED_VALUE"""),"Clinical laboratory geneticist")</f>
        <v>Clinical laboratory geneticist</v>
      </c>
      <c r="J114" s="62"/>
      <c r="K114" s="62" t="str">
        <f>IFERROR(__xludf.DUMMYFUNCTION("""COMPUTED_VALUE"""),"Somatic Cancer")</f>
        <v>Somatic Cancer</v>
      </c>
      <c r="L114" s="62"/>
      <c r="M114" s="62"/>
      <c r="N114" s="62"/>
      <c r="O114" s="62"/>
      <c r="P114" s="62"/>
      <c r="Q114" s="62"/>
      <c r="R114" s="62"/>
      <c r="S114" s="62"/>
      <c r="T114" s="62"/>
      <c r="U114" s="62"/>
      <c r="V114" s="62"/>
      <c r="W114" s="62"/>
      <c r="X114" s="62"/>
      <c r="Y114" s="62"/>
      <c r="Z114" s="62"/>
    </row>
    <row r="115">
      <c r="A115" s="62" t="str">
        <f>IFERROR(__xludf.DUMMYFUNCTION("""COMPUTED_VALUE"""),"Assigned")</f>
        <v>Assigned</v>
      </c>
      <c r="B115" s="62" t="str">
        <f>IFERROR(__xludf.DUMMYFUNCTION("""COMPUTED_VALUE"""),"")</f>
        <v/>
      </c>
      <c r="C115" s="81">
        <f>IFERROR(__xludf.DUMMYFUNCTION("""COMPUTED_VALUE"""),43626.0)</f>
        <v>43626</v>
      </c>
      <c r="D115" s="62" t="str">
        <f>IFERROR(__xludf.DUMMYFUNCTION("""COMPUTED_VALUE"""),"Yes")</f>
        <v>Yes</v>
      </c>
      <c r="E115" s="62" t="str">
        <f>IFERROR(__xludf.DUMMYFUNCTION("""COMPUTED_VALUE"""),"Variant Pathogenicity")</f>
        <v>Variant Pathogenicity</v>
      </c>
      <c r="F115" s="62" t="str">
        <f>IFERROR(__xludf.DUMMYFUNCTION("""COMPUTED_VALUE"""),"Hearing Loss")</f>
        <v>Hearing Loss</v>
      </c>
      <c r="G115" s="62" t="str">
        <f>IFERROR(__xludf.DUMMYFUNCTION("""COMPUTED_VALUE"""),"Barbara Vona")</f>
        <v>Barbara Vona</v>
      </c>
      <c r="H115" s="62" t="str">
        <f>IFERROR(__xludf.DUMMYFUNCTION("""COMPUTED_VALUE"""),"barbara.vona@uni-tuebingen.de")</f>
        <v>barbara.vona@uni-tuebingen.de</v>
      </c>
      <c r="I115" s="62" t="str">
        <f>IFERROR(__xludf.DUMMYFUNCTION("""COMPUTED_VALUE"""),"Half variant analyst, half scientific researcher")</f>
        <v>Half variant analyst, half scientific researcher</v>
      </c>
      <c r="J115" s="62"/>
      <c r="K115" s="62" t="str">
        <f>IFERROR(__xludf.DUMMYFUNCTION("""COMPUTED_VALUE"""),"Variant Pathogenicity")</f>
        <v>Variant Pathogenicity</v>
      </c>
      <c r="L115" s="62"/>
      <c r="M115" s="62"/>
      <c r="N115" s="62"/>
      <c r="O115" s="62"/>
      <c r="P115" s="62"/>
      <c r="Q115" s="62"/>
      <c r="R115" s="62"/>
      <c r="S115" s="62"/>
      <c r="T115" s="62"/>
      <c r="U115" s="62"/>
      <c r="V115" s="62"/>
      <c r="W115" s="62"/>
      <c r="X115" s="62"/>
      <c r="Y115" s="62"/>
      <c r="Z115" s="62"/>
    </row>
    <row r="116">
      <c r="A116" s="62" t="str">
        <f>IFERROR(__xludf.DUMMYFUNCTION("""COMPUTED_VALUE"""),"Assigned")</f>
        <v>Assigned</v>
      </c>
      <c r="B116" s="62" t="str">
        <f>IFERROR(__xludf.DUMMYFUNCTION("""COMPUTED_VALUE"""),"")</f>
        <v/>
      </c>
      <c r="C116" s="77">
        <f>IFERROR(__xludf.DUMMYFUNCTION("""COMPUTED_VALUE"""),43605.0)</f>
        <v>43605</v>
      </c>
      <c r="D116" s="62" t="str">
        <f>IFERROR(__xludf.DUMMYFUNCTION("""COMPUTED_VALUE"""),"Yes")</f>
        <v>Yes</v>
      </c>
      <c r="E116" s="62" t="str">
        <f>IFERROR(__xludf.DUMMYFUNCTION("""COMPUTED_VALUE"""),"Variant Pathogenicity")</f>
        <v>Variant Pathogenicity</v>
      </c>
      <c r="F116" s="62" t="str">
        <f>IFERROR(__xludf.DUMMYFUNCTION("""COMPUTED_VALUE"""),"PAH")</f>
        <v>PAH</v>
      </c>
      <c r="G116" s="62" t="str">
        <f>IFERROR(__xludf.DUMMYFUNCTION("""COMPUTED_VALUE"""),"Viridiana Murillo")</f>
        <v>Viridiana Murillo</v>
      </c>
      <c r="H116" s="62" t="str">
        <f>IFERROR(__xludf.DUMMYFUNCTION("""COMPUTED_VALUE"""),"vmurillo18@students.kgi.edu")</f>
        <v>vmurillo18@students.kgi.edu</v>
      </c>
      <c r="I116" s="62" t="str">
        <f>IFERROR(__xludf.DUMMYFUNCTION("""COMPUTED_VALUE"""),"Graduate Student")</f>
        <v>Graduate Student</v>
      </c>
      <c r="J116" s="62"/>
      <c r="K116" s="62" t="str">
        <f>IFERROR(__xludf.DUMMYFUNCTION("""COMPUTED_VALUE"""),"Variant Pathogenicity")</f>
        <v>Variant Pathogenicity</v>
      </c>
      <c r="L116" s="62"/>
      <c r="M116" s="62"/>
      <c r="N116" s="62"/>
      <c r="O116" s="62"/>
      <c r="P116" s="62"/>
      <c r="Q116" s="62"/>
      <c r="R116" s="62"/>
      <c r="S116" s="62"/>
      <c r="T116" s="62"/>
      <c r="U116" s="62"/>
      <c r="V116" s="62"/>
      <c r="W116" s="62"/>
      <c r="X116" s="62"/>
      <c r="Y116" s="62"/>
      <c r="Z116" s="62"/>
    </row>
    <row r="117">
      <c r="A117" s="62" t="str">
        <f>IFERROR(__xludf.DUMMYFUNCTION("""COMPUTED_VALUE"""),"Unresponsive")</f>
        <v>Unresponsive</v>
      </c>
      <c r="B117" s="62" t="str">
        <f>IFERROR(__xludf.DUMMYFUNCTION("""COMPUTED_VALUE"""),"")</f>
        <v/>
      </c>
      <c r="C117" s="77">
        <f>IFERROR(__xludf.DUMMYFUNCTION("""COMPUTED_VALUE"""),43605.0)</f>
        <v>43605</v>
      </c>
      <c r="D117" s="62" t="str">
        <f>IFERROR(__xludf.DUMMYFUNCTION("""COMPUTED_VALUE"""),"Yes")</f>
        <v>Yes</v>
      </c>
      <c r="E117" s="62" t="str">
        <f>IFERROR(__xludf.DUMMYFUNCTION("""COMPUTED_VALUE"""),"Variant Pathogenicity")</f>
        <v>Variant Pathogenicity</v>
      </c>
      <c r="F117" s="62" t="str">
        <f>IFERROR(__xludf.DUMMYFUNCTION("""COMPUTED_VALUE"""),"")</f>
        <v/>
      </c>
      <c r="G117" s="62" t="str">
        <f>IFERROR(__xludf.DUMMYFUNCTION("""COMPUTED_VALUE"""),"Sharon Suchy")</f>
        <v>Sharon Suchy</v>
      </c>
      <c r="H117" s="62" t="str">
        <f>IFERROR(__xludf.DUMMYFUNCTION("""COMPUTED_VALUE"""),"ssuchy@genedx.com")</f>
        <v>ssuchy@genedx.com</v>
      </c>
      <c r="I117" s="62" t="str">
        <f>IFERROR(__xludf.DUMMYFUNCTION("""COMPUTED_VALUE"""),"Clinical laboratory geneticist")</f>
        <v>Clinical laboratory geneticist</v>
      </c>
      <c r="J117" s="62"/>
      <c r="K117" s="62" t="str">
        <f>IFERROR(__xludf.DUMMYFUNCTION("""COMPUTED_VALUE"""),"Variant Pathogenicity")</f>
        <v>Variant Pathogenicity</v>
      </c>
      <c r="L117" s="62"/>
      <c r="M117" s="62"/>
      <c r="N117" s="62"/>
      <c r="O117" s="62"/>
      <c r="P117" s="62"/>
      <c r="Q117" s="62"/>
      <c r="R117" s="62"/>
      <c r="S117" s="62"/>
      <c r="T117" s="62"/>
      <c r="U117" s="62"/>
      <c r="V117" s="62"/>
      <c r="W117" s="62"/>
      <c r="X117" s="62"/>
      <c r="Y117" s="62"/>
      <c r="Z117" s="62"/>
    </row>
    <row r="118">
      <c r="A118" s="62" t="str">
        <f>IFERROR(__xludf.DUMMYFUNCTION("""COMPUTED_VALUE"""),"Contacted")</f>
        <v>Contacted</v>
      </c>
      <c r="B118" s="62" t="str">
        <f>IFERROR(__xludf.DUMMYFUNCTION("""COMPUTED_VALUE"""),"8/12/19, 12/20/19")</f>
        <v>8/12/19, 12/20/19</v>
      </c>
      <c r="C118" s="62" t="str">
        <f>IFERROR(__xludf.DUMMYFUNCTION("""COMPUTED_VALUE"""),"")</f>
        <v/>
      </c>
      <c r="D118" s="62" t="str">
        <f>IFERROR(__xludf.DUMMYFUNCTION("""COMPUTED_VALUE"""),"No")</f>
        <v>No</v>
      </c>
      <c r="E118" s="62" t="str">
        <f>IFERROR(__xludf.DUMMYFUNCTION("""COMPUTED_VALUE"""),"Gene Disease Validity")</f>
        <v>Gene Disease Validity</v>
      </c>
      <c r="F118" s="62" t="str">
        <f>IFERROR(__xludf.DUMMYFUNCTION("""COMPUTED_VALUE"""),"")</f>
        <v/>
      </c>
      <c r="G118" s="62" t="str">
        <f>IFERROR(__xludf.DUMMYFUNCTION("""COMPUTED_VALUE"""),"GIFTY BHAT")</f>
        <v>GIFTY BHAT</v>
      </c>
      <c r="H118" s="62" t="str">
        <f>IFERROR(__xludf.DUMMYFUNCTION("""COMPUTED_VALUE"""),"drgiftybhat@gmail.com")</f>
        <v>drgiftybhat@gmail.com</v>
      </c>
      <c r="I118" s="62" t="str">
        <f>IFERROR(__xludf.DUMMYFUNCTION("""COMPUTED_VALUE"""),"Clinical Medical Geneticist")</f>
        <v>Clinical Medical Geneticist</v>
      </c>
      <c r="J118" s="62"/>
      <c r="K118" s="62" t="str">
        <f>IFERROR(__xludf.DUMMYFUNCTION("""COMPUTED_VALUE"""),"Gene-Disease Validity")</f>
        <v>Gene-Disease Validity</v>
      </c>
      <c r="L118" s="62"/>
      <c r="M118" s="62"/>
      <c r="N118" s="62"/>
      <c r="O118" s="62"/>
      <c r="P118" s="62"/>
      <c r="Q118" s="62"/>
      <c r="R118" s="62"/>
      <c r="S118" s="62"/>
      <c r="T118" s="62"/>
      <c r="U118" s="62"/>
      <c r="V118" s="62"/>
      <c r="W118" s="62"/>
      <c r="X118" s="62"/>
      <c r="Y118" s="62"/>
      <c r="Z118" s="62"/>
    </row>
    <row r="119">
      <c r="A119" s="62" t="str">
        <f>IFERROR(__xludf.DUMMYFUNCTION("""COMPUTED_VALUE"""),"Assigned")</f>
        <v>Assigned</v>
      </c>
      <c r="B119" s="62" t="str">
        <f>IFERROR(__xludf.DUMMYFUNCTION("""COMPUTED_VALUE"""),"")</f>
        <v/>
      </c>
      <c r="C119" s="77">
        <f>IFERROR(__xludf.DUMMYFUNCTION("""COMPUTED_VALUE"""),43608.0)</f>
        <v>43608</v>
      </c>
      <c r="D119" s="62" t="str">
        <f>IFERROR(__xludf.DUMMYFUNCTION("""COMPUTED_VALUE"""),"Yes")</f>
        <v>Yes</v>
      </c>
      <c r="E119" s="62" t="str">
        <f>IFERROR(__xludf.DUMMYFUNCTION("""COMPUTED_VALUE"""),"Variant Pathogenicity")</f>
        <v>Variant Pathogenicity</v>
      </c>
      <c r="F119" s="62" t="str">
        <f>IFERROR(__xludf.DUMMYFUNCTION("""COMPUTED_VALUE"""),"Cardiomyopathy")</f>
        <v>Cardiomyopathy</v>
      </c>
      <c r="G119" s="62" t="str">
        <f>IFERROR(__xludf.DUMMYFUNCTION("""COMPUTED_VALUE"""),"Theodore E. Wilson")</f>
        <v>Theodore E. Wilson</v>
      </c>
      <c r="H119" s="62" t="str">
        <f>IFERROR(__xludf.DUMMYFUNCTION("""COMPUTED_VALUE"""),"theowils@iu.edu")</f>
        <v>theowils@iu.edu</v>
      </c>
      <c r="I119" s="62" t="str">
        <f>IFERROR(__xludf.DUMMYFUNCTION("""COMPUTED_VALUE"""),"Clinical Medical Geneticist")</f>
        <v>Clinical Medical Geneticist</v>
      </c>
      <c r="J119" s="62"/>
      <c r="K119" s="62" t="str">
        <f>IFERROR(__xludf.DUMMYFUNCTION("""COMPUTED_VALUE"""),"Variant Pathogenicity")</f>
        <v>Variant Pathogenicity</v>
      </c>
      <c r="L119" s="62"/>
      <c r="M119" s="62"/>
      <c r="N119" s="62"/>
      <c r="O119" s="62"/>
      <c r="P119" s="62"/>
      <c r="Q119" s="62"/>
      <c r="R119" s="62"/>
      <c r="S119" s="62"/>
      <c r="T119" s="62"/>
      <c r="U119" s="62"/>
      <c r="V119" s="62"/>
      <c r="W119" s="62"/>
      <c r="X119" s="62"/>
      <c r="Y119" s="62"/>
      <c r="Z119" s="62"/>
    </row>
    <row r="120">
      <c r="A120" s="62" t="str">
        <f>IFERROR(__xludf.DUMMYFUNCTION("""COMPUTED_VALUE"""),"Assigned")</f>
        <v>Assigned</v>
      </c>
      <c r="B120" s="62" t="str">
        <f>IFERROR(__xludf.DUMMYFUNCTION("""COMPUTED_VALUE"""),"")</f>
        <v/>
      </c>
      <c r="C120" s="77">
        <f>IFERROR(__xludf.DUMMYFUNCTION("""COMPUTED_VALUE"""),43605.0)</f>
        <v>43605</v>
      </c>
      <c r="D120" s="62" t="str">
        <f>IFERROR(__xludf.DUMMYFUNCTION("""COMPUTED_VALUE"""),"Yes")</f>
        <v>Yes</v>
      </c>
      <c r="E120" s="62" t="str">
        <f>IFERROR(__xludf.DUMMYFUNCTION("""COMPUTED_VALUE"""),"Variant Pathogenicity")</f>
        <v>Variant Pathogenicity</v>
      </c>
      <c r="F120" s="62" t="str">
        <f>IFERROR(__xludf.DUMMYFUNCTION("""COMPUTED_VALUE"""),"Storage Disease")</f>
        <v>Storage Disease</v>
      </c>
      <c r="G120" s="62" t="str">
        <f>IFERROR(__xludf.DUMMYFUNCTION("""COMPUTED_VALUE"""),"Christina Y Hung")</f>
        <v>Christina Y Hung</v>
      </c>
      <c r="H120" s="62" t="str">
        <f>IFERROR(__xludf.DUMMYFUNCTION("""COMPUTED_VALUE"""),"christina.hung@childrens.harvard.edu")</f>
        <v>christina.hung@childrens.harvard.edu</v>
      </c>
      <c r="I120" s="62" t="str">
        <f>IFERROR(__xludf.DUMMYFUNCTION("""COMPUTED_VALUE"""),"Scientific Researcher")</f>
        <v>Scientific Researcher</v>
      </c>
      <c r="J120" s="62"/>
      <c r="K120" s="62" t="str">
        <f>IFERROR(__xludf.DUMMYFUNCTION("""COMPUTED_VALUE"""),"Variant Pathogenicity")</f>
        <v>Variant Pathogenicity</v>
      </c>
      <c r="L120" s="62"/>
      <c r="M120" s="62"/>
      <c r="N120" s="62"/>
      <c r="O120" s="62"/>
      <c r="P120" s="62"/>
      <c r="Q120" s="62"/>
      <c r="R120" s="62"/>
      <c r="S120" s="62"/>
      <c r="T120" s="62"/>
      <c r="U120" s="62"/>
      <c r="V120" s="62"/>
      <c r="W120" s="62"/>
      <c r="X120" s="62"/>
      <c r="Y120" s="62"/>
      <c r="Z120" s="62"/>
    </row>
    <row r="121">
      <c r="A121" s="62" t="str">
        <f>IFERROR(__xludf.DUMMYFUNCTION("""COMPUTED_VALUE"""),"Unresponsive")</f>
        <v>Unresponsive</v>
      </c>
      <c r="B121" s="62" t="str">
        <f>IFERROR(__xludf.DUMMYFUNCTION("""COMPUTED_VALUE"""),"7-9-19 (status changed to unresponsive)")</f>
        <v>7-9-19 (status changed to unresponsive)</v>
      </c>
      <c r="C121" s="62" t="str">
        <f>IFERROR(__xludf.DUMMYFUNCTION("""COMPUTED_VALUE"""),"")</f>
        <v/>
      </c>
      <c r="D121" s="62" t="str">
        <f>IFERROR(__xludf.DUMMYFUNCTION("""COMPUTED_VALUE"""),"No")</f>
        <v>No</v>
      </c>
      <c r="E121" s="62" t="str">
        <f>IFERROR(__xludf.DUMMYFUNCTION("""COMPUTED_VALUE"""),"Actionability")</f>
        <v>Actionability</v>
      </c>
      <c r="F121" s="62" t="str">
        <f>IFERROR(__xludf.DUMMYFUNCTION("""COMPUTED_VALUE"""),"")</f>
        <v/>
      </c>
      <c r="G121" s="62" t="str">
        <f>IFERROR(__xludf.DUMMYFUNCTION("""COMPUTED_VALUE"""),"Alka Chaubey")</f>
        <v>Alka Chaubey</v>
      </c>
      <c r="H121" s="62" t="str">
        <f>IFERROR(__xludf.DUMMYFUNCTION("""COMPUTED_VALUE"""),"")</f>
        <v/>
      </c>
      <c r="I121" s="62" t="str">
        <f>IFERROR(__xludf.DUMMYFUNCTION("""COMPUTED_VALUE"""),"Clinical laboratory geneticist")</f>
        <v>Clinical laboratory geneticist</v>
      </c>
      <c r="J121" s="62"/>
      <c r="K121" s="62" t="str">
        <f>IFERROR(__xludf.DUMMYFUNCTION("""COMPUTED_VALUE"""),"Clinical Actionability")</f>
        <v>Clinical Actionability</v>
      </c>
      <c r="L121" s="62"/>
      <c r="M121" s="62"/>
      <c r="N121" s="62"/>
      <c r="O121" s="62"/>
      <c r="P121" s="62"/>
      <c r="Q121" s="62"/>
      <c r="R121" s="62"/>
      <c r="S121" s="62"/>
      <c r="T121" s="62"/>
      <c r="U121" s="62"/>
      <c r="V121" s="62"/>
      <c r="W121" s="62"/>
      <c r="X121" s="62"/>
      <c r="Y121" s="62"/>
      <c r="Z121" s="62"/>
    </row>
    <row r="122">
      <c r="A122" s="62" t="str">
        <f>IFERROR(__xludf.DUMMYFUNCTION("""COMPUTED_VALUE"""),"Assigned")</f>
        <v>Assigned</v>
      </c>
      <c r="B122" s="62" t="str">
        <f>IFERROR(__xludf.DUMMYFUNCTION("""COMPUTED_VALUE"""),"")</f>
        <v/>
      </c>
      <c r="C122" s="77">
        <f>IFERROR(__xludf.DUMMYFUNCTION("""COMPUTED_VALUE"""),43605.0)</f>
        <v>43605</v>
      </c>
      <c r="D122" s="62" t="str">
        <f>IFERROR(__xludf.DUMMYFUNCTION("""COMPUTED_VALUE"""),"Yes")</f>
        <v>Yes</v>
      </c>
      <c r="E122" s="62" t="str">
        <f>IFERROR(__xludf.DUMMYFUNCTION("""COMPUTED_VALUE"""),"Variant Pathogenicity")</f>
        <v>Variant Pathogenicity</v>
      </c>
      <c r="F122" s="62" t="str">
        <f>IFERROR(__xludf.DUMMYFUNCTION("""COMPUTED_VALUE"""),"Brain Malformations")</f>
        <v>Brain Malformations</v>
      </c>
      <c r="G122" s="62" t="str">
        <f>IFERROR(__xludf.DUMMYFUNCTION("""COMPUTED_VALUE"""),"Junyu Zhang")</f>
        <v>Junyu Zhang</v>
      </c>
      <c r="H122" s="62" t="str">
        <f>IFERROR(__xludf.DUMMYFUNCTION("""COMPUTED_VALUE"""),"junyuzhang@hotmail.com")</f>
        <v>junyuzhang@hotmail.com</v>
      </c>
      <c r="I122" s="62" t="str">
        <f>IFERROR(__xludf.DUMMYFUNCTION("""COMPUTED_VALUE"""),"Clinical laboratory geneticist")</f>
        <v>Clinical laboratory geneticist</v>
      </c>
      <c r="J122" s="62"/>
      <c r="K122" s="62" t="str">
        <f>IFERROR(__xludf.DUMMYFUNCTION("""COMPUTED_VALUE"""),"Variant Pathogenicity")</f>
        <v>Variant Pathogenicity</v>
      </c>
      <c r="L122" s="62"/>
      <c r="M122" s="62"/>
      <c r="N122" s="62"/>
      <c r="O122" s="62"/>
      <c r="P122" s="62"/>
      <c r="Q122" s="62"/>
      <c r="R122" s="62"/>
      <c r="S122" s="62"/>
      <c r="T122" s="62"/>
      <c r="U122" s="62"/>
      <c r="V122" s="62"/>
      <c r="W122" s="62"/>
      <c r="X122" s="62"/>
      <c r="Y122" s="62"/>
      <c r="Z122" s="62"/>
    </row>
    <row r="123">
      <c r="A123" s="62" t="str">
        <f>IFERROR(__xludf.DUMMYFUNCTION("""COMPUTED_VALUE"""),"Contacted")</f>
        <v>Contacted</v>
      </c>
      <c r="B123" s="62" t="str">
        <f>IFERROR(__xludf.DUMMYFUNCTION("""COMPUTED_VALUE"""),"")</f>
        <v/>
      </c>
      <c r="C123" s="77">
        <f>IFERROR(__xludf.DUMMYFUNCTION("""COMPUTED_VALUE"""),43585.0)</f>
        <v>43585</v>
      </c>
      <c r="D123" s="62" t="str">
        <f>IFERROR(__xludf.DUMMYFUNCTION("""COMPUTED_VALUE"""),"Yes")</f>
        <v>Yes</v>
      </c>
      <c r="E123" s="62" t="str">
        <f>IFERROR(__xludf.DUMMYFUNCTION("""COMPUTED_VALUE"""),"Gene Disease Validity")</f>
        <v>Gene Disease Validity</v>
      </c>
      <c r="F123" s="62" t="str">
        <f>IFERROR(__xludf.DUMMYFUNCTION("""COMPUTED_VALUE"""),"Hemo/Thrombo")</f>
        <v>Hemo/Thrombo</v>
      </c>
      <c r="G123" s="62" t="str">
        <f>IFERROR(__xludf.DUMMYFUNCTION("""COMPUTED_VALUE"""),"Jing Zhang")</f>
        <v>Jing Zhang</v>
      </c>
      <c r="H123" s="62" t="str">
        <f>IFERROR(__xludf.DUMMYFUNCTION("""COMPUTED_VALUE"""),"jzhang@wuxinextcode.com")</f>
        <v>jzhang@wuxinextcode.com</v>
      </c>
      <c r="I123" s="62" t="str">
        <f>IFERROR(__xludf.DUMMYFUNCTION("""COMPUTED_VALUE"""),"Clinical laboratory geneticist")</f>
        <v>Clinical laboratory geneticist</v>
      </c>
      <c r="J123" s="62"/>
      <c r="K123" s="62" t="str">
        <f>IFERROR(__xludf.DUMMYFUNCTION("""COMPUTED_VALUE"""),"Gene-Disease Validity")</f>
        <v>Gene-Disease Validity</v>
      </c>
      <c r="L123" s="62"/>
      <c r="M123" s="62"/>
      <c r="N123" s="62"/>
      <c r="O123" s="62"/>
      <c r="P123" s="62"/>
      <c r="Q123" s="62"/>
      <c r="R123" s="62"/>
      <c r="S123" s="62"/>
      <c r="T123" s="62"/>
      <c r="U123" s="62"/>
      <c r="V123" s="62"/>
      <c r="W123" s="62"/>
      <c r="X123" s="62"/>
      <c r="Y123" s="62"/>
      <c r="Z123" s="62"/>
    </row>
    <row r="124">
      <c r="A124" s="62" t="str">
        <f>IFERROR(__xludf.DUMMYFUNCTION("""COMPUTED_VALUE"""),"Unresponsive")</f>
        <v>Unresponsive</v>
      </c>
      <c r="B124" s="62" t="str">
        <f>IFERROR(__xludf.DUMMYFUNCTION("""COMPUTED_VALUE"""),"")</f>
        <v/>
      </c>
      <c r="C124" s="62" t="str">
        <f>IFERROR(__xludf.DUMMYFUNCTION("""COMPUTED_VALUE"""),"")</f>
        <v/>
      </c>
      <c r="D124" s="62" t="str">
        <f>IFERROR(__xludf.DUMMYFUNCTION("""COMPUTED_VALUE"""),"No")</f>
        <v>No</v>
      </c>
      <c r="E124" s="62" t="str">
        <f>IFERROR(__xludf.DUMMYFUNCTION("""COMPUTED_VALUE"""),"Gene Disease Validity")</f>
        <v>Gene Disease Validity</v>
      </c>
      <c r="F124" s="62" t="str">
        <f>IFERROR(__xludf.DUMMYFUNCTION("""COMPUTED_VALUE"""),"")</f>
        <v/>
      </c>
      <c r="G124" s="62" t="str">
        <f>IFERROR(__xludf.DUMMYFUNCTION("""COMPUTED_VALUE"""),"Mary-Alice Abbott")</f>
        <v>Mary-Alice Abbott</v>
      </c>
      <c r="H124" s="62" t="str">
        <f>IFERROR(__xludf.DUMMYFUNCTION("""COMPUTED_VALUE"""),"Maryalice.abbott@baystatehealth.org")</f>
        <v>Maryalice.abbott@baystatehealth.org</v>
      </c>
      <c r="I124" s="62" t="str">
        <f>IFERROR(__xludf.DUMMYFUNCTION("""COMPUTED_VALUE"""),"Clinical Medical Geneticist")</f>
        <v>Clinical Medical Geneticist</v>
      </c>
      <c r="J124" s="62"/>
      <c r="K124" s="62" t="str">
        <f>IFERROR(__xludf.DUMMYFUNCTION("""COMPUTED_VALUE"""),"Gene-Disease Validity")</f>
        <v>Gene-Disease Validity</v>
      </c>
      <c r="L124" s="62"/>
      <c r="M124" s="62"/>
      <c r="N124" s="62"/>
      <c r="O124" s="62"/>
      <c r="P124" s="62"/>
      <c r="Q124" s="62"/>
      <c r="R124" s="62"/>
      <c r="S124" s="62"/>
      <c r="T124" s="62"/>
      <c r="U124" s="62"/>
      <c r="V124" s="62"/>
      <c r="W124" s="62"/>
      <c r="X124" s="62"/>
      <c r="Y124" s="62"/>
      <c r="Z124" s="62"/>
    </row>
    <row r="125">
      <c r="A125" s="62" t="str">
        <f>IFERROR(__xludf.DUMMYFUNCTION("""COMPUTED_VALUE"""),"Assigned")</f>
        <v>Assigned</v>
      </c>
      <c r="B125" s="62" t="str">
        <f>IFERROR(__xludf.DUMMYFUNCTION("""COMPUTED_VALUE"""),"")</f>
        <v/>
      </c>
      <c r="C125" s="77">
        <f>IFERROR(__xludf.DUMMYFUNCTION("""COMPUTED_VALUE"""),43605.0)</f>
        <v>43605</v>
      </c>
      <c r="D125" s="62" t="str">
        <f>IFERROR(__xludf.DUMMYFUNCTION("""COMPUTED_VALUE"""),"Yes")</f>
        <v>Yes</v>
      </c>
      <c r="E125" s="62" t="str">
        <f>IFERROR(__xludf.DUMMYFUNCTION("""COMPUTED_VALUE"""),"Variant Pathogenicity")</f>
        <v>Variant Pathogenicity</v>
      </c>
      <c r="F125" s="62" t="str">
        <f>IFERROR(__xludf.DUMMYFUNCTION("""COMPUTED_VALUE"""),"TP53")</f>
        <v>TP53</v>
      </c>
      <c r="G125" s="62" t="str">
        <f>IFERROR(__xludf.DUMMYFUNCTION("""COMPUTED_VALUE"""),"Emily Higgs")</f>
        <v>Emily Higgs</v>
      </c>
      <c r="H125" s="62" t="str">
        <f>IFERROR(__xludf.DUMMYFUNCTION("""COMPUTED_VALUE"""),"ehiggs@stanford.edu")</f>
        <v>ehiggs@stanford.edu</v>
      </c>
      <c r="I125" s="62" t="str">
        <f>IFERROR(__xludf.DUMMYFUNCTION("""COMPUTED_VALUE"""),"Variant Analyst/Scientist - Academic")</f>
        <v>Variant Analyst/Scientist - Academic</v>
      </c>
      <c r="J125" s="62"/>
      <c r="K125" s="62" t="str">
        <f>IFERROR(__xludf.DUMMYFUNCTION("""COMPUTED_VALUE"""),"Variant Pathogenicity")</f>
        <v>Variant Pathogenicity</v>
      </c>
      <c r="L125" s="62"/>
      <c r="M125" s="62"/>
      <c r="N125" s="62"/>
      <c r="O125" s="62"/>
      <c r="P125" s="62"/>
      <c r="Q125" s="62"/>
      <c r="R125" s="62"/>
      <c r="S125" s="62"/>
      <c r="T125" s="62"/>
      <c r="U125" s="62"/>
      <c r="V125" s="62"/>
      <c r="W125" s="62"/>
      <c r="X125" s="62"/>
      <c r="Y125" s="62"/>
      <c r="Z125" s="62"/>
    </row>
    <row r="126">
      <c r="A126" s="62" t="str">
        <f>IFERROR(__xludf.DUMMYFUNCTION("""COMPUTED_VALUE"""),"Contacted")</f>
        <v>Contacted</v>
      </c>
      <c r="B126" s="81">
        <f>IFERROR(__xludf.DUMMYFUNCTION("""COMPUTED_VALUE"""),43819.0)</f>
        <v>43819</v>
      </c>
      <c r="C126" s="62" t="str">
        <f>IFERROR(__xludf.DUMMYFUNCTION("""COMPUTED_VALUE"""),"")</f>
        <v/>
      </c>
      <c r="D126" s="62" t="str">
        <f>IFERROR(__xludf.DUMMYFUNCTION("""COMPUTED_VALUE"""),"No")</f>
        <v>No</v>
      </c>
      <c r="E126" s="62" t="str">
        <f>IFERROR(__xludf.DUMMYFUNCTION("""COMPUTED_VALUE"""),"Variant Pathogenicity")</f>
        <v>Variant Pathogenicity</v>
      </c>
      <c r="F126" s="62" t="str">
        <f>IFERROR(__xludf.DUMMYFUNCTION("""COMPUTED_VALUE"""),"")</f>
        <v/>
      </c>
      <c r="G126" s="62" t="str">
        <f>IFERROR(__xludf.DUMMYFUNCTION("""COMPUTED_VALUE"""),"Matt Wright")</f>
        <v>Matt Wright</v>
      </c>
      <c r="H126" s="62" t="str">
        <f>IFERROR(__xludf.DUMMYFUNCTION("""COMPUTED_VALUE"""),"wrightmw@stanford.edu")</f>
        <v>wrightmw@stanford.edu</v>
      </c>
      <c r="I126" s="62" t="str">
        <f>IFERROR(__xludf.DUMMYFUNCTION("""COMPUTED_VALUE"""),"Biocurator")</f>
        <v>Biocurator</v>
      </c>
      <c r="J126" s="62"/>
      <c r="K126" s="62" t="str">
        <f>IFERROR(__xludf.DUMMYFUNCTION("""COMPUTED_VALUE"""),"Variant Pathogenicity")</f>
        <v>Variant Pathogenicity</v>
      </c>
      <c r="L126" s="62"/>
      <c r="M126" s="62"/>
      <c r="N126" s="62"/>
      <c r="O126" s="62"/>
      <c r="P126" s="62"/>
      <c r="Q126" s="62"/>
      <c r="R126" s="62"/>
      <c r="S126" s="62"/>
      <c r="T126" s="62"/>
      <c r="U126" s="62"/>
      <c r="V126" s="62"/>
      <c r="W126" s="62"/>
      <c r="X126" s="62"/>
      <c r="Y126" s="62"/>
      <c r="Z126" s="62"/>
    </row>
    <row r="127">
      <c r="A127" s="62" t="str">
        <f>IFERROR(__xludf.DUMMYFUNCTION("""COMPUTED_VALUE"""),"Declined")</f>
        <v>Declined</v>
      </c>
      <c r="B127" s="62" t="str">
        <f>IFERROR(__xludf.DUMMYFUNCTION("""COMPUTED_VALUE"""),"")</f>
        <v/>
      </c>
      <c r="C127" s="105">
        <f>IFERROR(__xludf.DUMMYFUNCTION("""COMPUTED_VALUE"""),43570.0)</f>
        <v>43570</v>
      </c>
      <c r="D127" s="62" t="str">
        <f>IFERROR(__xludf.DUMMYFUNCTION("""COMPUTED_VALUE"""),"Yes")</f>
        <v>Yes</v>
      </c>
      <c r="E127" s="62" t="str">
        <f>IFERROR(__xludf.DUMMYFUNCTION("""COMPUTED_VALUE"""),"Gene Disease Validity")</f>
        <v>Gene Disease Validity</v>
      </c>
      <c r="F127" s="62" t="str">
        <f>IFERROR(__xludf.DUMMYFUNCTION("""COMPUTED_VALUE"""),"Hemo/Thrombo")</f>
        <v>Hemo/Thrombo</v>
      </c>
      <c r="G127" s="62" t="str">
        <f>IFERROR(__xludf.DUMMYFUNCTION("""COMPUTED_VALUE"""),"Samantha Chill")</f>
        <v>Samantha Chill</v>
      </c>
      <c r="H127" s="62" t="str">
        <f>IFERROR(__xludf.DUMMYFUNCTION("""COMPUTED_VALUE"""),"slsevilla@gmail.com")</f>
        <v>slsevilla@gmail.com</v>
      </c>
      <c r="I127" s="62" t="str">
        <f>IFERROR(__xludf.DUMMYFUNCTION("""COMPUTED_VALUE"""),"Graduate Student")</f>
        <v>Graduate Student</v>
      </c>
      <c r="J127" s="62"/>
      <c r="K127" s="62" t="str">
        <f>IFERROR(__xludf.DUMMYFUNCTION("""COMPUTED_VALUE"""),"Gene-Disease Validity")</f>
        <v>Gene-Disease Validity</v>
      </c>
      <c r="L127" s="62"/>
      <c r="M127" s="62"/>
      <c r="N127" s="62"/>
      <c r="O127" s="62"/>
      <c r="P127" s="62"/>
      <c r="Q127" s="62"/>
      <c r="R127" s="62"/>
      <c r="S127" s="62"/>
      <c r="T127" s="62"/>
      <c r="U127" s="62"/>
      <c r="V127" s="62"/>
      <c r="W127" s="62"/>
      <c r="X127" s="62"/>
      <c r="Y127" s="62"/>
      <c r="Z127" s="62"/>
    </row>
    <row r="128">
      <c r="A128" s="62" t="str">
        <f>IFERROR(__xludf.DUMMYFUNCTION("""COMPUTED_VALUE"""),"Contacted")</f>
        <v>Contacted</v>
      </c>
      <c r="B128" s="62" t="str">
        <f>IFERROR(__xludf.DUMMYFUNCTION("""COMPUTED_VALUE"""),"")</f>
        <v/>
      </c>
      <c r="C128" s="77">
        <f>IFERROR(__xludf.DUMMYFUNCTION("""COMPUTED_VALUE"""),43585.0)</f>
        <v>43585</v>
      </c>
      <c r="D128" s="62" t="str">
        <f>IFERROR(__xludf.DUMMYFUNCTION("""COMPUTED_VALUE"""),"Yes")</f>
        <v>Yes</v>
      </c>
      <c r="E128" s="62" t="str">
        <f>IFERROR(__xludf.DUMMYFUNCTION("""COMPUTED_VALUE"""),"Gene Disease Validity")</f>
        <v>Gene Disease Validity</v>
      </c>
      <c r="F128" s="62" t="str">
        <f>IFERROR(__xludf.DUMMYFUNCTION("""COMPUTED_VALUE"""),"ID/Autism")</f>
        <v>ID/Autism</v>
      </c>
      <c r="G128" s="62" t="str">
        <f>IFERROR(__xludf.DUMMYFUNCTION("""COMPUTED_VALUE"""),"HECTOR RODRIGO MENDEZ")</f>
        <v>HECTOR RODRIGO MENDEZ</v>
      </c>
      <c r="H128" s="62" t="str">
        <f>IFERROR(__xludf.DUMMYFUNCTION("""COMPUTED_VALUE"""),"rodrigomendezh@gmail.com")</f>
        <v>rodrigomendezh@gmail.com</v>
      </c>
      <c r="I128" s="62" t="str">
        <f>IFERROR(__xludf.DUMMYFUNCTION("""COMPUTED_VALUE"""),"Clinical Medical Geneticist")</f>
        <v>Clinical Medical Geneticist</v>
      </c>
      <c r="J128" s="62"/>
      <c r="K128" s="62" t="str">
        <f>IFERROR(__xludf.DUMMYFUNCTION("""COMPUTED_VALUE"""),"Gene-Disease Validity")</f>
        <v>Gene-Disease Validity</v>
      </c>
      <c r="L128" s="62"/>
      <c r="M128" s="62"/>
      <c r="N128" s="62"/>
      <c r="O128" s="62"/>
      <c r="P128" s="62"/>
      <c r="Q128" s="62"/>
      <c r="R128" s="62"/>
      <c r="S128" s="62"/>
      <c r="T128" s="62"/>
      <c r="U128" s="62"/>
      <c r="V128" s="62"/>
      <c r="W128" s="62"/>
      <c r="X128" s="62"/>
      <c r="Y128" s="62"/>
      <c r="Z128" s="62"/>
    </row>
    <row r="129">
      <c r="A129" s="62" t="str">
        <f>IFERROR(__xludf.DUMMYFUNCTION("""COMPUTED_VALUE"""),"Contacted")</f>
        <v>Contacted</v>
      </c>
      <c r="B129" s="62" t="str">
        <f>IFERROR(__xludf.DUMMYFUNCTION("""COMPUTED_VALUE"""),"")</f>
        <v/>
      </c>
      <c r="C129" s="77">
        <f>IFERROR(__xludf.DUMMYFUNCTION("""COMPUTED_VALUE"""),43594.0)</f>
        <v>43594</v>
      </c>
      <c r="D129" s="62" t="str">
        <f>IFERROR(__xludf.DUMMYFUNCTION("""COMPUTED_VALUE"""),"Yes")</f>
        <v>Yes</v>
      </c>
      <c r="E129" s="62" t="str">
        <f>IFERROR(__xludf.DUMMYFUNCTION("""COMPUTED_VALUE"""),"Actionability")</f>
        <v>Actionability</v>
      </c>
      <c r="F129" s="62" t="str">
        <f>IFERROR(__xludf.DUMMYFUNCTION("""COMPUTED_VALUE"""),"Actionability")</f>
        <v>Actionability</v>
      </c>
      <c r="G129" s="62" t="str">
        <f>IFERROR(__xludf.DUMMYFUNCTION("""COMPUTED_VALUE"""),"Karen Hanson")</f>
        <v>Karen Hanson</v>
      </c>
      <c r="H129" s="62" t="str">
        <f>IFERROR(__xludf.DUMMYFUNCTION("""COMPUTED_VALUE"""),"krhms3@gmail.com")</f>
        <v>krhms3@gmail.com</v>
      </c>
      <c r="I129" s="62" t="str">
        <f>IFERROR(__xludf.DUMMYFUNCTION("""COMPUTED_VALUE"""),"Genetic counselor")</f>
        <v>Genetic counselor</v>
      </c>
      <c r="J129" s="62"/>
      <c r="K129" s="62" t="str">
        <f>IFERROR(__xludf.DUMMYFUNCTION("""COMPUTED_VALUE"""),"Clinical Actionability")</f>
        <v>Clinical Actionability</v>
      </c>
      <c r="L129" s="62"/>
      <c r="M129" s="62"/>
      <c r="N129" s="62"/>
      <c r="O129" s="62"/>
      <c r="P129" s="62"/>
      <c r="Q129" s="62"/>
      <c r="R129" s="62"/>
      <c r="S129" s="62"/>
      <c r="T129" s="62"/>
      <c r="U129" s="62"/>
      <c r="V129" s="62"/>
      <c r="W129" s="62"/>
      <c r="X129" s="62"/>
      <c r="Y129" s="62"/>
      <c r="Z129" s="62"/>
    </row>
    <row r="130">
      <c r="A130" s="62" t="str">
        <f>IFERROR(__xludf.DUMMYFUNCTION("""COMPUTED_VALUE"""),"Contacted")</f>
        <v>Contacted</v>
      </c>
      <c r="B130" s="62" t="str">
        <f>IFERROR(__xludf.DUMMYFUNCTION("""COMPUTED_VALUE"""),"")</f>
        <v/>
      </c>
      <c r="C130" s="106">
        <f>IFERROR(__xludf.DUMMYFUNCTION("""COMPUTED_VALUE"""),43859.0)</f>
        <v>43859</v>
      </c>
      <c r="D130" s="62" t="str">
        <f>IFERROR(__xludf.DUMMYFUNCTION("""COMPUTED_VALUE"""),"Yes")</f>
        <v>Yes</v>
      </c>
      <c r="E130" s="62" t="str">
        <f>IFERROR(__xludf.DUMMYFUNCTION("""COMPUTED_VALUE"""),"Variant Pathogenicity")</f>
        <v>Variant Pathogenicity</v>
      </c>
      <c r="F130" s="62" t="str">
        <f>IFERROR(__xludf.DUMMYFUNCTION("""COMPUTED_VALUE"""),"")</f>
        <v/>
      </c>
      <c r="G130" s="62" t="str">
        <f>IFERROR(__xludf.DUMMYFUNCTION("""COMPUTED_VALUE"""),"Daniel Reich")</f>
        <v>Daniel Reich</v>
      </c>
      <c r="H130" s="62" t="str">
        <f>IFERROR(__xludf.DUMMYFUNCTION("""COMPUTED_VALUE"""),"daniel.reich@aruplab.com")</f>
        <v>daniel.reich@aruplab.com</v>
      </c>
      <c r="I130" s="62" t="str">
        <f>IFERROR(__xludf.DUMMYFUNCTION("""COMPUTED_VALUE"""),"Variant Analyst/Scientist - Industry")</f>
        <v>Variant Analyst/Scientist - Industry</v>
      </c>
      <c r="J130" s="62"/>
      <c r="K130" s="62" t="str">
        <f>IFERROR(__xludf.DUMMYFUNCTION("""COMPUTED_VALUE"""),"Variant Pathogenicity")</f>
        <v>Variant Pathogenicity</v>
      </c>
      <c r="L130" s="62"/>
      <c r="M130" s="62"/>
      <c r="N130" s="62"/>
      <c r="O130" s="62"/>
      <c r="P130" s="62"/>
      <c r="Q130" s="62"/>
      <c r="R130" s="62"/>
      <c r="S130" s="62"/>
      <c r="T130" s="62"/>
      <c r="U130" s="62"/>
      <c r="V130" s="62"/>
      <c r="W130" s="62"/>
      <c r="X130" s="62"/>
      <c r="Y130" s="62"/>
      <c r="Z130" s="62"/>
    </row>
    <row r="131">
      <c r="A131" s="62" t="str">
        <f>IFERROR(__xludf.DUMMYFUNCTION("""COMPUTED_VALUE"""),"Contacted")</f>
        <v>Contacted</v>
      </c>
      <c r="B131" s="62" t="str">
        <f>IFERROR(__xludf.DUMMYFUNCTION("""COMPUTED_VALUE"""),"")</f>
        <v/>
      </c>
      <c r="C131" s="77">
        <f>IFERROR(__xludf.DUMMYFUNCTION("""COMPUTED_VALUE"""),43580.0)</f>
        <v>43580</v>
      </c>
      <c r="D131" s="62" t="str">
        <f>IFERROR(__xludf.DUMMYFUNCTION("""COMPUTED_VALUE"""),"Yes")</f>
        <v>Yes</v>
      </c>
      <c r="E131" s="62" t="str">
        <f>IFERROR(__xludf.DUMMYFUNCTION("""COMPUTED_VALUE"""),"Dosage Sensitivity")</f>
        <v>Dosage Sensitivity</v>
      </c>
      <c r="F131" s="62" t="str">
        <f>IFERROR(__xludf.DUMMYFUNCTION("""COMPUTED_VALUE"""),"")</f>
        <v/>
      </c>
      <c r="G131" s="62" t="str">
        <f>IFERROR(__xludf.DUMMYFUNCTION("""COMPUTED_VALUE"""),"Christine Preston")</f>
        <v>Christine Preston</v>
      </c>
      <c r="H131" s="62" t="str">
        <f>IFERROR(__xludf.DUMMYFUNCTION("""COMPUTED_VALUE"""),"christip@stanford.edu")</f>
        <v>christip@stanford.edu</v>
      </c>
      <c r="I131" s="62" t="str">
        <f>IFERROR(__xludf.DUMMYFUNCTION("""COMPUTED_VALUE"""),"Biocurator")</f>
        <v>Biocurator</v>
      </c>
      <c r="J131" s="62"/>
      <c r="K131" s="62" t="str">
        <f>IFERROR(__xludf.DUMMYFUNCTION("""COMPUTED_VALUE"""),"Dosage Sensitivity")</f>
        <v>Dosage Sensitivity</v>
      </c>
      <c r="L131" s="62"/>
      <c r="M131" s="62"/>
      <c r="N131" s="62"/>
      <c r="O131" s="62"/>
      <c r="P131" s="62"/>
      <c r="Q131" s="62"/>
      <c r="R131" s="62"/>
      <c r="S131" s="62"/>
      <c r="T131" s="62"/>
      <c r="U131" s="62"/>
      <c r="V131" s="62"/>
      <c r="W131" s="62"/>
      <c r="X131" s="62"/>
      <c r="Y131" s="62"/>
      <c r="Z131" s="62"/>
    </row>
    <row r="132">
      <c r="A132" s="62" t="str">
        <f>IFERROR(__xludf.DUMMYFUNCTION("""COMPUTED_VALUE"""),"Contacted")</f>
        <v>Contacted</v>
      </c>
      <c r="B132" s="81">
        <f>IFERROR(__xludf.DUMMYFUNCTION("""COMPUTED_VALUE"""),43819.0)</f>
        <v>43819</v>
      </c>
      <c r="C132" s="62" t="str">
        <f>IFERROR(__xludf.DUMMYFUNCTION("""COMPUTED_VALUE"""),"")</f>
        <v/>
      </c>
      <c r="D132" s="62" t="str">
        <f>IFERROR(__xludf.DUMMYFUNCTION("""COMPUTED_VALUE"""),"No")</f>
        <v>No</v>
      </c>
      <c r="E132" s="62" t="str">
        <f>IFERROR(__xludf.DUMMYFUNCTION("""COMPUTED_VALUE"""),"Gene Disease Validity")</f>
        <v>Gene Disease Validity</v>
      </c>
      <c r="F132" s="62" t="str">
        <f>IFERROR(__xludf.DUMMYFUNCTION("""COMPUTED_VALUE"""),"")</f>
        <v/>
      </c>
      <c r="G132" s="62" t="str">
        <f>IFERROR(__xludf.DUMMYFUNCTION("""COMPUTED_VALUE"""),"Julie Hathaway")</f>
        <v>Julie Hathaway</v>
      </c>
      <c r="H132" s="62" t="str">
        <f>IFERROR(__xludf.DUMMYFUNCTION("""COMPUTED_VALUE"""),"julie.hathaway@blueprintgenetics.com")</f>
        <v>julie.hathaway@blueprintgenetics.com</v>
      </c>
      <c r="I132" s="62" t="str">
        <f>IFERROR(__xludf.DUMMYFUNCTION("""COMPUTED_VALUE"""),"Genetic counselor")</f>
        <v>Genetic counselor</v>
      </c>
      <c r="J132" s="62"/>
      <c r="K132" s="62" t="str">
        <f>IFERROR(__xludf.DUMMYFUNCTION("""COMPUTED_VALUE"""),"Variant Pathogenicity")</f>
        <v>Variant Pathogenicity</v>
      </c>
      <c r="L132" s="62"/>
      <c r="M132" s="62"/>
      <c r="N132" s="62"/>
      <c r="O132" s="62"/>
      <c r="P132" s="62"/>
      <c r="Q132" s="62"/>
      <c r="R132" s="62"/>
      <c r="S132" s="62"/>
      <c r="T132" s="62"/>
      <c r="U132" s="62"/>
      <c r="V132" s="62"/>
      <c r="W132" s="62"/>
      <c r="X132" s="62"/>
      <c r="Y132" s="62"/>
      <c r="Z132" s="62"/>
    </row>
    <row r="133">
      <c r="A133" s="62" t="str">
        <f>IFERROR(__xludf.DUMMYFUNCTION("""COMPUTED_VALUE"""),"Contacted")</f>
        <v>Contacted</v>
      </c>
      <c r="B133" s="62" t="str">
        <f>IFERROR(__xludf.DUMMYFUNCTION("""COMPUTED_VALUE"""),"")</f>
        <v/>
      </c>
      <c r="C133" s="77">
        <f>IFERROR(__xludf.DUMMYFUNCTION("""COMPUTED_VALUE"""),43585.0)</f>
        <v>43585</v>
      </c>
      <c r="D133" s="62" t="str">
        <f>IFERROR(__xludf.DUMMYFUNCTION("""COMPUTED_VALUE"""),"Yes")</f>
        <v>Yes</v>
      </c>
      <c r="E133" s="62" t="str">
        <f>IFERROR(__xludf.DUMMYFUNCTION("""COMPUTED_VALUE"""),"Gene Disease Validity")</f>
        <v>Gene Disease Validity</v>
      </c>
      <c r="F133" s="62" t="str">
        <f>IFERROR(__xludf.DUMMYFUNCTION("""COMPUTED_VALUE"""),"Epilepsy")</f>
        <v>Epilepsy</v>
      </c>
      <c r="G133" s="62" t="str">
        <f>IFERROR(__xludf.DUMMYFUNCTION("""COMPUTED_VALUE"""),"Alexander Ing")</f>
        <v>Alexander Ing</v>
      </c>
      <c r="H133" s="62" t="str">
        <f>IFERROR(__xludf.DUMMYFUNCTION("""COMPUTED_VALUE"""),"aing@luriechildrens.org")</f>
        <v>aing@luriechildrens.org</v>
      </c>
      <c r="I133" s="62" t="str">
        <f>IFERROR(__xludf.DUMMYFUNCTION("""COMPUTED_VALUE"""),"Genetic counselor")</f>
        <v>Genetic counselor</v>
      </c>
      <c r="J133" s="62"/>
      <c r="K133" s="62" t="str">
        <f>IFERROR(__xludf.DUMMYFUNCTION("""COMPUTED_VALUE"""),"Gene-Disease Validity")</f>
        <v>Gene-Disease Validity</v>
      </c>
      <c r="L133" s="62"/>
      <c r="M133" s="62"/>
      <c r="N133" s="62"/>
      <c r="O133" s="62"/>
      <c r="P133" s="62"/>
      <c r="Q133" s="62"/>
      <c r="R133" s="62"/>
      <c r="S133" s="62"/>
      <c r="T133" s="62"/>
      <c r="U133" s="62"/>
      <c r="V133" s="62"/>
      <c r="W133" s="62"/>
      <c r="X133" s="62"/>
      <c r="Y133" s="62"/>
      <c r="Z133" s="62"/>
    </row>
    <row r="134">
      <c r="A134" s="62" t="str">
        <f>IFERROR(__xludf.DUMMYFUNCTION("""COMPUTED_VALUE"""),"Contacted")</f>
        <v>Contacted</v>
      </c>
      <c r="B134" s="62" t="str">
        <f>IFERROR(__xludf.DUMMYFUNCTION("""COMPUTED_VALUE"""),"")</f>
        <v/>
      </c>
      <c r="C134" s="77">
        <f>IFERROR(__xludf.DUMMYFUNCTION("""COMPUTED_VALUE"""),43692.0)</f>
        <v>43692</v>
      </c>
      <c r="D134" s="62" t="str">
        <f>IFERROR(__xludf.DUMMYFUNCTION("""COMPUTED_VALUE"""),"Yes")</f>
        <v>Yes</v>
      </c>
      <c r="E134" s="62" t="str">
        <f>IFERROR(__xludf.DUMMYFUNCTION("""COMPUTED_VALUE"""),"Gene Disease Validity")</f>
        <v>Gene Disease Validity</v>
      </c>
      <c r="F134" s="62" t="str">
        <f>IFERROR(__xludf.DUMMYFUNCTION("""COMPUTED_VALUE"""),"")</f>
        <v/>
      </c>
      <c r="G134" s="62" t="str">
        <f>IFERROR(__xludf.DUMMYFUNCTION("""COMPUTED_VALUE"""),"Jun Liao")</f>
        <v>Jun Liao</v>
      </c>
      <c r="H134" s="62" t="str">
        <f>IFERROR(__xludf.DUMMYFUNCTION("""COMPUTED_VALUE"""),"jl5098@cumc.columbia.edu")</f>
        <v>jl5098@cumc.columbia.edu</v>
      </c>
      <c r="I134" s="62" t="str">
        <f>IFERROR(__xludf.DUMMYFUNCTION("""COMPUTED_VALUE"""),"Clinical laboratory geneticist")</f>
        <v>Clinical laboratory geneticist</v>
      </c>
      <c r="J134" s="62"/>
      <c r="K134" s="62" t="str">
        <f>IFERROR(__xludf.DUMMYFUNCTION("""COMPUTED_VALUE"""),"Gene-Disease Validity")</f>
        <v>Gene-Disease Validity</v>
      </c>
      <c r="L134" s="62"/>
      <c r="M134" s="62"/>
      <c r="N134" s="62"/>
      <c r="O134" s="62"/>
      <c r="P134" s="62"/>
      <c r="Q134" s="62"/>
      <c r="R134" s="62"/>
      <c r="S134" s="62"/>
      <c r="T134" s="62"/>
      <c r="U134" s="62"/>
      <c r="V134" s="62"/>
      <c r="W134" s="62"/>
      <c r="X134" s="62"/>
      <c r="Y134" s="62"/>
      <c r="Z134" s="62"/>
    </row>
    <row r="135">
      <c r="A135" s="62" t="str">
        <f>IFERROR(__xludf.DUMMYFUNCTION("""COMPUTED_VALUE"""),"Contacted")</f>
        <v>Contacted</v>
      </c>
      <c r="B135" s="62" t="str">
        <f>IFERROR(__xludf.DUMMYFUNCTION("""COMPUTED_VALUE"""),"")</f>
        <v/>
      </c>
      <c r="C135" s="77">
        <f>IFERROR(__xludf.DUMMYFUNCTION("""COMPUTED_VALUE"""),43585.0)</f>
        <v>43585</v>
      </c>
      <c r="D135" s="62" t="str">
        <f>IFERROR(__xludf.DUMMYFUNCTION("""COMPUTED_VALUE"""),"Yes")</f>
        <v>Yes</v>
      </c>
      <c r="E135" s="62" t="str">
        <f>IFERROR(__xludf.DUMMYFUNCTION("""COMPUTED_VALUE"""),"Gene Disease Validity")</f>
        <v>Gene Disease Validity</v>
      </c>
      <c r="F135" s="62" t="str">
        <f>IFERROR(__xludf.DUMMYFUNCTION("""COMPUTED_VALUE"""),"Epilepsy")</f>
        <v>Epilepsy</v>
      </c>
      <c r="G135" s="62" t="str">
        <f>IFERROR(__xludf.DUMMYFUNCTION("""COMPUTED_VALUE"""),"Maki Kaneko")</f>
        <v>Maki Kaneko</v>
      </c>
      <c r="H135" s="62" t="str">
        <f>IFERROR(__xludf.DUMMYFUNCTION("""COMPUTED_VALUE"""),"mkaneko@chla.usc.edu")</f>
        <v>mkaneko@chla.usc.edu</v>
      </c>
      <c r="I135" s="62" t="str">
        <f>IFERROR(__xludf.DUMMYFUNCTION("""COMPUTED_VALUE"""),"Genetic counselor")</f>
        <v>Genetic counselor</v>
      </c>
      <c r="J135" s="62"/>
      <c r="K135" s="62" t="str">
        <f>IFERROR(__xludf.DUMMYFUNCTION("""COMPUTED_VALUE"""),"Gene-Disease Validity")</f>
        <v>Gene-Disease Validity</v>
      </c>
      <c r="L135" s="62"/>
      <c r="M135" s="62"/>
      <c r="N135" s="62"/>
      <c r="O135" s="62"/>
      <c r="P135" s="62"/>
      <c r="Q135" s="62"/>
      <c r="R135" s="62"/>
      <c r="S135" s="62"/>
      <c r="T135" s="62"/>
      <c r="U135" s="62"/>
      <c r="V135" s="62"/>
      <c r="W135" s="62"/>
      <c r="X135" s="62"/>
      <c r="Y135" s="62"/>
      <c r="Z135" s="62"/>
    </row>
    <row r="136">
      <c r="A136" s="62" t="str">
        <f>IFERROR(__xludf.DUMMYFUNCTION("""COMPUTED_VALUE"""),"Assigned")</f>
        <v>Assigned</v>
      </c>
      <c r="B136" s="62" t="str">
        <f>IFERROR(__xludf.DUMMYFUNCTION("""COMPUTED_VALUE"""),"")</f>
        <v/>
      </c>
      <c r="C136" s="81">
        <f>IFERROR(__xludf.DUMMYFUNCTION("""COMPUTED_VALUE"""),43627.0)</f>
        <v>43627</v>
      </c>
      <c r="D136" s="62" t="str">
        <f>IFERROR(__xludf.DUMMYFUNCTION("""COMPUTED_VALUE"""),"Yes")</f>
        <v>Yes</v>
      </c>
      <c r="E136" s="62" t="str">
        <f>IFERROR(__xludf.DUMMYFUNCTION("""COMPUTED_VALUE"""),"Variant Pathogenicity")</f>
        <v>Variant Pathogenicity</v>
      </c>
      <c r="F136" s="62" t="str">
        <f>IFERROR(__xludf.DUMMYFUNCTION("""COMPUTED_VALUE"""),"Monogenic Diabetes")</f>
        <v>Monogenic Diabetes</v>
      </c>
      <c r="G136" s="62" t="str">
        <f>IFERROR(__xludf.DUMMYFUNCTION("""COMPUTED_VALUE"""),"Suvina To")</f>
        <v>Suvina To</v>
      </c>
      <c r="H136" s="62" t="str">
        <f>IFERROR(__xludf.DUMMYFUNCTION("""COMPUTED_VALUE"""),"suvina@gmail.com")</f>
        <v>suvina@gmail.com</v>
      </c>
      <c r="I136" s="62" t="str">
        <f>IFERROR(__xludf.DUMMYFUNCTION("""COMPUTED_VALUE"""),"Variant Analyst/Scientist - Industry")</f>
        <v>Variant Analyst/Scientist - Industry</v>
      </c>
      <c r="J136" s="62"/>
      <c r="K136" s="62" t="str">
        <f>IFERROR(__xludf.DUMMYFUNCTION("""COMPUTED_VALUE"""),"Variant Pathogenicity")</f>
        <v>Variant Pathogenicity</v>
      </c>
      <c r="L136" s="62"/>
      <c r="M136" s="62"/>
      <c r="N136" s="62"/>
      <c r="O136" s="62"/>
      <c r="P136" s="62"/>
      <c r="Q136" s="62"/>
      <c r="R136" s="62"/>
      <c r="S136" s="62"/>
      <c r="T136" s="62"/>
      <c r="U136" s="62"/>
      <c r="V136" s="62"/>
      <c r="W136" s="62"/>
      <c r="X136" s="62"/>
      <c r="Y136" s="62"/>
      <c r="Z136" s="62"/>
    </row>
    <row r="137">
      <c r="A137" s="62" t="str">
        <f>IFERROR(__xludf.DUMMYFUNCTION("""COMPUTED_VALUE"""),"Assigned")</f>
        <v>Assigned</v>
      </c>
      <c r="B137" s="62" t="str">
        <f>IFERROR(__xludf.DUMMYFUNCTION("""COMPUTED_VALUE"""),"")</f>
        <v/>
      </c>
      <c r="C137" s="77">
        <f>IFERROR(__xludf.DUMMYFUNCTION("""COMPUTED_VALUE"""),43608.0)</f>
        <v>43608</v>
      </c>
      <c r="D137" s="62" t="str">
        <f>IFERROR(__xludf.DUMMYFUNCTION("""COMPUTED_VALUE"""),"Yes")</f>
        <v>Yes</v>
      </c>
      <c r="E137" s="62" t="str">
        <f>IFERROR(__xludf.DUMMYFUNCTION("""COMPUTED_VALUE"""),"Variant Pathogenicity")</f>
        <v>Variant Pathogenicity</v>
      </c>
      <c r="F137" s="62" t="str">
        <f>IFERROR(__xludf.DUMMYFUNCTION("""COMPUTED_VALUE"""),"ACADVL")</f>
        <v>ACADVL</v>
      </c>
      <c r="G137" s="62" t="str">
        <f>IFERROR(__xludf.DUMMYFUNCTION("""COMPUTED_VALUE"""),"Lemuel Racacho")</f>
        <v>Lemuel Racacho</v>
      </c>
      <c r="H137" s="62" t="str">
        <f>IFERROR(__xludf.DUMMYFUNCTION("""COMPUTED_VALUE"""),"lracacho@cheo.on.ca")</f>
        <v>lracacho@cheo.on.ca</v>
      </c>
      <c r="I137" s="62" t="str">
        <f>IFERROR(__xludf.DUMMYFUNCTION("""COMPUTED_VALUE"""),"Post Doc/Resident/Fellow (MD and/or PhD)")</f>
        <v>Post Doc/Resident/Fellow (MD and/or PhD)</v>
      </c>
      <c r="J137" s="62"/>
      <c r="K137" s="62" t="str">
        <f>IFERROR(__xludf.DUMMYFUNCTION("""COMPUTED_VALUE"""),"Variant Pathogenicity")</f>
        <v>Variant Pathogenicity</v>
      </c>
      <c r="L137" s="62"/>
      <c r="M137" s="62"/>
      <c r="N137" s="62"/>
      <c r="O137" s="62"/>
      <c r="P137" s="62"/>
      <c r="Q137" s="62"/>
      <c r="R137" s="62"/>
      <c r="S137" s="62"/>
      <c r="T137" s="62"/>
      <c r="U137" s="62"/>
      <c r="V137" s="62"/>
      <c r="W137" s="62"/>
      <c r="X137" s="62"/>
      <c r="Y137" s="62"/>
      <c r="Z137" s="62"/>
    </row>
    <row r="138">
      <c r="A138" s="62" t="str">
        <f>IFERROR(__xludf.DUMMYFUNCTION("""COMPUTED_VALUE"""),"Contacted")</f>
        <v>Contacted</v>
      </c>
      <c r="B138" s="81">
        <f>IFERROR(__xludf.DUMMYFUNCTION("""COMPUTED_VALUE"""),43819.0)</f>
        <v>43819</v>
      </c>
      <c r="C138" s="62" t="str">
        <f>IFERROR(__xludf.DUMMYFUNCTION("""COMPUTED_VALUE"""),"")</f>
        <v/>
      </c>
      <c r="D138" s="62" t="str">
        <f>IFERROR(__xludf.DUMMYFUNCTION("""COMPUTED_VALUE"""),"No")</f>
        <v>No</v>
      </c>
      <c r="E138" s="62" t="str">
        <f>IFERROR(__xludf.DUMMYFUNCTION("""COMPUTED_VALUE"""),"Gene Disease Validity")</f>
        <v>Gene Disease Validity</v>
      </c>
      <c r="F138" s="62" t="str">
        <f>IFERROR(__xludf.DUMMYFUNCTION("""COMPUTED_VALUE"""),"")</f>
        <v/>
      </c>
      <c r="G138" s="62" t="str">
        <f>IFERROR(__xludf.DUMMYFUNCTION("""COMPUTED_VALUE"""),"Bo Yuan")</f>
        <v>Bo Yuan</v>
      </c>
      <c r="H138" s="62" t="str">
        <f>IFERROR(__xludf.DUMMYFUNCTION("""COMPUTED_VALUE"""),"by2@bcm.edu")</f>
        <v>by2@bcm.edu</v>
      </c>
      <c r="I138" s="62" t="str">
        <f>IFERROR(__xludf.DUMMYFUNCTION("""COMPUTED_VALUE"""),"Clinical laboratory geneticist")</f>
        <v>Clinical laboratory geneticist</v>
      </c>
      <c r="J138" s="62"/>
      <c r="K138" s="62" t="str">
        <f>IFERROR(__xludf.DUMMYFUNCTION("""COMPUTED_VALUE"""),"Gene-Disease Validity")</f>
        <v>Gene-Disease Validity</v>
      </c>
      <c r="L138" s="62"/>
      <c r="M138" s="62"/>
      <c r="N138" s="62"/>
      <c r="O138" s="62"/>
      <c r="P138" s="62"/>
      <c r="Q138" s="62"/>
      <c r="R138" s="62"/>
      <c r="S138" s="62"/>
      <c r="T138" s="62"/>
      <c r="U138" s="62"/>
      <c r="V138" s="62"/>
      <c r="W138" s="62"/>
      <c r="X138" s="62"/>
      <c r="Y138" s="62"/>
      <c r="Z138" s="62"/>
    </row>
    <row r="139">
      <c r="A139" s="62" t="str">
        <f>IFERROR(__xludf.DUMMYFUNCTION("""COMPUTED_VALUE"""),"Contacted")</f>
        <v>Contacted</v>
      </c>
      <c r="B139" s="81">
        <f>IFERROR(__xludf.DUMMYFUNCTION("""COMPUTED_VALUE"""),43819.0)</f>
        <v>43819</v>
      </c>
      <c r="C139" s="62" t="str">
        <f>IFERROR(__xludf.DUMMYFUNCTION("""COMPUTED_VALUE"""),"")</f>
        <v/>
      </c>
      <c r="D139" s="62" t="str">
        <f>IFERROR(__xludf.DUMMYFUNCTION("""COMPUTED_VALUE"""),"No")</f>
        <v>No</v>
      </c>
      <c r="E139" s="62" t="str">
        <f>IFERROR(__xludf.DUMMYFUNCTION("""COMPUTED_VALUE"""),"Gene Disease Validity")</f>
        <v>Gene Disease Validity</v>
      </c>
      <c r="F139" s="62" t="str">
        <f>IFERROR(__xludf.DUMMYFUNCTION("""COMPUTED_VALUE"""),"")</f>
        <v/>
      </c>
      <c r="G139" s="62" t="str">
        <f>IFERROR(__xludf.DUMMYFUNCTION("""COMPUTED_VALUE"""),"Avinash Dharmadhikari")</f>
        <v>Avinash Dharmadhikari</v>
      </c>
      <c r="H139" s="62" t="str">
        <f>IFERROR(__xludf.DUMMYFUNCTION("""COMPUTED_VALUE"""),"avd2129@cumc.columbia.edu")</f>
        <v>avd2129@cumc.columbia.edu</v>
      </c>
      <c r="I139" s="62" t="str">
        <f>IFERROR(__xludf.DUMMYFUNCTION("""COMPUTED_VALUE"""),"Post Doc/Resident/Fellow (MD and/or PhD)")</f>
        <v>Post Doc/Resident/Fellow (MD and/or PhD)</v>
      </c>
      <c r="J139" s="62"/>
      <c r="K139" s="62" t="str">
        <f>IFERROR(__xludf.DUMMYFUNCTION("""COMPUTED_VALUE"""),"Gene-Disease Validity")</f>
        <v>Gene-Disease Validity</v>
      </c>
      <c r="L139" s="62"/>
      <c r="M139" s="62"/>
      <c r="N139" s="62"/>
      <c r="O139" s="62"/>
      <c r="P139" s="62"/>
      <c r="Q139" s="62"/>
      <c r="R139" s="62"/>
      <c r="S139" s="62"/>
      <c r="T139" s="62"/>
      <c r="U139" s="62"/>
      <c r="V139" s="62"/>
      <c r="W139" s="62"/>
      <c r="X139" s="62"/>
      <c r="Y139" s="62"/>
      <c r="Z139" s="62"/>
    </row>
    <row r="140">
      <c r="A140" s="62" t="str">
        <f>IFERROR(__xludf.DUMMYFUNCTION("""COMPUTED_VALUE"""),"Unresponsive")</f>
        <v>Unresponsive</v>
      </c>
      <c r="B140" s="62" t="str">
        <f>IFERROR(__xludf.DUMMYFUNCTION("""COMPUTED_VALUE"""),"")</f>
        <v/>
      </c>
      <c r="C140" s="62" t="str">
        <f>IFERROR(__xludf.DUMMYFUNCTION("""COMPUTED_VALUE"""),"")</f>
        <v/>
      </c>
      <c r="D140" s="62" t="str">
        <f>IFERROR(__xludf.DUMMYFUNCTION("""COMPUTED_VALUE"""),"No")</f>
        <v>No</v>
      </c>
      <c r="E140" s="62" t="str">
        <f>IFERROR(__xludf.DUMMYFUNCTION("""COMPUTED_VALUE"""),"Variant Pathogenicity")</f>
        <v>Variant Pathogenicity</v>
      </c>
      <c r="F140" s="62" t="str">
        <f>IFERROR(__xludf.DUMMYFUNCTION("""COMPUTED_VALUE"""),"")</f>
        <v/>
      </c>
      <c r="G140" s="62" t="str">
        <f>IFERROR(__xludf.DUMMYFUNCTION("""COMPUTED_VALUE"""),"Sara Fitzgerald-Butt")</f>
        <v>Sara Fitzgerald-Butt</v>
      </c>
      <c r="H140" s="62" t="str">
        <f>IFERROR(__xludf.DUMMYFUNCTION("""COMPUTED_VALUE"""),"sfitzge@iu.edu")</f>
        <v>sfitzge@iu.edu</v>
      </c>
      <c r="I140" s="62" t="str">
        <f>IFERROR(__xludf.DUMMYFUNCTION("""COMPUTED_VALUE"""),"Genetic counselor")</f>
        <v>Genetic counselor</v>
      </c>
      <c r="J140" s="62"/>
      <c r="K140" s="62" t="str">
        <f>IFERROR(__xludf.DUMMYFUNCTION("""COMPUTED_VALUE"""),"Variant Pathogenicity")</f>
        <v>Variant Pathogenicity</v>
      </c>
      <c r="L140" s="62"/>
      <c r="M140" s="62"/>
      <c r="N140" s="62"/>
      <c r="O140" s="62"/>
      <c r="P140" s="62"/>
      <c r="Q140" s="62"/>
      <c r="R140" s="62"/>
      <c r="S140" s="62"/>
      <c r="T140" s="62"/>
      <c r="U140" s="62"/>
      <c r="V140" s="62"/>
      <c r="W140" s="62"/>
      <c r="X140" s="62"/>
      <c r="Y140" s="62"/>
      <c r="Z140" s="62"/>
    </row>
    <row r="141">
      <c r="A141" s="62" t="str">
        <f>IFERROR(__xludf.DUMMYFUNCTION("""COMPUTED_VALUE"""),"Assigned")</f>
        <v>Assigned</v>
      </c>
      <c r="B141" s="62" t="str">
        <f>IFERROR(__xludf.DUMMYFUNCTION("""COMPUTED_VALUE"""),"")</f>
        <v/>
      </c>
      <c r="C141" s="77">
        <f>IFERROR(__xludf.DUMMYFUNCTION("""COMPUTED_VALUE"""),43608.0)</f>
        <v>43608</v>
      </c>
      <c r="D141" s="62" t="str">
        <f>IFERROR(__xludf.DUMMYFUNCTION("""COMPUTED_VALUE"""),"Yes")</f>
        <v>Yes</v>
      </c>
      <c r="E141" s="62" t="str">
        <f>IFERROR(__xludf.DUMMYFUNCTION("""COMPUTED_VALUE"""),"Variant Pathogenicity")</f>
        <v>Variant Pathogenicity</v>
      </c>
      <c r="F141" s="62" t="str">
        <f>IFERROR(__xludf.DUMMYFUNCTION("""COMPUTED_VALUE"""),"Platelet Disorders")</f>
        <v>Platelet Disorders</v>
      </c>
      <c r="G141" s="62" t="str">
        <f>IFERROR(__xludf.DUMMYFUNCTION("""COMPUTED_VALUE"""),"Samya Chakravorty")</f>
        <v>Samya Chakravorty</v>
      </c>
      <c r="H141" s="62" t="str">
        <f>IFERROR(__xludf.DUMMYFUNCTION("""COMPUTED_VALUE"""),"samya.chakravorty@emory.edu")</f>
        <v>samya.chakravorty@emory.edu</v>
      </c>
      <c r="I141" s="62" t="str">
        <f>IFERROR(__xludf.DUMMYFUNCTION("""COMPUTED_VALUE"""),"Scientific Researcher")</f>
        <v>Scientific Researcher</v>
      </c>
      <c r="J141" s="62"/>
      <c r="K141" s="62" t="str">
        <f>IFERROR(__xludf.DUMMYFUNCTION("""COMPUTED_VALUE"""),"Variant Pathogenicity")</f>
        <v>Variant Pathogenicity</v>
      </c>
      <c r="L141" s="62"/>
      <c r="M141" s="62"/>
      <c r="N141" s="62"/>
      <c r="O141" s="62"/>
      <c r="P141" s="62"/>
      <c r="Q141" s="62"/>
      <c r="R141" s="62"/>
      <c r="S141" s="62"/>
      <c r="T141" s="62"/>
      <c r="U141" s="62"/>
      <c r="V141" s="62"/>
      <c r="W141" s="62"/>
      <c r="X141" s="62"/>
      <c r="Y141" s="62"/>
      <c r="Z141" s="62"/>
    </row>
    <row r="142">
      <c r="A142" s="62" t="str">
        <f>IFERROR(__xludf.DUMMYFUNCTION("""COMPUTED_VALUE"""),"Assigned")</f>
        <v>Assigned</v>
      </c>
      <c r="B142" s="77">
        <f>IFERROR(__xludf.DUMMYFUNCTION("""COMPUTED_VALUE"""),43787.0)</f>
        <v>43787</v>
      </c>
      <c r="C142" s="62" t="str">
        <f>IFERROR(__xludf.DUMMYFUNCTION("""COMPUTED_VALUE"""),"")</f>
        <v/>
      </c>
      <c r="D142" s="62" t="str">
        <f>IFERROR(__xludf.DUMMYFUNCTION("""COMPUTED_VALUE"""),"No")</f>
        <v>No</v>
      </c>
      <c r="E142" s="62" t="str">
        <f>IFERROR(__xludf.DUMMYFUNCTION("""COMPUTED_VALUE"""),"Actionability")</f>
        <v>Actionability</v>
      </c>
      <c r="F142" s="62" t="str">
        <f>IFERROR(__xludf.DUMMYFUNCTION("""COMPUTED_VALUE"""),"")</f>
        <v/>
      </c>
      <c r="G142" s="62" t="str">
        <f>IFERROR(__xludf.DUMMYFUNCTION("""COMPUTED_VALUE"""),"Fareed Al Qusous")</f>
        <v>Fareed Al Qusous</v>
      </c>
      <c r="H142" s="62" t="str">
        <f>IFERROR(__xludf.DUMMYFUNCTION("""COMPUTED_VALUE"""),"Fareedh.al.qusous@hotmail.com")</f>
        <v>Fareedh.al.qusous@hotmail.com</v>
      </c>
      <c r="I142" s="62" t="str">
        <f>IFERROR(__xludf.DUMMYFUNCTION("""COMPUTED_VALUE"""),"Undergraduate Student")</f>
        <v>Undergraduate Student</v>
      </c>
      <c r="J142" s="62"/>
      <c r="K142" s="62" t="str">
        <f>IFERROR(__xludf.DUMMYFUNCTION("""COMPUTED_VALUE"""),"Clinical Actionability")</f>
        <v>Clinical Actionability</v>
      </c>
      <c r="L142" s="62"/>
      <c r="M142" s="62"/>
      <c r="N142" s="62"/>
      <c r="O142" s="62"/>
      <c r="P142" s="62"/>
      <c r="Q142" s="62"/>
      <c r="R142" s="62"/>
      <c r="S142" s="62"/>
      <c r="T142" s="62"/>
      <c r="U142" s="62"/>
      <c r="V142" s="62"/>
      <c r="W142" s="62"/>
      <c r="X142" s="62"/>
      <c r="Y142" s="62"/>
      <c r="Z142" s="62"/>
    </row>
    <row r="143">
      <c r="A143" s="62" t="str">
        <f>IFERROR(__xludf.DUMMYFUNCTION("""COMPUTED_VALUE"""),"Contacted")</f>
        <v>Contacted</v>
      </c>
      <c r="B143" s="62" t="str">
        <f>IFERROR(__xludf.DUMMYFUNCTION("""COMPUTED_VALUE"""),"")</f>
        <v/>
      </c>
      <c r="C143" s="77">
        <f>IFERROR(__xludf.DUMMYFUNCTION("""COMPUTED_VALUE"""),43692.0)</f>
        <v>43692</v>
      </c>
      <c r="D143" s="62" t="str">
        <f>IFERROR(__xludf.DUMMYFUNCTION("""COMPUTED_VALUE"""),"Yes")</f>
        <v>Yes</v>
      </c>
      <c r="E143" s="62" t="str">
        <f>IFERROR(__xludf.DUMMYFUNCTION("""COMPUTED_VALUE"""),"Gene Disease Validity")</f>
        <v>Gene Disease Validity</v>
      </c>
      <c r="F143" s="62" t="str">
        <f>IFERROR(__xludf.DUMMYFUNCTION("""COMPUTED_VALUE"""),"")</f>
        <v/>
      </c>
      <c r="G143" s="62" t="str">
        <f>IFERROR(__xludf.DUMMYFUNCTION("""COMPUTED_VALUE"""),"Alison Bright")</f>
        <v>Alison Bright</v>
      </c>
      <c r="H143" s="62" t="str">
        <f>IFERROR(__xludf.DUMMYFUNCTION("""COMPUTED_VALUE"""),"alison.r.bright@questdiagnostics.com")</f>
        <v>alison.r.bright@questdiagnostics.com</v>
      </c>
      <c r="I143" s="62" t="str">
        <f>IFERROR(__xludf.DUMMYFUNCTION("""COMPUTED_VALUE"""),"Variant Analyst/Scientist - Industry")</f>
        <v>Variant Analyst/Scientist - Industry</v>
      </c>
      <c r="J143" s="62"/>
      <c r="K143" s="62" t="str">
        <f>IFERROR(__xludf.DUMMYFUNCTION("""COMPUTED_VALUE"""),"Gene-Disease Validity")</f>
        <v>Gene-Disease Validity</v>
      </c>
      <c r="L143" s="62"/>
      <c r="M143" s="62"/>
      <c r="N143" s="62"/>
      <c r="O143" s="62"/>
      <c r="P143" s="62"/>
      <c r="Q143" s="62"/>
      <c r="R143" s="62"/>
      <c r="S143" s="62"/>
      <c r="T143" s="62"/>
      <c r="U143" s="62"/>
      <c r="V143" s="62"/>
      <c r="W143" s="62"/>
      <c r="X143" s="62"/>
      <c r="Y143" s="62"/>
      <c r="Z143" s="62"/>
    </row>
    <row r="144">
      <c r="A144" s="62" t="str">
        <f>IFERROR(__xludf.DUMMYFUNCTION("""COMPUTED_VALUE"""),"Contacted")</f>
        <v>Contacted</v>
      </c>
      <c r="B144" s="81">
        <f>IFERROR(__xludf.DUMMYFUNCTION("""COMPUTED_VALUE"""),43819.0)</f>
        <v>43819</v>
      </c>
      <c r="C144" s="106">
        <f>IFERROR(__xludf.DUMMYFUNCTION("""COMPUTED_VALUE"""),43859.0)</f>
        <v>43859</v>
      </c>
      <c r="D144" s="62" t="str">
        <f>IFERROR(__xludf.DUMMYFUNCTION("""COMPUTED_VALUE"""),"Yes")</f>
        <v>Yes</v>
      </c>
      <c r="E144" s="62" t="str">
        <f>IFERROR(__xludf.DUMMYFUNCTION("""COMPUTED_VALUE"""),"Variant Pathogenicity")</f>
        <v>Variant Pathogenicity</v>
      </c>
      <c r="F144" s="62" t="str">
        <f>IFERROR(__xludf.DUMMYFUNCTION("""COMPUTED_VALUE"""),"")</f>
        <v/>
      </c>
      <c r="G144" s="62" t="str">
        <f>IFERROR(__xludf.DUMMYFUNCTION("""COMPUTED_VALUE"""),"Chloe Whitten")</f>
        <v>Chloe Whitten</v>
      </c>
      <c r="H144" s="62" t="str">
        <f>IFERROR(__xludf.DUMMYFUNCTION("""COMPUTED_VALUE"""),"cwhitten@ambrygen.com")</f>
        <v>cwhitten@ambrygen.com</v>
      </c>
      <c r="I144" s="62" t="str">
        <f>IFERROR(__xludf.DUMMYFUNCTION("""COMPUTED_VALUE"""),"Recent graduate, can help with more admin tasks")</f>
        <v>Recent graduate, can help with more admin tasks</v>
      </c>
      <c r="J144" s="62"/>
      <c r="K144" s="62" t="str">
        <f>IFERROR(__xludf.DUMMYFUNCTION("""COMPUTED_VALUE"""),"Variant Pathogenicity")</f>
        <v>Variant Pathogenicity</v>
      </c>
      <c r="L144" s="62"/>
      <c r="M144" s="62"/>
      <c r="N144" s="62"/>
      <c r="O144" s="62"/>
      <c r="P144" s="62"/>
      <c r="Q144" s="62"/>
      <c r="R144" s="62"/>
      <c r="S144" s="62"/>
      <c r="T144" s="62"/>
      <c r="U144" s="62"/>
      <c r="V144" s="62"/>
      <c r="W144" s="62"/>
      <c r="X144" s="62"/>
      <c r="Y144" s="62"/>
      <c r="Z144" s="62"/>
    </row>
    <row r="145">
      <c r="A145" s="62" t="str">
        <f>IFERROR(__xludf.DUMMYFUNCTION("""COMPUTED_VALUE"""),"Contacted")</f>
        <v>Contacted</v>
      </c>
      <c r="B145" s="62" t="str">
        <f>IFERROR(__xludf.DUMMYFUNCTION("""COMPUTED_VALUE"""),"")</f>
        <v/>
      </c>
      <c r="C145" s="105">
        <f>IFERROR(__xludf.DUMMYFUNCTION("""COMPUTED_VALUE"""),43581.0)</f>
        <v>43581</v>
      </c>
      <c r="D145" s="62" t="str">
        <f>IFERROR(__xludf.DUMMYFUNCTION("""COMPUTED_VALUE"""),"Yes")</f>
        <v>Yes</v>
      </c>
      <c r="E145" s="62" t="str">
        <f>IFERROR(__xludf.DUMMYFUNCTION("""COMPUTED_VALUE"""),"Somatic Cancer")</f>
        <v>Somatic Cancer</v>
      </c>
      <c r="F145" s="62" t="str">
        <f>IFERROR(__xludf.DUMMYFUNCTION("""COMPUTED_VALUE"""),"")</f>
        <v/>
      </c>
      <c r="G145" s="62" t="str">
        <f>IFERROR(__xludf.DUMMYFUNCTION("""COMPUTED_VALUE"""),"Ying Zou")</f>
        <v>Ying Zou</v>
      </c>
      <c r="H145" s="62" t="str">
        <f>IFERROR(__xludf.DUMMYFUNCTION("""COMPUTED_VALUE""")," yzou19@jhmi.edu")</f>
        <v> yzou19@jhmi.edu</v>
      </c>
      <c r="I145" s="62" t="str">
        <f>IFERROR(__xludf.DUMMYFUNCTION("""COMPUTED_VALUE"""),"Clinical laboratory geneticist")</f>
        <v>Clinical laboratory geneticist</v>
      </c>
      <c r="J145" s="62"/>
      <c r="K145" s="62" t="str">
        <f>IFERROR(__xludf.DUMMYFUNCTION("""COMPUTED_VALUE"""),"Somatic Cancer")</f>
        <v>Somatic Cancer</v>
      </c>
      <c r="L145" s="62"/>
      <c r="M145" s="62"/>
      <c r="N145" s="62"/>
      <c r="O145" s="62"/>
      <c r="P145" s="62"/>
      <c r="Q145" s="62"/>
      <c r="R145" s="62"/>
      <c r="S145" s="62"/>
      <c r="T145" s="62"/>
      <c r="U145" s="62"/>
      <c r="V145" s="62"/>
      <c r="W145" s="62"/>
      <c r="X145" s="62"/>
      <c r="Y145" s="62"/>
      <c r="Z145" s="62"/>
    </row>
    <row r="146">
      <c r="A146" s="62" t="str">
        <f>IFERROR(__xludf.DUMMYFUNCTION("""COMPUTED_VALUE"""),"Unresponsive")</f>
        <v>Unresponsive</v>
      </c>
      <c r="B146" s="62" t="str">
        <f>IFERROR(__xludf.DUMMYFUNCTION("""COMPUTED_VALUE"""),"")</f>
        <v/>
      </c>
      <c r="C146" s="77">
        <f>IFERROR(__xludf.DUMMYFUNCTION("""COMPUTED_VALUE"""),43570.0)</f>
        <v>43570</v>
      </c>
      <c r="D146" s="62" t="str">
        <f>IFERROR(__xludf.DUMMYFUNCTION("""COMPUTED_VALUE"""),"Yes")</f>
        <v>Yes</v>
      </c>
      <c r="E146" s="62" t="str">
        <f>IFERROR(__xludf.DUMMYFUNCTION("""COMPUTED_VALUE"""),"NA")</f>
        <v>NA</v>
      </c>
      <c r="F146" s="62" t="str">
        <f>IFERROR(__xludf.DUMMYFUNCTION("""COMPUTED_VALUE"""),"")</f>
        <v/>
      </c>
      <c r="G146" s="62" t="str">
        <f>IFERROR(__xludf.DUMMYFUNCTION("""COMPUTED_VALUE"""),"JIXIA LIU")</f>
        <v>JIXIA LIU</v>
      </c>
      <c r="H146" s="62" t="str">
        <f>IFERROR(__xludf.DUMMYFUNCTION("""COMPUTED_VALUE"""),"jixialiu@gmail.com")</f>
        <v>jixialiu@gmail.com</v>
      </c>
      <c r="I146" s="62" t="str">
        <f>IFERROR(__xludf.DUMMYFUNCTION("""COMPUTED_VALUE"""),"Clinical Variant Curator")</f>
        <v>Clinical Variant Curator</v>
      </c>
      <c r="J146" s="62"/>
      <c r="K146" s="62" t="str">
        <f>IFERROR(__xludf.DUMMYFUNCTION("""COMPUTED_VALUE"""),"Gene-Disease Validity")</f>
        <v>Gene-Disease Validity</v>
      </c>
      <c r="L146" s="62"/>
      <c r="M146" s="62"/>
      <c r="N146" s="62"/>
      <c r="O146" s="62"/>
      <c r="P146" s="62"/>
      <c r="Q146" s="62"/>
      <c r="R146" s="62"/>
      <c r="S146" s="62"/>
      <c r="T146" s="62"/>
      <c r="U146" s="62"/>
      <c r="V146" s="62"/>
      <c r="W146" s="62"/>
      <c r="X146" s="62"/>
      <c r="Y146" s="62"/>
      <c r="Z146" s="62"/>
    </row>
    <row r="147">
      <c r="A147" s="62" t="str">
        <f>IFERROR(__xludf.DUMMYFUNCTION("""COMPUTED_VALUE"""),"Assigned")</f>
        <v>Assigned</v>
      </c>
      <c r="B147" s="62" t="str">
        <f>IFERROR(__xludf.DUMMYFUNCTION("""COMPUTED_VALUE"""),"")</f>
        <v/>
      </c>
      <c r="C147" s="81">
        <f>IFERROR(__xludf.DUMMYFUNCTION("""COMPUTED_VALUE"""),43605.0)</f>
        <v>43605</v>
      </c>
      <c r="D147" s="62" t="str">
        <f>IFERROR(__xludf.DUMMYFUNCTION("""COMPUTED_VALUE"""),"Yes")</f>
        <v>Yes</v>
      </c>
      <c r="E147" s="62" t="str">
        <f>IFERROR(__xludf.DUMMYFUNCTION("""COMPUTED_VALUE"""),"Variant Pathogenicity")</f>
        <v>Variant Pathogenicity</v>
      </c>
      <c r="F147" s="62" t="str">
        <f>IFERROR(__xludf.DUMMYFUNCTION("""COMPUTED_VALUE"""),"RYR1")</f>
        <v>RYR1</v>
      </c>
      <c r="G147" s="62" t="str">
        <f>IFERROR(__xludf.DUMMYFUNCTION("""COMPUTED_VALUE"""),"Catherine Driscoll")</f>
        <v>Catherine Driscoll</v>
      </c>
      <c r="H147" s="62" t="str">
        <f>IFERROR(__xludf.DUMMYFUNCTION("""COMPUTED_VALUE"""),"kate.driscoll@nih.gov")</f>
        <v>kate.driscoll@nih.gov</v>
      </c>
      <c r="I147" s="62" t="str">
        <f>IFERROR(__xludf.DUMMYFUNCTION("""COMPUTED_VALUE"""),"Clinical laboratory geneticist")</f>
        <v>Clinical laboratory geneticist</v>
      </c>
      <c r="J147" s="62"/>
      <c r="K147" s="62" t="str">
        <f>IFERROR(__xludf.DUMMYFUNCTION("""COMPUTED_VALUE"""),"Variant Pathogenicity")</f>
        <v>Variant Pathogenicity</v>
      </c>
      <c r="L147" s="62"/>
      <c r="M147" s="62"/>
      <c r="N147" s="62"/>
      <c r="O147" s="62"/>
      <c r="P147" s="62"/>
      <c r="Q147" s="62"/>
      <c r="R147" s="62"/>
      <c r="S147" s="62"/>
      <c r="T147" s="62"/>
      <c r="U147" s="62"/>
      <c r="V147" s="62"/>
      <c r="W147" s="62"/>
      <c r="X147" s="62"/>
      <c r="Y147" s="62"/>
      <c r="Z147" s="62"/>
    </row>
    <row r="148">
      <c r="A148" s="62" t="str">
        <f>IFERROR(__xludf.DUMMYFUNCTION("""COMPUTED_VALUE"""),"Contacted")</f>
        <v>Contacted</v>
      </c>
      <c r="B148" s="81">
        <f>IFERROR(__xludf.DUMMYFUNCTION("""COMPUTED_VALUE"""),43689.0)</f>
        <v>43689</v>
      </c>
      <c r="C148" s="81">
        <f>IFERROR(__xludf.DUMMYFUNCTION("""COMPUTED_VALUE"""),43768.0)</f>
        <v>43768</v>
      </c>
      <c r="D148" s="62" t="str">
        <f>IFERROR(__xludf.DUMMYFUNCTION("""COMPUTED_VALUE"""),"Yes")</f>
        <v>Yes</v>
      </c>
      <c r="E148" s="62" t="str">
        <f>IFERROR(__xludf.DUMMYFUNCTION("""COMPUTED_VALUE"""),"Actionability")</f>
        <v>Actionability</v>
      </c>
      <c r="F148" s="62" t="str">
        <f>IFERROR(__xludf.DUMMYFUNCTION("""COMPUTED_VALUE"""),"Actionability")</f>
        <v>Actionability</v>
      </c>
      <c r="G148" s="62" t="str">
        <f>IFERROR(__xludf.DUMMYFUNCTION("""COMPUTED_VALUE"""),"Gifty Bhat")</f>
        <v>Gifty Bhat</v>
      </c>
      <c r="H148" s="62" t="str">
        <f>IFERROR(__xludf.DUMMYFUNCTION("""COMPUTED_VALUE"""),"drgiftybhat@gmail.com")</f>
        <v>drgiftybhat@gmail.com</v>
      </c>
      <c r="I148" s="62" t="str">
        <f>IFERROR(__xludf.DUMMYFUNCTION("""COMPUTED_VALUE"""),"Clinical Medical Geneticist")</f>
        <v>Clinical Medical Geneticist</v>
      </c>
      <c r="J148" s="62"/>
      <c r="K148" s="62" t="str">
        <f>IFERROR(__xludf.DUMMYFUNCTION("""COMPUTED_VALUE"""),"Clinical Actionability")</f>
        <v>Clinical Actionability</v>
      </c>
      <c r="L148" s="62"/>
      <c r="M148" s="62"/>
      <c r="N148" s="62"/>
      <c r="O148" s="62"/>
      <c r="P148" s="62"/>
      <c r="Q148" s="62"/>
      <c r="R148" s="62"/>
      <c r="S148" s="62"/>
      <c r="T148" s="62"/>
      <c r="U148" s="62"/>
      <c r="V148" s="62"/>
      <c r="W148" s="62"/>
      <c r="X148" s="62"/>
      <c r="Y148" s="62"/>
      <c r="Z148" s="62"/>
    </row>
    <row r="149">
      <c r="A149" s="62" t="str">
        <f>IFERROR(__xludf.DUMMYFUNCTION("""COMPUTED_VALUE"""),"Assigned")</f>
        <v>Assigned</v>
      </c>
      <c r="B149" s="62" t="str">
        <f>IFERROR(__xludf.DUMMYFUNCTION("""COMPUTED_VALUE"""),"")</f>
        <v/>
      </c>
      <c r="C149" s="81">
        <f>IFERROR(__xludf.DUMMYFUNCTION("""COMPUTED_VALUE"""),43608.0)</f>
        <v>43608</v>
      </c>
      <c r="D149" s="62" t="str">
        <f>IFERROR(__xludf.DUMMYFUNCTION("""COMPUTED_VALUE"""),"Yes")</f>
        <v>Yes</v>
      </c>
      <c r="E149" s="62" t="str">
        <f>IFERROR(__xludf.DUMMYFUNCTION("""COMPUTED_VALUE"""),"Variant Pathogenicity")</f>
        <v>Variant Pathogenicity</v>
      </c>
      <c r="F149" s="62" t="str">
        <f>IFERROR(__xludf.DUMMYFUNCTION("""COMPUTED_VALUE"""),"Brain Malformations")</f>
        <v>Brain Malformations</v>
      </c>
      <c r="G149" s="62" t="str">
        <f>IFERROR(__xludf.DUMMYFUNCTION("""COMPUTED_VALUE"""),"Ashley Marsh")</f>
        <v>Ashley Marsh</v>
      </c>
      <c r="H149" s="62" t="str">
        <f>IFERROR(__xludf.DUMMYFUNCTION("""COMPUTED_VALUE"""),"amarsh@ucsd.edu")</f>
        <v>amarsh@ucsd.edu</v>
      </c>
      <c r="I149" s="62" t="str">
        <f>IFERROR(__xludf.DUMMYFUNCTION("""COMPUTED_VALUE"""),"Post Doc/Resident/Fellow (MD and/or PhD)")</f>
        <v>Post Doc/Resident/Fellow (MD and/or PhD)</v>
      </c>
      <c r="J149" s="62"/>
      <c r="K149" s="62" t="str">
        <f>IFERROR(__xludf.DUMMYFUNCTION("""COMPUTED_VALUE"""),"Variant Pathogenicity")</f>
        <v>Variant Pathogenicity</v>
      </c>
      <c r="L149" s="62"/>
      <c r="M149" s="62"/>
      <c r="N149" s="62"/>
      <c r="O149" s="62"/>
      <c r="P149" s="62"/>
      <c r="Q149" s="62"/>
      <c r="R149" s="62"/>
      <c r="S149" s="62"/>
      <c r="T149" s="62"/>
      <c r="U149" s="62"/>
      <c r="V149" s="62"/>
      <c r="W149" s="62"/>
      <c r="X149" s="62"/>
      <c r="Y149" s="62"/>
      <c r="Z149" s="62"/>
    </row>
    <row r="150">
      <c r="A150" s="62" t="str">
        <f>IFERROR(__xludf.DUMMYFUNCTION("""COMPUTED_VALUE"""),"Contacted")</f>
        <v>Contacted</v>
      </c>
      <c r="B150" s="62" t="str">
        <f>IFERROR(__xludf.DUMMYFUNCTION("""COMPUTED_VALUE"""),"")</f>
        <v/>
      </c>
      <c r="C150" s="77">
        <f>IFERROR(__xludf.DUMMYFUNCTION("""COMPUTED_VALUE"""),43585.0)</f>
        <v>43585</v>
      </c>
      <c r="D150" s="62" t="str">
        <f>IFERROR(__xludf.DUMMYFUNCTION("""COMPUTED_VALUE"""),"Yes")</f>
        <v>Yes</v>
      </c>
      <c r="E150" s="62" t="str">
        <f>IFERROR(__xludf.DUMMYFUNCTION("""COMPUTED_VALUE"""),"Gene Disease Validity")</f>
        <v>Gene Disease Validity</v>
      </c>
      <c r="F150" s="62" t="str">
        <f>IFERROR(__xludf.DUMMYFUNCTION("""COMPUTED_VALUE"""),"Monogenic Diabetes")</f>
        <v>Monogenic Diabetes</v>
      </c>
      <c r="G150" s="62" t="str">
        <f>IFERROR(__xludf.DUMMYFUNCTION("""COMPUTED_VALUE"""),"Kevin Colclough")</f>
        <v>Kevin Colclough</v>
      </c>
      <c r="H150" s="62" t="str">
        <f>IFERROR(__xludf.DUMMYFUNCTION("""COMPUTED_VALUE"""),"kevin.colclough@nhs.net")</f>
        <v>kevin.colclough@nhs.net</v>
      </c>
      <c r="I150" s="62" t="str">
        <f>IFERROR(__xludf.DUMMYFUNCTION("""COMPUTED_VALUE"""),"Clinical laboratory geneticist")</f>
        <v>Clinical laboratory geneticist</v>
      </c>
      <c r="J150" s="62"/>
      <c r="K150" s="62" t="str">
        <f>IFERROR(__xludf.DUMMYFUNCTION("""COMPUTED_VALUE"""),"Variant Pathogenicity")</f>
        <v>Variant Pathogenicity</v>
      </c>
      <c r="L150" s="62"/>
      <c r="M150" s="62"/>
      <c r="N150" s="62"/>
      <c r="O150" s="62"/>
      <c r="P150" s="62"/>
      <c r="Q150" s="62"/>
      <c r="R150" s="62"/>
      <c r="S150" s="62"/>
      <c r="T150" s="62"/>
      <c r="U150" s="62"/>
      <c r="V150" s="62"/>
      <c r="W150" s="62"/>
      <c r="X150" s="62"/>
      <c r="Y150" s="62"/>
      <c r="Z150" s="62"/>
    </row>
    <row r="151">
      <c r="A151" s="62" t="str">
        <f>IFERROR(__xludf.DUMMYFUNCTION("""COMPUTED_VALUE"""),"Contacted")</f>
        <v>Contacted</v>
      </c>
      <c r="B151" s="81">
        <f>IFERROR(__xludf.DUMMYFUNCTION("""COMPUTED_VALUE"""),43705.0)</f>
        <v>43705</v>
      </c>
      <c r="C151" s="62" t="str">
        <f>IFERROR(__xludf.DUMMYFUNCTION("""COMPUTED_VALUE"""),"")</f>
        <v/>
      </c>
      <c r="D151" s="62" t="str">
        <f>IFERROR(__xludf.DUMMYFUNCTION("""COMPUTED_VALUE"""),"")</f>
        <v/>
      </c>
      <c r="E151" s="62" t="str">
        <f>IFERROR(__xludf.DUMMYFUNCTION("""COMPUTED_VALUE"""),"Somatic Cancer")</f>
        <v>Somatic Cancer</v>
      </c>
      <c r="F151" s="62" t="str">
        <f>IFERROR(__xludf.DUMMYFUNCTION("""COMPUTED_VALUE"""),"")</f>
        <v/>
      </c>
      <c r="G151" s="62" t="str">
        <f>IFERROR(__xludf.DUMMYFUNCTION("""COMPUTED_VALUE"""),"Erin Sybouts")</f>
        <v>Erin Sybouts</v>
      </c>
      <c r="H151" s="62" t="str">
        <f>IFERROR(__xludf.DUMMYFUNCTION("""COMPUTED_VALUE"""),"sybouts@livemail.uthscsa.edu")</f>
        <v>sybouts@livemail.uthscsa.edu</v>
      </c>
      <c r="I151" s="62" t="str">
        <f>IFERROR(__xludf.DUMMYFUNCTION("""COMPUTED_VALUE"""),"Graduate Student")</f>
        <v>Graduate Student</v>
      </c>
      <c r="J151" s="62"/>
      <c r="K151" s="62" t="str">
        <f>IFERROR(__xludf.DUMMYFUNCTION("""COMPUTED_VALUE"""),"Somatic Cancer")</f>
        <v>Somatic Cancer</v>
      </c>
      <c r="L151" s="62"/>
      <c r="M151" s="62"/>
      <c r="N151" s="62"/>
      <c r="O151" s="62"/>
      <c r="P151" s="62"/>
      <c r="Q151" s="62"/>
      <c r="R151" s="62"/>
      <c r="S151" s="62"/>
      <c r="T151" s="62"/>
      <c r="U151" s="62"/>
      <c r="V151" s="62"/>
      <c r="W151" s="62"/>
      <c r="X151" s="62"/>
      <c r="Y151" s="62"/>
      <c r="Z151" s="62"/>
    </row>
    <row r="152">
      <c r="A152" s="62" t="str">
        <f>IFERROR(__xludf.DUMMYFUNCTION("""COMPUTED_VALUE"""),"Contacted")</f>
        <v>Contacted</v>
      </c>
      <c r="B152" s="62" t="str">
        <f>IFERROR(__xludf.DUMMYFUNCTION("""COMPUTED_VALUE"""),"")</f>
        <v/>
      </c>
      <c r="C152" s="77">
        <f>IFERROR(__xludf.DUMMYFUNCTION("""COMPUTED_VALUE"""),43692.0)</f>
        <v>43692</v>
      </c>
      <c r="D152" s="62" t="str">
        <f>IFERROR(__xludf.DUMMYFUNCTION("""COMPUTED_VALUE"""),"Yes")</f>
        <v>Yes</v>
      </c>
      <c r="E152" s="62" t="str">
        <f>IFERROR(__xludf.DUMMYFUNCTION("""COMPUTED_VALUE"""),"Gene Disease Validity")</f>
        <v>Gene Disease Validity</v>
      </c>
      <c r="F152" s="62" t="str">
        <f>IFERROR(__xludf.DUMMYFUNCTION("""COMPUTED_VALUE"""),"")</f>
        <v/>
      </c>
      <c r="G152" s="62" t="str">
        <f>IFERROR(__xludf.DUMMYFUNCTION("""COMPUTED_VALUE"""),"FEN GUO")</f>
        <v>FEN GUO</v>
      </c>
      <c r="H152" s="62" t="str">
        <f>IFERROR(__xludf.DUMMYFUNCTION("""COMPUTED_VALUE"""),"fguo34@wisc.edu")</f>
        <v>fguo34@wisc.edu</v>
      </c>
      <c r="I152" s="62" t="str">
        <f>IFERROR(__xludf.DUMMYFUNCTION("""COMPUTED_VALUE"""),"Post Doc/Resident/Fellow (MD and/or PhD)")</f>
        <v>Post Doc/Resident/Fellow (MD and/or PhD)</v>
      </c>
      <c r="J152" s="62"/>
      <c r="K152" s="62" t="str">
        <f>IFERROR(__xludf.DUMMYFUNCTION("""COMPUTED_VALUE"""),"Gene-Disease Validity")</f>
        <v>Gene-Disease Validity</v>
      </c>
      <c r="L152" s="62"/>
      <c r="M152" s="62"/>
      <c r="N152" s="62"/>
      <c r="O152" s="62"/>
      <c r="P152" s="62"/>
      <c r="Q152" s="62"/>
      <c r="R152" s="62"/>
      <c r="S152" s="62"/>
      <c r="T152" s="62"/>
      <c r="U152" s="62"/>
      <c r="V152" s="62"/>
      <c r="W152" s="62"/>
      <c r="X152" s="62"/>
      <c r="Y152" s="62"/>
      <c r="Z152" s="62"/>
    </row>
    <row r="153">
      <c r="A153" s="62" t="str">
        <f>IFERROR(__xludf.DUMMYFUNCTION("""COMPUTED_VALUE"""),"Contacted")</f>
        <v>Contacted</v>
      </c>
      <c r="B153" s="81">
        <f>IFERROR(__xludf.DUMMYFUNCTION("""COMPUTED_VALUE"""),43819.0)</f>
        <v>43819</v>
      </c>
      <c r="C153" s="62" t="str">
        <f>IFERROR(__xludf.DUMMYFUNCTION("""COMPUTED_VALUE"""),"")</f>
        <v/>
      </c>
      <c r="D153" s="62" t="str">
        <f>IFERROR(__xludf.DUMMYFUNCTION("""COMPUTED_VALUE"""),"")</f>
        <v/>
      </c>
      <c r="E153" s="62" t="str">
        <f>IFERROR(__xludf.DUMMYFUNCTION("""COMPUTED_VALUE"""),"Gene Disease Validity")</f>
        <v>Gene Disease Validity</v>
      </c>
      <c r="F153" s="62" t="str">
        <f>IFERROR(__xludf.DUMMYFUNCTION("""COMPUTED_VALUE"""),"")</f>
        <v/>
      </c>
      <c r="G153" s="62" t="str">
        <f>IFERROR(__xludf.DUMMYFUNCTION("""COMPUTED_VALUE"""),"Elizabeth Palmer")</f>
        <v>Elizabeth Palmer</v>
      </c>
      <c r="H153" s="62" t="str">
        <f>IFERROR(__xludf.DUMMYFUNCTION("""COMPUTED_VALUE"""),"elizabeth.palmer1@health.nsw.gov.au")</f>
        <v>elizabeth.palmer1@health.nsw.gov.au</v>
      </c>
      <c r="I153" s="62" t="str">
        <f>IFERROR(__xludf.DUMMYFUNCTION("""COMPUTED_VALUE"""),"Clinical Medical Geneticist")</f>
        <v>Clinical Medical Geneticist</v>
      </c>
      <c r="J153" s="62"/>
      <c r="K153" s="62" t="str">
        <f>IFERROR(__xludf.DUMMYFUNCTION("""COMPUTED_VALUE"""),"Gene-Disease Validity")</f>
        <v>Gene-Disease Validity</v>
      </c>
      <c r="L153" s="62"/>
      <c r="M153" s="62"/>
      <c r="N153" s="62"/>
      <c r="O153" s="62"/>
      <c r="P153" s="62"/>
      <c r="Q153" s="62"/>
      <c r="R153" s="62"/>
      <c r="S153" s="62"/>
      <c r="T153" s="62"/>
      <c r="U153" s="62"/>
      <c r="V153" s="62"/>
      <c r="W153" s="62"/>
      <c r="X153" s="62"/>
      <c r="Y153" s="62"/>
      <c r="Z153" s="62"/>
    </row>
    <row r="154">
      <c r="A154" s="62" t="str">
        <f>IFERROR(__xludf.DUMMYFUNCTION("""COMPUTED_VALUE"""),"Unresponsive")</f>
        <v>Unresponsive</v>
      </c>
      <c r="B154" s="62" t="str">
        <f>IFERROR(__xludf.DUMMYFUNCTION("""COMPUTED_VALUE"""),"")</f>
        <v/>
      </c>
      <c r="C154" s="81">
        <f>IFERROR(__xludf.DUMMYFUNCTION("""COMPUTED_VALUE"""),43476.0)</f>
        <v>43476</v>
      </c>
      <c r="D154" s="62" t="str">
        <f>IFERROR(__xludf.DUMMYFUNCTION("""COMPUTED_VALUE"""),"Yes")</f>
        <v>Yes</v>
      </c>
      <c r="E154" s="62" t="str">
        <f>IFERROR(__xludf.DUMMYFUNCTION("""COMPUTED_VALUE"""),"Somatic Cancer")</f>
        <v>Somatic Cancer</v>
      </c>
      <c r="F154" s="62" t="str">
        <f>IFERROR(__xludf.DUMMYFUNCTION("""COMPUTED_VALUE"""),"")</f>
        <v/>
      </c>
      <c r="G154" s="62" t="str">
        <f>IFERROR(__xludf.DUMMYFUNCTION("""COMPUTED_VALUE"""),"Lisa Dyer")</f>
        <v>Lisa Dyer</v>
      </c>
      <c r="H154" s="62" t="str">
        <f>IFERROR(__xludf.DUMMYFUNCTION("""COMPUTED_VALUE"""),"Lisa.Dyer@cchmc.org")</f>
        <v>Lisa.Dyer@cchmc.org</v>
      </c>
      <c r="I154" s="62" t="str">
        <f>IFERROR(__xludf.DUMMYFUNCTION("""COMPUTED_VALUE"""),"NA")</f>
        <v>NA</v>
      </c>
      <c r="J154" s="62"/>
      <c r="K154" s="62" t="str">
        <f>IFERROR(__xludf.DUMMYFUNCTION("""COMPUTED_VALUE"""),"Somatic Cancer")</f>
        <v>Somatic Cancer</v>
      </c>
      <c r="L154" s="62"/>
      <c r="M154" s="62"/>
      <c r="N154" s="62"/>
      <c r="O154" s="62"/>
      <c r="P154" s="62"/>
      <c r="Q154" s="62"/>
      <c r="R154" s="62"/>
      <c r="S154" s="62"/>
      <c r="T154" s="62"/>
      <c r="U154" s="62"/>
      <c r="V154" s="62"/>
      <c r="W154" s="62"/>
      <c r="X154" s="62"/>
      <c r="Y154" s="62"/>
      <c r="Z154" s="62"/>
    </row>
    <row r="155">
      <c r="A155" s="62" t="str">
        <f>IFERROR(__xludf.DUMMYFUNCTION("""COMPUTED_VALUE"""),"Contacted")</f>
        <v>Contacted</v>
      </c>
      <c r="B155" s="81">
        <f>IFERROR(__xludf.DUMMYFUNCTION("""COMPUTED_VALUE"""),43819.0)</f>
        <v>43819</v>
      </c>
      <c r="C155" s="62" t="str">
        <f>IFERROR(__xludf.DUMMYFUNCTION("""COMPUTED_VALUE"""),"")</f>
        <v/>
      </c>
      <c r="D155" s="62" t="str">
        <f>IFERROR(__xludf.DUMMYFUNCTION("""COMPUTED_VALUE"""),"")</f>
        <v/>
      </c>
      <c r="E155" s="62" t="str">
        <f>IFERROR(__xludf.DUMMYFUNCTION("""COMPUTED_VALUE"""),"Gene Disease Validity")</f>
        <v>Gene Disease Validity</v>
      </c>
      <c r="F155" s="62" t="str">
        <f>IFERROR(__xludf.DUMMYFUNCTION("""COMPUTED_VALUE"""),"")</f>
        <v/>
      </c>
      <c r="G155" s="62" t="str">
        <f>IFERROR(__xludf.DUMMYFUNCTION("""COMPUTED_VALUE"""),"Andrea Hallberg")</f>
        <v>Andrea Hallberg</v>
      </c>
      <c r="H155" s="62" t="str">
        <f>IFERROR(__xludf.DUMMYFUNCTION("""COMPUTED_VALUE"""),"hallberg.andrea@gmail.com")</f>
        <v>hallberg.andrea@gmail.com</v>
      </c>
      <c r="I155" s="62" t="str">
        <f>IFERROR(__xludf.DUMMYFUNCTION("""COMPUTED_VALUE"""),"Post Doc/Resident/Fellow (MD and/or PhD)")</f>
        <v>Post Doc/Resident/Fellow (MD and/or PhD)</v>
      </c>
      <c r="J155" s="62"/>
      <c r="K155" s="62" t="str">
        <f>IFERROR(__xludf.DUMMYFUNCTION("""COMPUTED_VALUE"""),"Gene-Disease Validity")</f>
        <v>Gene-Disease Validity</v>
      </c>
      <c r="L155" s="62"/>
      <c r="M155" s="62"/>
      <c r="N155" s="62"/>
      <c r="O155" s="62"/>
      <c r="P155" s="62"/>
      <c r="Q155" s="62"/>
      <c r="R155" s="62"/>
      <c r="S155" s="62"/>
      <c r="T155" s="62"/>
      <c r="U155" s="62"/>
      <c r="V155" s="62"/>
      <c r="W155" s="62"/>
      <c r="X155" s="62"/>
      <c r="Y155" s="62"/>
      <c r="Z155" s="62"/>
    </row>
    <row r="156">
      <c r="A156" s="62" t="str">
        <f>IFERROR(__xludf.DUMMYFUNCTION("""COMPUTED_VALUE"""),"Contacted")</f>
        <v>Contacted</v>
      </c>
      <c r="B156" s="81">
        <f>IFERROR(__xludf.DUMMYFUNCTION("""COMPUTED_VALUE"""),43819.0)</f>
        <v>43819</v>
      </c>
      <c r="C156" s="62" t="str">
        <f>IFERROR(__xludf.DUMMYFUNCTION("""COMPUTED_VALUE"""),"")</f>
        <v/>
      </c>
      <c r="D156" s="62" t="str">
        <f>IFERROR(__xludf.DUMMYFUNCTION("""COMPUTED_VALUE"""),"")</f>
        <v/>
      </c>
      <c r="E156" s="62" t="str">
        <f>IFERROR(__xludf.DUMMYFUNCTION("""COMPUTED_VALUE"""),"Variant Pathogenicity")</f>
        <v>Variant Pathogenicity</v>
      </c>
      <c r="F156" s="62" t="str">
        <f>IFERROR(__xludf.DUMMYFUNCTION("""COMPUTED_VALUE"""),"")</f>
        <v/>
      </c>
      <c r="G156" s="62" t="str">
        <f>IFERROR(__xludf.DUMMYFUNCTION("""COMPUTED_VALUE"""),"Lisa Chen")</f>
        <v>Lisa Chen</v>
      </c>
      <c r="H156" s="62" t="str">
        <f>IFERROR(__xludf.DUMMYFUNCTION("""COMPUTED_VALUE"""),"lisa498484901@gmail.com")</f>
        <v>lisa498484901@gmail.com</v>
      </c>
      <c r="I156" s="62" t="str">
        <f>IFERROR(__xludf.DUMMYFUNCTION("""COMPUTED_VALUE"""),"Graduate Student")</f>
        <v>Graduate Student</v>
      </c>
      <c r="J156" s="62"/>
      <c r="K156" s="62" t="str">
        <f>IFERROR(__xludf.DUMMYFUNCTION("""COMPUTED_VALUE"""),"Variant Pathogenicity")</f>
        <v>Variant Pathogenicity</v>
      </c>
      <c r="L156" s="62"/>
      <c r="M156" s="62"/>
      <c r="N156" s="62"/>
      <c r="O156" s="62"/>
      <c r="P156" s="62"/>
      <c r="Q156" s="62"/>
      <c r="R156" s="62"/>
      <c r="S156" s="62"/>
      <c r="T156" s="62"/>
      <c r="U156" s="62"/>
      <c r="V156" s="62"/>
      <c r="W156" s="62"/>
      <c r="X156" s="62"/>
      <c r="Y156" s="62"/>
      <c r="Z156" s="62"/>
    </row>
    <row r="157">
      <c r="A157" s="62" t="str">
        <f>IFERROR(__xludf.DUMMYFUNCTION("""COMPUTED_VALUE"""),"Contacted")</f>
        <v>Contacted</v>
      </c>
      <c r="B157" s="81">
        <f>IFERROR(__xludf.DUMMYFUNCTION("""COMPUTED_VALUE"""),43819.0)</f>
        <v>43819</v>
      </c>
      <c r="C157" s="62" t="str">
        <f>IFERROR(__xludf.DUMMYFUNCTION("""COMPUTED_VALUE"""),"")</f>
        <v/>
      </c>
      <c r="D157" s="62" t="str">
        <f>IFERROR(__xludf.DUMMYFUNCTION("""COMPUTED_VALUE"""),"")</f>
        <v/>
      </c>
      <c r="E157" s="62" t="str">
        <f>IFERROR(__xludf.DUMMYFUNCTION("""COMPUTED_VALUE"""),"Gene Disease Validity")</f>
        <v>Gene Disease Validity</v>
      </c>
      <c r="F157" s="62" t="str">
        <f>IFERROR(__xludf.DUMMYFUNCTION("""COMPUTED_VALUE"""),"")</f>
        <v/>
      </c>
      <c r="G157" s="62" t="str">
        <f>IFERROR(__xludf.DUMMYFUNCTION("""COMPUTED_VALUE"""),"Ingrid Paine")</f>
        <v>Ingrid Paine</v>
      </c>
      <c r="H157" s="62" t="str">
        <f>IFERROR(__xludf.DUMMYFUNCTION("""COMPUTED_VALUE"""),"runquist@alumni.bcm.edu")</f>
        <v>runquist@alumni.bcm.edu</v>
      </c>
      <c r="I157" s="62" t="str">
        <f>IFERROR(__xludf.DUMMYFUNCTION("""COMPUTED_VALUE"""),"Post Doc/Resident/Fellow (MD and/or PhD)")</f>
        <v>Post Doc/Resident/Fellow (MD and/or PhD)</v>
      </c>
      <c r="J157" s="62"/>
      <c r="K157" s="62" t="str">
        <f>IFERROR(__xludf.DUMMYFUNCTION("""COMPUTED_VALUE"""),"Gene-Disease Validity")</f>
        <v>Gene-Disease Validity</v>
      </c>
      <c r="L157" s="62"/>
      <c r="M157" s="62"/>
      <c r="N157" s="62"/>
      <c r="O157" s="62"/>
      <c r="P157" s="62"/>
      <c r="Q157" s="62"/>
      <c r="R157" s="62"/>
      <c r="S157" s="62"/>
      <c r="T157" s="62"/>
      <c r="U157" s="62"/>
      <c r="V157" s="62"/>
      <c r="W157" s="62"/>
      <c r="X157" s="62"/>
      <c r="Y157" s="62"/>
      <c r="Z157" s="62"/>
    </row>
    <row r="158">
      <c r="A158" s="62" t="str">
        <f>IFERROR(__xludf.DUMMYFUNCTION("""COMPUTED_VALUE"""),"Unassigned")</f>
        <v>Unassigned</v>
      </c>
      <c r="B158" s="62" t="str">
        <f>IFERROR(__xludf.DUMMYFUNCTION("""COMPUTED_VALUE"""),"")</f>
        <v/>
      </c>
      <c r="C158" s="62" t="str">
        <f>IFERROR(__xludf.DUMMYFUNCTION("""COMPUTED_VALUE"""),"")</f>
        <v/>
      </c>
      <c r="D158" s="62" t="str">
        <f>IFERROR(__xludf.DUMMYFUNCTION("""COMPUTED_VALUE"""),"")</f>
        <v/>
      </c>
      <c r="E158" s="62" t="str">
        <f>IFERROR(__xludf.DUMMYFUNCTION("""COMPUTED_VALUE"""),"Baseline")</f>
        <v>Baseline</v>
      </c>
      <c r="F158" s="62" t="str">
        <f>IFERROR(__xludf.DUMMYFUNCTION("""COMPUTED_VALUE"""),"")</f>
        <v/>
      </c>
      <c r="G158" s="62" t="str">
        <f>IFERROR(__xludf.DUMMYFUNCTION("""COMPUTED_VALUE"""),"Michelle Paczosa")</f>
        <v>Michelle Paczosa</v>
      </c>
      <c r="H158" s="62" t="str">
        <f>IFERROR(__xludf.DUMMYFUNCTION("""COMPUTED_VALUE"""),"Michelle.K.Paczosa@questdiagnostics.com")</f>
        <v>Michelle.K.Paczosa@questdiagnostics.com</v>
      </c>
      <c r="I158" s="62" t="str">
        <f>IFERROR(__xludf.DUMMYFUNCTION("""COMPUTED_VALUE"""),"Variant Analyst/Scientist - Industry")</f>
        <v>Variant Analyst/Scientist - Industry</v>
      </c>
      <c r="J158" s="62"/>
      <c r="K158" s="62" t="str">
        <f>IFERROR(__xludf.DUMMYFUNCTION("""COMPUTED_VALUE"""),"Dosage Sensitivity")</f>
        <v>Dosage Sensitivity</v>
      </c>
      <c r="L158" s="62"/>
      <c r="M158" s="62"/>
      <c r="N158" s="62"/>
      <c r="O158" s="62"/>
      <c r="P158" s="62"/>
      <c r="Q158" s="62"/>
      <c r="R158" s="62"/>
      <c r="S158" s="62"/>
      <c r="T158" s="62"/>
      <c r="U158" s="62"/>
      <c r="V158" s="62"/>
      <c r="W158" s="62"/>
      <c r="X158" s="62"/>
      <c r="Y158" s="62"/>
      <c r="Z158" s="62"/>
    </row>
    <row r="159">
      <c r="A159" s="62" t="str">
        <f>IFERROR(__xludf.DUMMYFUNCTION("""COMPUTED_VALUE"""),"Assigned")</f>
        <v>Assigned</v>
      </c>
      <c r="B159" s="62" t="str">
        <f>IFERROR(__xludf.DUMMYFUNCTION("""COMPUTED_VALUE"""),"")</f>
        <v/>
      </c>
      <c r="C159" s="81">
        <f>IFERROR(__xludf.DUMMYFUNCTION("""COMPUTED_VALUE"""),43605.0)</f>
        <v>43605</v>
      </c>
      <c r="D159" s="62" t="str">
        <f>IFERROR(__xludf.DUMMYFUNCTION("""COMPUTED_VALUE"""),"Yes")</f>
        <v>Yes</v>
      </c>
      <c r="E159" s="62" t="str">
        <f>IFERROR(__xludf.DUMMYFUNCTION("""COMPUTED_VALUE"""),"Variant Pathogenicity")</f>
        <v>Variant Pathogenicity</v>
      </c>
      <c r="F159" s="62" t="str">
        <f>IFERROR(__xludf.DUMMYFUNCTION("""COMPUTED_VALUE"""),"TP53")</f>
        <v>TP53</v>
      </c>
      <c r="G159" s="62" t="str">
        <f>IFERROR(__xludf.DUMMYFUNCTION("""COMPUTED_VALUE"""),"Olivia Rennie")</f>
        <v>Olivia Rennie</v>
      </c>
      <c r="H159" s="62" t="str">
        <f>IFERROR(__xludf.DUMMYFUNCTION("""COMPUTED_VALUE"""),"olivia.rennie@sickkids.ca")</f>
        <v>olivia.rennie@sickkids.ca</v>
      </c>
      <c r="I159" s="62" t="str">
        <f>IFERROR(__xludf.DUMMYFUNCTION("""COMPUTED_VALUE"""),"Biocurator")</f>
        <v>Biocurator</v>
      </c>
      <c r="J159" s="62"/>
      <c r="K159" s="62" t="str">
        <f>IFERROR(__xludf.DUMMYFUNCTION("""COMPUTED_VALUE"""),"Variant Pathogenicity")</f>
        <v>Variant Pathogenicity</v>
      </c>
      <c r="L159" s="62"/>
      <c r="M159" s="62"/>
      <c r="N159" s="62"/>
      <c r="O159" s="62"/>
      <c r="P159" s="62"/>
      <c r="Q159" s="62"/>
      <c r="R159" s="62"/>
      <c r="S159" s="62"/>
      <c r="T159" s="62"/>
      <c r="U159" s="62"/>
      <c r="V159" s="62"/>
      <c r="W159" s="62"/>
      <c r="X159" s="62"/>
      <c r="Y159" s="62"/>
      <c r="Z159" s="62"/>
    </row>
    <row r="160">
      <c r="A160" s="62" t="str">
        <f>IFERROR(__xludf.DUMMYFUNCTION("""COMPUTED_VALUE"""),"Contacted")</f>
        <v>Contacted</v>
      </c>
      <c r="B160" s="62" t="str">
        <f>IFERROR(__xludf.DUMMYFUNCTION("""COMPUTED_VALUE"""),"")</f>
        <v/>
      </c>
      <c r="C160" s="81">
        <f>IFERROR(__xludf.DUMMYFUNCTION("""COMPUTED_VALUE"""),43627.0)</f>
        <v>43627</v>
      </c>
      <c r="D160" s="62" t="str">
        <f>IFERROR(__xludf.DUMMYFUNCTION("""COMPUTED_VALUE"""),"Yes")</f>
        <v>Yes</v>
      </c>
      <c r="E160" s="62" t="str">
        <f>IFERROR(__xludf.DUMMYFUNCTION("""COMPUTED_VALUE"""),"NA")</f>
        <v>NA</v>
      </c>
      <c r="F160" s="62" t="str">
        <f>IFERROR(__xludf.DUMMYFUNCTION("""COMPUTED_VALUE"""),"")</f>
        <v/>
      </c>
      <c r="G160" s="62" t="str">
        <f>IFERROR(__xludf.DUMMYFUNCTION("""COMPUTED_VALUE"""),"Aleš Maver")</f>
        <v>Aleš Maver</v>
      </c>
      <c r="H160" s="62" t="str">
        <f>IFERROR(__xludf.DUMMYFUNCTION("""COMPUTED_VALUE"""),"ales.maver@kclj.si")</f>
        <v>ales.maver@kclj.si</v>
      </c>
      <c r="I160" s="62" t="str">
        <f>IFERROR(__xludf.DUMMYFUNCTION("""COMPUTED_VALUE"""),"Clinical laboratory geneticist")</f>
        <v>Clinical laboratory geneticist</v>
      </c>
      <c r="J160" s="62"/>
      <c r="K160" s="62" t="str">
        <f>IFERROR(__xludf.DUMMYFUNCTION("""COMPUTED_VALUE"""),"Variant Pathogenicity")</f>
        <v>Variant Pathogenicity</v>
      </c>
      <c r="L160" s="62"/>
      <c r="M160" s="62"/>
      <c r="N160" s="62"/>
      <c r="O160" s="62"/>
      <c r="P160" s="62"/>
      <c r="Q160" s="62"/>
      <c r="R160" s="62"/>
      <c r="S160" s="62"/>
      <c r="T160" s="62"/>
      <c r="U160" s="62"/>
      <c r="V160" s="62"/>
      <c r="W160" s="62"/>
      <c r="X160" s="62"/>
      <c r="Y160" s="62"/>
      <c r="Z160" s="62"/>
    </row>
    <row r="161">
      <c r="A161" s="62" t="str">
        <f>IFERROR(__xludf.DUMMYFUNCTION("""COMPUTED_VALUE"""),"Contacted")</f>
        <v>Contacted</v>
      </c>
      <c r="B161" s="81">
        <f>IFERROR(__xludf.DUMMYFUNCTION("""COMPUTED_VALUE"""),43689.0)</f>
        <v>43689</v>
      </c>
      <c r="C161" s="62" t="str">
        <f>IFERROR(__xludf.DUMMYFUNCTION("""COMPUTED_VALUE"""),"")</f>
        <v/>
      </c>
      <c r="D161" s="62" t="str">
        <f>IFERROR(__xludf.DUMMYFUNCTION("""COMPUTED_VALUE"""),"")</f>
        <v/>
      </c>
      <c r="E161" s="62" t="str">
        <f>IFERROR(__xludf.DUMMYFUNCTION("""COMPUTED_VALUE"""),"Actionability")</f>
        <v>Actionability</v>
      </c>
      <c r="F161" s="62" t="str">
        <f>IFERROR(__xludf.DUMMYFUNCTION("""COMPUTED_VALUE"""),"")</f>
        <v/>
      </c>
      <c r="G161" s="62" t="str">
        <f>IFERROR(__xludf.DUMMYFUNCTION("""COMPUTED_VALUE"""),"Léon Tshilolo")</f>
        <v>Léon Tshilolo</v>
      </c>
      <c r="H161" s="62" t="str">
        <f>IFERROR(__xludf.DUMMYFUNCTION("""COMPUTED_VALUE"""),"leon.tshilolo2012@gmail.com")</f>
        <v>leon.tshilolo2012@gmail.com</v>
      </c>
      <c r="I161" s="62" t="str">
        <f>IFERROR(__xludf.DUMMYFUNCTION("""COMPUTED_VALUE"""),"hematologist, expert of SCD")</f>
        <v>hematologist, expert of SCD</v>
      </c>
      <c r="J161" s="62"/>
      <c r="K161" s="62" t="str">
        <f>IFERROR(__xludf.DUMMYFUNCTION("""COMPUTED_VALUE"""),"Clinical Actionability")</f>
        <v>Clinical Actionability</v>
      </c>
      <c r="L161" s="62"/>
      <c r="M161" s="62"/>
      <c r="N161" s="62"/>
      <c r="O161" s="62"/>
      <c r="P161" s="62"/>
      <c r="Q161" s="62"/>
      <c r="R161" s="62"/>
      <c r="S161" s="62"/>
      <c r="T161" s="62"/>
      <c r="U161" s="62"/>
      <c r="V161" s="62"/>
      <c r="W161" s="62"/>
      <c r="X161" s="62"/>
      <c r="Y161" s="62"/>
      <c r="Z161" s="62"/>
    </row>
    <row r="162">
      <c r="A162" s="62" t="str">
        <f>IFERROR(__xludf.DUMMYFUNCTION("""COMPUTED_VALUE"""),"Contacted")</f>
        <v>Contacted</v>
      </c>
      <c r="B162" s="81">
        <f>IFERROR(__xludf.DUMMYFUNCTION("""COMPUTED_VALUE"""),43819.0)</f>
        <v>43819</v>
      </c>
      <c r="C162" s="81" t="str">
        <f>IFERROR(__xludf.DUMMYFUNCTION("""COMPUTED_VALUE"""),"")</f>
        <v/>
      </c>
      <c r="D162" s="62" t="str">
        <f>IFERROR(__xludf.DUMMYFUNCTION("""COMPUTED_VALUE"""),"")</f>
        <v/>
      </c>
      <c r="E162" s="62" t="str">
        <f>IFERROR(__xludf.DUMMYFUNCTION("""COMPUTED_VALUE"""),"Gene Disease Validity")</f>
        <v>Gene Disease Validity</v>
      </c>
      <c r="F162" s="62" t="str">
        <f>IFERROR(__xludf.DUMMYFUNCTION("""COMPUTED_VALUE"""),"")</f>
        <v/>
      </c>
      <c r="G162" s="62" t="str">
        <f>IFERROR(__xludf.DUMMYFUNCTION("""COMPUTED_VALUE"""),"Emma Reble")</f>
        <v>Emma Reble</v>
      </c>
      <c r="H162" s="62" t="str">
        <f>IFERROR(__xludf.DUMMYFUNCTION("""COMPUTED_VALUE"""),"reblee@smh.ca")</f>
        <v>reblee@smh.ca</v>
      </c>
      <c r="I162" s="62" t="str">
        <f>IFERROR(__xludf.DUMMYFUNCTION("""COMPUTED_VALUE"""),"Variant Analyst/Scientist - Academic")</f>
        <v>Variant Analyst/Scientist - Academic</v>
      </c>
      <c r="J162" s="62"/>
      <c r="K162" s="62" t="str">
        <f>IFERROR(__xludf.DUMMYFUNCTION("""COMPUTED_VALUE"""),"Gene-Disease Validity")</f>
        <v>Gene-Disease Validity</v>
      </c>
      <c r="L162" s="62"/>
      <c r="M162" s="62"/>
      <c r="N162" s="62"/>
      <c r="O162" s="62"/>
      <c r="P162" s="62"/>
      <c r="Q162" s="62"/>
      <c r="R162" s="62"/>
      <c r="S162" s="62"/>
      <c r="T162" s="62"/>
      <c r="U162" s="62"/>
      <c r="V162" s="62"/>
      <c r="W162" s="62"/>
      <c r="X162" s="62"/>
      <c r="Y162" s="62"/>
      <c r="Z162" s="62"/>
    </row>
    <row r="163">
      <c r="A163" s="62" t="str">
        <f>IFERROR(__xludf.DUMMYFUNCTION("""COMPUTED_VALUE"""),"Contacted")</f>
        <v>Contacted</v>
      </c>
      <c r="B163" s="62" t="str">
        <f>IFERROR(__xludf.DUMMYFUNCTION("""COMPUTED_VALUE"""),"")</f>
        <v/>
      </c>
      <c r="C163" s="81">
        <f>IFERROR(__xludf.DUMMYFUNCTION("""COMPUTED_VALUE"""),43627.0)</f>
        <v>43627</v>
      </c>
      <c r="D163" s="62" t="str">
        <f>IFERROR(__xludf.DUMMYFUNCTION("""COMPUTED_VALUE"""),"Yes")</f>
        <v>Yes</v>
      </c>
      <c r="E163" s="62" t="str">
        <f>IFERROR(__xludf.DUMMYFUNCTION("""COMPUTED_VALUE"""),"NA")</f>
        <v>NA</v>
      </c>
      <c r="F163" s="62" t="str">
        <f>IFERROR(__xludf.DUMMYFUNCTION("""COMPUTED_VALUE"""),"")</f>
        <v/>
      </c>
      <c r="G163" s="62" t="str">
        <f>IFERROR(__xludf.DUMMYFUNCTION("""COMPUTED_VALUE"""),"Robert Butler")</f>
        <v>Robert Butler</v>
      </c>
      <c r="H163" s="62" t="str">
        <f>IFERROR(__xludf.DUMMYFUNCTION("""COMPUTED_VALUE"""),"rbutler@northshore.org")</f>
        <v>rbutler@northshore.org</v>
      </c>
      <c r="I163" s="62" t="str">
        <f>IFERROR(__xludf.DUMMYFUNCTION("""COMPUTED_VALUE"""),"Post Doc/Resident/Fellow (MD and/or PhD)")</f>
        <v>Post Doc/Resident/Fellow (MD and/or PhD)</v>
      </c>
      <c r="J163" s="62"/>
      <c r="K163" s="62" t="str">
        <f>IFERROR(__xludf.DUMMYFUNCTION("""COMPUTED_VALUE"""),"Variant Pathogenicity")</f>
        <v>Variant Pathogenicity</v>
      </c>
      <c r="L163" s="62"/>
      <c r="M163" s="62"/>
      <c r="N163" s="62"/>
      <c r="O163" s="62"/>
      <c r="P163" s="62"/>
      <c r="Q163" s="62"/>
      <c r="R163" s="62"/>
      <c r="S163" s="62"/>
      <c r="T163" s="62"/>
      <c r="U163" s="62"/>
      <c r="V163" s="62"/>
      <c r="W163" s="62"/>
      <c r="X163" s="62"/>
      <c r="Y163" s="62"/>
      <c r="Z163" s="62"/>
    </row>
    <row r="164">
      <c r="A164" s="62" t="str">
        <f>IFERROR(__xludf.DUMMYFUNCTION("""COMPUTED_VALUE"""),"Contacted")</f>
        <v>Contacted</v>
      </c>
      <c r="B164" s="62" t="str">
        <f>IFERROR(__xludf.DUMMYFUNCTION("""COMPUTED_VALUE"""),"")</f>
        <v/>
      </c>
      <c r="C164" s="81">
        <f>IFERROR(__xludf.DUMMYFUNCTION("""COMPUTED_VALUE"""),43626.0)</f>
        <v>43626</v>
      </c>
      <c r="D164" s="62" t="str">
        <f>IFERROR(__xludf.DUMMYFUNCTION("""COMPUTED_VALUE"""),"Yes")</f>
        <v>Yes</v>
      </c>
      <c r="E164" s="62" t="str">
        <f>IFERROR(__xludf.DUMMYFUNCTION("""COMPUTED_VALUE"""),"Variant Pathogenicity")</f>
        <v>Variant Pathogenicity</v>
      </c>
      <c r="F164" s="62" t="str">
        <f>IFERROR(__xludf.DUMMYFUNCTION("""COMPUTED_VALUE"""),"")</f>
        <v/>
      </c>
      <c r="G164" s="62" t="str">
        <f>IFERROR(__xludf.DUMMYFUNCTION("""COMPUTED_VALUE"""),"Ljubica Caldovic")</f>
        <v>Ljubica Caldovic</v>
      </c>
      <c r="H164" s="62" t="str">
        <f>IFERROR(__xludf.DUMMYFUNCTION("""COMPUTED_VALUE"""),"lcaldovic@childrensnational.org")</f>
        <v>lcaldovic@childrensnational.org</v>
      </c>
      <c r="I164" s="62" t="str">
        <f>IFERROR(__xludf.DUMMYFUNCTION("""COMPUTED_VALUE"""),"Scientific Researcher")</f>
        <v>Scientific Researcher</v>
      </c>
      <c r="J164" s="62"/>
      <c r="K164" s="62" t="str">
        <f>IFERROR(__xludf.DUMMYFUNCTION("""COMPUTED_VALUE"""),"Variant Pathogenicity")</f>
        <v>Variant Pathogenicity</v>
      </c>
      <c r="L164" s="62"/>
      <c r="M164" s="62"/>
      <c r="N164" s="62"/>
      <c r="O164" s="62"/>
      <c r="P164" s="62"/>
      <c r="Q164" s="62"/>
      <c r="R164" s="62"/>
      <c r="S164" s="62"/>
      <c r="T164" s="62"/>
      <c r="U164" s="62"/>
      <c r="V164" s="62"/>
      <c r="W164" s="62"/>
      <c r="X164" s="62"/>
      <c r="Y164" s="62"/>
      <c r="Z164" s="62"/>
    </row>
    <row r="165">
      <c r="A165" s="62" t="str">
        <f>IFERROR(__xludf.DUMMYFUNCTION("""COMPUTED_VALUE"""),"Assigned")</f>
        <v>Assigned</v>
      </c>
      <c r="B165" s="62" t="str">
        <f>IFERROR(__xludf.DUMMYFUNCTION("""COMPUTED_VALUE"""),"")</f>
        <v/>
      </c>
      <c r="C165" s="81">
        <f>IFERROR(__xludf.DUMMYFUNCTION("""COMPUTED_VALUE"""),43627.0)</f>
        <v>43627</v>
      </c>
      <c r="D165" s="62" t="str">
        <f>IFERROR(__xludf.DUMMYFUNCTION("""COMPUTED_VALUE"""),"Yes")</f>
        <v>Yes</v>
      </c>
      <c r="E165" s="62" t="str">
        <f>IFERROR(__xludf.DUMMYFUNCTION("""COMPUTED_VALUE"""),"Variant Pathogenicity")</f>
        <v>Variant Pathogenicity</v>
      </c>
      <c r="F165" s="62" t="str">
        <f>IFERROR(__xludf.DUMMYFUNCTION("""COMPUTED_VALUE"""),"Mito")</f>
        <v>Mito</v>
      </c>
      <c r="G165" s="62" t="str">
        <f>IFERROR(__xludf.DUMMYFUNCTION("""COMPUTED_VALUE"""),"Joy Goffena")</f>
        <v>Joy Goffena</v>
      </c>
      <c r="H165" s="62" t="str">
        <f>IFERROR(__xludf.DUMMYFUNCTION("""COMPUTED_VALUE"""),"joy.goffena@gmail.com")</f>
        <v>joy.goffena@gmail.com</v>
      </c>
      <c r="I165" s="62" t="str">
        <f>IFERROR(__xludf.DUMMYFUNCTION("""COMPUTED_VALUE"""),"Scientific Researcher")</f>
        <v>Scientific Researcher</v>
      </c>
      <c r="J165" s="62"/>
      <c r="K165" s="62" t="str">
        <f>IFERROR(__xludf.DUMMYFUNCTION("""COMPUTED_VALUE"""),"Variant Pathogenicity")</f>
        <v>Variant Pathogenicity</v>
      </c>
      <c r="L165" s="62"/>
      <c r="M165" s="62"/>
      <c r="N165" s="62"/>
      <c r="O165" s="62"/>
      <c r="P165" s="62"/>
      <c r="Q165" s="62"/>
      <c r="R165" s="62"/>
      <c r="S165" s="62"/>
      <c r="T165" s="62"/>
      <c r="U165" s="62"/>
      <c r="V165" s="62"/>
      <c r="W165" s="62"/>
      <c r="X165" s="62"/>
      <c r="Y165" s="62"/>
      <c r="Z165" s="62"/>
    </row>
    <row r="166">
      <c r="A166" s="62" t="str">
        <f>IFERROR(__xludf.DUMMYFUNCTION("""COMPUTED_VALUE"""),"Contacted")</f>
        <v>Contacted</v>
      </c>
      <c r="B166" s="62" t="str">
        <f>IFERROR(__xludf.DUMMYFUNCTION("""COMPUTED_VALUE"""),"")</f>
        <v/>
      </c>
      <c r="C166" s="77">
        <f>IFERROR(__xludf.DUMMYFUNCTION("""COMPUTED_VALUE"""),43692.0)</f>
        <v>43692</v>
      </c>
      <c r="D166" s="62" t="str">
        <f>IFERROR(__xludf.DUMMYFUNCTION("""COMPUTED_VALUE"""),"Yes")</f>
        <v>Yes</v>
      </c>
      <c r="E166" s="62" t="str">
        <f>IFERROR(__xludf.DUMMYFUNCTION("""COMPUTED_VALUE"""),"Gene Disease Validity")</f>
        <v>Gene Disease Validity</v>
      </c>
      <c r="F166" s="62" t="str">
        <f>IFERROR(__xludf.DUMMYFUNCTION("""COMPUTED_VALUE"""),"")</f>
        <v/>
      </c>
      <c r="G166" s="62" t="str">
        <f>IFERROR(__xludf.DUMMYFUNCTION("""COMPUTED_VALUE"""),"Amruta Phatak")</f>
        <v>Amruta Phatak</v>
      </c>
      <c r="H166" s="62" t="str">
        <f>IFERROR(__xludf.DUMMYFUNCTION("""COMPUTED_VALUE"""),"arphatak@iu.edu")</f>
        <v>arphatak@iu.edu</v>
      </c>
      <c r="I166" s="62" t="str">
        <f>IFERROR(__xludf.DUMMYFUNCTION("""COMPUTED_VALUE"""),"Post Doc/Resident/Fellow (MD and/or PhD)")</f>
        <v>Post Doc/Resident/Fellow (MD and/or PhD)</v>
      </c>
      <c r="J166" s="62"/>
      <c r="K166" s="62" t="str">
        <f>IFERROR(__xludf.DUMMYFUNCTION("""COMPUTED_VALUE"""),"Gene-Disease Validity")</f>
        <v>Gene-Disease Validity</v>
      </c>
      <c r="L166" s="62"/>
      <c r="M166" s="62"/>
      <c r="N166" s="62"/>
      <c r="O166" s="62"/>
      <c r="P166" s="62"/>
      <c r="Q166" s="62"/>
      <c r="R166" s="62"/>
      <c r="S166" s="62"/>
      <c r="T166" s="62"/>
      <c r="U166" s="62"/>
      <c r="V166" s="62"/>
      <c r="W166" s="62"/>
      <c r="X166" s="62"/>
      <c r="Y166" s="62"/>
      <c r="Z166" s="62"/>
    </row>
    <row r="167">
      <c r="A167" s="62" t="str">
        <f>IFERROR(__xludf.DUMMYFUNCTION("""COMPUTED_VALUE"""),"Recontact Later")</f>
        <v>Recontact Later</v>
      </c>
      <c r="B167" s="81">
        <f>IFERROR(__xludf.DUMMYFUNCTION("""COMPUTED_VALUE"""),43819.0)</f>
        <v>43819</v>
      </c>
      <c r="C167" s="62" t="str">
        <f>IFERROR(__xludf.DUMMYFUNCTION("""COMPUTED_VALUE"""),"")</f>
        <v/>
      </c>
      <c r="D167" s="62" t="str">
        <f>IFERROR(__xludf.DUMMYFUNCTION("""COMPUTED_VALUE"""),"")</f>
        <v/>
      </c>
      <c r="E167" s="62" t="str">
        <f>IFERROR(__xludf.DUMMYFUNCTION("""COMPUTED_VALUE"""),"Variant Pathogenicity")</f>
        <v>Variant Pathogenicity</v>
      </c>
      <c r="F167" s="62" t="str">
        <f>IFERROR(__xludf.DUMMYFUNCTION("""COMPUTED_VALUE"""),"")</f>
        <v/>
      </c>
      <c r="G167" s="62" t="str">
        <f>IFERROR(__xludf.DUMMYFUNCTION("""COMPUTED_VALUE"""),"Cath Tyner")</f>
        <v>Cath Tyner</v>
      </c>
      <c r="H167" s="62" t="str">
        <f>IFERROR(__xludf.DUMMYFUNCTION("""COMPUTED_VALUE"""),"cathtyner@gmail.com")</f>
        <v>cathtyner@gmail.com</v>
      </c>
      <c r="I167" s="62" t="str">
        <f>IFERROR(__xludf.DUMMYFUNCTION("""COMPUTED_VALUE"""),"Software QA Engineer at Invitae")</f>
        <v>Software QA Engineer at Invitae</v>
      </c>
      <c r="J167" s="62"/>
      <c r="K167" s="62" t="str">
        <f>IFERROR(__xludf.DUMMYFUNCTION("""COMPUTED_VALUE"""),"Variant Pathogenicity")</f>
        <v>Variant Pathogenicity</v>
      </c>
      <c r="L167" s="62"/>
      <c r="M167" s="62"/>
      <c r="N167" s="62"/>
      <c r="O167" s="62"/>
      <c r="P167" s="62"/>
      <c r="Q167" s="62"/>
      <c r="R167" s="62"/>
      <c r="S167" s="62"/>
      <c r="T167" s="62"/>
      <c r="U167" s="62"/>
      <c r="V167" s="62"/>
      <c r="W167" s="62"/>
      <c r="X167" s="62"/>
      <c r="Y167" s="62"/>
      <c r="Z167" s="62"/>
    </row>
    <row r="168">
      <c r="A168" s="62" t="str">
        <f>IFERROR(__xludf.DUMMYFUNCTION("""COMPUTED_VALUE"""),"Contacted")</f>
        <v>Contacted</v>
      </c>
      <c r="B168" s="62" t="str">
        <f>IFERROR(__xludf.DUMMYFUNCTION("""COMPUTED_VALUE"""),"")</f>
        <v/>
      </c>
      <c r="C168" s="81">
        <f>IFERROR(__xludf.DUMMYFUNCTION("""COMPUTED_VALUE"""),43627.0)</f>
        <v>43627</v>
      </c>
      <c r="D168" s="62" t="str">
        <f>IFERROR(__xludf.DUMMYFUNCTION("""COMPUTED_VALUE"""),"Yes")</f>
        <v>Yes</v>
      </c>
      <c r="E168" s="62" t="str">
        <f>IFERROR(__xludf.DUMMYFUNCTION("""COMPUTED_VALUE"""),"Variant Pathogenicity")</f>
        <v>Variant Pathogenicity</v>
      </c>
      <c r="F168" s="62" t="str">
        <f>IFERROR(__xludf.DUMMYFUNCTION("""COMPUTED_VALUE"""),"")</f>
        <v/>
      </c>
      <c r="G168" s="62" t="str">
        <f>IFERROR(__xludf.DUMMYFUNCTION("""COMPUTED_VALUE"""),"Abdelazeem Elhabyan ")</f>
        <v>Abdelazeem Elhabyan </v>
      </c>
      <c r="H168" s="62" t="str">
        <f>IFERROR(__xludf.DUMMYFUNCTION("""COMPUTED_VALUE"""),"Abdelazeem_abdelhameed2015505@yahoo.com")</f>
        <v>Abdelazeem_abdelhameed2015505@yahoo.com</v>
      </c>
      <c r="I168" s="62" t="str">
        <f>IFERROR(__xludf.DUMMYFUNCTION("""COMPUTED_VALUE"""),"Graduate Student")</f>
        <v>Graduate Student</v>
      </c>
      <c r="J168" s="62"/>
      <c r="K168" s="62" t="str">
        <f>IFERROR(__xludf.DUMMYFUNCTION("""COMPUTED_VALUE"""),"Variant Pathogenicity")</f>
        <v>Variant Pathogenicity</v>
      </c>
      <c r="L168" s="62"/>
      <c r="M168" s="62"/>
      <c r="N168" s="62"/>
      <c r="O168" s="62"/>
      <c r="P168" s="62"/>
      <c r="Q168" s="62"/>
      <c r="R168" s="62"/>
      <c r="S168" s="62"/>
      <c r="T168" s="62"/>
      <c r="U168" s="62"/>
      <c r="V168" s="62"/>
      <c r="W168" s="62"/>
      <c r="X168" s="62"/>
      <c r="Y168" s="62"/>
      <c r="Z168" s="62"/>
    </row>
    <row r="169">
      <c r="A169" s="62" t="str">
        <f>IFERROR(__xludf.DUMMYFUNCTION("""COMPUTED_VALUE"""),"Contacted")</f>
        <v>Contacted</v>
      </c>
      <c r="B169" s="81">
        <f>IFERROR(__xludf.DUMMYFUNCTION("""COMPUTED_VALUE"""),43819.0)</f>
        <v>43819</v>
      </c>
      <c r="C169" s="62" t="str">
        <f>IFERROR(__xludf.DUMMYFUNCTION("""COMPUTED_VALUE"""),"")</f>
        <v/>
      </c>
      <c r="D169" s="62" t="str">
        <f>IFERROR(__xludf.DUMMYFUNCTION("""COMPUTED_VALUE"""),"")</f>
        <v/>
      </c>
      <c r="E169" s="62" t="str">
        <f>IFERROR(__xludf.DUMMYFUNCTION("""COMPUTED_VALUE"""),"Gene Disease Validity")</f>
        <v>Gene Disease Validity</v>
      </c>
      <c r="F169" s="62" t="str">
        <f>IFERROR(__xludf.DUMMYFUNCTION("""COMPUTED_VALUE"""),"")</f>
        <v/>
      </c>
      <c r="G169" s="62" t="str">
        <f>IFERROR(__xludf.DUMMYFUNCTION("""COMPUTED_VALUE"""),"Claudia Gonzaga-Jauregui")</f>
        <v>Claudia Gonzaga-Jauregui</v>
      </c>
      <c r="H169" s="62" t="str">
        <f>IFERROR(__xludf.DUMMYFUNCTION("""COMPUTED_VALUE"""),"cgonzagaj@gmail.com")</f>
        <v>cgonzagaj@gmail.com</v>
      </c>
      <c r="I169" s="62" t="str">
        <f>IFERROR(__xludf.DUMMYFUNCTION("""COMPUTED_VALUE"""),"Scientific Researcher")</f>
        <v>Scientific Researcher</v>
      </c>
      <c r="J169" s="62"/>
      <c r="K169" s="62" t="str">
        <f>IFERROR(__xludf.DUMMYFUNCTION("""COMPUTED_VALUE"""),"Gene-Disease Validity")</f>
        <v>Gene-Disease Validity</v>
      </c>
      <c r="L169" s="62"/>
      <c r="M169" s="62"/>
      <c r="N169" s="62"/>
      <c r="O169" s="62"/>
      <c r="P169" s="62"/>
      <c r="Q169" s="62"/>
      <c r="R169" s="62"/>
      <c r="S169" s="62"/>
      <c r="T169" s="62"/>
      <c r="U169" s="62"/>
      <c r="V169" s="62"/>
      <c r="W169" s="62"/>
      <c r="X169" s="62"/>
      <c r="Y169" s="62"/>
      <c r="Z169" s="62"/>
    </row>
    <row r="170">
      <c r="A170" s="62" t="str">
        <f>IFERROR(__xludf.DUMMYFUNCTION("""COMPUTED_VALUE"""),"Unresponsive")</f>
        <v>Unresponsive</v>
      </c>
      <c r="B170" s="81">
        <f>IFERROR(__xludf.DUMMYFUNCTION("""COMPUTED_VALUE"""),43689.0)</f>
        <v>43689</v>
      </c>
      <c r="C170" s="62" t="str">
        <f>IFERROR(__xludf.DUMMYFUNCTION("""COMPUTED_VALUE"""),"")</f>
        <v/>
      </c>
      <c r="D170" s="62" t="str">
        <f>IFERROR(__xludf.DUMMYFUNCTION("""COMPUTED_VALUE"""),"")</f>
        <v/>
      </c>
      <c r="E170" s="62" t="str">
        <f>IFERROR(__xludf.DUMMYFUNCTION("""COMPUTED_VALUE"""),"Actionability")</f>
        <v>Actionability</v>
      </c>
      <c r="F170" s="62" t="str">
        <f>IFERROR(__xludf.DUMMYFUNCTION("""COMPUTED_VALUE"""),"")</f>
        <v/>
      </c>
      <c r="G170" s="62" t="str">
        <f>IFERROR(__xludf.DUMMYFUNCTION("""COMPUTED_VALUE"""),"Altovise Ewing")</f>
        <v>Altovise Ewing</v>
      </c>
      <c r="H170" s="62" t="str">
        <f>IFERROR(__xludf.DUMMYFUNCTION("""COMPUTED_VALUE"""),"altovisee@gmail.com")</f>
        <v>altovisee@gmail.com</v>
      </c>
      <c r="I170" s="62" t="str">
        <f>IFERROR(__xludf.DUMMYFUNCTION("""COMPUTED_VALUE"""),"Genetic counselor and health equity scientist")</f>
        <v>Genetic counselor and health equity scientist</v>
      </c>
      <c r="J170" s="62"/>
      <c r="K170" s="62" t="str">
        <f>IFERROR(__xludf.DUMMYFUNCTION("""COMPUTED_VALUE"""),"Clinical Actionability")</f>
        <v>Clinical Actionability</v>
      </c>
      <c r="L170" s="62"/>
      <c r="M170" s="62"/>
      <c r="N170" s="62"/>
      <c r="O170" s="62"/>
      <c r="P170" s="62"/>
      <c r="Q170" s="62"/>
      <c r="R170" s="62"/>
      <c r="S170" s="62"/>
      <c r="T170" s="62"/>
      <c r="U170" s="62"/>
      <c r="V170" s="62"/>
      <c r="W170" s="62"/>
      <c r="X170" s="62"/>
      <c r="Y170" s="62"/>
      <c r="Z170" s="62"/>
    </row>
    <row r="171">
      <c r="A171" s="62" t="str">
        <f>IFERROR(__xludf.DUMMYFUNCTION("""COMPUTED_VALUE"""),"Unassigned")</f>
        <v>Unassigned</v>
      </c>
      <c r="B171" s="62" t="str">
        <f>IFERROR(__xludf.DUMMYFUNCTION("""COMPUTED_VALUE"""),"")</f>
        <v/>
      </c>
      <c r="C171" s="62" t="str">
        <f>IFERROR(__xludf.DUMMYFUNCTION("""COMPUTED_VALUE"""),"")</f>
        <v/>
      </c>
      <c r="D171" s="62" t="str">
        <f>IFERROR(__xludf.DUMMYFUNCTION("""COMPUTED_VALUE"""),"")</f>
        <v/>
      </c>
      <c r="E171" s="62" t="str">
        <f>IFERROR(__xludf.DUMMYFUNCTION("""COMPUTED_VALUE"""),"Dosage Sensitivity")</f>
        <v>Dosage Sensitivity</v>
      </c>
      <c r="F171" s="62" t="str">
        <f>IFERROR(__xludf.DUMMYFUNCTION("""COMPUTED_VALUE"""),"")</f>
        <v/>
      </c>
      <c r="G171" s="62" t="str">
        <f>IFERROR(__xludf.DUMMYFUNCTION("""COMPUTED_VALUE"""),"Laura Sack")</f>
        <v>Laura Sack</v>
      </c>
      <c r="H171" s="62" t="str">
        <f>IFERROR(__xludf.DUMMYFUNCTION("""COMPUTED_VALUE"""),"laura@sack.io")</f>
        <v>laura@sack.io</v>
      </c>
      <c r="I171" s="62" t="str">
        <f>IFERROR(__xludf.DUMMYFUNCTION("""COMPUTED_VALUE"""),"Variant Analyst/Scientist - Industry")</f>
        <v>Variant Analyst/Scientist - Industry</v>
      </c>
      <c r="J171" s="62"/>
      <c r="K171" s="62" t="str">
        <f>IFERROR(__xludf.DUMMYFUNCTION("""COMPUTED_VALUE"""),"Dosage Sensitivity")</f>
        <v>Dosage Sensitivity</v>
      </c>
      <c r="L171" s="62"/>
      <c r="M171" s="62"/>
      <c r="N171" s="62"/>
      <c r="O171" s="62"/>
      <c r="P171" s="62"/>
      <c r="Q171" s="62"/>
      <c r="R171" s="62"/>
      <c r="S171" s="62"/>
      <c r="T171" s="62"/>
      <c r="U171" s="62"/>
      <c r="V171" s="62"/>
      <c r="W171" s="62"/>
      <c r="X171" s="62"/>
      <c r="Y171" s="62"/>
      <c r="Z171" s="62"/>
    </row>
    <row r="172">
      <c r="A172" s="62" t="str">
        <f>IFERROR(__xludf.DUMMYFUNCTION("""COMPUTED_VALUE"""),"Contacted")</f>
        <v>Contacted</v>
      </c>
      <c r="B172" s="81">
        <f>IFERROR(__xludf.DUMMYFUNCTION("""COMPUTED_VALUE"""),43819.0)</f>
        <v>43819</v>
      </c>
      <c r="C172" s="106">
        <f>IFERROR(__xludf.DUMMYFUNCTION("""COMPUTED_VALUE"""),43859.0)</f>
        <v>43859</v>
      </c>
      <c r="D172" s="62" t="str">
        <f>IFERROR(__xludf.DUMMYFUNCTION("""COMPUTED_VALUE"""),"Yes")</f>
        <v>Yes</v>
      </c>
      <c r="E172" s="62" t="str">
        <f>IFERROR(__xludf.DUMMYFUNCTION("""COMPUTED_VALUE"""),"Variant Pathogenicity")</f>
        <v>Variant Pathogenicity</v>
      </c>
      <c r="F172" s="62" t="str">
        <f>IFERROR(__xludf.DUMMYFUNCTION("""COMPUTED_VALUE"""),"")</f>
        <v/>
      </c>
      <c r="G172" s="62" t="str">
        <f>IFERROR(__xludf.DUMMYFUNCTION("""COMPUTED_VALUE"""),"Janel Case")</f>
        <v>Janel Case</v>
      </c>
      <c r="H172" s="62" t="str">
        <f>IFERROR(__xludf.DUMMYFUNCTION("""COMPUTED_VALUE"""),"janelcase@live.com")</f>
        <v>janelcase@live.com</v>
      </c>
      <c r="I172" s="62" t="str">
        <f>IFERROR(__xludf.DUMMYFUNCTION("""COMPUTED_VALUE"""),"Genetic counselor")</f>
        <v>Genetic counselor</v>
      </c>
      <c r="J172" s="62"/>
      <c r="K172" s="62" t="str">
        <f>IFERROR(__xludf.DUMMYFUNCTION("""COMPUTED_VALUE"""),"Variant Pathogenicity")</f>
        <v>Variant Pathogenicity</v>
      </c>
      <c r="L172" s="62"/>
      <c r="M172" s="62"/>
      <c r="N172" s="62"/>
      <c r="O172" s="62"/>
      <c r="P172" s="62"/>
      <c r="Q172" s="62"/>
      <c r="R172" s="62"/>
      <c r="S172" s="62"/>
      <c r="T172" s="62"/>
      <c r="U172" s="62"/>
      <c r="V172" s="62"/>
      <c r="W172" s="62"/>
      <c r="X172" s="62"/>
      <c r="Y172" s="62"/>
      <c r="Z172" s="62"/>
    </row>
    <row r="173">
      <c r="A173" s="62" t="str">
        <f>IFERROR(__xludf.DUMMYFUNCTION("""COMPUTED_VALUE"""),"Contacted")</f>
        <v>Contacted</v>
      </c>
      <c r="B173" s="62" t="str">
        <f>IFERROR(__xludf.DUMMYFUNCTION("""COMPUTED_VALUE"""),"")</f>
        <v/>
      </c>
      <c r="C173" s="81">
        <f>IFERROR(__xludf.DUMMYFUNCTION("""COMPUTED_VALUE"""),43627.0)</f>
        <v>43627</v>
      </c>
      <c r="D173" s="62" t="str">
        <f>IFERROR(__xludf.DUMMYFUNCTION("""COMPUTED_VALUE"""),"Yes")</f>
        <v>Yes</v>
      </c>
      <c r="E173" s="62" t="str">
        <f>IFERROR(__xludf.DUMMYFUNCTION("""COMPUTED_VALUE"""),"Variant Pathogenicity")</f>
        <v>Variant Pathogenicity</v>
      </c>
      <c r="F173" s="62" t="str">
        <f>IFERROR(__xludf.DUMMYFUNCTION("""COMPUTED_VALUE"""),"")</f>
        <v/>
      </c>
      <c r="G173" s="62" t="str">
        <f>IFERROR(__xludf.DUMMYFUNCTION("""COMPUTED_VALUE"""),"Carolina Bustamante")</f>
        <v>Carolina Bustamante</v>
      </c>
      <c r="H173" s="62" t="str">
        <f>IFERROR(__xludf.DUMMYFUNCTION("""COMPUTED_VALUE"""),"carolina.bustamante@gmail.com")</f>
        <v>carolina.bustamante@gmail.com</v>
      </c>
      <c r="I173" s="62" t="str">
        <f>IFERROR(__xludf.DUMMYFUNCTION("""COMPUTED_VALUE"""),"Variant Analyst/Scientist - Industry")</f>
        <v>Variant Analyst/Scientist - Industry</v>
      </c>
      <c r="J173" s="62"/>
      <c r="K173" s="62" t="str">
        <f>IFERROR(__xludf.DUMMYFUNCTION("""COMPUTED_VALUE"""),"Variant Pathogenicity")</f>
        <v>Variant Pathogenicity</v>
      </c>
      <c r="L173" s="62"/>
      <c r="M173" s="62"/>
      <c r="N173" s="62"/>
      <c r="O173" s="62"/>
      <c r="P173" s="62"/>
      <c r="Q173" s="62"/>
      <c r="R173" s="62"/>
      <c r="S173" s="62"/>
      <c r="T173" s="62"/>
      <c r="U173" s="62"/>
      <c r="V173" s="62"/>
      <c r="W173" s="62"/>
      <c r="X173" s="62"/>
      <c r="Y173" s="62"/>
      <c r="Z173" s="62"/>
    </row>
    <row r="174">
      <c r="A174" s="62" t="str">
        <f>IFERROR(__xludf.DUMMYFUNCTION("""COMPUTED_VALUE"""),"Contacted")</f>
        <v>Contacted</v>
      </c>
      <c r="B174" s="62" t="str">
        <f>IFERROR(__xludf.DUMMYFUNCTION("""COMPUTED_VALUE"""),"")</f>
        <v/>
      </c>
      <c r="C174" s="77">
        <f>IFERROR(__xludf.DUMMYFUNCTION("""COMPUTED_VALUE"""),43692.0)</f>
        <v>43692</v>
      </c>
      <c r="D174" s="62" t="str">
        <f>IFERROR(__xludf.DUMMYFUNCTION("""COMPUTED_VALUE"""),"Yes")</f>
        <v>Yes</v>
      </c>
      <c r="E174" s="62" t="str">
        <f>IFERROR(__xludf.DUMMYFUNCTION("""COMPUTED_VALUE"""),"Gene Disease Validity")</f>
        <v>Gene Disease Validity</v>
      </c>
      <c r="F174" s="62" t="str">
        <f>IFERROR(__xludf.DUMMYFUNCTION("""COMPUTED_VALUE"""),"")</f>
        <v/>
      </c>
      <c r="G174" s="62" t="str">
        <f>IFERROR(__xludf.DUMMYFUNCTION("""COMPUTED_VALUE"""),"Jean Davidson")</f>
        <v>Jean Davidson</v>
      </c>
      <c r="H174" s="62" t="str">
        <f>IFERROR(__xludf.DUMMYFUNCTION("""COMPUTED_VALUE"""),"jdavid06@calpoly.edu")</f>
        <v>jdavid06@calpoly.edu</v>
      </c>
      <c r="I174" s="62" t="str">
        <f>IFERROR(__xludf.DUMMYFUNCTION("""COMPUTED_VALUE"""),"Scientific Researcher")</f>
        <v>Scientific Researcher</v>
      </c>
      <c r="J174" s="62"/>
      <c r="K174" s="62" t="str">
        <f>IFERROR(__xludf.DUMMYFUNCTION("""COMPUTED_VALUE"""),"Gene-Disease Validity")</f>
        <v>Gene-Disease Validity</v>
      </c>
      <c r="L174" s="62"/>
      <c r="M174" s="62"/>
      <c r="N174" s="62"/>
      <c r="O174" s="62"/>
      <c r="P174" s="62"/>
      <c r="Q174" s="62"/>
      <c r="R174" s="62"/>
      <c r="S174" s="62"/>
      <c r="T174" s="62"/>
      <c r="U174" s="62"/>
      <c r="V174" s="62"/>
      <c r="W174" s="62"/>
      <c r="X174" s="62"/>
      <c r="Y174" s="62"/>
      <c r="Z174" s="62"/>
    </row>
    <row r="175">
      <c r="A175" s="62" t="str">
        <f>IFERROR(__xludf.DUMMYFUNCTION("""COMPUTED_VALUE"""),"Unresponsive")</f>
        <v>Unresponsive</v>
      </c>
      <c r="B175" s="62" t="str">
        <f>IFERROR(__xludf.DUMMYFUNCTION("""COMPUTED_VALUE"""),"")</f>
        <v/>
      </c>
      <c r="C175" s="62" t="str">
        <f>IFERROR(__xludf.DUMMYFUNCTION("""COMPUTED_VALUE"""),"")</f>
        <v/>
      </c>
      <c r="D175" s="62" t="str">
        <f>IFERROR(__xludf.DUMMYFUNCTION("""COMPUTED_VALUE"""),"")</f>
        <v/>
      </c>
      <c r="E175" s="62" t="str">
        <f>IFERROR(__xludf.DUMMYFUNCTION("""COMPUTED_VALUE"""),"Variant Pathogenicity")</f>
        <v>Variant Pathogenicity</v>
      </c>
      <c r="F175" s="62" t="str">
        <f>IFERROR(__xludf.DUMMYFUNCTION("""COMPUTED_VALUE"""),"")</f>
        <v/>
      </c>
      <c r="G175" s="62" t="str">
        <f>IFERROR(__xludf.DUMMYFUNCTION("""COMPUTED_VALUE"""),"Timo Dereani")</f>
        <v>Timo Dereani</v>
      </c>
      <c r="H175" s="62" t="str">
        <f>IFERROR(__xludf.DUMMYFUNCTION("""COMPUTED_VALUE"""),"dereani@biologis.diagnosticum.eu")</f>
        <v>dereani@biologis.diagnosticum.eu</v>
      </c>
      <c r="I175" s="62" t="str">
        <f>IFERROR(__xludf.DUMMYFUNCTION("""COMPUTED_VALUE"""),"Clinical laboratory geneticist")</f>
        <v>Clinical laboratory geneticist</v>
      </c>
      <c r="J175" s="62"/>
      <c r="K175" s="62" t="str">
        <f>IFERROR(__xludf.DUMMYFUNCTION("""COMPUTED_VALUE"""),"Variant Pathogenicity")</f>
        <v>Variant Pathogenicity</v>
      </c>
      <c r="L175" s="62"/>
      <c r="M175" s="62"/>
      <c r="N175" s="62"/>
      <c r="O175" s="62"/>
      <c r="P175" s="62"/>
      <c r="Q175" s="62"/>
      <c r="R175" s="62"/>
      <c r="S175" s="62"/>
      <c r="T175" s="62"/>
      <c r="U175" s="62"/>
      <c r="V175" s="62"/>
      <c r="W175" s="62"/>
      <c r="X175" s="62"/>
      <c r="Y175" s="62"/>
      <c r="Z175" s="62"/>
    </row>
    <row r="176">
      <c r="A176" s="62" t="str">
        <f>IFERROR(__xludf.DUMMYFUNCTION("""COMPUTED_VALUE"""),"Unresponsive")</f>
        <v>Unresponsive</v>
      </c>
      <c r="B176" s="62" t="str">
        <f>IFERROR(__xludf.DUMMYFUNCTION("""COMPUTED_VALUE"""),"")</f>
        <v/>
      </c>
      <c r="C176" s="62" t="str">
        <f>IFERROR(__xludf.DUMMYFUNCTION("""COMPUTED_VALUE"""),"")</f>
        <v/>
      </c>
      <c r="D176" s="62" t="str">
        <f>IFERROR(__xludf.DUMMYFUNCTION("""COMPUTED_VALUE"""),"")</f>
        <v/>
      </c>
      <c r="E176" s="62" t="str">
        <f>IFERROR(__xludf.DUMMYFUNCTION("""COMPUTED_VALUE"""),"Variant Pathogenicity")</f>
        <v>Variant Pathogenicity</v>
      </c>
      <c r="F176" s="62" t="str">
        <f>IFERROR(__xludf.DUMMYFUNCTION("""COMPUTED_VALUE"""),"")</f>
        <v/>
      </c>
      <c r="G176" s="62" t="str">
        <f>IFERROR(__xludf.DUMMYFUNCTION("""COMPUTED_VALUE"""),"Jennifer Bullard")</f>
        <v>Jennifer Bullard</v>
      </c>
      <c r="H176" s="62" t="str">
        <f>IFERROR(__xludf.DUMMYFUNCTION("""COMPUTED_VALUE"""),"jenniferluja@gmail.com")</f>
        <v>jenniferluja@gmail.com</v>
      </c>
      <c r="I176" s="62" t="str">
        <f>IFERROR(__xludf.DUMMYFUNCTION("""COMPUTED_VALUE"""),"Clinical laboratory geneticist")</f>
        <v>Clinical laboratory geneticist</v>
      </c>
      <c r="J176" s="62"/>
      <c r="K176" s="62" t="str">
        <f>IFERROR(__xludf.DUMMYFUNCTION("""COMPUTED_VALUE"""),"Variant Pathogenicity")</f>
        <v>Variant Pathogenicity</v>
      </c>
      <c r="L176" s="62"/>
      <c r="M176" s="62"/>
      <c r="N176" s="62"/>
      <c r="O176" s="62"/>
      <c r="P176" s="62"/>
      <c r="Q176" s="62"/>
      <c r="R176" s="62"/>
      <c r="S176" s="62"/>
      <c r="T176" s="62"/>
      <c r="U176" s="62"/>
      <c r="V176" s="62"/>
      <c r="W176" s="62"/>
      <c r="X176" s="62"/>
      <c r="Y176" s="62"/>
      <c r="Z176" s="62"/>
    </row>
    <row r="177">
      <c r="A177" s="62" t="str">
        <f>IFERROR(__xludf.DUMMYFUNCTION("""COMPUTED_VALUE"""),"Contacted")</f>
        <v>Contacted</v>
      </c>
      <c r="B177" s="81">
        <f>IFERROR(__xludf.DUMMYFUNCTION("""COMPUTED_VALUE"""),43689.0)</f>
        <v>43689</v>
      </c>
      <c r="C177" s="77">
        <f>IFERROR(__xludf.DUMMYFUNCTION("""COMPUTED_VALUE"""),43768.0)</f>
        <v>43768</v>
      </c>
      <c r="D177" s="62" t="str">
        <f>IFERROR(__xludf.DUMMYFUNCTION("""COMPUTED_VALUE"""),"Yes")</f>
        <v>Yes</v>
      </c>
      <c r="E177" s="62" t="str">
        <f>IFERROR(__xludf.DUMMYFUNCTION("""COMPUTED_VALUE"""),"Actionability")</f>
        <v>Actionability</v>
      </c>
      <c r="F177" s="62" t="str">
        <f>IFERROR(__xludf.DUMMYFUNCTION("""COMPUTED_VALUE"""),"Actionability")</f>
        <v>Actionability</v>
      </c>
      <c r="G177" s="62" t="str">
        <f>IFERROR(__xludf.DUMMYFUNCTION("""COMPUTED_VALUE"""),"Greg Lennon")</f>
        <v>Greg Lennon</v>
      </c>
      <c r="H177" s="62" t="str">
        <f>IFERROR(__xludf.DUMMYFUNCTION("""COMPUTED_VALUE"""),"greg.lennon@gmail.com")</f>
        <v>greg.lennon@gmail.com</v>
      </c>
      <c r="I177" s="62" t="str">
        <f>IFERROR(__xludf.DUMMYFUNCTION("""COMPUTED_VALUE"""),"Scientific Researcher")</f>
        <v>Scientific Researcher</v>
      </c>
      <c r="J177" s="62"/>
      <c r="K177" s="62" t="str">
        <f>IFERROR(__xludf.DUMMYFUNCTION("""COMPUTED_VALUE"""),"Clinical Actionability")</f>
        <v>Clinical Actionability</v>
      </c>
      <c r="L177" s="62"/>
      <c r="M177" s="62"/>
      <c r="N177" s="62"/>
      <c r="O177" s="62"/>
      <c r="P177" s="62"/>
      <c r="Q177" s="62"/>
      <c r="R177" s="62"/>
      <c r="S177" s="62"/>
      <c r="T177" s="62"/>
      <c r="U177" s="62"/>
      <c r="V177" s="62"/>
      <c r="W177" s="62"/>
      <c r="X177" s="62"/>
      <c r="Y177" s="62"/>
      <c r="Z177" s="62"/>
    </row>
    <row r="178">
      <c r="A178" s="62" t="str">
        <f>IFERROR(__xludf.DUMMYFUNCTION("""COMPUTED_VALUE"""),"Contacted")</f>
        <v>Contacted</v>
      </c>
      <c r="B178" s="62" t="str">
        <f>IFERROR(__xludf.DUMMYFUNCTION("""COMPUTED_VALUE"""),"")</f>
        <v/>
      </c>
      <c r="C178" s="81">
        <f>IFERROR(__xludf.DUMMYFUNCTION("""COMPUTED_VALUE"""),43626.0)</f>
        <v>43626</v>
      </c>
      <c r="D178" s="62" t="str">
        <f>IFERROR(__xludf.DUMMYFUNCTION("""COMPUTED_VALUE"""),"Yes")</f>
        <v>Yes</v>
      </c>
      <c r="E178" s="62" t="str">
        <f>IFERROR(__xludf.DUMMYFUNCTION("""COMPUTED_VALUE"""),"NA")</f>
        <v>NA</v>
      </c>
      <c r="F178" s="62" t="str">
        <f>IFERROR(__xludf.DUMMYFUNCTION("""COMPUTED_VALUE"""),"")</f>
        <v/>
      </c>
      <c r="G178" s="62" t="str">
        <f>IFERROR(__xludf.DUMMYFUNCTION("""COMPUTED_VALUE"""),"Pamela")</f>
        <v>Pamela</v>
      </c>
      <c r="H178" s="62" t="str">
        <f>IFERROR(__xludf.DUMMYFUNCTION("""COMPUTED_VALUE"""),"pchristopherson@versiti.org")</f>
        <v>pchristopherson@versiti.org</v>
      </c>
      <c r="I178" s="62" t="str">
        <f>IFERROR(__xludf.DUMMYFUNCTION("""COMPUTED_VALUE"""),"Scientific Researcher")</f>
        <v>Scientific Researcher</v>
      </c>
      <c r="J178" s="62"/>
      <c r="K178" s="62" t="str">
        <f>IFERROR(__xludf.DUMMYFUNCTION("""COMPUTED_VALUE"""),"Variant Pathogenicity")</f>
        <v>Variant Pathogenicity</v>
      </c>
      <c r="L178" s="62"/>
      <c r="M178" s="62"/>
      <c r="N178" s="62"/>
      <c r="O178" s="62"/>
      <c r="P178" s="62"/>
      <c r="Q178" s="62"/>
      <c r="R178" s="62"/>
      <c r="S178" s="62"/>
      <c r="T178" s="62"/>
      <c r="U178" s="62"/>
      <c r="V178" s="62"/>
      <c r="W178" s="62"/>
      <c r="X178" s="62"/>
      <c r="Y178" s="62"/>
      <c r="Z178" s="62"/>
    </row>
    <row r="179">
      <c r="A179" s="62" t="str">
        <f>IFERROR(__xludf.DUMMYFUNCTION("""COMPUTED_VALUE"""),"Contacted")</f>
        <v>Contacted</v>
      </c>
      <c r="B179" s="81">
        <f>IFERROR(__xludf.DUMMYFUNCTION("""COMPUTED_VALUE"""),43689.0)</f>
        <v>43689</v>
      </c>
      <c r="C179" s="62" t="str">
        <f>IFERROR(__xludf.DUMMYFUNCTION("""COMPUTED_VALUE"""),"")</f>
        <v/>
      </c>
      <c r="D179" s="62" t="str">
        <f>IFERROR(__xludf.DUMMYFUNCTION("""COMPUTED_VALUE"""),"Yes")</f>
        <v>Yes</v>
      </c>
      <c r="E179" s="62" t="str">
        <f>IFERROR(__xludf.DUMMYFUNCTION("""COMPUTED_VALUE"""),"Actionability")</f>
        <v>Actionability</v>
      </c>
      <c r="F179" s="62" t="str">
        <f>IFERROR(__xludf.DUMMYFUNCTION("""COMPUTED_VALUE"""),"")</f>
        <v/>
      </c>
      <c r="G179" s="62" t="str">
        <f>IFERROR(__xludf.DUMMYFUNCTION("""COMPUTED_VALUE"""),"Generoso")</f>
        <v>Generoso</v>
      </c>
      <c r="H179" s="62" t="str">
        <f>IFERROR(__xludf.DUMMYFUNCTION("""COMPUTED_VALUE"""),"generoso@dantelabs.com")</f>
        <v>generoso@dantelabs.com</v>
      </c>
      <c r="I179" s="62" t="str">
        <f>IFERROR(__xludf.DUMMYFUNCTION("""COMPUTED_VALUE"""),"Variant Analyst/Scientist - Industry")</f>
        <v>Variant Analyst/Scientist - Industry</v>
      </c>
      <c r="J179" s="62"/>
      <c r="K179" s="62" t="str">
        <f>IFERROR(__xludf.DUMMYFUNCTION("""COMPUTED_VALUE"""),"Clinical Actionability")</f>
        <v>Clinical Actionability</v>
      </c>
      <c r="L179" s="62"/>
      <c r="M179" s="62"/>
      <c r="N179" s="62"/>
      <c r="O179" s="62"/>
      <c r="P179" s="62"/>
      <c r="Q179" s="62"/>
      <c r="R179" s="62"/>
      <c r="S179" s="62"/>
      <c r="T179" s="62"/>
      <c r="U179" s="62"/>
      <c r="V179" s="62"/>
      <c r="W179" s="62"/>
      <c r="X179" s="62"/>
      <c r="Y179" s="62"/>
      <c r="Z179" s="62"/>
    </row>
    <row r="180">
      <c r="A180" s="62" t="str">
        <f>IFERROR(__xludf.DUMMYFUNCTION("""COMPUTED_VALUE"""),"Contacted")</f>
        <v>Contacted</v>
      </c>
      <c r="B180" s="62" t="str">
        <f>IFERROR(__xludf.DUMMYFUNCTION("""COMPUTED_VALUE"""),"")</f>
        <v/>
      </c>
      <c r="C180" s="106">
        <f>IFERROR(__xludf.DUMMYFUNCTION("""COMPUTED_VALUE"""),43859.0)</f>
        <v>43859</v>
      </c>
      <c r="D180" s="62" t="str">
        <f>IFERROR(__xludf.DUMMYFUNCTION("""COMPUTED_VALUE"""),"Yes")</f>
        <v>Yes</v>
      </c>
      <c r="E180" s="62" t="str">
        <f>IFERROR(__xludf.DUMMYFUNCTION("""COMPUTED_VALUE"""),"Variant Pathogenicity")</f>
        <v>Variant Pathogenicity</v>
      </c>
      <c r="F180" s="62" t="str">
        <f>IFERROR(__xludf.DUMMYFUNCTION("""COMPUTED_VALUE"""),"")</f>
        <v/>
      </c>
      <c r="G180" s="62" t="str">
        <f>IFERROR(__xludf.DUMMYFUNCTION("""COMPUTED_VALUE"""),"Hemantkumar Nemade ")</f>
        <v>Hemantkumar Nemade </v>
      </c>
      <c r="H180" s="62" t="str">
        <f>IFERROR(__xludf.DUMMYFUNCTION("""COMPUTED_VALUE"""),"drhemantnemade@gmail.com")</f>
        <v>drhemantnemade@gmail.com</v>
      </c>
      <c r="I180" s="62" t="str">
        <f>IFERROR(__xludf.DUMMYFUNCTION("""COMPUTED_VALUE"""),"Physician (Non-geneticist)")</f>
        <v>Physician (Non-geneticist)</v>
      </c>
      <c r="J180" s="62"/>
      <c r="K180" s="62" t="str">
        <f>IFERROR(__xludf.DUMMYFUNCTION("""COMPUTED_VALUE"""),"Variant Pathogenicity")</f>
        <v>Variant Pathogenicity</v>
      </c>
      <c r="L180" s="62"/>
      <c r="M180" s="62"/>
      <c r="N180" s="62"/>
      <c r="O180" s="62"/>
      <c r="P180" s="62"/>
      <c r="Q180" s="62"/>
      <c r="R180" s="62"/>
      <c r="S180" s="62"/>
      <c r="T180" s="62"/>
      <c r="U180" s="62"/>
      <c r="V180" s="62"/>
      <c r="W180" s="62"/>
      <c r="X180" s="62"/>
      <c r="Y180" s="62"/>
      <c r="Z180" s="62"/>
    </row>
    <row r="181">
      <c r="A181" s="62" t="str">
        <f>IFERROR(__xludf.DUMMYFUNCTION("""COMPUTED_VALUE"""),"Contacted")</f>
        <v>Contacted</v>
      </c>
      <c r="B181" s="81">
        <f>IFERROR(__xludf.DUMMYFUNCTION("""COMPUTED_VALUE"""),43705.0)</f>
        <v>43705</v>
      </c>
      <c r="C181" s="77">
        <f>IFERROR(__xludf.DUMMYFUNCTION("""COMPUTED_VALUE"""),43719.0)</f>
        <v>43719</v>
      </c>
      <c r="D181" s="62" t="str">
        <f>IFERROR(__xludf.DUMMYFUNCTION("""COMPUTED_VALUE"""),"No")</f>
        <v>No</v>
      </c>
      <c r="E181" s="62" t="str">
        <f>IFERROR(__xludf.DUMMYFUNCTION("""COMPUTED_VALUE"""),"Somatic Cancer")</f>
        <v>Somatic Cancer</v>
      </c>
      <c r="F181" s="62" t="str">
        <f>IFERROR(__xludf.DUMMYFUNCTION("""COMPUTED_VALUE"""),"")</f>
        <v/>
      </c>
      <c r="G181" s="62" t="str">
        <f>IFERROR(__xludf.DUMMYFUNCTION("""COMPUTED_VALUE"""),"Christina Bridges")</f>
        <v>Christina Bridges</v>
      </c>
      <c r="H181" s="62" t="str">
        <f>IFERROR(__xludf.DUMMYFUNCTION("""COMPUTED_VALUE"""),"c.bridges@med.unc.edu")</f>
        <v>c.bridges@med.unc.edu</v>
      </c>
      <c r="I181" s="62" t="str">
        <f>IFERROR(__xludf.DUMMYFUNCTION("""COMPUTED_VALUE"""),"Variant Analyst/Scientist - Industry")</f>
        <v>Variant Analyst/Scientist - Industry</v>
      </c>
      <c r="J181" s="62"/>
      <c r="K181" s="62" t="str">
        <f>IFERROR(__xludf.DUMMYFUNCTION("""COMPUTED_VALUE"""),"Somatic Cancer")</f>
        <v>Somatic Cancer</v>
      </c>
      <c r="L181" s="62"/>
      <c r="M181" s="62"/>
      <c r="N181" s="62"/>
      <c r="O181" s="62"/>
      <c r="P181" s="62"/>
      <c r="Q181" s="62"/>
      <c r="R181" s="62"/>
      <c r="S181" s="62"/>
      <c r="T181" s="62"/>
      <c r="U181" s="62"/>
      <c r="V181" s="62"/>
      <c r="W181" s="62"/>
      <c r="X181" s="62"/>
      <c r="Y181" s="62"/>
      <c r="Z181" s="62"/>
    </row>
    <row r="182">
      <c r="A182" s="62" t="str">
        <f>IFERROR(__xludf.DUMMYFUNCTION("""COMPUTED_VALUE"""),"Contacted")</f>
        <v>Contacted</v>
      </c>
      <c r="B182" s="81">
        <f>IFERROR(__xludf.DUMMYFUNCTION("""COMPUTED_VALUE"""),43689.0)</f>
        <v>43689</v>
      </c>
      <c r="C182" s="77">
        <f>IFERROR(__xludf.DUMMYFUNCTION("""COMPUTED_VALUE"""),43769.0)</f>
        <v>43769</v>
      </c>
      <c r="D182" s="62" t="str">
        <f>IFERROR(__xludf.DUMMYFUNCTION("""COMPUTED_VALUE"""),"Yes")</f>
        <v>Yes</v>
      </c>
      <c r="E182" s="62" t="str">
        <f>IFERROR(__xludf.DUMMYFUNCTION("""COMPUTED_VALUE"""),"Actionability")</f>
        <v>Actionability</v>
      </c>
      <c r="F182" s="62" t="str">
        <f>IFERROR(__xludf.DUMMYFUNCTION("""COMPUTED_VALUE"""),"Actionability")</f>
        <v>Actionability</v>
      </c>
      <c r="G182" s="62" t="str">
        <f>IFERROR(__xludf.DUMMYFUNCTION("""COMPUTED_VALUE"""),"Abul Kalam Azad")</f>
        <v>Abul Kalam Azad</v>
      </c>
      <c r="H182" s="62" t="str">
        <f>IFERROR(__xludf.DUMMYFUNCTION("""COMPUTED_VALUE"""),"azadak@gmail.com")</f>
        <v>azadak@gmail.com</v>
      </c>
      <c r="I182" s="62" t="str">
        <f>IFERROR(__xludf.DUMMYFUNCTION("""COMPUTED_VALUE"""),"Post Doc/Resident/Fellow (MD and/or PhD)")</f>
        <v>Post Doc/Resident/Fellow (MD and/or PhD)</v>
      </c>
      <c r="J182" s="62"/>
      <c r="K182" s="62" t="str">
        <f>IFERROR(__xludf.DUMMYFUNCTION("""COMPUTED_VALUE"""),"Clinical Actionability")</f>
        <v>Clinical Actionability</v>
      </c>
      <c r="L182" s="62"/>
      <c r="M182" s="62"/>
      <c r="N182" s="62"/>
      <c r="O182" s="62"/>
      <c r="P182" s="62"/>
      <c r="Q182" s="62"/>
      <c r="R182" s="62"/>
      <c r="S182" s="62"/>
      <c r="T182" s="62"/>
      <c r="U182" s="62"/>
      <c r="V182" s="62"/>
      <c r="W182" s="62"/>
      <c r="X182" s="62"/>
      <c r="Y182" s="62"/>
      <c r="Z182" s="62"/>
    </row>
    <row r="183">
      <c r="A183" s="62" t="str">
        <f>IFERROR(__xludf.DUMMYFUNCTION("""COMPUTED_VALUE"""),"Unassigned")</f>
        <v>Unassigned</v>
      </c>
      <c r="B183" s="62" t="str">
        <f>IFERROR(__xludf.DUMMYFUNCTION("""COMPUTED_VALUE"""),"")</f>
        <v/>
      </c>
      <c r="C183" s="62" t="str">
        <f>IFERROR(__xludf.DUMMYFUNCTION("""COMPUTED_VALUE"""),"")</f>
        <v/>
      </c>
      <c r="D183" s="62" t="str">
        <f>IFERROR(__xludf.DUMMYFUNCTION("""COMPUTED_VALUE"""),"")</f>
        <v/>
      </c>
      <c r="E183" s="62" t="str">
        <f>IFERROR(__xludf.DUMMYFUNCTION("""COMPUTED_VALUE"""),"Gene Disease Validity")</f>
        <v>Gene Disease Validity</v>
      </c>
      <c r="F183" s="62" t="str">
        <f>IFERROR(__xludf.DUMMYFUNCTION("""COMPUTED_VALUE"""),"")</f>
        <v/>
      </c>
      <c r="G183" s="62" t="str">
        <f>IFERROR(__xludf.DUMMYFUNCTION("""COMPUTED_VALUE"""),"Amruta Phatak")</f>
        <v>Amruta Phatak</v>
      </c>
      <c r="H183" s="62" t="str">
        <f>IFERROR(__xludf.DUMMYFUNCTION("""COMPUTED_VALUE"""),"arphatak@iu.edu")</f>
        <v>arphatak@iu.edu</v>
      </c>
      <c r="I183" s="62" t="str">
        <f>IFERROR(__xludf.DUMMYFUNCTION("""COMPUTED_VALUE"""),"Post Doc/Resident/Fellow (MD and/or PhD)")</f>
        <v>Post Doc/Resident/Fellow (MD and/or PhD)</v>
      </c>
      <c r="J183" s="62"/>
      <c r="K183" s="62" t="str">
        <f>IFERROR(__xludf.DUMMYFUNCTION("""COMPUTED_VALUE"""),"Gene-Disease Validity")</f>
        <v>Gene-Disease Validity</v>
      </c>
      <c r="L183" s="62"/>
      <c r="M183" s="62"/>
      <c r="N183" s="62"/>
      <c r="O183" s="62"/>
      <c r="P183" s="62"/>
      <c r="Q183" s="62"/>
      <c r="R183" s="62"/>
      <c r="S183" s="62"/>
      <c r="T183" s="62"/>
      <c r="U183" s="62"/>
      <c r="V183" s="62"/>
      <c r="W183" s="62"/>
      <c r="X183" s="62"/>
      <c r="Y183" s="62"/>
      <c r="Z183" s="62"/>
    </row>
    <row r="184">
      <c r="A184" s="62" t="str">
        <f>IFERROR(__xludf.DUMMYFUNCTION("""COMPUTED_VALUE"""),"Contacted")</f>
        <v>Contacted</v>
      </c>
      <c r="B184" s="81">
        <f>IFERROR(__xludf.DUMMYFUNCTION("""COMPUTED_VALUE"""),43705.0)</f>
        <v>43705</v>
      </c>
      <c r="C184" s="77">
        <f>IFERROR(__xludf.DUMMYFUNCTION("""COMPUTED_VALUE"""),43719.0)</f>
        <v>43719</v>
      </c>
      <c r="D184" s="62" t="str">
        <f>IFERROR(__xludf.DUMMYFUNCTION("""COMPUTED_VALUE"""),"No")</f>
        <v>No</v>
      </c>
      <c r="E184" s="62" t="str">
        <f>IFERROR(__xludf.DUMMYFUNCTION("""COMPUTED_VALUE"""),"Somatic Cancer")</f>
        <v>Somatic Cancer</v>
      </c>
      <c r="F184" s="62" t="str">
        <f>IFERROR(__xludf.DUMMYFUNCTION("""COMPUTED_VALUE"""),"")</f>
        <v/>
      </c>
      <c r="G184" s="62" t="str">
        <f>IFERROR(__xludf.DUMMYFUNCTION("""COMPUTED_VALUE"""),"Priyabrata Panigrahi")</f>
        <v>Priyabrata Panigrahi</v>
      </c>
      <c r="H184" s="62" t="str">
        <f>IFERROR(__xludf.DUMMYFUNCTION("""COMPUTED_VALUE"""),"pb.panigrahi86@gmail.com")</f>
        <v>pb.panigrahi86@gmail.com</v>
      </c>
      <c r="I184" s="62" t="str">
        <f>IFERROR(__xludf.DUMMYFUNCTION("""COMPUTED_VALUE"""),"Scientific Researcher")</f>
        <v>Scientific Researcher</v>
      </c>
      <c r="J184" s="62"/>
      <c r="K184" s="62" t="str">
        <f>IFERROR(__xludf.DUMMYFUNCTION("""COMPUTED_VALUE"""),"Somatic Cancer")</f>
        <v>Somatic Cancer</v>
      </c>
      <c r="L184" s="62"/>
      <c r="M184" s="62"/>
      <c r="N184" s="62"/>
      <c r="O184" s="62"/>
      <c r="P184" s="62"/>
      <c r="Q184" s="62"/>
      <c r="R184" s="62"/>
      <c r="S184" s="62"/>
      <c r="T184" s="62"/>
      <c r="U184" s="62"/>
      <c r="V184" s="62"/>
      <c r="W184" s="62"/>
      <c r="X184" s="62"/>
      <c r="Y184" s="62"/>
      <c r="Z184" s="62"/>
    </row>
    <row r="185">
      <c r="A185" s="62" t="str">
        <f>IFERROR(__xludf.DUMMYFUNCTION("""COMPUTED_VALUE"""),"Contacted")</f>
        <v>Contacted</v>
      </c>
      <c r="B185" s="81">
        <f>IFERROR(__xludf.DUMMYFUNCTION("""COMPUTED_VALUE"""),43819.0)</f>
        <v>43819</v>
      </c>
      <c r="C185" s="62" t="str">
        <f>IFERROR(__xludf.DUMMYFUNCTION("""COMPUTED_VALUE"""),"")</f>
        <v/>
      </c>
      <c r="D185" s="62" t="str">
        <f>IFERROR(__xludf.DUMMYFUNCTION("""COMPUTED_VALUE"""),"")</f>
        <v/>
      </c>
      <c r="E185" s="62" t="str">
        <f>IFERROR(__xludf.DUMMYFUNCTION("""COMPUTED_VALUE"""),"Variant Pathogenicity")</f>
        <v>Variant Pathogenicity</v>
      </c>
      <c r="F185" s="62" t="str">
        <f>IFERROR(__xludf.DUMMYFUNCTION("""COMPUTED_VALUE"""),"")</f>
        <v/>
      </c>
      <c r="G185" s="62" t="str">
        <f>IFERROR(__xludf.DUMMYFUNCTION("""COMPUTED_VALUE"""),"José Patricio Miranda Marín")</f>
        <v>José Patricio Miranda Marín</v>
      </c>
      <c r="H185" s="62" t="str">
        <f>IFERROR(__xludf.DUMMYFUNCTION("""COMPUTED_VALUE"""),"jose.miranda@uc.cl")</f>
        <v>jose.miranda@uc.cl</v>
      </c>
      <c r="I185" s="62" t="str">
        <f>IFERROR(__xludf.DUMMYFUNCTION("""COMPUTED_VALUE"""),"Post Doc/Resident/Fellow (MD and/or PhD)")</f>
        <v>Post Doc/Resident/Fellow (MD and/or PhD)</v>
      </c>
      <c r="J185" s="62"/>
      <c r="K185" s="62" t="str">
        <f>IFERROR(__xludf.DUMMYFUNCTION("""COMPUTED_VALUE"""),"Variant Pathogenicity")</f>
        <v>Variant Pathogenicity</v>
      </c>
      <c r="L185" s="62"/>
      <c r="M185" s="62"/>
      <c r="N185" s="62"/>
      <c r="O185" s="62"/>
      <c r="P185" s="62"/>
      <c r="Q185" s="62"/>
      <c r="R185" s="62"/>
      <c r="S185" s="62"/>
      <c r="T185" s="62"/>
      <c r="U185" s="62"/>
      <c r="V185" s="62"/>
      <c r="W185" s="62"/>
      <c r="X185" s="62"/>
      <c r="Y185" s="62"/>
      <c r="Z185" s="62"/>
    </row>
    <row r="186">
      <c r="A186" s="62" t="str">
        <f>IFERROR(__xludf.DUMMYFUNCTION("""COMPUTED_VALUE"""),"Contacted")</f>
        <v>Contacted</v>
      </c>
      <c r="B186" s="62" t="str">
        <f>IFERROR(__xludf.DUMMYFUNCTION("""COMPUTED_VALUE"""),"")</f>
        <v/>
      </c>
      <c r="C186" s="77">
        <f>IFERROR(__xludf.DUMMYFUNCTION("""COMPUTED_VALUE"""),43692.0)</f>
        <v>43692</v>
      </c>
      <c r="D186" s="62" t="str">
        <f>IFERROR(__xludf.DUMMYFUNCTION("""COMPUTED_VALUE"""),"Yes")</f>
        <v>Yes</v>
      </c>
      <c r="E186" s="62" t="str">
        <f>IFERROR(__xludf.DUMMYFUNCTION("""COMPUTED_VALUE"""),"Gene Disease Validity")</f>
        <v>Gene Disease Validity</v>
      </c>
      <c r="F186" s="62" t="str">
        <f>IFERROR(__xludf.DUMMYFUNCTION("""COMPUTED_VALUE"""),"")</f>
        <v/>
      </c>
      <c r="G186" s="62" t="str">
        <f>IFERROR(__xludf.DUMMYFUNCTION("""COMPUTED_VALUE"""),"Marc Lataillade")</f>
        <v>Marc Lataillade</v>
      </c>
      <c r="H186" s="62" t="str">
        <f>IFERROR(__xludf.DUMMYFUNCTION("""COMPUTED_VALUE"""),"marclataillade258@gmail.com")</f>
        <v>marclataillade258@gmail.com</v>
      </c>
      <c r="I186" s="62" t="str">
        <f>IFERROR(__xludf.DUMMYFUNCTION("""COMPUTED_VALUE"""),"Undergraduate Student")</f>
        <v>Undergraduate Student</v>
      </c>
      <c r="J186" s="62"/>
      <c r="K186" s="62" t="str">
        <f>IFERROR(__xludf.DUMMYFUNCTION("""COMPUTED_VALUE"""),"Gene-Disease Validity")</f>
        <v>Gene-Disease Validity</v>
      </c>
      <c r="L186" s="62"/>
      <c r="M186" s="62"/>
      <c r="N186" s="62"/>
      <c r="O186" s="62"/>
      <c r="P186" s="62"/>
      <c r="Q186" s="62"/>
      <c r="R186" s="62"/>
      <c r="S186" s="62"/>
      <c r="T186" s="62"/>
      <c r="U186" s="62"/>
      <c r="V186" s="62"/>
      <c r="W186" s="62"/>
      <c r="X186" s="62"/>
      <c r="Y186" s="62"/>
      <c r="Z186" s="62"/>
    </row>
    <row r="187">
      <c r="A187" s="62" t="str">
        <f>IFERROR(__xludf.DUMMYFUNCTION("""COMPUTED_VALUE"""),"Assigned")</f>
        <v>Assigned</v>
      </c>
      <c r="B187" s="81">
        <f>IFERROR(__xludf.DUMMYFUNCTION("""COMPUTED_VALUE"""),43705.0)</f>
        <v>43705</v>
      </c>
      <c r="C187" s="77">
        <f>IFERROR(__xludf.DUMMYFUNCTION("""COMPUTED_VALUE"""),43719.0)</f>
        <v>43719</v>
      </c>
      <c r="D187" s="62" t="str">
        <f>IFERROR(__xludf.DUMMYFUNCTION("""COMPUTED_VALUE"""),"Yes")</f>
        <v>Yes</v>
      </c>
      <c r="E187" s="62" t="str">
        <f>IFERROR(__xludf.DUMMYFUNCTION("""COMPUTED_VALUE"""),"Somatic Cancer")</f>
        <v>Somatic Cancer</v>
      </c>
      <c r="F187" s="62" t="str">
        <f>IFERROR(__xludf.DUMMYFUNCTION("""COMPUTED_VALUE"""),"hematological cancer taskforce")</f>
        <v>hematological cancer taskforce</v>
      </c>
      <c r="G187" s="62" t="str">
        <f>IFERROR(__xludf.DUMMYFUNCTION("""COMPUTED_VALUE"""),"Lori Millner")</f>
        <v>Lori Millner</v>
      </c>
      <c r="H187" s="62" t="str">
        <f>IFERROR(__xludf.DUMMYFUNCTION("""COMPUTED_VALUE"""),"lorimillner77@gmail.com")</f>
        <v>lorimillner77@gmail.com</v>
      </c>
      <c r="I187" s="62" t="str">
        <f>IFERROR(__xludf.DUMMYFUNCTION("""COMPUTED_VALUE"""),"Clinical Lab Director")</f>
        <v>Clinical Lab Director</v>
      </c>
      <c r="J187" s="62"/>
      <c r="K187" s="62" t="str">
        <f>IFERROR(__xludf.DUMMYFUNCTION("""COMPUTED_VALUE"""),"Somatic Cancer")</f>
        <v>Somatic Cancer</v>
      </c>
      <c r="L187" s="62"/>
      <c r="M187" s="62"/>
      <c r="N187" s="62"/>
      <c r="O187" s="62"/>
      <c r="P187" s="62"/>
      <c r="Q187" s="62"/>
      <c r="R187" s="62"/>
      <c r="S187" s="62"/>
      <c r="T187" s="62"/>
      <c r="U187" s="62"/>
      <c r="V187" s="62"/>
      <c r="W187" s="62"/>
      <c r="X187" s="62"/>
      <c r="Y187" s="62"/>
      <c r="Z187" s="62"/>
    </row>
    <row r="188">
      <c r="A188" s="62" t="str">
        <f>IFERROR(__xludf.DUMMYFUNCTION("""COMPUTED_VALUE"""),"Contacted")</f>
        <v>Contacted</v>
      </c>
      <c r="B188" s="81">
        <f>IFERROR(__xludf.DUMMYFUNCTION("""COMPUTED_VALUE"""),43689.0)</f>
        <v>43689</v>
      </c>
      <c r="C188" s="62" t="str">
        <f>IFERROR(__xludf.DUMMYFUNCTION("""COMPUTED_VALUE"""),"")</f>
        <v/>
      </c>
      <c r="D188" s="62" t="str">
        <f>IFERROR(__xludf.DUMMYFUNCTION("""COMPUTED_VALUE"""),"")</f>
        <v/>
      </c>
      <c r="E188" s="62" t="str">
        <f>IFERROR(__xludf.DUMMYFUNCTION("""COMPUTED_VALUE"""),"Actionability")</f>
        <v>Actionability</v>
      </c>
      <c r="F188" s="62" t="str">
        <f>IFERROR(__xludf.DUMMYFUNCTION("""COMPUTED_VALUE"""),"")</f>
        <v/>
      </c>
      <c r="G188" s="62" t="str">
        <f>IFERROR(__xludf.DUMMYFUNCTION("""COMPUTED_VALUE"""),"Agnes Sebastian")</f>
        <v>Agnes Sebastian</v>
      </c>
      <c r="H188" s="62" t="str">
        <f>IFERROR(__xludf.DUMMYFUNCTION("""COMPUTED_VALUE"""),"agnes.sebastian@mail.utoronto.ca")</f>
        <v>agnes.sebastian@mail.utoronto.ca</v>
      </c>
      <c r="I188" s="62" t="str">
        <f>IFERROR(__xludf.DUMMYFUNCTION("""COMPUTED_VALUE"""),"Graduate Student")</f>
        <v>Graduate Student</v>
      </c>
      <c r="J188" s="62"/>
      <c r="K188" s="62" t="str">
        <f>IFERROR(__xludf.DUMMYFUNCTION("""COMPUTED_VALUE"""),"Clinical Actionability")</f>
        <v>Clinical Actionability</v>
      </c>
      <c r="L188" s="62"/>
      <c r="M188" s="62"/>
      <c r="N188" s="62"/>
      <c r="O188" s="62"/>
      <c r="P188" s="62"/>
      <c r="Q188" s="62"/>
      <c r="R188" s="62"/>
      <c r="S188" s="62"/>
      <c r="T188" s="62"/>
      <c r="U188" s="62"/>
      <c r="V188" s="62"/>
      <c r="W188" s="62"/>
      <c r="X188" s="62"/>
      <c r="Y188" s="62"/>
      <c r="Z188" s="62"/>
    </row>
    <row r="189">
      <c r="A189" s="62" t="str">
        <f>IFERROR(__xludf.DUMMYFUNCTION("""COMPUTED_VALUE"""),"Unresponsive")</f>
        <v>Unresponsive</v>
      </c>
      <c r="B189" s="62" t="str">
        <f>IFERROR(__xludf.DUMMYFUNCTION("""COMPUTED_VALUE"""),"")</f>
        <v/>
      </c>
      <c r="C189" s="62" t="str">
        <f>IFERROR(__xludf.DUMMYFUNCTION("""COMPUTED_VALUE"""),"")</f>
        <v/>
      </c>
      <c r="D189" s="62" t="str">
        <f>IFERROR(__xludf.DUMMYFUNCTION("""COMPUTED_VALUE"""),"")</f>
        <v/>
      </c>
      <c r="E189" s="62" t="str">
        <f>IFERROR(__xludf.DUMMYFUNCTION("""COMPUTED_VALUE"""),"Variant Pathogenicity")</f>
        <v>Variant Pathogenicity</v>
      </c>
      <c r="F189" s="62" t="str">
        <f>IFERROR(__xludf.DUMMYFUNCTION("""COMPUTED_VALUE"""),"")</f>
        <v/>
      </c>
      <c r="G189" s="62" t="str">
        <f>IFERROR(__xludf.DUMMYFUNCTION("""COMPUTED_VALUE"""),"Xiangqiang Shao")</f>
        <v>Xiangqiang Shao</v>
      </c>
      <c r="H189" s="62" t="str">
        <f>IFERROR(__xludf.DUMMYFUNCTION("""COMPUTED_VALUE"""),"xshao5@wisc.edu")</f>
        <v>xshao5@wisc.edu</v>
      </c>
      <c r="I189" s="62" t="str">
        <f>IFERROR(__xludf.DUMMYFUNCTION("""COMPUTED_VALUE"""),"Scientific Researcher")</f>
        <v>Scientific Researcher</v>
      </c>
      <c r="J189" s="62"/>
      <c r="K189" s="62" t="str">
        <f>IFERROR(__xludf.DUMMYFUNCTION("""COMPUTED_VALUE"""),"Variant Pathogenicity")</f>
        <v>Variant Pathogenicity</v>
      </c>
      <c r="L189" s="62"/>
      <c r="M189" s="62"/>
      <c r="N189" s="62"/>
      <c r="O189" s="62"/>
      <c r="P189" s="62"/>
      <c r="Q189" s="62"/>
      <c r="R189" s="62"/>
      <c r="S189" s="62"/>
      <c r="T189" s="62"/>
      <c r="U189" s="62"/>
      <c r="V189" s="62"/>
      <c r="W189" s="62"/>
      <c r="X189" s="62"/>
      <c r="Y189" s="62"/>
      <c r="Z189" s="62"/>
    </row>
    <row r="190">
      <c r="A190" s="62" t="str">
        <f>IFERROR(__xludf.DUMMYFUNCTION("""COMPUTED_VALUE"""),"Contacted")</f>
        <v>Contacted</v>
      </c>
      <c r="B190" s="81">
        <f>IFERROR(__xludf.DUMMYFUNCTION("""COMPUTED_VALUE"""),43689.0)</f>
        <v>43689</v>
      </c>
      <c r="C190" s="62" t="str">
        <f>IFERROR(__xludf.DUMMYFUNCTION("""COMPUTED_VALUE"""),"")</f>
        <v/>
      </c>
      <c r="D190" s="62" t="str">
        <f>IFERROR(__xludf.DUMMYFUNCTION("""COMPUTED_VALUE"""),"")</f>
        <v/>
      </c>
      <c r="E190" s="62" t="str">
        <f>IFERROR(__xludf.DUMMYFUNCTION("""COMPUTED_VALUE"""),"Actionability")</f>
        <v>Actionability</v>
      </c>
      <c r="F190" s="62" t="str">
        <f>IFERROR(__xludf.DUMMYFUNCTION("""COMPUTED_VALUE"""),"")</f>
        <v/>
      </c>
      <c r="G190" s="62" t="str">
        <f>IFERROR(__xludf.DUMMYFUNCTION("""COMPUTED_VALUE"""),"Terri McVeigh")</f>
        <v>Terri McVeigh</v>
      </c>
      <c r="H190" s="62" t="str">
        <f>IFERROR(__xludf.DUMMYFUNCTION("""COMPUTED_VALUE"""),"terri.mcveigh@rmh.nhs.uk")</f>
        <v>terri.mcveigh@rmh.nhs.uk</v>
      </c>
      <c r="I190" s="62" t="str">
        <f>IFERROR(__xludf.DUMMYFUNCTION("""COMPUTED_VALUE"""),"Clinical Medical Geneticist")</f>
        <v>Clinical Medical Geneticist</v>
      </c>
      <c r="J190" s="62"/>
      <c r="K190" s="62" t="str">
        <f>IFERROR(__xludf.DUMMYFUNCTION("""COMPUTED_VALUE"""),"Clinical Actionability")</f>
        <v>Clinical Actionability</v>
      </c>
      <c r="L190" s="62"/>
      <c r="M190" s="62"/>
      <c r="N190" s="62"/>
      <c r="O190" s="62"/>
      <c r="P190" s="62"/>
      <c r="Q190" s="62"/>
      <c r="R190" s="62"/>
      <c r="S190" s="62"/>
      <c r="T190" s="62"/>
      <c r="U190" s="62"/>
      <c r="V190" s="62"/>
      <c r="W190" s="62"/>
      <c r="X190" s="62"/>
      <c r="Y190" s="62"/>
      <c r="Z190" s="62"/>
    </row>
    <row r="191">
      <c r="A191" s="62" t="str">
        <f>IFERROR(__xludf.DUMMYFUNCTION("""COMPUTED_VALUE"""),"Unresponsive")</f>
        <v>Unresponsive</v>
      </c>
      <c r="B191" s="62" t="str">
        <f>IFERROR(__xludf.DUMMYFUNCTION("""COMPUTED_VALUE"""),"")</f>
        <v/>
      </c>
      <c r="C191" s="62" t="str">
        <f>IFERROR(__xludf.DUMMYFUNCTION("""COMPUTED_VALUE"""),"")</f>
        <v/>
      </c>
      <c r="D191" s="62" t="str">
        <f>IFERROR(__xludf.DUMMYFUNCTION("""COMPUTED_VALUE"""),"")</f>
        <v/>
      </c>
      <c r="E191" s="62" t="str">
        <f>IFERROR(__xludf.DUMMYFUNCTION("""COMPUTED_VALUE"""),"Variant Pathogenicity")</f>
        <v>Variant Pathogenicity</v>
      </c>
      <c r="F191" s="62" t="str">
        <f>IFERROR(__xludf.DUMMYFUNCTION("""COMPUTED_VALUE"""),"")</f>
        <v/>
      </c>
      <c r="G191" s="62" t="str">
        <f>IFERROR(__xludf.DUMMYFUNCTION("""COMPUTED_VALUE"""),"Gretchen Cote")</f>
        <v>Gretchen Cote</v>
      </c>
      <c r="H191" s="62" t="str">
        <f>IFERROR(__xludf.DUMMYFUNCTION("""COMPUTED_VALUE"""),"gretchen.cote@dgs.virginia.gov")</f>
        <v>gretchen.cote@dgs.virginia.gov</v>
      </c>
      <c r="I191" s="62" t="str">
        <f>IFERROR(__xludf.DUMMYFUNCTION("""COMPUTED_VALUE"""),"Bioinformatician focusing on Variant Interpretation")</f>
        <v>Bioinformatician focusing on Variant Interpretation</v>
      </c>
      <c r="J191" s="62"/>
      <c r="K191" s="62" t="str">
        <f>IFERROR(__xludf.DUMMYFUNCTION("""COMPUTED_VALUE"""),"Variant Pathogenicity")</f>
        <v>Variant Pathogenicity</v>
      </c>
      <c r="L191" s="62"/>
      <c r="M191" s="62"/>
      <c r="N191" s="62"/>
      <c r="O191" s="62"/>
      <c r="P191" s="62"/>
      <c r="Q191" s="62"/>
      <c r="R191" s="62"/>
      <c r="S191" s="62"/>
      <c r="T191" s="62"/>
      <c r="U191" s="62"/>
      <c r="V191" s="62"/>
      <c r="W191" s="62"/>
      <c r="X191" s="62"/>
      <c r="Y191" s="62"/>
      <c r="Z191" s="62"/>
    </row>
    <row r="192">
      <c r="A192" s="62" t="str">
        <f>IFERROR(__xludf.DUMMYFUNCTION("""COMPUTED_VALUE"""),"Contacted")</f>
        <v>Contacted</v>
      </c>
      <c r="B192" s="62" t="str">
        <f>IFERROR(__xludf.DUMMYFUNCTION("""COMPUTED_VALUE"""),"")</f>
        <v/>
      </c>
      <c r="C192" s="77">
        <f>IFERROR(__xludf.DUMMYFUNCTION("""COMPUTED_VALUE"""),43692.0)</f>
        <v>43692</v>
      </c>
      <c r="D192" s="62" t="str">
        <f>IFERROR(__xludf.DUMMYFUNCTION("""COMPUTED_VALUE"""),"Yes")</f>
        <v>Yes</v>
      </c>
      <c r="E192" s="62" t="str">
        <f>IFERROR(__xludf.DUMMYFUNCTION("""COMPUTED_VALUE"""),"Gene Disease Validity")</f>
        <v>Gene Disease Validity</v>
      </c>
      <c r="F192" s="62" t="str">
        <f>IFERROR(__xludf.DUMMYFUNCTION("""COMPUTED_VALUE"""),"")</f>
        <v/>
      </c>
      <c r="G192" s="62" t="str">
        <f>IFERROR(__xludf.DUMMYFUNCTION("""COMPUTED_VALUE"""),"Mayher Patel")</f>
        <v>Mayher Patel</v>
      </c>
      <c r="H192" s="62" t="str">
        <f>IFERROR(__xludf.DUMMYFUNCTION("""COMPUTED_VALUE"""),"mayher@broadinstitute.org")</f>
        <v>mayher@broadinstitute.org</v>
      </c>
      <c r="I192" s="62" t="str">
        <f>IFERROR(__xludf.DUMMYFUNCTION("""COMPUTED_VALUE"""),"Biocurator")</f>
        <v>Biocurator</v>
      </c>
      <c r="J192" s="62"/>
      <c r="K192" s="62" t="str">
        <f>IFERROR(__xludf.DUMMYFUNCTION("""COMPUTED_VALUE"""),"Gene-Disease Validity")</f>
        <v>Gene-Disease Validity</v>
      </c>
      <c r="L192" s="62"/>
      <c r="M192" s="62"/>
      <c r="N192" s="62"/>
      <c r="O192" s="62"/>
      <c r="P192" s="62"/>
      <c r="Q192" s="62"/>
      <c r="R192" s="62"/>
      <c r="S192" s="62"/>
      <c r="T192" s="62"/>
      <c r="U192" s="62"/>
      <c r="V192" s="62"/>
      <c r="W192" s="62"/>
      <c r="X192" s="62"/>
      <c r="Y192" s="62"/>
      <c r="Z192" s="62"/>
    </row>
    <row r="193">
      <c r="A193" s="62" t="str">
        <f>IFERROR(__xludf.DUMMYFUNCTION("""COMPUTED_VALUE"""),"Unresponsive")</f>
        <v>Unresponsive</v>
      </c>
      <c r="B193" s="62" t="str">
        <f>IFERROR(__xludf.DUMMYFUNCTION("""COMPUTED_VALUE"""),"")</f>
        <v/>
      </c>
      <c r="C193" s="62" t="str">
        <f>IFERROR(__xludf.DUMMYFUNCTION("""COMPUTED_VALUE"""),"")</f>
        <v/>
      </c>
      <c r="D193" s="62" t="str">
        <f>IFERROR(__xludf.DUMMYFUNCTION("""COMPUTED_VALUE"""),"")</f>
        <v/>
      </c>
      <c r="E193" s="62" t="str">
        <f>IFERROR(__xludf.DUMMYFUNCTION("""COMPUTED_VALUE"""),"Variant Pathogenicity")</f>
        <v>Variant Pathogenicity</v>
      </c>
      <c r="F193" s="62" t="str">
        <f>IFERROR(__xludf.DUMMYFUNCTION("""COMPUTED_VALUE"""),"")</f>
        <v/>
      </c>
      <c r="G193" s="62" t="str">
        <f>IFERROR(__xludf.DUMMYFUNCTION("""COMPUTED_VALUE"""),"Bryan Gall")</f>
        <v>Bryan Gall</v>
      </c>
      <c r="H193" s="62" t="str">
        <f>IFERROR(__xludf.DUMMYFUNCTION("""COMPUTED_VALUE"""),"bgall005@gmail.com")</f>
        <v>bgall005@gmail.com</v>
      </c>
      <c r="I193" s="62" t="str">
        <f>IFERROR(__xludf.DUMMYFUNCTION("""COMPUTED_VALUE"""),"Variant Analyst/Scientist - Industry")</f>
        <v>Variant Analyst/Scientist - Industry</v>
      </c>
      <c r="J193" s="62"/>
      <c r="K193" s="62" t="str">
        <f>IFERROR(__xludf.DUMMYFUNCTION("""COMPUTED_VALUE"""),"Variant Pathogenicity")</f>
        <v>Variant Pathogenicity</v>
      </c>
      <c r="L193" s="62"/>
      <c r="M193" s="62"/>
      <c r="N193" s="62"/>
      <c r="O193" s="62"/>
      <c r="P193" s="62"/>
      <c r="Q193" s="62"/>
      <c r="R193" s="62"/>
      <c r="S193" s="62"/>
      <c r="T193" s="62"/>
      <c r="U193" s="62"/>
      <c r="V193" s="62"/>
      <c r="W193" s="62"/>
      <c r="X193" s="62"/>
      <c r="Y193" s="62"/>
      <c r="Z193" s="62"/>
    </row>
    <row r="194">
      <c r="A194" s="62" t="str">
        <f>IFERROR(__xludf.DUMMYFUNCTION("""COMPUTED_VALUE"""),"Contacted")</f>
        <v>Contacted</v>
      </c>
      <c r="B194" s="62" t="str">
        <f>IFERROR(__xludf.DUMMYFUNCTION("""COMPUTED_VALUE"""),"")</f>
        <v/>
      </c>
      <c r="C194" s="77">
        <f>IFERROR(__xludf.DUMMYFUNCTION("""COMPUTED_VALUE"""),43692.0)</f>
        <v>43692</v>
      </c>
      <c r="D194" s="62" t="str">
        <f>IFERROR(__xludf.DUMMYFUNCTION("""COMPUTED_VALUE"""),"Yes")</f>
        <v>Yes</v>
      </c>
      <c r="E194" s="62" t="str">
        <f>IFERROR(__xludf.DUMMYFUNCTION("""COMPUTED_VALUE"""),"Gene Disease Validity")</f>
        <v>Gene Disease Validity</v>
      </c>
      <c r="F194" s="62" t="str">
        <f>IFERROR(__xludf.DUMMYFUNCTION("""COMPUTED_VALUE"""),"")</f>
        <v/>
      </c>
      <c r="G194" s="62" t="str">
        <f>IFERROR(__xludf.DUMMYFUNCTION("""COMPUTED_VALUE"""),"Hwaida Hannoush")</f>
        <v>Hwaida Hannoush</v>
      </c>
      <c r="H194" s="62" t="str">
        <f>IFERROR(__xludf.DUMMYFUNCTION("""COMPUTED_VALUE"""),"hhannoush@acmg.net")</f>
        <v>hhannoush@acmg.net</v>
      </c>
      <c r="I194" s="62" t="str">
        <f>IFERROR(__xludf.DUMMYFUNCTION("""COMPUTED_VALUE"""),"Post Doc/Resident/Fellow (MD and/or PhD)")</f>
        <v>Post Doc/Resident/Fellow (MD and/or PhD)</v>
      </c>
      <c r="J194" s="62"/>
      <c r="K194" s="62" t="str">
        <f>IFERROR(__xludf.DUMMYFUNCTION("""COMPUTED_VALUE"""),"Gene-Disease Validity")</f>
        <v>Gene-Disease Validity</v>
      </c>
      <c r="L194" s="62"/>
      <c r="M194" s="62"/>
      <c r="N194" s="62"/>
      <c r="O194" s="62"/>
      <c r="P194" s="62"/>
      <c r="Q194" s="62"/>
      <c r="R194" s="62"/>
      <c r="S194" s="62"/>
      <c r="T194" s="62"/>
      <c r="U194" s="62"/>
      <c r="V194" s="62"/>
      <c r="W194" s="62"/>
      <c r="X194" s="62"/>
      <c r="Y194" s="62"/>
      <c r="Z194" s="62"/>
    </row>
    <row r="195">
      <c r="A195" s="62" t="str">
        <f>IFERROR(__xludf.DUMMYFUNCTION("""COMPUTED_VALUE"""),"Contacted")</f>
        <v>Contacted</v>
      </c>
      <c r="B195" s="81">
        <f>IFERROR(__xludf.DUMMYFUNCTION("""COMPUTED_VALUE"""),43689.0)</f>
        <v>43689</v>
      </c>
      <c r="C195" s="62" t="str">
        <f>IFERROR(__xludf.DUMMYFUNCTION("""COMPUTED_VALUE"""),"")</f>
        <v/>
      </c>
      <c r="D195" s="62" t="str">
        <f>IFERROR(__xludf.DUMMYFUNCTION("""COMPUTED_VALUE"""),"")</f>
        <v/>
      </c>
      <c r="E195" s="62" t="str">
        <f>IFERROR(__xludf.DUMMYFUNCTION("""COMPUTED_VALUE"""),"Actionability")</f>
        <v>Actionability</v>
      </c>
      <c r="F195" s="62" t="str">
        <f>IFERROR(__xludf.DUMMYFUNCTION("""COMPUTED_VALUE"""),"")</f>
        <v/>
      </c>
      <c r="G195" s="62" t="str">
        <f>IFERROR(__xludf.DUMMYFUNCTION("""COMPUTED_VALUE"""),"Rawan Awwad")</f>
        <v>Rawan Awwad</v>
      </c>
      <c r="H195" s="62" t="str">
        <f>IFERROR(__xludf.DUMMYFUNCTION("""COMPUTED_VALUE"""),"rawan.awwad@gmail.com")</f>
        <v>rawan.awwad@gmail.com</v>
      </c>
      <c r="I195" s="62" t="str">
        <f>IFERROR(__xludf.DUMMYFUNCTION("""COMPUTED_VALUE"""),"Genetic counselor")</f>
        <v>Genetic counselor</v>
      </c>
      <c r="J195" s="62"/>
      <c r="K195" s="62" t="str">
        <f>IFERROR(__xludf.DUMMYFUNCTION("""COMPUTED_VALUE"""),"Clinical Actionability")</f>
        <v>Clinical Actionability</v>
      </c>
      <c r="L195" s="62"/>
      <c r="M195" s="62"/>
      <c r="N195" s="62"/>
      <c r="O195" s="62"/>
      <c r="P195" s="62"/>
      <c r="Q195" s="62"/>
      <c r="R195" s="62"/>
      <c r="S195" s="62"/>
      <c r="T195" s="62"/>
      <c r="U195" s="62"/>
      <c r="V195" s="62"/>
      <c r="W195" s="62"/>
      <c r="X195" s="62"/>
      <c r="Y195" s="62"/>
      <c r="Z195" s="62"/>
    </row>
    <row r="196">
      <c r="A196" s="62" t="str">
        <f>IFERROR(__xludf.DUMMYFUNCTION("""COMPUTED_VALUE"""),"Unresponsive")</f>
        <v>Unresponsive</v>
      </c>
      <c r="B196" s="81" t="str">
        <f>IFERROR(__xludf.DUMMYFUNCTION("""COMPUTED_VALUE"""),"")</f>
        <v/>
      </c>
      <c r="C196" s="62" t="str">
        <f>IFERROR(__xludf.DUMMYFUNCTION("""COMPUTED_VALUE"""),"")</f>
        <v/>
      </c>
      <c r="D196" s="62" t="str">
        <f>IFERROR(__xludf.DUMMYFUNCTION("""COMPUTED_VALUE"""),"")</f>
        <v/>
      </c>
      <c r="E196" s="62" t="str">
        <f>IFERROR(__xludf.DUMMYFUNCTION("""COMPUTED_VALUE"""),"Variant Pathogenicity")</f>
        <v>Variant Pathogenicity</v>
      </c>
      <c r="F196" s="62" t="str">
        <f>IFERROR(__xludf.DUMMYFUNCTION("""COMPUTED_VALUE"""),"")</f>
        <v/>
      </c>
      <c r="G196" s="62" t="str">
        <f>IFERROR(__xludf.DUMMYFUNCTION("""COMPUTED_VALUE"""),"Yanhui Li")</f>
        <v>Yanhui Li</v>
      </c>
      <c r="H196" s="62" t="str">
        <f>IFERROR(__xludf.DUMMYFUNCTION("""COMPUTED_VALUE"""),"yxl280@gmail.com")</f>
        <v>yxl280@gmail.com</v>
      </c>
      <c r="I196" s="62" t="str">
        <f>IFERROR(__xludf.DUMMYFUNCTION("""COMPUTED_VALUE"""),"Post Doc/Resident/Fellow (MD and/or PhD)")</f>
        <v>Post Doc/Resident/Fellow (MD and/or PhD)</v>
      </c>
      <c r="J196" s="62"/>
      <c r="K196" s="62" t="str">
        <f>IFERROR(__xludf.DUMMYFUNCTION("""COMPUTED_VALUE"""),"Variant Pathogenicity")</f>
        <v>Variant Pathogenicity</v>
      </c>
      <c r="L196" s="62"/>
      <c r="M196" s="62"/>
      <c r="N196" s="62"/>
      <c r="O196" s="62"/>
      <c r="P196" s="62"/>
      <c r="Q196" s="62"/>
      <c r="R196" s="62"/>
      <c r="S196" s="62"/>
      <c r="T196" s="62"/>
      <c r="U196" s="62"/>
      <c r="V196" s="62"/>
      <c r="W196" s="62"/>
      <c r="X196" s="62"/>
      <c r="Y196" s="62"/>
      <c r="Z196" s="62"/>
    </row>
    <row r="197">
      <c r="A197" s="62" t="str">
        <f>IFERROR(__xludf.DUMMYFUNCTION("""COMPUTED_VALUE"""),"Contacted")</f>
        <v>Contacted</v>
      </c>
      <c r="B197" s="81">
        <f>IFERROR(__xludf.DUMMYFUNCTION("""COMPUTED_VALUE"""),43689.0)</f>
        <v>43689</v>
      </c>
      <c r="C197" s="62" t="str">
        <f>IFERROR(__xludf.DUMMYFUNCTION("""COMPUTED_VALUE"""),"")</f>
        <v/>
      </c>
      <c r="D197" s="62" t="str">
        <f>IFERROR(__xludf.DUMMYFUNCTION("""COMPUTED_VALUE"""),"")</f>
        <v/>
      </c>
      <c r="E197" s="62" t="str">
        <f>IFERROR(__xludf.DUMMYFUNCTION("""COMPUTED_VALUE"""),"Actionability")</f>
        <v>Actionability</v>
      </c>
      <c r="F197" s="62" t="str">
        <f>IFERROR(__xludf.DUMMYFUNCTION("""COMPUTED_VALUE"""),"")</f>
        <v/>
      </c>
      <c r="G197" s="62" t="str">
        <f>IFERROR(__xludf.DUMMYFUNCTION("""COMPUTED_VALUE"""),"Leila Jamal")</f>
        <v>Leila Jamal</v>
      </c>
      <c r="H197" s="62" t="str">
        <f>IFERROR(__xludf.DUMMYFUNCTION("""COMPUTED_VALUE"""),"leila.jamal@nih.gov")</f>
        <v>leila.jamal@nih.gov</v>
      </c>
      <c r="I197" s="62" t="str">
        <f>IFERROR(__xludf.DUMMYFUNCTION("""COMPUTED_VALUE"""),"Genetic counselor")</f>
        <v>Genetic counselor</v>
      </c>
      <c r="J197" s="62"/>
      <c r="K197" s="62" t="str">
        <f>IFERROR(__xludf.DUMMYFUNCTION("""COMPUTED_VALUE"""),"Clinical Actionability")</f>
        <v>Clinical Actionability</v>
      </c>
      <c r="L197" s="62"/>
      <c r="M197" s="62"/>
      <c r="N197" s="62"/>
      <c r="O197" s="62"/>
      <c r="P197" s="62"/>
      <c r="Q197" s="62"/>
      <c r="R197" s="62"/>
      <c r="S197" s="62"/>
      <c r="T197" s="62"/>
      <c r="U197" s="62"/>
      <c r="V197" s="62"/>
      <c r="W197" s="62"/>
      <c r="X197" s="62"/>
      <c r="Y197" s="62"/>
      <c r="Z197" s="62"/>
    </row>
    <row r="198">
      <c r="A198" s="62" t="str">
        <f>IFERROR(__xludf.DUMMYFUNCTION("""COMPUTED_VALUE"""),"Contacted")</f>
        <v>Contacted</v>
      </c>
      <c r="B198" s="81">
        <f>IFERROR(__xludf.DUMMYFUNCTION("""COMPUTED_VALUE"""),43819.0)</f>
        <v>43819</v>
      </c>
      <c r="C198" s="62" t="str">
        <f>IFERROR(__xludf.DUMMYFUNCTION("""COMPUTED_VALUE"""),"")</f>
        <v/>
      </c>
      <c r="D198" s="62" t="str">
        <f>IFERROR(__xludf.DUMMYFUNCTION("""COMPUTED_VALUE"""),"")</f>
        <v/>
      </c>
      <c r="E198" s="62" t="str">
        <f>IFERROR(__xludf.DUMMYFUNCTION("""COMPUTED_VALUE"""),"Variant Pathogenicity")</f>
        <v>Variant Pathogenicity</v>
      </c>
      <c r="F198" s="62" t="str">
        <f>IFERROR(__xludf.DUMMYFUNCTION("""COMPUTED_VALUE"""),"")</f>
        <v/>
      </c>
      <c r="G198" s="62" t="str">
        <f>IFERROR(__xludf.DUMMYFUNCTION("""COMPUTED_VALUE"""),"Shahad Rahawi")</f>
        <v>Shahad Rahawi</v>
      </c>
      <c r="H198" s="62" t="str">
        <f>IFERROR(__xludf.DUMMYFUNCTION("""COMPUTED_VALUE"""),"shahadrahawi@gmail.com")</f>
        <v>shahadrahawi@gmail.com</v>
      </c>
      <c r="I198" s="62" t="str">
        <f>IFERROR(__xludf.DUMMYFUNCTION("""COMPUTED_VALUE"""),"Genetic counselor")</f>
        <v>Genetic counselor</v>
      </c>
      <c r="J198" s="62"/>
      <c r="K198" s="62" t="str">
        <f>IFERROR(__xludf.DUMMYFUNCTION("""COMPUTED_VALUE"""),"Variant Pathogenicity")</f>
        <v>Variant Pathogenicity</v>
      </c>
      <c r="L198" s="62"/>
      <c r="M198" s="62"/>
      <c r="N198" s="62"/>
      <c r="O198" s="62"/>
      <c r="P198" s="62"/>
      <c r="Q198" s="62"/>
      <c r="R198" s="62"/>
      <c r="S198" s="62"/>
      <c r="T198" s="62"/>
      <c r="U198" s="62"/>
      <c r="V198" s="62"/>
      <c r="W198" s="62"/>
      <c r="X198" s="62"/>
      <c r="Y198" s="62"/>
      <c r="Z198" s="62"/>
    </row>
    <row r="199">
      <c r="A199" s="62" t="str">
        <f>IFERROR(__xludf.DUMMYFUNCTION("""COMPUTED_VALUE"""),"Declined")</f>
        <v>Declined</v>
      </c>
      <c r="B199" s="81">
        <f>IFERROR(__xludf.DUMMYFUNCTION("""COMPUTED_VALUE"""),43689.0)</f>
        <v>43689</v>
      </c>
      <c r="C199" s="62" t="str">
        <f>IFERROR(__xludf.DUMMYFUNCTION("""COMPUTED_VALUE"""),"")</f>
        <v/>
      </c>
      <c r="D199" s="62" t="str">
        <f>IFERROR(__xludf.DUMMYFUNCTION("""COMPUTED_VALUE"""),"")</f>
        <v/>
      </c>
      <c r="E199" s="62" t="str">
        <f>IFERROR(__xludf.DUMMYFUNCTION("""COMPUTED_VALUE"""),"Actionability")</f>
        <v>Actionability</v>
      </c>
      <c r="F199" s="62" t="str">
        <f>IFERROR(__xludf.DUMMYFUNCTION("""COMPUTED_VALUE"""),"")</f>
        <v/>
      </c>
      <c r="G199" s="62" t="str">
        <f>IFERROR(__xludf.DUMMYFUNCTION("""COMPUTED_VALUE"""),"Parham Habibzadeh")</f>
        <v>Parham Habibzadeh</v>
      </c>
      <c r="H199" s="62" t="str">
        <f>IFERROR(__xludf.DUMMYFUNCTION("""COMPUTED_VALUE"""),"parham.habibzadeh@yahoo.com")</f>
        <v>parham.habibzadeh@yahoo.com</v>
      </c>
      <c r="I199" s="62" t="str">
        <f>IFERROR(__xludf.DUMMYFUNCTION("""COMPUTED_VALUE"""),"Scientific Researcher")</f>
        <v>Scientific Researcher</v>
      </c>
      <c r="J199" s="62"/>
      <c r="K199" s="62" t="str">
        <f>IFERROR(__xludf.DUMMYFUNCTION("""COMPUTED_VALUE"""),"Clinical Actionability")</f>
        <v>Clinical Actionability</v>
      </c>
      <c r="L199" s="62"/>
      <c r="M199" s="62"/>
      <c r="N199" s="62"/>
      <c r="O199" s="62"/>
      <c r="P199" s="62"/>
      <c r="Q199" s="62"/>
      <c r="R199" s="62"/>
      <c r="S199" s="62"/>
      <c r="T199" s="62"/>
      <c r="U199" s="62"/>
      <c r="V199" s="62"/>
      <c r="W199" s="62"/>
      <c r="X199" s="62"/>
      <c r="Y199" s="62"/>
      <c r="Z199" s="62"/>
    </row>
    <row r="200">
      <c r="A200" s="62" t="str">
        <f>IFERROR(__xludf.DUMMYFUNCTION("""COMPUTED_VALUE"""),"Contacted")</f>
        <v>Contacted</v>
      </c>
      <c r="B200" s="81">
        <f>IFERROR(__xludf.DUMMYFUNCTION("""COMPUTED_VALUE"""),43717.0)</f>
        <v>43717</v>
      </c>
      <c r="C200" s="77">
        <f>IFERROR(__xludf.DUMMYFUNCTION("""COMPUTED_VALUE"""),43769.0)</f>
        <v>43769</v>
      </c>
      <c r="D200" s="62" t="str">
        <f>IFERROR(__xludf.DUMMYFUNCTION("""COMPUTED_VALUE"""),"Yes")</f>
        <v>Yes</v>
      </c>
      <c r="E200" s="62" t="str">
        <f>IFERROR(__xludf.DUMMYFUNCTION("""COMPUTED_VALUE"""),"Actionability")</f>
        <v>Actionability</v>
      </c>
      <c r="F200" s="62" t="str">
        <f>IFERROR(__xludf.DUMMYFUNCTION("""COMPUTED_VALUE"""),"Actionability")</f>
        <v>Actionability</v>
      </c>
      <c r="G200" s="62" t="str">
        <f>IFERROR(__xludf.DUMMYFUNCTION("""COMPUTED_VALUE"""),"Xiaolin Hu")</f>
        <v>Xiaolin Hu</v>
      </c>
      <c r="H200" s="62" t="str">
        <f>IFERROR(__xludf.DUMMYFUNCTION("""COMPUTED_VALUE"""),"xiaolin.hu@cchmc.org")</f>
        <v>xiaolin.hu@cchmc.org</v>
      </c>
      <c r="I200" s="62" t="str">
        <f>IFERROR(__xludf.DUMMYFUNCTION("""COMPUTED_VALUE"""),"Post Doc/Resident/Fellow (MD and/or PhD)")</f>
        <v>Post Doc/Resident/Fellow (MD and/or PhD)</v>
      </c>
      <c r="J200" s="62"/>
      <c r="K200" s="62" t="str">
        <f>IFERROR(__xludf.DUMMYFUNCTION("""COMPUTED_VALUE"""),"Clinical Actionability")</f>
        <v>Clinical Actionability</v>
      </c>
      <c r="L200" s="62"/>
      <c r="M200" s="62"/>
      <c r="N200" s="62"/>
      <c r="O200" s="62"/>
      <c r="P200" s="62"/>
      <c r="Q200" s="62"/>
      <c r="R200" s="62"/>
      <c r="S200" s="62"/>
      <c r="T200" s="62"/>
      <c r="U200" s="62"/>
      <c r="V200" s="62"/>
      <c r="W200" s="62"/>
      <c r="X200" s="62"/>
      <c r="Y200" s="62"/>
      <c r="Z200" s="62"/>
    </row>
    <row r="201">
      <c r="A201" s="62" t="str">
        <f>IFERROR(__xludf.DUMMYFUNCTION("""COMPUTED_VALUE"""),"Contacted")</f>
        <v>Contacted</v>
      </c>
      <c r="B201" s="81">
        <f>IFERROR(__xludf.DUMMYFUNCTION("""COMPUTED_VALUE"""),43819.0)</f>
        <v>43819</v>
      </c>
      <c r="C201" s="106">
        <f>IFERROR(__xludf.DUMMYFUNCTION("""COMPUTED_VALUE"""),43859.0)</f>
        <v>43859</v>
      </c>
      <c r="D201" s="62" t="str">
        <f>IFERROR(__xludf.DUMMYFUNCTION("""COMPUTED_VALUE"""),"Yes")</f>
        <v>Yes</v>
      </c>
      <c r="E201" s="62" t="str">
        <f>IFERROR(__xludf.DUMMYFUNCTION("""COMPUTED_VALUE"""),"Variant Pathogenicity")</f>
        <v>Variant Pathogenicity</v>
      </c>
      <c r="F201" s="62" t="str">
        <f>IFERROR(__xludf.DUMMYFUNCTION("""COMPUTED_VALUE"""),"")</f>
        <v/>
      </c>
      <c r="G201" s="62" t="str">
        <f>IFERROR(__xludf.DUMMYFUNCTION("""COMPUTED_VALUE"""),"Leighton Telling")</f>
        <v>Leighton Telling</v>
      </c>
      <c r="H201" s="62" t="str">
        <f>IFERROR(__xludf.DUMMYFUNCTION("""COMPUTED_VALUE"""),"lptellin@ncsu.edu")</f>
        <v>lptellin@ncsu.edu</v>
      </c>
      <c r="I201" s="62" t="str">
        <f>IFERROR(__xludf.DUMMYFUNCTION("""COMPUTED_VALUE"""),"Former UNC ClinGen Research Assistant")</f>
        <v>Former UNC ClinGen Research Assistant</v>
      </c>
      <c r="J201" s="62"/>
      <c r="K201" s="62" t="str">
        <f>IFERROR(__xludf.DUMMYFUNCTION("""COMPUTED_VALUE"""),"Variant Pathogenicity")</f>
        <v>Variant Pathogenicity</v>
      </c>
      <c r="L201" s="62"/>
      <c r="M201" s="62"/>
      <c r="N201" s="62"/>
      <c r="O201" s="62"/>
      <c r="P201" s="62"/>
      <c r="Q201" s="62"/>
      <c r="R201" s="62"/>
      <c r="S201" s="62"/>
      <c r="T201" s="62"/>
      <c r="U201" s="62"/>
      <c r="V201" s="62"/>
      <c r="W201" s="62"/>
      <c r="X201" s="62"/>
      <c r="Y201" s="62"/>
      <c r="Z201" s="62"/>
    </row>
    <row r="202">
      <c r="A202" s="62" t="str">
        <f>IFERROR(__xludf.DUMMYFUNCTION("""COMPUTED_VALUE"""),"Assigned")</f>
        <v>Assigned</v>
      </c>
      <c r="B202" s="81">
        <f>IFERROR(__xludf.DUMMYFUNCTION("""COMPUTED_VALUE"""),43705.0)</f>
        <v>43705</v>
      </c>
      <c r="C202" s="77">
        <f>IFERROR(__xludf.DUMMYFUNCTION("""COMPUTED_VALUE"""),43719.0)</f>
        <v>43719</v>
      </c>
      <c r="D202" s="62" t="str">
        <f>IFERROR(__xludf.DUMMYFUNCTION("""COMPUTED_VALUE"""),"Yes")</f>
        <v>Yes</v>
      </c>
      <c r="E202" s="62" t="str">
        <f>IFERROR(__xludf.DUMMYFUNCTION("""COMPUTED_VALUE"""),"Somatic Cancer")</f>
        <v>Somatic Cancer</v>
      </c>
      <c r="F202" s="62" t="str">
        <f>IFERROR(__xludf.DUMMYFUNCTION("""COMPUTED_VALUE"""),"Pediatric cancer and Hematological cancer taskforce")</f>
        <v>Pediatric cancer and Hematological cancer taskforce</v>
      </c>
      <c r="G202" s="62" t="str">
        <f>IFERROR(__xludf.DUMMYFUNCTION("""COMPUTED_VALUE"""),"Panieh Terraf")</f>
        <v>Panieh Terraf</v>
      </c>
      <c r="H202" s="62" t="str">
        <f>IFERROR(__xludf.DUMMYFUNCTION("""COMPUTED_VALUE"""),"pterraf@bwh.harvard.edu")</f>
        <v>pterraf@bwh.harvard.edu</v>
      </c>
      <c r="I202" s="62" t="str">
        <f>IFERROR(__xludf.DUMMYFUNCTION("""COMPUTED_VALUE"""),"Clinical laboratory geneticist")</f>
        <v>Clinical laboratory geneticist</v>
      </c>
      <c r="J202" s="62"/>
      <c r="K202" s="62" t="str">
        <f>IFERROR(__xludf.DUMMYFUNCTION("""COMPUTED_VALUE"""),"Somatic Cancer")</f>
        <v>Somatic Cancer</v>
      </c>
      <c r="L202" s="62"/>
      <c r="M202" s="62"/>
      <c r="N202" s="62"/>
      <c r="O202" s="62"/>
      <c r="P202" s="62"/>
      <c r="Q202" s="62"/>
      <c r="R202" s="62"/>
      <c r="S202" s="62"/>
      <c r="T202" s="62"/>
      <c r="U202" s="62"/>
      <c r="V202" s="62"/>
      <c r="W202" s="62"/>
      <c r="X202" s="62"/>
      <c r="Y202" s="62"/>
      <c r="Z202" s="62"/>
    </row>
    <row r="203">
      <c r="A203" s="62" t="str">
        <f>IFERROR(__xludf.DUMMYFUNCTION("""COMPUTED_VALUE"""),"Contacted")</f>
        <v>Contacted</v>
      </c>
      <c r="B203" s="81">
        <f>IFERROR(__xludf.DUMMYFUNCTION("""COMPUTED_VALUE"""),43819.0)</f>
        <v>43819</v>
      </c>
      <c r="C203" s="62" t="str">
        <f>IFERROR(__xludf.DUMMYFUNCTION("""COMPUTED_VALUE"""),"")</f>
        <v/>
      </c>
      <c r="D203" s="62" t="str">
        <f>IFERROR(__xludf.DUMMYFUNCTION("""COMPUTED_VALUE"""),"")</f>
        <v/>
      </c>
      <c r="E203" s="62" t="str">
        <f>IFERROR(__xludf.DUMMYFUNCTION("""COMPUTED_VALUE"""),"Gene Disease Validity")</f>
        <v>Gene Disease Validity</v>
      </c>
      <c r="F203" s="62" t="str">
        <f>IFERROR(__xludf.DUMMYFUNCTION("""COMPUTED_VALUE"""),"")</f>
        <v/>
      </c>
      <c r="G203" s="62" t="str">
        <f>IFERROR(__xludf.DUMMYFUNCTION("""COMPUTED_VALUE"""),"Jennifer Hull")</f>
        <v>Jennifer Hull</v>
      </c>
      <c r="H203" s="62" t="str">
        <f>IFERROR(__xludf.DUMMYFUNCTION("""COMPUTED_VALUE"""),"jhull86@gmail.com")</f>
        <v>jhull86@gmail.com</v>
      </c>
      <c r="I203" s="62" t="str">
        <f>IFERROR(__xludf.DUMMYFUNCTION("""COMPUTED_VALUE"""),"Graduate Student")</f>
        <v>Graduate Student</v>
      </c>
      <c r="J203" s="62"/>
      <c r="K203" s="62" t="str">
        <f>IFERROR(__xludf.DUMMYFUNCTION("""COMPUTED_VALUE"""),"Gene-Disease Validity")</f>
        <v>Gene-Disease Validity</v>
      </c>
      <c r="L203" s="62"/>
      <c r="M203" s="62"/>
      <c r="N203" s="62"/>
      <c r="O203" s="62"/>
      <c r="P203" s="62"/>
      <c r="Q203" s="62"/>
      <c r="R203" s="62"/>
      <c r="S203" s="62"/>
      <c r="T203" s="62"/>
      <c r="U203" s="62"/>
      <c r="V203" s="62"/>
      <c r="W203" s="62"/>
      <c r="X203" s="62"/>
      <c r="Y203" s="62"/>
      <c r="Z203" s="62"/>
    </row>
    <row r="204">
      <c r="A204" s="62" t="str">
        <f>IFERROR(__xludf.DUMMYFUNCTION("""COMPUTED_VALUE"""),"Contacted")</f>
        <v>Contacted</v>
      </c>
      <c r="B204" s="81">
        <f>IFERROR(__xludf.DUMMYFUNCTION("""COMPUTED_VALUE"""),43705.0)</f>
        <v>43705</v>
      </c>
      <c r="C204" s="77">
        <f>IFERROR(__xludf.DUMMYFUNCTION("""COMPUTED_VALUE"""),43719.0)</f>
        <v>43719</v>
      </c>
      <c r="D204" s="62" t="str">
        <f>IFERROR(__xludf.DUMMYFUNCTION("""COMPUTED_VALUE"""),"Yes")</f>
        <v>Yes</v>
      </c>
      <c r="E204" s="62" t="str">
        <f>IFERROR(__xludf.DUMMYFUNCTION("""COMPUTED_VALUE"""),"Somatic Cancer")</f>
        <v>Somatic Cancer</v>
      </c>
      <c r="F204" s="62" t="str">
        <f>IFERROR(__xludf.DUMMYFUNCTION("""COMPUTED_VALUE"""),"")</f>
        <v/>
      </c>
      <c r="G204" s="62" t="str">
        <f>IFERROR(__xludf.DUMMYFUNCTION("""COMPUTED_VALUE"""),"Eric Kil")</f>
        <v>Eric Kil</v>
      </c>
      <c r="H204" s="62" t="str">
        <f>IFERROR(__xludf.DUMMYFUNCTION("""COMPUTED_VALUE"""),"ekil18@students.kgi.edu")</f>
        <v>ekil18@students.kgi.edu</v>
      </c>
      <c r="I204" s="62" t="str">
        <f>IFERROR(__xludf.DUMMYFUNCTION("""COMPUTED_VALUE"""),"Graduate Student")</f>
        <v>Graduate Student</v>
      </c>
      <c r="J204" s="62"/>
      <c r="K204" s="62" t="str">
        <f>IFERROR(__xludf.DUMMYFUNCTION("""COMPUTED_VALUE"""),"Somatic Cancer")</f>
        <v>Somatic Cancer</v>
      </c>
      <c r="L204" s="62"/>
      <c r="M204" s="62"/>
      <c r="N204" s="62"/>
      <c r="O204" s="62"/>
      <c r="P204" s="62"/>
      <c r="Q204" s="62"/>
      <c r="R204" s="62"/>
      <c r="S204" s="62"/>
      <c r="T204" s="62"/>
      <c r="U204" s="62"/>
      <c r="V204" s="62"/>
      <c r="W204" s="62"/>
      <c r="X204" s="62"/>
      <c r="Y204" s="62"/>
      <c r="Z204" s="62"/>
    </row>
    <row r="205">
      <c r="A205" s="62" t="str">
        <f>IFERROR(__xludf.DUMMYFUNCTION("""COMPUTED_VALUE"""),"Assigned")</f>
        <v>Assigned</v>
      </c>
      <c r="B205" s="81">
        <f>IFERROR(__xludf.DUMMYFUNCTION("""COMPUTED_VALUE"""),43705.0)</f>
        <v>43705</v>
      </c>
      <c r="C205" s="77">
        <f>IFERROR(__xludf.DUMMYFUNCTION("""COMPUTED_VALUE"""),43719.0)</f>
        <v>43719</v>
      </c>
      <c r="D205" s="62" t="str">
        <f>IFERROR(__xludf.DUMMYFUNCTION("""COMPUTED_VALUE"""),"Yes")</f>
        <v>Yes</v>
      </c>
      <c r="E205" s="62" t="str">
        <f>IFERROR(__xludf.DUMMYFUNCTION("""COMPUTED_VALUE"""),"Somatic Cancer")</f>
        <v>Somatic Cancer</v>
      </c>
      <c r="F205" s="62" t="str">
        <f>IFERROR(__xludf.DUMMYFUNCTION("""COMPUTED_VALUE"""),"Genitourinary cancer taskforce")</f>
        <v>Genitourinary cancer taskforce</v>
      </c>
      <c r="G205" s="62" t="str">
        <f>IFERROR(__xludf.DUMMYFUNCTION("""COMPUTED_VALUE"""),"Joseph Steward")</f>
        <v>Joseph Steward</v>
      </c>
      <c r="H205" s="62" t="str">
        <f>IFERROR(__xludf.DUMMYFUNCTION("""COMPUTED_VALUE"""),"jsteward2930@gmail.com")</f>
        <v>jsteward2930@gmail.com</v>
      </c>
      <c r="I205" s="62" t="str">
        <f>IFERROR(__xludf.DUMMYFUNCTION("""COMPUTED_VALUE"""),"Scientific Researcher")</f>
        <v>Scientific Researcher</v>
      </c>
      <c r="J205" s="62"/>
      <c r="K205" s="62" t="str">
        <f>IFERROR(__xludf.DUMMYFUNCTION("""COMPUTED_VALUE"""),"Somatic Cancer")</f>
        <v>Somatic Cancer</v>
      </c>
      <c r="L205" s="62"/>
      <c r="M205" s="62"/>
      <c r="N205" s="62"/>
      <c r="O205" s="62"/>
      <c r="P205" s="62"/>
      <c r="Q205" s="62"/>
      <c r="R205" s="62"/>
      <c r="S205" s="62"/>
      <c r="T205" s="62"/>
      <c r="U205" s="62"/>
      <c r="V205" s="62"/>
      <c r="W205" s="62"/>
      <c r="X205" s="62"/>
      <c r="Y205" s="62"/>
      <c r="Z205" s="62"/>
    </row>
    <row r="206">
      <c r="A206" s="62" t="str">
        <f>IFERROR(__xludf.DUMMYFUNCTION("""COMPUTED_VALUE"""),"Unassigned")</f>
        <v>Unassigned</v>
      </c>
      <c r="B206" s="62" t="str">
        <f>IFERROR(__xludf.DUMMYFUNCTION("""COMPUTED_VALUE"""),"")</f>
        <v/>
      </c>
      <c r="C206" s="62" t="str">
        <f>IFERROR(__xludf.DUMMYFUNCTION("""COMPUTED_VALUE"""),"")</f>
        <v/>
      </c>
      <c r="D206" s="62" t="str">
        <f>IFERROR(__xludf.DUMMYFUNCTION("""COMPUTED_VALUE"""),"")</f>
        <v/>
      </c>
      <c r="E206" s="62" t="str">
        <f>IFERROR(__xludf.DUMMYFUNCTION("""COMPUTED_VALUE"""),"Baseline")</f>
        <v>Baseline</v>
      </c>
      <c r="F206" s="62" t="str">
        <f>IFERROR(__xludf.DUMMYFUNCTION("""COMPUTED_VALUE"""),"")</f>
        <v/>
      </c>
      <c r="G206" s="62" t="str">
        <f>IFERROR(__xludf.DUMMYFUNCTION("""COMPUTED_VALUE"""),"NANDITA MULLAPUDI")</f>
        <v>NANDITA MULLAPUDI</v>
      </c>
      <c r="H206" s="62" t="str">
        <f>IFERROR(__xludf.DUMMYFUNCTION("""COMPUTED_VALUE"""),"mnandita@gmail.com")</f>
        <v>mnandita@gmail.com</v>
      </c>
      <c r="I206" s="62" t="str">
        <f>IFERROR(__xludf.DUMMYFUNCTION("""COMPUTED_VALUE"""),"Scientific Researcher")</f>
        <v>Scientific Researcher</v>
      </c>
      <c r="J206" s="62"/>
      <c r="K206" s="62" t="str">
        <f>IFERROR(__xludf.DUMMYFUNCTION("""COMPUTED_VALUE"""),"")</f>
        <v/>
      </c>
      <c r="L206" s="62"/>
      <c r="M206" s="62"/>
      <c r="N206" s="62"/>
      <c r="O206" s="62"/>
      <c r="P206" s="62"/>
      <c r="Q206" s="62"/>
      <c r="R206" s="62"/>
      <c r="S206" s="62"/>
      <c r="T206" s="62"/>
      <c r="U206" s="62"/>
      <c r="V206" s="62"/>
      <c r="W206" s="62"/>
      <c r="X206" s="62"/>
      <c r="Y206" s="62"/>
      <c r="Z206" s="62"/>
    </row>
    <row r="207">
      <c r="A207" s="62" t="str">
        <f>IFERROR(__xludf.DUMMYFUNCTION("""COMPUTED_VALUE"""),"Contacted")</f>
        <v>Contacted</v>
      </c>
      <c r="B207" s="81">
        <f>IFERROR(__xludf.DUMMYFUNCTION("""COMPUTED_VALUE"""),43819.0)</f>
        <v>43819</v>
      </c>
      <c r="C207" s="106">
        <f>IFERROR(__xludf.DUMMYFUNCTION("""COMPUTED_VALUE"""),43859.0)</f>
        <v>43859</v>
      </c>
      <c r="D207" s="62" t="str">
        <f>IFERROR(__xludf.DUMMYFUNCTION("""COMPUTED_VALUE"""),"Yes")</f>
        <v>Yes</v>
      </c>
      <c r="E207" s="62" t="str">
        <f>IFERROR(__xludf.DUMMYFUNCTION("""COMPUTED_VALUE"""),"Variant Pathogenicity")</f>
        <v>Variant Pathogenicity</v>
      </c>
      <c r="F207" s="62" t="str">
        <f>IFERROR(__xludf.DUMMYFUNCTION("""COMPUTED_VALUE"""),"")</f>
        <v/>
      </c>
      <c r="G207" s="62" t="str">
        <f>IFERROR(__xludf.DUMMYFUNCTION("""COMPUTED_VALUE"""),"Georgios Tsaousis")</f>
        <v>Georgios Tsaousis</v>
      </c>
      <c r="H207" s="62" t="str">
        <f>IFERROR(__xludf.DUMMYFUNCTION("""COMPUTED_VALUE"""),"gtsaousis@genekor.com")</f>
        <v>gtsaousis@genekor.com</v>
      </c>
      <c r="I207" s="62" t="str">
        <f>IFERROR(__xludf.DUMMYFUNCTION("""COMPUTED_VALUE"""),"Variant Analyst/Scientist - Industry")</f>
        <v>Variant Analyst/Scientist - Industry</v>
      </c>
      <c r="J207" s="62"/>
      <c r="K207" s="62" t="str">
        <f>IFERROR(__xludf.DUMMYFUNCTION("""COMPUTED_VALUE"""),"Variant Pathogenicity")</f>
        <v>Variant Pathogenicity</v>
      </c>
      <c r="L207" s="62"/>
      <c r="M207" s="62"/>
      <c r="N207" s="62"/>
      <c r="O207" s="62"/>
      <c r="P207" s="62"/>
      <c r="Q207" s="62"/>
      <c r="R207" s="62"/>
      <c r="S207" s="62"/>
      <c r="T207" s="62"/>
      <c r="U207" s="62"/>
      <c r="V207" s="62"/>
      <c r="W207" s="62"/>
      <c r="X207" s="62"/>
      <c r="Y207" s="62"/>
      <c r="Z207" s="62"/>
    </row>
    <row r="208">
      <c r="A208" s="62" t="str">
        <f>IFERROR(__xludf.DUMMYFUNCTION("""COMPUTED_VALUE"""),"Contacted")</f>
        <v>Contacted</v>
      </c>
      <c r="B208" s="81">
        <f>IFERROR(__xludf.DUMMYFUNCTION("""COMPUTED_VALUE"""),43819.0)</f>
        <v>43819</v>
      </c>
      <c r="C208" s="62" t="str">
        <f>IFERROR(__xludf.DUMMYFUNCTION("""COMPUTED_VALUE"""),"")</f>
        <v/>
      </c>
      <c r="D208" s="62" t="str">
        <f>IFERROR(__xludf.DUMMYFUNCTION("""COMPUTED_VALUE"""),"")</f>
        <v/>
      </c>
      <c r="E208" s="62" t="str">
        <f>IFERROR(__xludf.DUMMYFUNCTION("""COMPUTED_VALUE"""),"Variant Pathogenicity")</f>
        <v>Variant Pathogenicity</v>
      </c>
      <c r="F208" s="62" t="str">
        <f>IFERROR(__xludf.DUMMYFUNCTION("""COMPUTED_VALUE"""),"")</f>
        <v/>
      </c>
      <c r="G208" s="62" t="str">
        <f>IFERROR(__xludf.DUMMYFUNCTION("""COMPUTED_VALUE"""),"Jessica Hatton")</f>
        <v>Jessica Hatton</v>
      </c>
      <c r="H208" s="62" t="str">
        <f>IFERROR(__xludf.DUMMYFUNCTION("""COMPUTED_VALUE"""),"jessica.hatton@nih.gov")</f>
        <v>jessica.hatton@nih.gov</v>
      </c>
      <c r="I208" s="62" t="str">
        <f>IFERROR(__xludf.DUMMYFUNCTION("""COMPUTED_VALUE"""),"Genetic counselor")</f>
        <v>Genetic counselor</v>
      </c>
      <c r="J208" s="62"/>
      <c r="K208" s="62" t="str">
        <f>IFERROR(__xludf.DUMMYFUNCTION("""COMPUTED_VALUE"""),"Variant Pathogenicity")</f>
        <v>Variant Pathogenicity</v>
      </c>
      <c r="L208" s="62"/>
      <c r="M208" s="62"/>
      <c r="N208" s="62"/>
      <c r="O208" s="62"/>
      <c r="P208" s="62"/>
      <c r="Q208" s="62"/>
      <c r="R208" s="62"/>
      <c r="S208" s="62"/>
      <c r="T208" s="62"/>
      <c r="U208" s="62"/>
      <c r="V208" s="62"/>
      <c r="W208" s="62"/>
      <c r="X208" s="62"/>
      <c r="Y208" s="62"/>
      <c r="Z208" s="62"/>
    </row>
    <row r="209">
      <c r="A209" s="62" t="str">
        <f>IFERROR(__xludf.DUMMYFUNCTION("""COMPUTED_VALUE"""),"Contacted")</f>
        <v>Contacted</v>
      </c>
      <c r="B209" s="81">
        <f>IFERROR(__xludf.DUMMYFUNCTION("""COMPUTED_VALUE"""),43819.0)</f>
        <v>43819</v>
      </c>
      <c r="C209" s="106">
        <f>IFERROR(__xludf.DUMMYFUNCTION("""COMPUTED_VALUE"""),43859.0)</f>
        <v>43859</v>
      </c>
      <c r="D209" s="62" t="str">
        <f>IFERROR(__xludf.DUMMYFUNCTION("""COMPUTED_VALUE"""),"Yes")</f>
        <v>Yes</v>
      </c>
      <c r="E209" s="62" t="str">
        <f>IFERROR(__xludf.DUMMYFUNCTION("""COMPUTED_VALUE"""),"Variant Pathogenicity")</f>
        <v>Variant Pathogenicity</v>
      </c>
      <c r="F209" s="62" t="str">
        <f>IFERROR(__xludf.DUMMYFUNCTION("""COMPUTED_VALUE"""),"")</f>
        <v/>
      </c>
      <c r="G209" s="62" t="str">
        <f>IFERROR(__xludf.DUMMYFUNCTION("""COMPUTED_VALUE"""),"Xia Tian")</f>
        <v>Xia Tian</v>
      </c>
      <c r="H209" s="62" t="str">
        <f>IFERROR(__xludf.DUMMYFUNCTION("""COMPUTED_VALUE"""),"xtian@wuxinextcode.com")</f>
        <v>xtian@wuxinextcode.com</v>
      </c>
      <c r="I209" s="62" t="str">
        <f>IFERROR(__xludf.DUMMYFUNCTION("""COMPUTED_VALUE"""),"Variant Analyst/Scientist - Industry")</f>
        <v>Variant Analyst/Scientist - Industry</v>
      </c>
      <c r="J209" s="62"/>
      <c r="K209" s="62" t="str">
        <f>IFERROR(__xludf.DUMMYFUNCTION("""COMPUTED_VALUE"""),"Variant Pathogenicity")</f>
        <v>Variant Pathogenicity</v>
      </c>
      <c r="L209" s="62"/>
      <c r="M209" s="62"/>
      <c r="N209" s="62"/>
      <c r="O209" s="62"/>
      <c r="P209" s="62"/>
      <c r="Q209" s="62"/>
      <c r="R209" s="62"/>
      <c r="S209" s="62"/>
      <c r="T209" s="62"/>
      <c r="U209" s="62"/>
      <c r="V209" s="62"/>
      <c r="W209" s="62"/>
      <c r="X209" s="62"/>
      <c r="Y209" s="62"/>
      <c r="Z209" s="62"/>
    </row>
    <row r="210">
      <c r="A210" s="62" t="str">
        <f>IFERROR(__xludf.DUMMYFUNCTION("""COMPUTED_VALUE"""),"Contacted")</f>
        <v>Contacted</v>
      </c>
      <c r="B210" s="81">
        <f>IFERROR(__xludf.DUMMYFUNCTION("""COMPUTED_VALUE"""),43819.0)</f>
        <v>43819</v>
      </c>
      <c r="C210" s="62" t="str">
        <f>IFERROR(__xludf.DUMMYFUNCTION("""COMPUTED_VALUE"""),"")</f>
        <v/>
      </c>
      <c r="D210" s="62" t="str">
        <f>IFERROR(__xludf.DUMMYFUNCTION("""COMPUTED_VALUE"""),"")</f>
        <v/>
      </c>
      <c r="E210" s="62" t="str">
        <f>IFERROR(__xludf.DUMMYFUNCTION("""COMPUTED_VALUE"""),"Gene Disease Validity")</f>
        <v>Gene Disease Validity</v>
      </c>
      <c r="F210" s="62" t="str">
        <f>IFERROR(__xludf.DUMMYFUNCTION("""COMPUTED_VALUE"""),"")</f>
        <v/>
      </c>
      <c r="G210" s="62" t="str">
        <f>IFERROR(__xludf.DUMMYFUNCTION("""COMPUTED_VALUE"""),"MEGHA DANI")</f>
        <v>MEGHA DANI</v>
      </c>
      <c r="H210" s="62" t="str">
        <f>IFERROR(__xludf.DUMMYFUNCTION("""COMPUTED_VALUE"""),"meghamdani@gmail.com")</f>
        <v>meghamdani@gmail.com</v>
      </c>
      <c r="I210" s="62" t="str">
        <f>IFERROR(__xludf.DUMMYFUNCTION("""COMPUTED_VALUE"""),"I owned and worked for my clinical biochemistry/diagnostics laboratory but I have not done Genetics for lack for facilities.  I want to learn Genetics, its use in identification of various genetic disorders, learning new genetic techniques")</f>
        <v>I owned and worked for my clinical biochemistry/diagnostics laboratory but I have not done Genetics for lack for facilities.  I want to learn Genetics, its use in identification of various genetic disorders, learning new genetic techniques</v>
      </c>
      <c r="J210" s="62"/>
      <c r="K210" s="62" t="str">
        <f>IFERROR(__xludf.DUMMYFUNCTION("""COMPUTED_VALUE"""),"Gene-Disease Validity")</f>
        <v>Gene-Disease Validity</v>
      </c>
      <c r="L210" s="62"/>
      <c r="M210" s="62"/>
      <c r="N210" s="62"/>
      <c r="O210" s="62"/>
      <c r="P210" s="62"/>
      <c r="Q210" s="62"/>
      <c r="R210" s="62"/>
      <c r="S210" s="62"/>
      <c r="T210" s="62"/>
      <c r="U210" s="62"/>
      <c r="V210" s="62"/>
      <c r="W210" s="62"/>
      <c r="X210" s="62"/>
      <c r="Y210" s="62"/>
      <c r="Z210" s="62"/>
    </row>
    <row r="211">
      <c r="A211" s="62" t="str">
        <f>IFERROR(__xludf.DUMMYFUNCTION("""COMPUTED_VALUE"""),"Contacted")</f>
        <v>Contacted</v>
      </c>
      <c r="B211" s="62" t="str">
        <f>IFERROR(__xludf.DUMMYFUNCTION("""COMPUTED_VALUE"""),"")</f>
        <v/>
      </c>
      <c r="C211" s="77">
        <f>IFERROR(__xludf.DUMMYFUNCTION("""COMPUTED_VALUE"""),43692.0)</f>
        <v>43692</v>
      </c>
      <c r="D211" s="62" t="str">
        <f>IFERROR(__xludf.DUMMYFUNCTION("""COMPUTED_VALUE"""),"Yes")</f>
        <v>Yes</v>
      </c>
      <c r="E211" s="62" t="str">
        <f>IFERROR(__xludf.DUMMYFUNCTION("""COMPUTED_VALUE"""),"Gene Disease Validity")</f>
        <v>Gene Disease Validity</v>
      </c>
      <c r="F211" s="62" t="str">
        <f>IFERROR(__xludf.DUMMYFUNCTION("""COMPUTED_VALUE"""),"")</f>
        <v/>
      </c>
      <c r="G211" s="62" t="str">
        <f>IFERROR(__xludf.DUMMYFUNCTION("""COMPUTED_VALUE"""),"SAILATHA RAVI")</f>
        <v>SAILATHA RAVI</v>
      </c>
      <c r="H211" s="62" t="str">
        <f>IFERROR(__xludf.DUMMYFUNCTION("""COMPUTED_VALUE"""),"sailatha.ravi@gmail.com")</f>
        <v>sailatha.ravi@gmail.com</v>
      </c>
      <c r="I211" s="62" t="str">
        <f>IFERROR(__xludf.DUMMYFUNCTION("""COMPUTED_VALUE"""),"Post Doc/Resident/Fellow (MD and/or PhD)")</f>
        <v>Post Doc/Resident/Fellow (MD and/or PhD)</v>
      </c>
      <c r="J211" s="62"/>
      <c r="K211" s="62" t="str">
        <f>IFERROR(__xludf.DUMMYFUNCTION("""COMPUTED_VALUE"""),"Gene-Disease Validity")</f>
        <v>Gene-Disease Validity</v>
      </c>
      <c r="L211" s="62"/>
      <c r="M211" s="62"/>
      <c r="N211" s="62"/>
      <c r="O211" s="62"/>
      <c r="P211" s="62"/>
      <c r="Q211" s="62"/>
      <c r="R211" s="62"/>
      <c r="S211" s="62"/>
      <c r="T211" s="62"/>
      <c r="U211" s="62"/>
      <c r="V211" s="62"/>
      <c r="W211" s="62"/>
      <c r="X211" s="62"/>
      <c r="Y211" s="62"/>
      <c r="Z211" s="62"/>
    </row>
    <row r="212">
      <c r="A212" s="62" t="str">
        <f>IFERROR(__xludf.DUMMYFUNCTION("""COMPUTED_VALUE"""),"Contacted")</f>
        <v>Contacted</v>
      </c>
      <c r="B212" s="81">
        <f>IFERROR(__xludf.DUMMYFUNCTION("""COMPUTED_VALUE"""),43819.0)</f>
        <v>43819</v>
      </c>
      <c r="C212" s="62" t="str">
        <f>IFERROR(__xludf.DUMMYFUNCTION("""COMPUTED_VALUE"""),"")</f>
        <v/>
      </c>
      <c r="D212" s="62" t="str">
        <f>IFERROR(__xludf.DUMMYFUNCTION("""COMPUTED_VALUE"""),"")</f>
        <v/>
      </c>
      <c r="E212" s="62" t="str">
        <f>IFERROR(__xludf.DUMMYFUNCTION("""COMPUTED_VALUE"""),"Variant Pathogenicity")</f>
        <v>Variant Pathogenicity</v>
      </c>
      <c r="F212" s="62" t="str">
        <f>IFERROR(__xludf.DUMMYFUNCTION("""COMPUTED_VALUE"""),"")</f>
        <v/>
      </c>
      <c r="G212" s="62" t="str">
        <f>IFERROR(__xludf.DUMMYFUNCTION("""COMPUTED_VALUE"""),"Pamela Ajuyah")</f>
        <v>Pamela Ajuyah</v>
      </c>
      <c r="H212" s="62" t="str">
        <f>IFERROR(__xludf.DUMMYFUNCTION("""COMPUTED_VALUE"""),"pamela.a.ajuyah@gmail.com")</f>
        <v>pamela.a.ajuyah@gmail.com</v>
      </c>
      <c r="I212" s="62" t="str">
        <f>IFERROR(__xludf.DUMMYFUNCTION("""COMPUTED_VALUE"""),"Variant Analyst/Scientist - Industry")</f>
        <v>Variant Analyst/Scientist - Industry</v>
      </c>
      <c r="J212" s="62"/>
      <c r="K212" s="62" t="str">
        <f>IFERROR(__xludf.DUMMYFUNCTION("""COMPUTED_VALUE"""),"Variant Pathogenicity")</f>
        <v>Variant Pathogenicity</v>
      </c>
      <c r="L212" s="62"/>
      <c r="M212" s="62"/>
      <c r="N212" s="62"/>
      <c r="O212" s="62"/>
      <c r="P212" s="62"/>
      <c r="Q212" s="62"/>
      <c r="R212" s="62"/>
      <c r="S212" s="62"/>
      <c r="T212" s="62"/>
      <c r="U212" s="62"/>
      <c r="V212" s="62"/>
      <c r="W212" s="62"/>
      <c r="X212" s="62"/>
      <c r="Y212" s="62"/>
      <c r="Z212" s="62"/>
    </row>
    <row r="213">
      <c r="A213" s="62" t="str">
        <f>IFERROR(__xludf.DUMMYFUNCTION("""COMPUTED_VALUE"""),"Contacted")</f>
        <v>Contacted</v>
      </c>
      <c r="B213" s="81">
        <f>IFERROR(__xludf.DUMMYFUNCTION("""COMPUTED_VALUE"""),43819.0)</f>
        <v>43819</v>
      </c>
      <c r="C213" s="62" t="str">
        <f>IFERROR(__xludf.DUMMYFUNCTION("""COMPUTED_VALUE"""),"")</f>
        <v/>
      </c>
      <c r="D213" s="62" t="str">
        <f>IFERROR(__xludf.DUMMYFUNCTION("""COMPUTED_VALUE"""),"")</f>
        <v/>
      </c>
      <c r="E213" s="62" t="str">
        <f>IFERROR(__xludf.DUMMYFUNCTION("""COMPUTED_VALUE"""),"Gene Disease Validity")</f>
        <v>Gene Disease Validity</v>
      </c>
      <c r="F213" s="62" t="str">
        <f>IFERROR(__xludf.DUMMYFUNCTION("""COMPUTED_VALUE"""),"")</f>
        <v/>
      </c>
      <c r="G213" s="62" t="str">
        <f>IFERROR(__xludf.DUMMYFUNCTION("""COMPUTED_VALUE"""),"Yasser Sullcahuaman Allende")</f>
        <v>Yasser Sullcahuaman Allende</v>
      </c>
      <c r="H213" s="62" t="str">
        <f>IFERROR(__xludf.DUMMYFUNCTION("""COMPUTED_VALUE"""),"ysullcahuaman@hotmail.com")</f>
        <v>ysullcahuaman@hotmail.com</v>
      </c>
      <c r="I213" s="62" t="str">
        <f>IFERROR(__xludf.DUMMYFUNCTION("""COMPUTED_VALUE"""),"Clinical Medical Geneticist")</f>
        <v>Clinical Medical Geneticist</v>
      </c>
      <c r="J213" s="62"/>
      <c r="K213" s="62" t="str">
        <f>IFERROR(__xludf.DUMMYFUNCTION("""COMPUTED_VALUE"""),"Gene-Disease Validity")</f>
        <v>Gene-Disease Validity</v>
      </c>
      <c r="L213" s="62"/>
      <c r="M213" s="62"/>
      <c r="N213" s="62"/>
      <c r="O213" s="62"/>
      <c r="P213" s="62"/>
      <c r="Q213" s="62"/>
      <c r="R213" s="62"/>
      <c r="S213" s="62"/>
      <c r="T213" s="62"/>
      <c r="U213" s="62"/>
      <c r="V213" s="62"/>
      <c r="W213" s="62"/>
      <c r="X213" s="62"/>
      <c r="Y213" s="62"/>
      <c r="Z213" s="62"/>
    </row>
    <row r="214">
      <c r="A214" s="62" t="str">
        <f>IFERROR(__xludf.DUMMYFUNCTION("""COMPUTED_VALUE"""),"Declined")</f>
        <v>Declined</v>
      </c>
      <c r="B214" s="81">
        <f>IFERROR(__xludf.DUMMYFUNCTION("""COMPUTED_VALUE"""),43717.0)</f>
        <v>43717</v>
      </c>
      <c r="C214" s="62" t="str">
        <f>IFERROR(__xludf.DUMMYFUNCTION("""COMPUTED_VALUE"""),"")</f>
        <v/>
      </c>
      <c r="D214" s="62" t="str">
        <f>IFERROR(__xludf.DUMMYFUNCTION("""COMPUTED_VALUE"""),"")</f>
        <v/>
      </c>
      <c r="E214" s="62" t="str">
        <f>IFERROR(__xludf.DUMMYFUNCTION("""COMPUTED_VALUE"""),"Actionability")</f>
        <v>Actionability</v>
      </c>
      <c r="F214" s="62" t="str">
        <f>IFERROR(__xludf.DUMMYFUNCTION("""COMPUTED_VALUE"""),"")</f>
        <v/>
      </c>
      <c r="G214" s="62" t="str">
        <f>IFERROR(__xludf.DUMMYFUNCTION("""COMPUTED_VALUE"""),"Ellie Jhun")</f>
        <v>Ellie Jhun</v>
      </c>
      <c r="H214" s="62" t="str">
        <f>IFERROR(__xludf.DUMMYFUNCTION("""COMPUTED_VALUE"""),"ejhun@base10genetics.com")</f>
        <v>ejhun@base10genetics.com</v>
      </c>
      <c r="I214" s="62" t="str">
        <f>IFERROR(__xludf.DUMMYFUNCTION("""COMPUTED_VALUE"""),"Variant Analyst/Scientist - Industry")</f>
        <v>Variant Analyst/Scientist - Industry</v>
      </c>
      <c r="J214" s="62"/>
      <c r="K214" s="62" t="str">
        <f>IFERROR(__xludf.DUMMYFUNCTION("""COMPUTED_VALUE"""),"Clinical Actionability")</f>
        <v>Clinical Actionability</v>
      </c>
      <c r="L214" s="62"/>
      <c r="M214" s="62"/>
      <c r="N214" s="62"/>
      <c r="O214" s="62"/>
      <c r="P214" s="62"/>
      <c r="Q214" s="62"/>
      <c r="R214" s="62"/>
      <c r="S214" s="62"/>
      <c r="T214" s="62"/>
      <c r="U214" s="62"/>
      <c r="V214" s="62"/>
      <c r="W214" s="62"/>
      <c r="X214" s="62"/>
      <c r="Y214" s="62"/>
      <c r="Z214" s="62"/>
    </row>
    <row r="215">
      <c r="A215" s="62" t="str">
        <f>IFERROR(__xludf.DUMMYFUNCTION("""COMPUTED_VALUE"""),"Contacted")</f>
        <v>Contacted</v>
      </c>
      <c r="B215" s="81">
        <f>IFERROR(__xludf.DUMMYFUNCTION("""COMPUTED_VALUE"""),43819.0)</f>
        <v>43819</v>
      </c>
      <c r="C215" s="62" t="str">
        <f>IFERROR(__xludf.DUMMYFUNCTION("""COMPUTED_VALUE"""),"")</f>
        <v/>
      </c>
      <c r="D215" s="62" t="str">
        <f>IFERROR(__xludf.DUMMYFUNCTION("""COMPUTED_VALUE"""),"")</f>
        <v/>
      </c>
      <c r="E215" s="62" t="str">
        <f>IFERROR(__xludf.DUMMYFUNCTION("""COMPUTED_VALUE"""),"Variant Pathogenicity")</f>
        <v>Variant Pathogenicity</v>
      </c>
      <c r="F215" s="62" t="str">
        <f>IFERROR(__xludf.DUMMYFUNCTION("""COMPUTED_VALUE"""),"")</f>
        <v/>
      </c>
      <c r="G215" s="62" t="str">
        <f>IFERROR(__xludf.DUMMYFUNCTION("""COMPUTED_VALUE"""),"Venkatesan Sengoda Gounder")</f>
        <v>Venkatesan Sengoda Gounder</v>
      </c>
      <c r="H215" s="62" t="str">
        <f>IFERROR(__xludf.DUMMYFUNCTION("""COMPUTED_VALUE"""),"agrivenkat@gmail.com")</f>
        <v>agrivenkat@gmail.com</v>
      </c>
      <c r="I215" s="62" t="str">
        <f>IFERROR(__xludf.DUMMYFUNCTION("""COMPUTED_VALUE"""),"Scientific Researcher")</f>
        <v>Scientific Researcher</v>
      </c>
      <c r="J215" s="62"/>
      <c r="K215" s="62" t="str">
        <f>IFERROR(__xludf.DUMMYFUNCTION("""COMPUTED_VALUE"""),"Variant Pathogenicity")</f>
        <v>Variant Pathogenicity</v>
      </c>
      <c r="L215" s="62"/>
      <c r="M215" s="62"/>
      <c r="N215" s="62"/>
      <c r="O215" s="62"/>
      <c r="P215" s="62"/>
      <c r="Q215" s="62"/>
      <c r="R215" s="62"/>
      <c r="S215" s="62"/>
      <c r="T215" s="62"/>
      <c r="U215" s="62"/>
      <c r="V215" s="62"/>
      <c r="W215" s="62"/>
      <c r="X215" s="62"/>
      <c r="Y215" s="62"/>
      <c r="Z215" s="62"/>
    </row>
    <row r="216">
      <c r="A216" s="62" t="str">
        <f>IFERROR(__xludf.DUMMYFUNCTION("""COMPUTED_VALUE"""),"Contacted")</f>
        <v>Contacted</v>
      </c>
      <c r="B216" s="81">
        <f>IFERROR(__xludf.DUMMYFUNCTION("""COMPUTED_VALUE"""),43819.0)</f>
        <v>43819</v>
      </c>
      <c r="C216" s="106">
        <f>IFERROR(__xludf.DUMMYFUNCTION("""COMPUTED_VALUE"""),43859.0)</f>
        <v>43859</v>
      </c>
      <c r="D216" s="62" t="str">
        <f>IFERROR(__xludf.DUMMYFUNCTION("""COMPUTED_VALUE"""),"Yes")</f>
        <v>Yes</v>
      </c>
      <c r="E216" s="62" t="str">
        <f>IFERROR(__xludf.DUMMYFUNCTION("""COMPUTED_VALUE"""),"Variant Pathogenicity")</f>
        <v>Variant Pathogenicity</v>
      </c>
      <c r="F216" s="62" t="str">
        <f>IFERROR(__xludf.DUMMYFUNCTION("""COMPUTED_VALUE"""),"")</f>
        <v/>
      </c>
      <c r="G216" s="62" t="str">
        <f>IFERROR(__xludf.DUMMYFUNCTION("""COMPUTED_VALUE"""),"Ronaldo da Silva Francisco Junior")</f>
        <v>Ronaldo da Silva Francisco Junior</v>
      </c>
      <c r="H216" s="62" t="str">
        <f>IFERROR(__xludf.DUMMYFUNCTION("""COMPUTED_VALUE"""),"ronaldoj@lncc.br")</f>
        <v>ronaldoj@lncc.br</v>
      </c>
      <c r="I216" s="62" t="str">
        <f>IFERROR(__xludf.DUMMYFUNCTION("""COMPUTED_VALUE"""),"Variant Analyst/Scientist - Academic")</f>
        <v>Variant Analyst/Scientist - Academic</v>
      </c>
      <c r="J216" s="62"/>
      <c r="K216" s="62" t="str">
        <f>IFERROR(__xludf.DUMMYFUNCTION("""COMPUTED_VALUE"""),"Variant Pathogenicity")</f>
        <v>Variant Pathogenicity</v>
      </c>
      <c r="L216" s="62"/>
      <c r="M216" s="62"/>
      <c r="N216" s="62"/>
      <c r="O216" s="62"/>
      <c r="P216" s="62"/>
      <c r="Q216" s="62"/>
      <c r="R216" s="62"/>
      <c r="S216" s="62"/>
      <c r="T216" s="62"/>
      <c r="U216" s="62"/>
      <c r="V216" s="62"/>
      <c r="W216" s="62"/>
      <c r="X216" s="62"/>
      <c r="Y216" s="62"/>
      <c r="Z216" s="62"/>
    </row>
    <row r="217">
      <c r="A217" s="62" t="str">
        <f>IFERROR(__xludf.DUMMYFUNCTION("""COMPUTED_VALUE"""),"Contacted")</f>
        <v>Contacted</v>
      </c>
      <c r="B217" s="81">
        <f>IFERROR(__xludf.DUMMYFUNCTION("""COMPUTED_VALUE"""),43819.0)</f>
        <v>43819</v>
      </c>
      <c r="C217" s="62" t="str">
        <f>IFERROR(__xludf.DUMMYFUNCTION("""COMPUTED_VALUE"""),"")</f>
        <v/>
      </c>
      <c r="D217" s="62" t="str">
        <f>IFERROR(__xludf.DUMMYFUNCTION("""COMPUTED_VALUE"""),"")</f>
        <v/>
      </c>
      <c r="E217" s="62" t="str">
        <f>IFERROR(__xludf.DUMMYFUNCTION("""COMPUTED_VALUE"""),"Gene Disease Validity")</f>
        <v>Gene Disease Validity</v>
      </c>
      <c r="F217" s="62" t="str">
        <f>IFERROR(__xludf.DUMMYFUNCTION("""COMPUTED_VALUE"""),"")</f>
        <v/>
      </c>
      <c r="G217" s="62" t="str">
        <f>IFERROR(__xludf.DUMMYFUNCTION("""COMPUTED_VALUE"""),"Krista Bluske")</f>
        <v>Krista Bluske</v>
      </c>
      <c r="H217" s="62" t="str">
        <f>IFERROR(__xludf.DUMMYFUNCTION("""COMPUTED_VALUE"""),"kbluske@illumina.com")</f>
        <v>kbluske@illumina.com</v>
      </c>
      <c r="I217" s="62" t="str">
        <f>IFERROR(__xludf.DUMMYFUNCTION("""COMPUTED_VALUE"""),"Variant Analyst/Scientist - Industry")</f>
        <v>Variant Analyst/Scientist - Industry</v>
      </c>
      <c r="J217" s="62"/>
      <c r="K217" s="62" t="str">
        <f>IFERROR(__xludf.DUMMYFUNCTION("""COMPUTED_VALUE"""),"Gene-Disease Validity")</f>
        <v>Gene-Disease Validity</v>
      </c>
      <c r="L217" s="62"/>
      <c r="M217" s="62"/>
      <c r="N217" s="62"/>
      <c r="O217" s="62"/>
      <c r="P217" s="62"/>
      <c r="Q217" s="62"/>
      <c r="R217" s="62"/>
      <c r="S217" s="62"/>
      <c r="T217" s="62"/>
      <c r="U217" s="62"/>
      <c r="V217" s="62"/>
      <c r="W217" s="62"/>
      <c r="X217" s="62"/>
      <c r="Y217" s="62"/>
      <c r="Z217" s="62"/>
    </row>
    <row r="218">
      <c r="A218" s="62" t="str">
        <f>IFERROR(__xludf.DUMMYFUNCTION("""COMPUTED_VALUE"""),"Contacted")</f>
        <v>Contacted</v>
      </c>
      <c r="B218" s="81">
        <f>IFERROR(__xludf.DUMMYFUNCTION("""COMPUTED_VALUE"""),43819.0)</f>
        <v>43819</v>
      </c>
      <c r="C218" s="62" t="str">
        <f>IFERROR(__xludf.DUMMYFUNCTION("""COMPUTED_VALUE"""),"")</f>
        <v/>
      </c>
      <c r="D218" s="62" t="str">
        <f>IFERROR(__xludf.DUMMYFUNCTION("""COMPUTED_VALUE"""),"")</f>
        <v/>
      </c>
      <c r="E218" s="62" t="str">
        <f>IFERROR(__xludf.DUMMYFUNCTION("""COMPUTED_VALUE"""),"Variant Pathogenicity")</f>
        <v>Variant Pathogenicity</v>
      </c>
      <c r="F218" s="62" t="str">
        <f>IFERROR(__xludf.DUMMYFUNCTION("""COMPUTED_VALUE"""),"")</f>
        <v/>
      </c>
      <c r="G218" s="62" t="str">
        <f>IFERROR(__xludf.DUMMYFUNCTION("""COMPUTED_VALUE"""),"Raman Bansal")</f>
        <v>Raman Bansal</v>
      </c>
      <c r="H218" s="62" t="str">
        <f>IFERROR(__xludf.DUMMYFUNCTION("""COMPUTED_VALUE"""),"rbansal.osu@gmail.com")</f>
        <v>rbansal.osu@gmail.com</v>
      </c>
      <c r="I218" s="62" t="str">
        <f>IFERROR(__xludf.DUMMYFUNCTION("""COMPUTED_VALUE"""),"Scientific Researcher")</f>
        <v>Scientific Researcher</v>
      </c>
      <c r="J218" s="62"/>
      <c r="K218" s="62" t="str">
        <f>IFERROR(__xludf.DUMMYFUNCTION("""COMPUTED_VALUE"""),"Variant Pathogenicity")</f>
        <v>Variant Pathogenicity</v>
      </c>
      <c r="L218" s="62"/>
      <c r="M218" s="62"/>
      <c r="N218" s="62"/>
      <c r="O218" s="62"/>
      <c r="P218" s="62"/>
      <c r="Q218" s="62"/>
      <c r="R218" s="62"/>
      <c r="S218" s="62"/>
      <c r="T218" s="62"/>
      <c r="U218" s="62"/>
      <c r="V218" s="62"/>
      <c r="W218" s="62"/>
      <c r="X218" s="62"/>
      <c r="Y218" s="62"/>
      <c r="Z218" s="62"/>
    </row>
    <row r="219">
      <c r="A219" s="62" t="str">
        <f>IFERROR(__xludf.DUMMYFUNCTION("""COMPUTED_VALUE"""),"Assigned")</f>
        <v>Assigned</v>
      </c>
      <c r="B219" s="81">
        <f>IFERROR(__xludf.DUMMYFUNCTION("""COMPUTED_VALUE"""),43705.0)</f>
        <v>43705</v>
      </c>
      <c r="C219" s="81">
        <f>IFERROR(__xludf.DUMMYFUNCTION("""COMPUTED_VALUE"""),43719.0)</f>
        <v>43719</v>
      </c>
      <c r="D219" s="62" t="str">
        <f>IFERROR(__xludf.DUMMYFUNCTION("""COMPUTED_VALUE"""),"Yes")</f>
        <v>Yes</v>
      </c>
      <c r="E219" s="62" t="str">
        <f>IFERROR(__xludf.DUMMYFUNCTION("""COMPUTED_VALUE"""),"Somatic Cancer")</f>
        <v>Somatic Cancer</v>
      </c>
      <c r="F219" s="62" t="str">
        <f>IFERROR(__xludf.DUMMYFUNCTION("""COMPUTED_VALUE"""),"Hematological Cancer taskforce")</f>
        <v>Hematological Cancer taskforce</v>
      </c>
      <c r="G219" s="62" t="str">
        <f>IFERROR(__xludf.DUMMYFUNCTION("""COMPUTED_VALUE"""),"FENGLI ZHANG")</f>
        <v>FENGLI ZHANG</v>
      </c>
      <c r="H219" s="62" t="str">
        <f>IFERROR(__xludf.DUMMYFUNCTION("""COMPUTED_VALUE"""),"fengli.zhang@slh.wisc.edu")</f>
        <v>fengli.zhang@slh.wisc.edu</v>
      </c>
      <c r="I219" s="62" t="str">
        <f>IFERROR(__xludf.DUMMYFUNCTION("""COMPUTED_VALUE"""),"Clinical laboratory geneticist")</f>
        <v>Clinical laboratory geneticist</v>
      </c>
      <c r="J219" s="62"/>
      <c r="K219" s="62" t="str">
        <f>IFERROR(__xludf.DUMMYFUNCTION("""COMPUTED_VALUE"""),"Somatic Cancer")</f>
        <v>Somatic Cancer</v>
      </c>
      <c r="L219" s="62"/>
      <c r="M219" s="62"/>
      <c r="N219" s="62"/>
      <c r="O219" s="62"/>
      <c r="P219" s="62"/>
      <c r="Q219" s="62"/>
      <c r="R219" s="62"/>
      <c r="S219" s="62"/>
      <c r="T219" s="62"/>
      <c r="U219" s="62"/>
      <c r="V219" s="62"/>
      <c r="W219" s="62"/>
      <c r="X219" s="62"/>
      <c r="Y219" s="62"/>
      <c r="Z219" s="62"/>
    </row>
    <row r="220">
      <c r="A220" s="62" t="str">
        <f>IFERROR(__xludf.DUMMYFUNCTION("""COMPUTED_VALUE"""),"Contacted")</f>
        <v>Contacted</v>
      </c>
      <c r="B220" s="81">
        <f>IFERROR(__xludf.DUMMYFUNCTION("""COMPUTED_VALUE"""),43819.0)</f>
        <v>43819</v>
      </c>
      <c r="C220" s="62" t="str">
        <f>IFERROR(__xludf.DUMMYFUNCTION("""COMPUTED_VALUE"""),"")</f>
        <v/>
      </c>
      <c r="D220" s="62" t="str">
        <f>IFERROR(__xludf.DUMMYFUNCTION("""COMPUTED_VALUE"""),"")</f>
        <v/>
      </c>
      <c r="E220" s="62" t="str">
        <f>IFERROR(__xludf.DUMMYFUNCTION("""COMPUTED_VALUE"""),"Gene Disease Validity")</f>
        <v>Gene Disease Validity</v>
      </c>
      <c r="F220" s="62" t="str">
        <f>IFERROR(__xludf.DUMMYFUNCTION("""COMPUTED_VALUE"""),"")</f>
        <v/>
      </c>
      <c r="G220" s="62" t="str">
        <f>IFERROR(__xludf.DUMMYFUNCTION("""COMPUTED_VALUE"""),"Amanda Clause")</f>
        <v>Amanda Clause</v>
      </c>
      <c r="H220" s="62" t="str">
        <f>IFERROR(__xludf.DUMMYFUNCTION("""COMPUTED_VALUE"""),"aclause@illumina.com")</f>
        <v>aclause@illumina.com</v>
      </c>
      <c r="I220" s="62" t="str">
        <f>IFERROR(__xludf.DUMMYFUNCTION("""COMPUTED_VALUE"""),"Variant Analyst/Scientist - Industry")</f>
        <v>Variant Analyst/Scientist - Industry</v>
      </c>
      <c r="J220" s="62"/>
      <c r="K220" s="62" t="str">
        <f>IFERROR(__xludf.DUMMYFUNCTION("""COMPUTED_VALUE"""),"Gene-Disease Validity")</f>
        <v>Gene-Disease Validity</v>
      </c>
      <c r="L220" s="62"/>
      <c r="M220" s="62"/>
      <c r="N220" s="62"/>
      <c r="O220" s="62"/>
      <c r="P220" s="62"/>
      <c r="Q220" s="62"/>
      <c r="R220" s="62"/>
      <c r="S220" s="62"/>
      <c r="T220" s="62"/>
      <c r="U220" s="62"/>
      <c r="V220" s="62"/>
      <c r="W220" s="62"/>
      <c r="X220" s="62"/>
      <c r="Y220" s="62"/>
      <c r="Z220" s="62"/>
    </row>
    <row r="221">
      <c r="A221" s="62" t="str">
        <f>IFERROR(__xludf.DUMMYFUNCTION("""COMPUTED_VALUE"""),"Contacted")</f>
        <v>Contacted</v>
      </c>
      <c r="B221" s="81">
        <f>IFERROR(__xludf.DUMMYFUNCTION("""COMPUTED_VALUE"""),43819.0)</f>
        <v>43819</v>
      </c>
      <c r="C221" s="62" t="str">
        <f>IFERROR(__xludf.DUMMYFUNCTION("""COMPUTED_VALUE"""),"")</f>
        <v/>
      </c>
      <c r="D221" s="62" t="str">
        <f>IFERROR(__xludf.DUMMYFUNCTION("""COMPUTED_VALUE"""),"")</f>
        <v/>
      </c>
      <c r="E221" s="62" t="str">
        <f>IFERROR(__xludf.DUMMYFUNCTION("""COMPUTED_VALUE"""),"Variant Pathogenicity")</f>
        <v>Variant Pathogenicity</v>
      </c>
      <c r="F221" s="62" t="str">
        <f>IFERROR(__xludf.DUMMYFUNCTION("""COMPUTED_VALUE"""),"")</f>
        <v/>
      </c>
      <c r="G221" s="62" t="str">
        <f>IFERROR(__xludf.DUMMYFUNCTION("""COMPUTED_VALUE"""),"Sara Spencer")</f>
        <v>Sara Spencer</v>
      </c>
      <c r="H221" s="62" t="str">
        <f>IFERROR(__xludf.DUMMYFUNCTION("""COMPUTED_VALUE"""),"saspence@nm.org")</f>
        <v>saspence@nm.org</v>
      </c>
      <c r="I221" s="62" t="str">
        <f>IFERROR(__xludf.DUMMYFUNCTION("""COMPUTED_VALUE"""),"Genetic counselor")</f>
        <v>Genetic counselor</v>
      </c>
      <c r="J221" s="62"/>
      <c r="K221" s="62" t="str">
        <f>IFERROR(__xludf.DUMMYFUNCTION("""COMPUTED_VALUE"""),"Variant Pathogenicity")</f>
        <v>Variant Pathogenicity</v>
      </c>
      <c r="L221" s="62"/>
      <c r="M221" s="62"/>
      <c r="N221" s="62"/>
      <c r="O221" s="62"/>
      <c r="P221" s="62"/>
      <c r="Q221" s="62"/>
      <c r="R221" s="62"/>
      <c r="S221" s="62"/>
      <c r="T221" s="62"/>
      <c r="U221" s="62"/>
      <c r="V221" s="62"/>
      <c r="W221" s="62"/>
      <c r="X221" s="62"/>
      <c r="Y221" s="62"/>
      <c r="Z221" s="62"/>
    </row>
    <row r="222">
      <c r="A222" s="62" t="str">
        <f>IFERROR(__xludf.DUMMYFUNCTION("""COMPUTED_VALUE"""),"Unassigned")</f>
        <v>Unassigned</v>
      </c>
      <c r="B222" s="62" t="str">
        <f>IFERROR(__xludf.DUMMYFUNCTION("""COMPUTED_VALUE"""),"")</f>
        <v/>
      </c>
      <c r="C222" s="62" t="str">
        <f>IFERROR(__xludf.DUMMYFUNCTION("""COMPUTED_VALUE"""),"")</f>
        <v/>
      </c>
      <c r="D222" s="62" t="str">
        <f>IFERROR(__xludf.DUMMYFUNCTION("""COMPUTED_VALUE"""),"")</f>
        <v/>
      </c>
      <c r="E222" s="62" t="str">
        <f>IFERROR(__xludf.DUMMYFUNCTION("""COMPUTED_VALUE"""),"Dosage Sensitivity")</f>
        <v>Dosage Sensitivity</v>
      </c>
      <c r="F222" s="62" t="str">
        <f>IFERROR(__xludf.DUMMYFUNCTION("""COMPUTED_VALUE"""),"")</f>
        <v/>
      </c>
      <c r="G222" s="62" t="str">
        <f>IFERROR(__xludf.DUMMYFUNCTION("""COMPUTED_VALUE"""),"Niroshi Senaratne")</f>
        <v>Niroshi Senaratne</v>
      </c>
      <c r="H222" s="62" t="str">
        <f>IFERROR(__xludf.DUMMYFUNCTION("""COMPUTED_VALUE"""),"niroshi.senaratne@gmail.com")</f>
        <v>niroshi.senaratne@gmail.com</v>
      </c>
      <c r="I222" s="62" t="str">
        <f>IFERROR(__xludf.DUMMYFUNCTION("""COMPUTED_VALUE"""),"Clinical laboratory geneticist")</f>
        <v>Clinical laboratory geneticist</v>
      </c>
      <c r="J222" s="62"/>
      <c r="K222" s="62" t="str">
        <f>IFERROR(__xludf.DUMMYFUNCTION("""COMPUTED_VALUE"""),"Dosage Sensitivity")</f>
        <v>Dosage Sensitivity</v>
      </c>
      <c r="L222" s="62"/>
      <c r="M222" s="62"/>
      <c r="N222" s="62"/>
      <c r="O222" s="62"/>
      <c r="P222" s="62"/>
      <c r="Q222" s="62"/>
      <c r="R222" s="62"/>
      <c r="S222" s="62"/>
      <c r="T222" s="62"/>
      <c r="U222" s="62"/>
      <c r="V222" s="62"/>
      <c r="W222" s="62"/>
      <c r="X222" s="62"/>
      <c r="Y222" s="62"/>
      <c r="Z222" s="62"/>
    </row>
    <row r="223">
      <c r="A223" s="62" t="str">
        <f>IFERROR(__xludf.DUMMYFUNCTION("""COMPUTED_VALUE"""),"Contacted")</f>
        <v>Contacted</v>
      </c>
      <c r="B223" s="81">
        <f>IFERROR(__xludf.DUMMYFUNCTION("""COMPUTED_VALUE"""),43819.0)</f>
        <v>43819</v>
      </c>
      <c r="C223" s="62" t="str">
        <f>IFERROR(__xludf.DUMMYFUNCTION("""COMPUTED_VALUE"""),"")</f>
        <v/>
      </c>
      <c r="D223" s="62" t="str">
        <f>IFERROR(__xludf.DUMMYFUNCTION("""COMPUTED_VALUE"""),"")</f>
        <v/>
      </c>
      <c r="E223" s="62" t="str">
        <f>IFERROR(__xludf.DUMMYFUNCTION("""COMPUTED_VALUE"""),"Variant Pathogenicity")</f>
        <v>Variant Pathogenicity</v>
      </c>
      <c r="F223" s="62" t="str">
        <f>IFERROR(__xludf.DUMMYFUNCTION("""COMPUTED_VALUE"""),"")</f>
        <v/>
      </c>
      <c r="G223" s="62" t="str">
        <f>IFERROR(__xludf.DUMMYFUNCTION("""COMPUTED_VALUE"""),"Madhu Ouseph")</f>
        <v>Madhu Ouseph</v>
      </c>
      <c r="H223" s="62" t="str">
        <f>IFERROR(__xludf.DUMMYFUNCTION("""COMPUTED_VALUE"""),"mouseph@stanford.edu")</f>
        <v>mouseph@stanford.edu</v>
      </c>
      <c r="I223" s="62" t="str">
        <f>IFERROR(__xludf.DUMMYFUNCTION("""COMPUTED_VALUE"""),"Post Doc/Resident/Fellow (MD and/or PhD)")</f>
        <v>Post Doc/Resident/Fellow (MD and/or PhD)</v>
      </c>
      <c r="J223" s="62"/>
      <c r="K223" s="62" t="str">
        <f>IFERROR(__xludf.DUMMYFUNCTION("""COMPUTED_VALUE"""),"Variant Pathogenicity")</f>
        <v>Variant Pathogenicity</v>
      </c>
      <c r="L223" s="62"/>
      <c r="M223" s="62"/>
      <c r="N223" s="62"/>
      <c r="O223" s="62"/>
      <c r="P223" s="62"/>
      <c r="Q223" s="62"/>
      <c r="R223" s="62"/>
      <c r="S223" s="62"/>
      <c r="T223" s="62"/>
      <c r="U223" s="62"/>
      <c r="V223" s="62"/>
      <c r="W223" s="62"/>
      <c r="X223" s="62"/>
      <c r="Y223" s="62"/>
      <c r="Z223" s="62"/>
    </row>
    <row r="224">
      <c r="A224" s="62" t="str">
        <f>IFERROR(__xludf.DUMMYFUNCTION("""COMPUTED_VALUE"""),"Contacted")</f>
        <v>Contacted</v>
      </c>
      <c r="B224" s="81">
        <f>IFERROR(__xludf.DUMMYFUNCTION("""COMPUTED_VALUE"""),43819.0)</f>
        <v>43819</v>
      </c>
      <c r="C224" s="62" t="str">
        <f>IFERROR(__xludf.DUMMYFUNCTION("""COMPUTED_VALUE"""),"")</f>
        <v/>
      </c>
      <c r="D224" s="62" t="str">
        <f>IFERROR(__xludf.DUMMYFUNCTION("""COMPUTED_VALUE"""),"")</f>
        <v/>
      </c>
      <c r="E224" s="62" t="str">
        <f>IFERROR(__xludf.DUMMYFUNCTION("""COMPUTED_VALUE"""),"Variant Pathogenicity")</f>
        <v>Variant Pathogenicity</v>
      </c>
      <c r="F224" s="62" t="str">
        <f>IFERROR(__xludf.DUMMYFUNCTION("""COMPUTED_VALUE"""),"")</f>
        <v/>
      </c>
      <c r="G224" s="62" t="str">
        <f>IFERROR(__xludf.DUMMYFUNCTION("""COMPUTED_VALUE"""),"Janey Youngblom")</f>
        <v>Janey Youngblom</v>
      </c>
      <c r="H224" s="62" t="str">
        <f>IFERROR(__xludf.DUMMYFUNCTION("""COMPUTED_VALUE"""),"jyoungblom1@csustan.edu")</f>
        <v>jyoungblom1@csustan.edu</v>
      </c>
      <c r="I224" s="62" t="str">
        <f>IFERROR(__xludf.DUMMYFUNCTION("""COMPUTED_VALUE"""),"Scientific Researcher")</f>
        <v>Scientific Researcher</v>
      </c>
      <c r="J224" s="62"/>
      <c r="K224" s="62" t="str">
        <f>IFERROR(__xludf.DUMMYFUNCTION("""COMPUTED_VALUE"""),"Variant Pathogenicity")</f>
        <v>Variant Pathogenicity</v>
      </c>
      <c r="L224" s="62"/>
      <c r="M224" s="62"/>
      <c r="N224" s="62"/>
      <c r="O224" s="62"/>
      <c r="P224" s="62"/>
      <c r="Q224" s="62"/>
      <c r="R224" s="62"/>
      <c r="S224" s="62"/>
      <c r="T224" s="62"/>
      <c r="U224" s="62"/>
      <c r="V224" s="62"/>
      <c r="W224" s="62"/>
      <c r="X224" s="62"/>
      <c r="Y224" s="62"/>
      <c r="Z224" s="62"/>
    </row>
    <row r="225">
      <c r="A225" s="62" t="str">
        <f>IFERROR(__xludf.DUMMYFUNCTION("""COMPUTED_VALUE"""),"Assigned")</f>
        <v>Assigned</v>
      </c>
      <c r="B225" s="81">
        <f>IFERROR(__xludf.DUMMYFUNCTION("""COMPUTED_VALUE"""),43717.0)</f>
        <v>43717</v>
      </c>
      <c r="C225" s="77">
        <f>IFERROR(__xludf.DUMMYFUNCTION("""COMPUTED_VALUE"""),43678.0)</f>
        <v>43678</v>
      </c>
      <c r="D225" s="62" t="str">
        <f>IFERROR(__xludf.DUMMYFUNCTION("""COMPUTED_VALUE"""),"Yes")</f>
        <v>Yes</v>
      </c>
      <c r="E225" s="62" t="str">
        <f>IFERROR(__xludf.DUMMYFUNCTION("""COMPUTED_VALUE"""),"Actionability")</f>
        <v>Actionability</v>
      </c>
      <c r="F225" s="62" t="str">
        <f>IFERROR(__xludf.DUMMYFUNCTION("""COMPUTED_VALUE"""),"")</f>
        <v/>
      </c>
      <c r="G225" s="62" t="str">
        <f>IFERROR(__xludf.DUMMYFUNCTION("""COMPUTED_VALUE"""),"Andrew Stergachis")</f>
        <v>Andrew Stergachis</v>
      </c>
      <c r="H225" s="62" t="str">
        <f>IFERROR(__xludf.DUMMYFUNCTION("""COMPUTED_VALUE"""),"astergachis@bwh.harvard.edu")</f>
        <v>astergachis@bwh.harvard.edu</v>
      </c>
      <c r="I225" s="62" t="str">
        <f>IFERROR(__xludf.DUMMYFUNCTION("""COMPUTED_VALUE"""),"Post Doc/Resident/Fellow (MD and/or PhD)")</f>
        <v>Post Doc/Resident/Fellow (MD and/or PhD)</v>
      </c>
      <c r="J225" s="62"/>
      <c r="K225" s="62" t="str">
        <f>IFERROR(__xludf.DUMMYFUNCTION("""COMPUTED_VALUE"""),"Clinical Actionability")</f>
        <v>Clinical Actionability</v>
      </c>
      <c r="L225" s="62"/>
      <c r="M225" s="62"/>
      <c r="N225" s="62"/>
      <c r="O225" s="62"/>
      <c r="P225" s="62"/>
      <c r="Q225" s="62"/>
      <c r="R225" s="62"/>
      <c r="S225" s="62"/>
      <c r="T225" s="62"/>
      <c r="U225" s="62"/>
      <c r="V225" s="62"/>
      <c r="W225" s="62"/>
      <c r="X225" s="62"/>
      <c r="Y225" s="62"/>
      <c r="Z225" s="62"/>
    </row>
    <row r="226">
      <c r="A226" s="62" t="str">
        <f>IFERROR(__xludf.DUMMYFUNCTION("""COMPUTED_VALUE"""),"Contacted")</f>
        <v>Contacted</v>
      </c>
      <c r="B226" s="81">
        <f>IFERROR(__xludf.DUMMYFUNCTION("""COMPUTED_VALUE"""),43717.0)</f>
        <v>43717</v>
      </c>
      <c r="C226" s="62" t="str">
        <f>IFERROR(__xludf.DUMMYFUNCTION("""COMPUTED_VALUE"""),"")</f>
        <v/>
      </c>
      <c r="D226" s="62" t="str">
        <f>IFERROR(__xludf.DUMMYFUNCTION("""COMPUTED_VALUE"""),"")</f>
        <v/>
      </c>
      <c r="E226" s="62" t="str">
        <f>IFERROR(__xludf.DUMMYFUNCTION("""COMPUTED_VALUE"""),"Actionability")</f>
        <v>Actionability</v>
      </c>
      <c r="F226" s="62" t="str">
        <f>IFERROR(__xludf.DUMMYFUNCTION("""COMPUTED_VALUE"""),"")</f>
        <v/>
      </c>
      <c r="G226" s="62" t="str">
        <f>IFERROR(__xludf.DUMMYFUNCTION("""COMPUTED_VALUE"""),"Lalitha Venkateswaran")</f>
        <v>Lalitha Venkateswaran</v>
      </c>
      <c r="H226" s="62" t="str">
        <f>IFERROR(__xludf.DUMMYFUNCTION("""COMPUTED_VALUE"""),"lalithapv19@gmail.com")</f>
        <v>lalithapv19@gmail.com</v>
      </c>
      <c r="I226" s="62" t="str">
        <f>IFERROR(__xludf.DUMMYFUNCTION("""COMPUTED_VALUE"""),"Variant Analyst/Scientist - Industry")</f>
        <v>Variant Analyst/Scientist - Industry</v>
      </c>
      <c r="J226" s="62"/>
      <c r="K226" s="62" t="str">
        <f>IFERROR(__xludf.DUMMYFUNCTION("""COMPUTED_VALUE"""),"Clinical Actionability")</f>
        <v>Clinical Actionability</v>
      </c>
      <c r="L226" s="62"/>
      <c r="M226" s="62"/>
      <c r="N226" s="62"/>
      <c r="O226" s="62"/>
      <c r="P226" s="62"/>
      <c r="Q226" s="62"/>
      <c r="R226" s="62"/>
      <c r="S226" s="62"/>
      <c r="T226" s="62"/>
      <c r="U226" s="62"/>
      <c r="V226" s="62"/>
      <c r="W226" s="62"/>
      <c r="X226" s="62"/>
      <c r="Y226" s="62"/>
      <c r="Z226" s="62"/>
    </row>
    <row r="227">
      <c r="A227" s="62" t="str">
        <f>IFERROR(__xludf.DUMMYFUNCTION("""COMPUTED_VALUE"""),"Contacted")</f>
        <v>Contacted</v>
      </c>
      <c r="B227" s="81">
        <f>IFERROR(__xludf.DUMMYFUNCTION("""COMPUTED_VALUE"""),43819.0)</f>
        <v>43819</v>
      </c>
      <c r="C227" s="62" t="str">
        <f>IFERROR(__xludf.DUMMYFUNCTION("""COMPUTED_VALUE"""),"")</f>
        <v/>
      </c>
      <c r="D227" s="62" t="str">
        <f>IFERROR(__xludf.DUMMYFUNCTION("""COMPUTED_VALUE"""),"")</f>
        <v/>
      </c>
      <c r="E227" s="62" t="str">
        <f>IFERROR(__xludf.DUMMYFUNCTION("""COMPUTED_VALUE"""),"Variant Pathogenicity")</f>
        <v>Variant Pathogenicity</v>
      </c>
      <c r="F227" s="62" t="str">
        <f>IFERROR(__xludf.DUMMYFUNCTION("""COMPUTED_VALUE"""),"")</f>
        <v/>
      </c>
      <c r="G227" s="62" t="str">
        <f>IFERROR(__xludf.DUMMYFUNCTION("""COMPUTED_VALUE"""),"Caterina Clementi")</f>
        <v>Caterina Clementi</v>
      </c>
      <c r="H227" s="62" t="str">
        <f>IFERROR(__xludf.DUMMYFUNCTION("""COMPUTED_VALUE"""),"caterina.clementi@gmail.com")</f>
        <v>caterina.clementi@gmail.com</v>
      </c>
      <c r="I227" s="62" t="str">
        <f>IFERROR(__xludf.DUMMYFUNCTION("""COMPUTED_VALUE"""),"Variant Analyst/Scientist - Industry")</f>
        <v>Variant Analyst/Scientist - Industry</v>
      </c>
      <c r="J227" s="62"/>
      <c r="K227" s="62" t="str">
        <f>IFERROR(__xludf.DUMMYFUNCTION("""COMPUTED_VALUE"""),"Variant Pathogenicity")</f>
        <v>Variant Pathogenicity</v>
      </c>
      <c r="L227" s="62"/>
      <c r="M227" s="62"/>
      <c r="N227" s="62"/>
      <c r="O227" s="62"/>
      <c r="P227" s="62"/>
      <c r="Q227" s="62"/>
      <c r="R227" s="62"/>
      <c r="S227" s="62"/>
      <c r="T227" s="62"/>
      <c r="U227" s="62"/>
      <c r="V227" s="62"/>
      <c r="W227" s="62"/>
      <c r="X227" s="62"/>
      <c r="Y227" s="62"/>
      <c r="Z227" s="62"/>
    </row>
    <row r="228">
      <c r="A228" s="62" t="str">
        <f>IFERROR(__xludf.DUMMYFUNCTION("""COMPUTED_VALUE"""),"Contacted")</f>
        <v>Contacted</v>
      </c>
      <c r="B228" s="81">
        <f>IFERROR(__xludf.DUMMYFUNCTION("""COMPUTED_VALUE"""),43819.0)</f>
        <v>43819</v>
      </c>
      <c r="C228" s="62" t="str">
        <f>IFERROR(__xludf.DUMMYFUNCTION("""COMPUTED_VALUE"""),"")</f>
        <v/>
      </c>
      <c r="D228" s="62" t="str">
        <f>IFERROR(__xludf.DUMMYFUNCTION("""COMPUTED_VALUE"""),"")</f>
        <v/>
      </c>
      <c r="E228" s="62" t="str">
        <f>IFERROR(__xludf.DUMMYFUNCTION("""COMPUTED_VALUE"""),"Variant Pathogenicity")</f>
        <v>Variant Pathogenicity</v>
      </c>
      <c r="F228" s="62" t="str">
        <f>IFERROR(__xludf.DUMMYFUNCTION("""COMPUTED_VALUE"""),"")</f>
        <v/>
      </c>
      <c r="G228" s="62" t="str">
        <f>IFERROR(__xludf.DUMMYFUNCTION("""COMPUTED_VALUE"""),"Catherine Spellicy")</f>
        <v>Catherine Spellicy</v>
      </c>
      <c r="H228" s="62" t="str">
        <f>IFERROR(__xludf.DUMMYFUNCTION("""COMPUTED_VALUE"""),"cspellic@counsyl.com")</f>
        <v>cspellic@counsyl.com</v>
      </c>
      <c r="I228" s="62" t="str">
        <f>IFERROR(__xludf.DUMMYFUNCTION("""COMPUTED_VALUE"""),"Clinical laboratory geneticist")</f>
        <v>Clinical laboratory geneticist</v>
      </c>
      <c r="J228" s="62"/>
      <c r="K228" s="62" t="str">
        <f>IFERROR(__xludf.DUMMYFUNCTION("""COMPUTED_VALUE"""),"Variant Pathogenicity")</f>
        <v>Variant Pathogenicity</v>
      </c>
      <c r="L228" s="62"/>
      <c r="M228" s="62"/>
      <c r="N228" s="62"/>
      <c r="O228" s="62"/>
      <c r="P228" s="62"/>
      <c r="Q228" s="62"/>
      <c r="R228" s="62"/>
      <c r="S228" s="62"/>
      <c r="T228" s="62"/>
      <c r="U228" s="62"/>
      <c r="V228" s="62"/>
      <c r="W228" s="62"/>
      <c r="X228" s="62"/>
      <c r="Y228" s="62"/>
      <c r="Z228" s="62"/>
    </row>
    <row r="229">
      <c r="A229" s="62" t="str">
        <f>IFERROR(__xludf.DUMMYFUNCTION("""COMPUTED_VALUE"""),"Contacted")</f>
        <v>Contacted</v>
      </c>
      <c r="B229" s="81">
        <f>IFERROR(__xludf.DUMMYFUNCTION("""COMPUTED_VALUE"""),43819.0)</f>
        <v>43819</v>
      </c>
      <c r="C229" s="62" t="str">
        <f>IFERROR(__xludf.DUMMYFUNCTION("""COMPUTED_VALUE"""),"")</f>
        <v/>
      </c>
      <c r="D229" s="62" t="str">
        <f>IFERROR(__xludf.DUMMYFUNCTION("""COMPUTED_VALUE"""),"")</f>
        <v/>
      </c>
      <c r="E229" s="62" t="str">
        <f>IFERROR(__xludf.DUMMYFUNCTION("""COMPUTED_VALUE"""),"Gene Disease Validity")</f>
        <v>Gene Disease Validity</v>
      </c>
      <c r="F229" s="62" t="str">
        <f>IFERROR(__xludf.DUMMYFUNCTION("""COMPUTED_VALUE"""),"")</f>
        <v/>
      </c>
      <c r="G229" s="62" t="str">
        <f>IFERROR(__xludf.DUMMYFUNCTION("""COMPUTED_VALUE"""),"Julie P Taylor")</f>
        <v>Julie P Taylor</v>
      </c>
      <c r="H229" s="62" t="str">
        <f>IFERROR(__xludf.DUMMYFUNCTION("""COMPUTED_VALUE"""),"jtaylor1@illumina.com")</f>
        <v>jtaylor1@illumina.com</v>
      </c>
      <c r="I229" s="62" t="str">
        <f>IFERROR(__xludf.DUMMYFUNCTION("""COMPUTED_VALUE"""),"Biocurator")</f>
        <v>Biocurator</v>
      </c>
      <c r="J229" s="62"/>
      <c r="K229" s="62" t="str">
        <f>IFERROR(__xludf.DUMMYFUNCTION("""COMPUTED_VALUE"""),"Gene-Disease Validity")</f>
        <v>Gene-Disease Validity</v>
      </c>
      <c r="L229" s="62"/>
      <c r="M229" s="62"/>
      <c r="N229" s="62"/>
      <c r="O229" s="62"/>
      <c r="P229" s="62"/>
      <c r="Q229" s="62"/>
      <c r="R229" s="62"/>
      <c r="S229" s="62"/>
      <c r="T229" s="62"/>
      <c r="U229" s="62"/>
      <c r="V229" s="62"/>
      <c r="W229" s="62"/>
      <c r="X229" s="62"/>
      <c r="Y229" s="62"/>
      <c r="Z229" s="62"/>
    </row>
    <row r="230">
      <c r="A230" s="62" t="str">
        <f>IFERROR(__xludf.DUMMYFUNCTION("""COMPUTED_VALUE"""),"Contacted")</f>
        <v>Contacted</v>
      </c>
      <c r="B230" s="81">
        <f>IFERROR(__xludf.DUMMYFUNCTION("""COMPUTED_VALUE"""),43840.0)</f>
        <v>43840</v>
      </c>
      <c r="C230" s="62" t="str">
        <f>IFERROR(__xludf.DUMMYFUNCTION("""COMPUTED_VALUE"""),"")</f>
        <v/>
      </c>
      <c r="D230" s="62" t="str">
        <f>IFERROR(__xludf.DUMMYFUNCTION("""COMPUTED_VALUE"""),"")</f>
        <v/>
      </c>
      <c r="E230" s="62" t="str">
        <f>IFERROR(__xludf.DUMMYFUNCTION("""COMPUTED_VALUE"""),"Gene Disease Validity")</f>
        <v>Gene Disease Validity</v>
      </c>
      <c r="F230" s="62" t="str">
        <f>IFERROR(__xludf.DUMMYFUNCTION("""COMPUTED_VALUE"""),"")</f>
        <v/>
      </c>
      <c r="G230" s="62" t="str">
        <f>IFERROR(__xludf.DUMMYFUNCTION("""COMPUTED_VALUE"""),"Charlene Preys")</f>
        <v>Charlene Preys</v>
      </c>
      <c r="H230" s="62" t="str">
        <f>IFERROR(__xludf.DUMMYFUNCTION("""COMPUTED_VALUE"""),"clpreys@bwh.harvard.edu")</f>
        <v>clpreys@bwh.harvard.edu</v>
      </c>
      <c r="I230" s="62" t="str">
        <f>IFERROR(__xludf.DUMMYFUNCTION("""COMPUTED_VALUE"""),"Undergraduate Student")</f>
        <v>Undergraduate Student</v>
      </c>
      <c r="J230" s="62"/>
      <c r="K230" s="62" t="str">
        <f>IFERROR(__xludf.DUMMYFUNCTION("""COMPUTED_VALUE"""),"Gene-Disease Validity")</f>
        <v>Gene-Disease Validity</v>
      </c>
      <c r="L230" s="62"/>
      <c r="M230" s="62"/>
      <c r="N230" s="62"/>
      <c r="O230" s="62"/>
      <c r="P230" s="62"/>
      <c r="Q230" s="62"/>
      <c r="R230" s="62"/>
      <c r="S230" s="62"/>
      <c r="T230" s="62"/>
      <c r="U230" s="62"/>
      <c r="V230" s="62"/>
      <c r="W230" s="62"/>
      <c r="X230" s="62"/>
      <c r="Y230" s="62"/>
      <c r="Z230" s="62"/>
    </row>
    <row r="231">
      <c r="A231" s="62" t="str">
        <f>IFERROR(__xludf.DUMMYFUNCTION("""COMPUTED_VALUE"""),"Contacted")</f>
        <v>Contacted</v>
      </c>
      <c r="B231" s="81">
        <f>IFERROR(__xludf.DUMMYFUNCTION("""COMPUTED_VALUE"""),43819.0)</f>
        <v>43819</v>
      </c>
      <c r="C231" s="62" t="str">
        <f>IFERROR(__xludf.DUMMYFUNCTION("""COMPUTED_VALUE"""),"")</f>
        <v/>
      </c>
      <c r="D231" s="62" t="str">
        <f>IFERROR(__xludf.DUMMYFUNCTION("""COMPUTED_VALUE"""),"")</f>
        <v/>
      </c>
      <c r="E231" s="62" t="str">
        <f>IFERROR(__xludf.DUMMYFUNCTION("""COMPUTED_VALUE"""),"Variant Pathogenicity")</f>
        <v>Variant Pathogenicity</v>
      </c>
      <c r="F231" s="62" t="str">
        <f>IFERROR(__xludf.DUMMYFUNCTION("""COMPUTED_VALUE"""),"")</f>
        <v/>
      </c>
      <c r="G231" s="62" t="str">
        <f>IFERROR(__xludf.DUMMYFUNCTION("""COMPUTED_VALUE"""),"Edgar Ramirez")</f>
        <v>Edgar Ramirez</v>
      </c>
      <c r="H231" s="62" t="str">
        <f>IFERROR(__xludf.DUMMYFUNCTION("""COMPUTED_VALUE"""),"e.ramirezr@hotmail.com")</f>
        <v>e.ramirezr@hotmail.com</v>
      </c>
      <c r="I231" s="62" t="str">
        <f>IFERROR(__xludf.DUMMYFUNCTION("""COMPUTED_VALUE"""),"Scientific Researcher")</f>
        <v>Scientific Researcher</v>
      </c>
      <c r="J231" s="62"/>
      <c r="K231" s="62" t="str">
        <f>IFERROR(__xludf.DUMMYFUNCTION("""COMPUTED_VALUE"""),"Variant Pathogenicity")</f>
        <v>Variant Pathogenicity</v>
      </c>
      <c r="L231" s="62"/>
      <c r="M231" s="62"/>
      <c r="N231" s="62"/>
      <c r="O231" s="62"/>
      <c r="P231" s="62"/>
      <c r="Q231" s="62"/>
      <c r="R231" s="62"/>
      <c r="S231" s="62"/>
      <c r="T231" s="62"/>
      <c r="U231" s="62"/>
      <c r="V231" s="62"/>
      <c r="W231" s="62"/>
      <c r="X231" s="62"/>
      <c r="Y231" s="62"/>
      <c r="Z231" s="62"/>
    </row>
    <row r="232">
      <c r="A232" s="62" t="str">
        <f>IFERROR(__xludf.DUMMYFUNCTION("""COMPUTED_VALUE"""),"Contacted")</f>
        <v>Contacted</v>
      </c>
      <c r="B232" s="81">
        <f>IFERROR(__xludf.DUMMYFUNCTION("""COMPUTED_VALUE"""),43819.0)</f>
        <v>43819</v>
      </c>
      <c r="C232" s="62" t="str">
        <f>IFERROR(__xludf.DUMMYFUNCTION("""COMPUTED_VALUE"""),"")</f>
        <v/>
      </c>
      <c r="D232" s="62" t="str">
        <f>IFERROR(__xludf.DUMMYFUNCTION("""COMPUTED_VALUE"""),"")</f>
        <v/>
      </c>
      <c r="E232" s="62" t="str">
        <f>IFERROR(__xludf.DUMMYFUNCTION("""COMPUTED_VALUE"""),"Gene Disease Validity")</f>
        <v>Gene Disease Validity</v>
      </c>
      <c r="F232" s="62" t="str">
        <f>IFERROR(__xludf.DUMMYFUNCTION("""COMPUTED_VALUE"""),"")</f>
        <v/>
      </c>
      <c r="G232" s="62" t="str">
        <f>IFERROR(__xludf.DUMMYFUNCTION("""COMPUTED_VALUE"""),"Laura Roht")</f>
        <v>Laura Roht</v>
      </c>
      <c r="H232" s="62" t="str">
        <f>IFERROR(__xludf.DUMMYFUNCTION("""COMPUTED_VALUE"""),"laura.roht@kliinikum.ee")</f>
        <v>laura.roht@kliinikum.ee</v>
      </c>
      <c r="I232" s="62" t="str">
        <f>IFERROR(__xludf.DUMMYFUNCTION("""COMPUTED_VALUE"""),"Clinical Medical Geneticist")</f>
        <v>Clinical Medical Geneticist</v>
      </c>
      <c r="J232" s="62"/>
      <c r="K232" s="62" t="str">
        <f>IFERROR(__xludf.DUMMYFUNCTION("""COMPUTED_VALUE"""),"Gene-Disease Validity")</f>
        <v>Gene-Disease Validity</v>
      </c>
      <c r="L232" s="62"/>
      <c r="M232" s="62"/>
      <c r="N232" s="62"/>
      <c r="O232" s="62"/>
      <c r="P232" s="62"/>
      <c r="Q232" s="62"/>
      <c r="R232" s="62"/>
      <c r="S232" s="62"/>
      <c r="T232" s="62"/>
      <c r="U232" s="62"/>
      <c r="V232" s="62"/>
      <c r="W232" s="62"/>
      <c r="X232" s="62"/>
      <c r="Y232" s="62"/>
      <c r="Z232" s="62"/>
    </row>
    <row r="233">
      <c r="A233" s="62" t="str">
        <f>IFERROR(__xludf.DUMMYFUNCTION("""COMPUTED_VALUE"""),"Contacted")</f>
        <v>Contacted</v>
      </c>
      <c r="B233" s="62" t="str">
        <f>IFERROR(__xludf.DUMMYFUNCTION("""COMPUTED_VALUE"""),"")</f>
        <v/>
      </c>
      <c r="C233" s="62" t="str">
        <f>IFERROR(__xludf.DUMMYFUNCTION("""COMPUTED_VALUE"""),"")</f>
        <v/>
      </c>
      <c r="D233" s="62" t="str">
        <f>IFERROR(__xludf.DUMMYFUNCTION("""COMPUTED_VALUE"""),"")</f>
        <v/>
      </c>
      <c r="E233" s="62" t="str">
        <f>IFERROR(__xludf.DUMMYFUNCTION("""COMPUTED_VALUE"""),"NA")</f>
        <v>NA</v>
      </c>
      <c r="F233" s="62" t="str">
        <f>IFERROR(__xludf.DUMMYFUNCTION("""COMPUTED_VALUE"""),"")</f>
        <v/>
      </c>
      <c r="G233" s="62" t="str">
        <f>IFERROR(__xludf.DUMMYFUNCTION("""COMPUTED_VALUE"""),"Donia Hany Mostafa ")</f>
        <v>Donia Hany Mostafa </v>
      </c>
      <c r="H233" s="62" t="str">
        <f>IFERROR(__xludf.DUMMYFUNCTION("""COMPUTED_VALUE"""),"donia.1518105@stemkalubya.moe.edu.eg")</f>
        <v>donia.1518105@stemkalubya.moe.edu.eg</v>
      </c>
      <c r="I233" s="62" t="str">
        <f>IFERROR(__xludf.DUMMYFUNCTION("""COMPUTED_VALUE"""),"Undergraduate Student")</f>
        <v>Undergraduate Student</v>
      </c>
      <c r="J233" s="62"/>
      <c r="K233" s="62" t="str">
        <f>IFERROR(__xludf.DUMMYFUNCTION("""COMPUTED_VALUE"""),"Somatic Cancer")</f>
        <v>Somatic Cancer</v>
      </c>
      <c r="L233" s="62"/>
      <c r="M233" s="62"/>
      <c r="N233" s="62"/>
      <c r="O233" s="62"/>
      <c r="P233" s="62"/>
      <c r="Q233" s="62"/>
      <c r="R233" s="62"/>
      <c r="S233" s="62"/>
      <c r="T233" s="62"/>
      <c r="U233" s="62"/>
      <c r="V233" s="62"/>
      <c r="W233" s="62"/>
      <c r="X233" s="62"/>
      <c r="Y233" s="62"/>
      <c r="Z233" s="62"/>
    </row>
    <row r="234">
      <c r="A234" s="62" t="str">
        <f>IFERROR(__xludf.DUMMYFUNCTION("""COMPUTED_VALUE"""),"Contacted")</f>
        <v>Contacted</v>
      </c>
      <c r="B234" s="81">
        <f>IFERROR(__xludf.DUMMYFUNCTION("""COMPUTED_VALUE"""),43819.0)</f>
        <v>43819</v>
      </c>
      <c r="C234" s="106">
        <f>IFERROR(__xludf.DUMMYFUNCTION("""COMPUTED_VALUE"""),43859.0)</f>
        <v>43859</v>
      </c>
      <c r="D234" s="62" t="str">
        <f>IFERROR(__xludf.DUMMYFUNCTION("""COMPUTED_VALUE"""),"Yes")</f>
        <v>Yes</v>
      </c>
      <c r="E234" s="62" t="str">
        <f>IFERROR(__xludf.DUMMYFUNCTION("""COMPUTED_VALUE"""),"Variant Pathogenicity")</f>
        <v>Variant Pathogenicity</v>
      </c>
      <c r="F234" s="62" t="str">
        <f>IFERROR(__xludf.DUMMYFUNCTION("""COMPUTED_VALUE"""),"")</f>
        <v/>
      </c>
      <c r="G234" s="62" t="str">
        <f>IFERROR(__xludf.DUMMYFUNCTION("""COMPUTED_VALUE"""),"Xin Chen")</f>
        <v>Xin Chen</v>
      </c>
      <c r="H234" s="62" t="str">
        <f>IFERROR(__xludf.DUMMYFUNCTION("""COMPUTED_VALUE"""),"chenx30nju@gmail.com")</f>
        <v>chenx30nju@gmail.com</v>
      </c>
      <c r="I234" s="62" t="str">
        <f>IFERROR(__xludf.DUMMYFUNCTION("""COMPUTED_VALUE"""),"Post Doc/Resident/Fellow (MD and/or PhD)")</f>
        <v>Post Doc/Resident/Fellow (MD and/or PhD)</v>
      </c>
      <c r="J234" s="62"/>
      <c r="K234" s="62" t="str">
        <f>IFERROR(__xludf.DUMMYFUNCTION("""COMPUTED_VALUE"""),"Variant Pathogenicity")</f>
        <v>Variant Pathogenicity</v>
      </c>
      <c r="L234" s="62"/>
      <c r="M234" s="62"/>
      <c r="N234" s="62"/>
      <c r="O234" s="62"/>
      <c r="P234" s="62"/>
      <c r="Q234" s="62"/>
      <c r="R234" s="62"/>
      <c r="S234" s="62"/>
      <c r="T234" s="62"/>
      <c r="U234" s="62"/>
      <c r="V234" s="62"/>
      <c r="W234" s="62"/>
      <c r="X234" s="62"/>
      <c r="Y234" s="62"/>
      <c r="Z234" s="62"/>
    </row>
    <row r="235">
      <c r="A235" s="62" t="str">
        <f>IFERROR(__xludf.DUMMYFUNCTION("""COMPUTED_VALUE"""),"Contacted")</f>
        <v>Contacted</v>
      </c>
      <c r="B235" s="62" t="str">
        <f>IFERROR(__xludf.DUMMYFUNCTION("""COMPUTED_VALUE"""),"")</f>
        <v/>
      </c>
      <c r="C235" s="81">
        <f>IFERROR(__xludf.DUMMYFUNCTION("""COMPUTED_VALUE"""),43626.0)</f>
        <v>43626</v>
      </c>
      <c r="D235" s="62" t="str">
        <f>IFERROR(__xludf.DUMMYFUNCTION("""COMPUTED_VALUE"""),"Yes")</f>
        <v>Yes</v>
      </c>
      <c r="E235" s="62" t="str">
        <f>IFERROR(__xludf.DUMMYFUNCTION("""COMPUTED_VALUE"""),"Variant Pathogenicity")</f>
        <v>Variant Pathogenicity</v>
      </c>
      <c r="F235" s="62" t="str">
        <f>IFERROR(__xludf.DUMMYFUNCTION("""COMPUTED_VALUE"""),"")</f>
        <v/>
      </c>
      <c r="G235" s="62" t="str">
        <f>IFERROR(__xludf.DUMMYFUNCTION("""COMPUTED_VALUE"""),"Tomohiko Ai")</f>
        <v>Tomohiko Ai</v>
      </c>
      <c r="H235" s="62" t="str">
        <f>IFERROR(__xludf.DUMMYFUNCTION("""COMPUTED_VALUE"""),"Tomohiko.Ai@osumc.edu")</f>
        <v>Tomohiko.Ai@osumc.edu</v>
      </c>
      <c r="I235" s="62" t="str">
        <f>IFERROR(__xludf.DUMMYFUNCTION("""COMPUTED_VALUE"""),"Scientific Researcher")</f>
        <v>Scientific Researcher</v>
      </c>
      <c r="J235" s="62"/>
      <c r="K235" s="62" t="str">
        <f>IFERROR(__xludf.DUMMYFUNCTION("""COMPUTED_VALUE"""),"Variant Pathogenicity")</f>
        <v>Variant Pathogenicity</v>
      </c>
      <c r="L235" s="62"/>
      <c r="M235" s="62"/>
      <c r="N235" s="62"/>
      <c r="O235" s="62"/>
      <c r="P235" s="62"/>
      <c r="Q235" s="62"/>
      <c r="R235" s="62"/>
      <c r="S235" s="62"/>
      <c r="T235" s="62"/>
      <c r="U235" s="62"/>
      <c r="V235" s="62"/>
      <c r="W235" s="62"/>
      <c r="X235" s="62"/>
      <c r="Y235" s="62"/>
      <c r="Z235" s="62"/>
    </row>
    <row r="236">
      <c r="A236" s="62" t="str">
        <f>IFERROR(__xludf.DUMMYFUNCTION("""COMPUTED_VALUE"""),"Contacted")</f>
        <v>Contacted</v>
      </c>
      <c r="B236" s="62" t="str">
        <f>IFERROR(__xludf.DUMMYFUNCTION("""COMPUTED_VALUE"""),"")</f>
        <v/>
      </c>
      <c r="C236" s="81">
        <f>IFERROR(__xludf.DUMMYFUNCTION("""COMPUTED_VALUE"""),43585.0)</f>
        <v>43585</v>
      </c>
      <c r="D236" s="62" t="str">
        <f>IFERROR(__xludf.DUMMYFUNCTION("""COMPUTED_VALUE"""),"Yes")</f>
        <v>Yes</v>
      </c>
      <c r="E236" s="62" t="str">
        <f>IFERROR(__xludf.DUMMYFUNCTION("""COMPUTED_VALUE"""),"Gene Disease Validity")</f>
        <v>Gene Disease Validity</v>
      </c>
      <c r="F236" s="62" t="str">
        <f>IFERROR(__xludf.DUMMYFUNCTION("""COMPUTED_VALUE"""),"")</f>
        <v/>
      </c>
      <c r="G236" s="62" t="str">
        <f>IFERROR(__xludf.DUMMYFUNCTION("""COMPUTED_VALUE"""),"Coumarane Mani")</f>
        <v>Coumarane Mani</v>
      </c>
      <c r="H236" s="62" t="str">
        <f>IFERROR(__xludf.DUMMYFUNCTION("""COMPUTED_VALUE"""),"coumarane.mani@aruplab.com")</f>
        <v>coumarane.mani@aruplab.com</v>
      </c>
      <c r="I236" s="62" t="str">
        <f>IFERROR(__xludf.DUMMYFUNCTION("""COMPUTED_VALUE"""),"Variant Analyst/Scientist - Industry")</f>
        <v>Variant Analyst/Scientist - Industry</v>
      </c>
      <c r="J236" s="62"/>
      <c r="K236" s="62" t="str">
        <f>IFERROR(__xludf.DUMMYFUNCTION("""COMPUTED_VALUE"""),"Gene-Disease Validity")</f>
        <v>Gene-Disease Validity</v>
      </c>
      <c r="L236" s="62"/>
      <c r="M236" s="62"/>
      <c r="N236" s="62"/>
      <c r="O236" s="62"/>
      <c r="P236" s="62"/>
      <c r="Q236" s="62"/>
      <c r="R236" s="62"/>
      <c r="S236" s="62"/>
      <c r="T236" s="62"/>
      <c r="U236" s="62"/>
      <c r="V236" s="62"/>
      <c r="W236" s="62"/>
      <c r="X236" s="62"/>
      <c r="Y236" s="62"/>
      <c r="Z236" s="62"/>
    </row>
    <row r="237">
      <c r="A237" s="62" t="str">
        <f>IFERROR(__xludf.DUMMYFUNCTION("""COMPUTED_VALUE"""),"Contacted")</f>
        <v>Contacted</v>
      </c>
      <c r="B237" s="62" t="str">
        <f>IFERROR(__xludf.DUMMYFUNCTION("""COMPUTED_VALUE"""),"")</f>
        <v/>
      </c>
      <c r="C237" s="81">
        <f>IFERROR(__xludf.DUMMYFUNCTION("""COMPUTED_VALUE"""),43605.0)</f>
        <v>43605</v>
      </c>
      <c r="D237" s="62" t="str">
        <f>IFERROR(__xludf.DUMMYFUNCTION("""COMPUTED_VALUE"""),"Yes")</f>
        <v>Yes</v>
      </c>
      <c r="E237" s="62" t="str">
        <f>IFERROR(__xludf.DUMMYFUNCTION("""COMPUTED_VALUE"""),"Variant Pathogenicity")</f>
        <v>Variant Pathogenicity</v>
      </c>
      <c r="F237" s="62" t="str">
        <f>IFERROR(__xludf.DUMMYFUNCTION("""COMPUTED_VALUE"""),"")</f>
        <v/>
      </c>
      <c r="G237" s="62" t="str">
        <f>IFERROR(__xludf.DUMMYFUNCTION("""COMPUTED_VALUE"""),"Coumarane Mani")</f>
        <v>Coumarane Mani</v>
      </c>
      <c r="H237" s="62" t="str">
        <f>IFERROR(__xludf.DUMMYFUNCTION("""COMPUTED_VALUE"""),"coumarane.mani@aruplab.com")</f>
        <v>coumarane.mani@aruplab.com</v>
      </c>
      <c r="I237" s="62" t="str">
        <f>IFERROR(__xludf.DUMMYFUNCTION("""COMPUTED_VALUE"""),"Variant Analyst/Scientist - Industry")</f>
        <v>Variant Analyst/Scientist - Industry</v>
      </c>
      <c r="J237" s="62"/>
      <c r="K237" s="62" t="str">
        <f>IFERROR(__xludf.DUMMYFUNCTION("""COMPUTED_VALUE"""),"Variant Pathogenicity")</f>
        <v>Variant Pathogenicity</v>
      </c>
      <c r="L237" s="62"/>
      <c r="M237" s="62"/>
      <c r="N237" s="62"/>
      <c r="O237" s="62"/>
      <c r="P237" s="62"/>
      <c r="Q237" s="62"/>
      <c r="R237" s="62"/>
      <c r="S237" s="62"/>
      <c r="T237" s="62"/>
      <c r="U237" s="62"/>
      <c r="V237" s="62"/>
      <c r="W237" s="62"/>
      <c r="X237" s="62"/>
      <c r="Y237" s="62"/>
      <c r="Z237" s="62"/>
    </row>
    <row r="238">
      <c r="A238" s="62" t="str">
        <f>IFERROR(__xludf.DUMMYFUNCTION("""COMPUTED_VALUE"""),"Contacted")</f>
        <v>Contacted</v>
      </c>
      <c r="B238" s="62" t="str">
        <f>IFERROR(__xludf.DUMMYFUNCTION("""COMPUTED_VALUE"""),"")</f>
        <v/>
      </c>
      <c r="C238" s="81">
        <f>IFERROR(__xludf.DUMMYFUNCTION("""COMPUTED_VALUE"""),47258.0)</f>
        <v>47258</v>
      </c>
      <c r="D238" s="62" t="str">
        <f>IFERROR(__xludf.DUMMYFUNCTION("""COMPUTED_VALUE"""),"Yes")</f>
        <v>Yes</v>
      </c>
      <c r="E238" s="62" t="str">
        <f>IFERROR(__xludf.DUMMYFUNCTION("""COMPUTED_VALUE"""),"Variant Pathogenicity")</f>
        <v>Variant Pathogenicity</v>
      </c>
      <c r="F238" s="62" t="str">
        <f>IFERROR(__xludf.DUMMYFUNCTION("""COMPUTED_VALUE"""),"")</f>
        <v/>
      </c>
      <c r="G238" s="62" t="str">
        <f>IFERROR(__xludf.DUMMYFUNCTION("""COMPUTED_VALUE"""),"Diogo Ventura Lovato")</f>
        <v>Diogo Ventura Lovato</v>
      </c>
      <c r="H238" s="62" t="str">
        <f>IFERROR(__xludf.DUMMYFUNCTION("""COMPUTED_VALUE"""),"diogo.v.lovato@gmail.com")</f>
        <v>diogo.v.lovato@gmail.com</v>
      </c>
      <c r="I238" s="62" t="str">
        <f>IFERROR(__xludf.DUMMYFUNCTION("""COMPUTED_VALUE"""),"Clinical laboratory geneticist")</f>
        <v>Clinical laboratory geneticist</v>
      </c>
      <c r="J238" s="62"/>
      <c r="K238" s="62" t="str">
        <f>IFERROR(__xludf.DUMMYFUNCTION("""COMPUTED_VALUE"""),"Variant Pathogenicity")</f>
        <v>Variant Pathogenicity</v>
      </c>
      <c r="L238" s="62"/>
      <c r="M238" s="62"/>
      <c r="N238" s="62"/>
      <c r="O238" s="62"/>
      <c r="P238" s="62"/>
      <c r="Q238" s="62"/>
      <c r="R238" s="62"/>
      <c r="S238" s="62"/>
      <c r="T238" s="62"/>
      <c r="U238" s="62"/>
      <c r="V238" s="62"/>
      <c r="W238" s="62"/>
      <c r="X238" s="62"/>
      <c r="Y238" s="62"/>
      <c r="Z238" s="62"/>
    </row>
    <row r="239">
      <c r="A239" s="62" t="str">
        <f>IFERROR(__xludf.DUMMYFUNCTION("""COMPUTED_VALUE"""),"Contacted")</f>
        <v>Contacted</v>
      </c>
      <c r="B239" s="62" t="str">
        <f>IFERROR(__xludf.DUMMYFUNCTION("""COMPUTED_VALUE"""),"")</f>
        <v/>
      </c>
      <c r="C239" s="81">
        <f>IFERROR(__xludf.DUMMYFUNCTION("""COMPUTED_VALUE"""),43626.0)</f>
        <v>43626</v>
      </c>
      <c r="D239" s="62" t="str">
        <f>IFERROR(__xludf.DUMMYFUNCTION("""COMPUTED_VALUE"""),"Yes")</f>
        <v>Yes</v>
      </c>
      <c r="E239" s="62" t="str">
        <f>IFERROR(__xludf.DUMMYFUNCTION("""COMPUTED_VALUE"""),"Variant Pathogenicity")</f>
        <v>Variant Pathogenicity</v>
      </c>
      <c r="F239" s="62" t="str">
        <f>IFERROR(__xludf.DUMMYFUNCTION("""COMPUTED_VALUE"""),"")</f>
        <v/>
      </c>
      <c r="G239" s="62" t="str">
        <f>IFERROR(__xludf.DUMMYFUNCTION("""COMPUTED_VALUE"""),"Elaine Spector")</f>
        <v>Elaine Spector</v>
      </c>
      <c r="H239" s="62" t="str">
        <f>IFERROR(__xludf.DUMMYFUNCTION("""COMPUTED_VALUE"""),"elaine.spector@childrenscolorado.org")</f>
        <v>elaine.spector@childrenscolorado.org</v>
      </c>
      <c r="I239" s="62" t="str">
        <f>IFERROR(__xludf.DUMMYFUNCTION("""COMPUTED_VALUE"""),"Clinical laboratory geneticist")</f>
        <v>Clinical laboratory geneticist</v>
      </c>
      <c r="J239" s="62"/>
      <c r="K239" s="62" t="str">
        <f>IFERROR(__xludf.DUMMYFUNCTION("""COMPUTED_VALUE"""),"Variant Pathogenicity")</f>
        <v>Variant Pathogenicity</v>
      </c>
      <c r="L239" s="62"/>
      <c r="M239" s="62"/>
      <c r="N239" s="62"/>
      <c r="O239" s="62"/>
      <c r="P239" s="62"/>
      <c r="Q239" s="62"/>
      <c r="R239" s="62"/>
      <c r="S239" s="62"/>
      <c r="T239" s="62"/>
      <c r="U239" s="62"/>
      <c r="V239" s="62"/>
      <c r="W239" s="62"/>
      <c r="X239" s="62"/>
      <c r="Y239" s="62"/>
      <c r="Z239" s="62"/>
    </row>
    <row r="240">
      <c r="A240" s="62" t="str">
        <f>IFERROR(__xludf.DUMMYFUNCTION("""COMPUTED_VALUE"""),"Contacted")</f>
        <v>Contacted</v>
      </c>
      <c r="B240" s="62" t="str">
        <f>IFERROR(__xludf.DUMMYFUNCTION("""COMPUTED_VALUE"""),"")</f>
        <v/>
      </c>
      <c r="C240" s="81">
        <f>IFERROR(__xludf.DUMMYFUNCTION("""COMPUTED_VALUE"""),43608.0)</f>
        <v>43608</v>
      </c>
      <c r="D240" s="62" t="str">
        <f>IFERROR(__xludf.DUMMYFUNCTION("""COMPUTED_VALUE"""),"Yes")</f>
        <v>Yes</v>
      </c>
      <c r="E240" s="62" t="str">
        <f>IFERROR(__xludf.DUMMYFUNCTION("""COMPUTED_VALUE"""),"Variant Pathogenicity")</f>
        <v>Variant Pathogenicity</v>
      </c>
      <c r="F240" s="62" t="str">
        <f>IFERROR(__xludf.DUMMYFUNCTION("""COMPUTED_VALUE"""),"TP53")</f>
        <v>TP53</v>
      </c>
      <c r="G240" s="62" t="str">
        <f>IFERROR(__xludf.DUMMYFUNCTION("""COMPUTED_VALUE"""),"Laura Fuqua")</f>
        <v>Laura Fuqua</v>
      </c>
      <c r="H240" s="62" t="str">
        <f>IFERROR(__xludf.DUMMYFUNCTION("""COMPUTED_VALUE"""),"laura.fuqua@gmail.com")</f>
        <v>laura.fuqua@gmail.com</v>
      </c>
      <c r="I240" s="62" t="str">
        <f>IFERROR(__xludf.DUMMYFUNCTION("""COMPUTED_VALUE"""),"Genetic counselor")</f>
        <v>Genetic counselor</v>
      </c>
      <c r="J240" s="62"/>
      <c r="K240" s="62" t="str">
        <f>IFERROR(__xludf.DUMMYFUNCTION("""COMPUTED_VALUE"""),"Variant Pathogenicity")</f>
        <v>Variant Pathogenicity</v>
      </c>
      <c r="L240" s="62"/>
      <c r="M240" s="62"/>
      <c r="N240" s="62"/>
      <c r="O240" s="62"/>
      <c r="P240" s="62"/>
      <c r="Q240" s="62"/>
      <c r="R240" s="62"/>
      <c r="S240" s="62"/>
      <c r="T240" s="62"/>
      <c r="U240" s="62"/>
      <c r="V240" s="62"/>
      <c r="W240" s="62"/>
      <c r="X240" s="62"/>
      <c r="Y240" s="62"/>
      <c r="Z240" s="62"/>
    </row>
    <row r="241">
      <c r="A241" s="62" t="str">
        <f>IFERROR(__xludf.DUMMYFUNCTION("""COMPUTED_VALUE"""),"Unassigned")</f>
        <v>Unassigned</v>
      </c>
      <c r="B241" s="62" t="str">
        <f>IFERROR(__xludf.DUMMYFUNCTION("""COMPUTED_VALUE"""),"")</f>
        <v/>
      </c>
      <c r="C241" s="62" t="str">
        <f>IFERROR(__xludf.DUMMYFUNCTION("""COMPUTED_VALUE"""),"")</f>
        <v/>
      </c>
      <c r="D241" s="62" t="str">
        <f>IFERROR(__xludf.DUMMYFUNCTION("""COMPUTED_VALUE"""),"")</f>
        <v/>
      </c>
      <c r="E241" s="62" t="str">
        <f>IFERROR(__xludf.DUMMYFUNCTION("""COMPUTED_VALUE"""),"NA")</f>
        <v>NA</v>
      </c>
      <c r="F241" s="62" t="str">
        <f>IFERROR(__xludf.DUMMYFUNCTION("""COMPUTED_VALUE"""),"")</f>
        <v/>
      </c>
      <c r="G241" s="62" t="str">
        <f>IFERROR(__xludf.DUMMYFUNCTION("""COMPUTED_VALUE"""),"Kelly McGoldrick")</f>
        <v>Kelly McGoldrick</v>
      </c>
      <c r="H241" s="62" t="str">
        <f>IFERROR(__xludf.DUMMYFUNCTION("""COMPUTED_VALUE"""),"kmcgoldrick@ambrygenetics.com")</f>
        <v>kmcgoldrick@ambrygenetics.com</v>
      </c>
      <c r="I241" s="62" t="str">
        <f>IFERROR(__xludf.DUMMYFUNCTION("""COMPUTED_VALUE"""),"Variant Analyst/Scientist - Industry")</f>
        <v>Variant Analyst/Scientist - Industry</v>
      </c>
      <c r="J241" s="62"/>
      <c r="K241" s="62" t="str">
        <f>IFERROR(__xludf.DUMMYFUNCTION("""COMPUTED_VALUE"""),"")</f>
        <v/>
      </c>
      <c r="L241" s="62"/>
      <c r="M241" s="62"/>
      <c r="N241" s="62"/>
      <c r="O241" s="62"/>
      <c r="P241" s="62"/>
      <c r="Q241" s="62"/>
      <c r="R241" s="62"/>
      <c r="S241" s="62"/>
      <c r="T241" s="62"/>
      <c r="U241" s="62"/>
      <c r="V241" s="62"/>
      <c r="W241" s="62"/>
      <c r="X241" s="62"/>
      <c r="Y241" s="62"/>
      <c r="Z241" s="62"/>
    </row>
    <row r="242">
      <c r="A242" s="62" t="str">
        <f>IFERROR(__xludf.DUMMYFUNCTION("""COMPUTED_VALUE"""),"Contacted")</f>
        <v>Contacted</v>
      </c>
      <c r="B242" s="81">
        <f>IFERROR(__xludf.DUMMYFUNCTION("""COMPUTED_VALUE"""),43819.0)</f>
        <v>43819</v>
      </c>
      <c r="C242" s="62" t="str">
        <f>IFERROR(__xludf.DUMMYFUNCTION("""COMPUTED_VALUE"""),"")</f>
        <v/>
      </c>
      <c r="D242" s="62" t="str">
        <f>IFERROR(__xludf.DUMMYFUNCTION("""COMPUTED_VALUE"""),"")</f>
        <v/>
      </c>
      <c r="E242" s="62" t="str">
        <f>IFERROR(__xludf.DUMMYFUNCTION("""COMPUTED_VALUE"""),"Variant Pathogenicity")</f>
        <v>Variant Pathogenicity</v>
      </c>
      <c r="F242" s="62" t="str">
        <f>IFERROR(__xludf.DUMMYFUNCTION("""COMPUTED_VALUE"""),"")</f>
        <v/>
      </c>
      <c r="G242" s="62" t="str">
        <f>IFERROR(__xludf.DUMMYFUNCTION("""COMPUTED_VALUE"""),"Patricia Harper")</f>
        <v>Patricia Harper</v>
      </c>
      <c r="H242" s="62" t="str">
        <f>IFERROR(__xludf.DUMMYFUNCTION("""COMPUTED_VALUE"""),"pharper@cheo.on.ca")</f>
        <v>pharper@cheo.on.ca</v>
      </c>
      <c r="I242" s="62" t="str">
        <f>IFERROR(__xludf.DUMMYFUNCTION("""COMPUTED_VALUE"""),"Genetic counselor")</f>
        <v>Genetic counselor</v>
      </c>
      <c r="J242" s="62"/>
      <c r="K242" s="62" t="str">
        <f>IFERROR(__xludf.DUMMYFUNCTION("""COMPUTED_VALUE"""),"Variant Pathogenicity")</f>
        <v>Variant Pathogenicity</v>
      </c>
      <c r="L242" s="62"/>
      <c r="M242" s="62"/>
      <c r="N242" s="62"/>
      <c r="O242" s="62"/>
      <c r="P242" s="62"/>
      <c r="Q242" s="62"/>
      <c r="R242" s="62"/>
      <c r="S242" s="62"/>
      <c r="T242" s="62"/>
      <c r="U242" s="62"/>
      <c r="V242" s="62"/>
      <c r="W242" s="62"/>
      <c r="X242" s="62"/>
      <c r="Y242" s="62"/>
      <c r="Z242" s="62"/>
    </row>
    <row r="243">
      <c r="A243" s="62" t="str">
        <f>IFERROR(__xludf.DUMMYFUNCTION("""COMPUTED_VALUE"""),"Unassigned")</f>
        <v>Unassigned</v>
      </c>
      <c r="B243" s="62" t="str">
        <f>IFERROR(__xludf.DUMMYFUNCTION("""COMPUTED_VALUE"""),"")</f>
        <v/>
      </c>
      <c r="C243" s="62" t="str">
        <f>IFERROR(__xludf.DUMMYFUNCTION("""COMPUTED_VALUE"""),"")</f>
        <v/>
      </c>
      <c r="D243" s="62" t="str">
        <f>IFERROR(__xludf.DUMMYFUNCTION("""COMPUTED_VALUE"""),"")</f>
        <v/>
      </c>
      <c r="E243" s="62" t="str">
        <f>IFERROR(__xludf.DUMMYFUNCTION("""COMPUTED_VALUE"""),"Somatic Cancer")</f>
        <v>Somatic Cancer</v>
      </c>
      <c r="F243" s="62" t="str">
        <f>IFERROR(__xludf.DUMMYFUNCTION("""COMPUTED_VALUE"""),"")</f>
        <v/>
      </c>
      <c r="G243" s="62" t="str">
        <f>IFERROR(__xludf.DUMMYFUNCTION("""COMPUTED_VALUE"""),"Rasha hekal ")</f>
        <v>Rasha hekal </v>
      </c>
      <c r="H243" s="62" t="str">
        <f>IFERROR(__xludf.DUMMYFUNCTION("""COMPUTED_VALUE"""),"rasha.hekal.152003@gmail.com")</f>
        <v>rasha.hekal.152003@gmail.com</v>
      </c>
      <c r="I243" s="62" t="str">
        <f>IFERROR(__xludf.DUMMYFUNCTION("""COMPUTED_VALUE"""),"Undergraduate Student")</f>
        <v>Undergraduate Student</v>
      </c>
      <c r="J243" s="62"/>
      <c r="K243" s="62" t="str">
        <f>IFERROR(__xludf.DUMMYFUNCTION("""COMPUTED_VALUE"""),"Somatic Cancer")</f>
        <v>Somatic Cancer</v>
      </c>
      <c r="L243" s="62"/>
      <c r="M243" s="62"/>
      <c r="N243" s="62"/>
      <c r="O243" s="62"/>
      <c r="P243" s="62"/>
      <c r="Q243" s="62"/>
      <c r="R243" s="62"/>
      <c r="S243" s="62"/>
      <c r="T243" s="62"/>
      <c r="U243" s="62"/>
      <c r="V243" s="62"/>
      <c r="W243" s="62"/>
      <c r="X243" s="62"/>
      <c r="Y243" s="62"/>
      <c r="Z243" s="62"/>
    </row>
    <row r="244">
      <c r="A244" s="62" t="str">
        <f>IFERROR(__xludf.DUMMYFUNCTION("""COMPUTED_VALUE"""),"Unassigned")</f>
        <v>Unassigned</v>
      </c>
      <c r="B244" s="62" t="str">
        <f>IFERROR(__xludf.DUMMYFUNCTION("""COMPUTED_VALUE"""),"")</f>
        <v/>
      </c>
      <c r="C244" s="62" t="str">
        <f>IFERROR(__xludf.DUMMYFUNCTION("""COMPUTED_VALUE"""),"")</f>
        <v/>
      </c>
      <c r="D244" s="62" t="str">
        <f>IFERROR(__xludf.DUMMYFUNCTION("""COMPUTED_VALUE"""),"")</f>
        <v/>
      </c>
      <c r="E244" s="62" t="str">
        <f>IFERROR(__xludf.DUMMYFUNCTION("""COMPUTED_VALUE"""),"Somatic Cancer")</f>
        <v>Somatic Cancer</v>
      </c>
      <c r="F244" s="62" t="str">
        <f>IFERROR(__xludf.DUMMYFUNCTION("""COMPUTED_VALUE"""),"")</f>
        <v/>
      </c>
      <c r="G244" s="62" t="str">
        <f>IFERROR(__xludf.DUMMYFUNCTION("""COMPUTED_VALUE"""),"Nihal Ahmed ")</f>
        <v>Nihal Ahmed </v>
      </c>
      <c r="H244" s="62" t="str">
        <f>IFERROR(__xludf.DUMMYFUNCTION("""COMPUTED_VALUE"""),"nihalahmed087@gmail.com")</f>
        <v>nihalahmed087@gmail.com</v>
      </c>
      <c r="I244" s="62" t="str">
        <f>IFERROR(__xludf.DUMMYFUNCTION("""COMPUTED_VALUE"""),"Undergraduate Student")</f>
        <v>Undergraduate Student</v>
      </c>
      <c r="J244" s="62"/>
      <c r="K244" s="62" t="str">
        <f>IFERROR(__xludf.DUMMYFUNCTION("""COMPUTED_VALUE"""),"Somatic Cancer")</f>
        <v>Somatic Cancer</v>
      </c>
      <c r="L244" s="62"/>
      <c r="M244" s="62"/>
      <c r="N244" s="62"/>
      <c r="O244" s="62"/>
      <c r="P244" s="62"/>
      <c r="Q244" s="62"/>
      <c r="R244" s="62"/>
      <c r="S244" s="62"/>
      <c r="T244" s="62"/>
      <c r="U244" s="62"/>
      <c r="V244" s="62"/>
      <c r="W244" s="62"/>
      <c r="X244" s="62"/>
      <c r="Y244" s="62"/>
      <c r="Z244" s="62"/>
    </row>
    <row r="245">
      <c r="A245" s="62" t="str">
        <f>IFERROR(__xludf.DUMMYFUNCTION("""COMPUTED_VALUE"""),"Contacted")</f>
        <v>Contacted</v>
      </c>
      <c r="B245" s="81">
        <f>IFERROR(__xludf.DUMMYFUNCTION("""COMPUTED_VALUE"""),43819.0)</f>
        <v>43819</v>
      </c>
      <c r="C245" s="106">
        <f>IFERROR(__xludf.DUMMYFUNCTION("""COMPUTED_VALUE"""),43846.0)</f>
        <v>43846</v>
      </c>
      <c r="D245" s="62" t="str">
        <f>IFERROR(__xludf.DUMMYFUNCTION("""COMPUTED_VALUE"""),"Yes")</f>
        <v>Yes</v>
      </c>
      <c r="E245" s="62" t="str">
        <f>IFERROR(__xludf.DUMMYFUNCTION("""COMPUTED_VALUE"""),"Gene Disease Validity")</f>
        <v>Gene Disease Validity</v>
      </c>
      <c r="F245" s="62" t="str">
        <f>IFERROR(__xludf.DUMMYFUNCTION("""COMPUTED_VALUE"""),"")</f>
        <v/>
      </c>
      <c r="G245" s="62" t="str">
        <f>IFERROR(__xludf.DUMMYFUNCTION("""COMPUTED_VALUE"""),"Xiaoting Ma")</f>
        <v>Xiaoting Ma</v>
      </c>
      <c r="H245" s="62" t="str">
        <f>IFERROR(__xludf.DUMMYFUNCTION("""COMPUTED_VALUE"""),"Xiaoting.Ma@childrens.harvard.edu")</f>
        <v>Xiaoting.Ma@childrens.harvard.edu</v>
      </c>
      <c r="I245" s="62" t="str">
        <f>IFERROR(__xludf.DUMMYFUNCTION("""COMPUTED_VALUE"""),"Post Doc/Resident/Fellow (MD and/or PhD)")</f>
        <v>Post Doc/Resident/Fellow (MD and/or PhD)</v>
      </c>
      <c r="J245" s="62"/>
      <c r="K245" s="62" t="str">
        <f>IFERROR(__xludf.DUMMYFUNCTION("""COMPUTED_VALUE"""),"Gene-Disease Validity")</f>
        <v>Gene-Disease Validity</v>
      </c>
      <c r="L245" s="62"/>
      <c r="M245" s="62"/>
      <c r="N245" s="62"/>
      <c r="O245" s="62"/>
      <c r="P245" s="62"/>
      <c r="Q245" s="62"/>
      <c r="R245" s="62"/>
      <c r="S245" s="62"/>
      <c r="T245" s="62"/>
      <c r="U245" s="62"/>
      <c r="V245" s="62"/>
      <c r="W245" s="62"/>
      <c r="X245" s="62"/>
      <c r="Y245" s="62"/>
      <c r="Z245" s="62"/>
    </row>
    <row r="246">
      <c r="A246" s="62" t="str">
        <f>IFERROR(__xludf.DUMMYFUNCTION("""COMPUTED_VALUE"""),"Contacted")</f>
        <v>Contacted</v>
      </c>
      <c r="B246" s="81">
        <f>IFERROR(__xludf.DUMMYFUNCTION("""COMPUTED_VALUE"""),43819.0)</f>
        <v>43819</v>
      </c>
      <c r="C246" s="62" t="str">
        <f>IFERROR(__xludf.DUMMYFUNCTION("""COMPUTED_VALUE"""),"")</f>
        <v/>
      </c>
      <c r="D246" s="62" t="str">
        <f>IFERROR(__xludf.DUMMYFUNCTION("""COMPUTED_VALUE"""),"")</f>
        <v/>
      </c>
      <c r="E246" s="62" t="str">
        <f>IFERROR(__xludf.DUMMYFUNCTION("""COMPUTED_VALUE"""),"Variant Pathogenicity")</f>
        <v>Variant Pathogenicity</v>
      </c>
      <c r="F246" s="62" t="str">
        <f>IFERROR(__xludf.DUMMYFUNCTION("""COMPUTED_VALUE"""),"")</f>
        <v/>
      </c>
      <c r="G246" s="62" t="str">
        <f>IFERROR(__xludf.DUMMYFUNCTION("""COMPUTED_VALUE"""),"Saja El Yaacoub")</f>
        <v>Saja El Yaacoub</v>
      </c>
      <c r="H246" s="62" t="str">
        <f>IFERROR(__xludf.DUMMYFUNCTION("""COMPUTED_VALUE"""),"saja.alyaacoub@live.com")</f>
        <v>saja.alyaacoub@live.com</v>
      </c>
      <c r="I246" s="62" t="str">
        <f>IFERROR(__xludf.DUMMYFUNCTION("""COMPUTED_VALUE"""),"Graduate Student")</f>
        <v>Graduate Student</v>
      </c>
      <c r="J246" s="62"/>
      <c r="K246" s="62" t="str">
        <f>IFERROR(__xludf.DUMMYFUNCTION("""COMPUTED_VALUE"""),"Variant Pathogenicity")</f>
        <v>Variant Pathogenicity</v>
      </c>
      <c r="L246" s="62"/>
      <c r="M246" s="62"/>
      <c r="N246" s="62"/>
      <c r="O246" s="62"/>
      <c r="P246" s="62"/>
      <c r="Q246" s="62"/>
      <c r="R246" s="62"/>
      <c r="S246" s="62"/>
      <c r="T246" s="62"/>
      <c r="U246" s="62"/>
      <c r="V246" s="62"/>
      <c r="W246" s="62"/>
      <c r="X246" s="62"/>
      <c r="Y246" s="62"/>
      <c r="Z246" s="62"/>
    </row>
    <row r="247">
      <c r="A247" s="62" t="str">
        <f>IFERROR(__xludf.DUMMYFUNCTION("""COMPUTED_VALUE"""),"Unresponsive")</f>
        <v>Unresponsive</v>
      </c>
      <c r="B247" s="62" t="str">
        <f>IFERROR(__xludf.DUMMYFUNCTION("""COMPUTED_VALUE"""),"")</f>
        <v/>
      </c>
      <c r="C247" s="62" t="str">
        <f>IFERROR(__xludf.DUMMYFUNCTION("""COMPUTED_VALUE"""),"")</f>
        <v/>
      </c>
      <c r="D247" s="62" t="str">
        <f>IFERROR(__xludf.DUMMYFUNCTION("""COMPUTED_VALUE"""),"")</f>
        <v/>
      </c>
      <c r="E247" s="62" t="str">
        <f>IFERROR(__xludf.DUMMYFUNCTION("""COMPUTED_VALUE"""),"Actionability")</f>
        <v>Actionability</v>
      </c>
      <c r="F247" s="62" t="str">
        <f>IFERROR(__xludf.DUMMYFUNCTION("""COMPUTED_VALUE"""),"")</f>
        <v/>
      </c>
      <c r="G247" s="62" t="str">
        <f>IFERROR(__xludf.DUMMYFUNCTION("""COMPUTED_VALUE"""),"Andrew Langlois")</f>
        <v>Andrew Langlois</v>
      </c>
      <c r="H247" s="62" t="str">
        <f>IFERROR(__xludf.DUMMYFUNCTION("""COMPUTED_VALUE"""),"andrewlanglois001@gmail.com")</f>
        <v>andrewlanglois001@gmail.com</v>
      </c>
      <c r="I247" s="62" t="str">
        <f>IFERROR(__xludf.DUMMYFUNCTION("""COMPUTED_VALUE"""),"Graduate Student")</f>
        <v>Graduate Student</v>
      </c>
      <c r="J247" s="62"/>
      <c r="K247" s="62" t="str">
        <f>IFERROR(__xludf.DUMMYFUNCTION("""COMPUTED_VALUE"""),"Clinical Actionability")</f>
        <v>Clinical Actionability</v>
      </c>
      <c r="L247" s="62"/>
      <c r="M247" s="62"/>
      <c r="N247" s="62"/>
      <c r="O247" s="62"/>
      <c r="P247" s="62"/>
      <c r="Q247" s="62"/>
      <c r="R247" s="62"/>
      <c r="S247" s="62"/>
      <c r="T247" s="62"/>
      <c r="U247" s="62"/>
      <c r="V247" s="62"/>
      <c r="W247" s="62"/>
      <c r="X247" s="62"/>
      <c r="Y247" s="62"/>
      <c r="Z247" s="62"/>
    </row>
    <row r="248">
      <c r="A248" s="62" t="str">
        <f>IFERROR(__xludf.DUMMYFUNCTION("""COMPUTED_VALUE"""),"Contacted")</f>
        <v>Contacted</v>
      </c>
      <c r="B248" s="81">
        <f>IFERROR(__xludf.DUMMYFUNCTION("""COMPUTED_VALUE"""),43819.0)</f>
        <v>43819</v>
      </c>
      <c r="C248" s="106">
        <f>IFERROR(__xludf.DUMMYFUNCTION("""COMPUTED_VALUE"""),43859.0)</f>
        <v>43859</v>
      </c>
      <c r="D248" s="62" t="str">
        <f>IFERROR(__xludf.DUMMYFUNCTION("""COMPUTED_VALUE"""),"Yes")</f>
        <v>Yes</v>
      </c>
      <c r="E248" s="62" t="str">
        <f>IFERROR(__xludf.DUMMYFUNCTION("""COMPUTED_VALUE"""),"Variant Pathogenicity")</f>
        <v>Variant Pathogenicity</v>
      </c>
      <c r="F248" s="62" t="str">
        <f>IFERROR(__xludf.DUMMYFUNCTION("""COMPUTED_VALUE"""),"")</f>
        <v/>
      </c>
      <c r="G248" s="62" t="str">
        <f>IFERROR(__xludf.DUMMYFUNCTION("""COMPUTED_VALUE"""),"Brandon Chalazan")</f>
        <v>Brandon Chalazan</v>
      </c>
      <c r="H248" s="62" t="str">
        <f>IFERROR(__xludf.DUMMYFUNCTION("""COMPUTED_VALUE"""),"brandon.chalazan@cw.bc.ca")</f>
        <v>brandon.chalazan@cw.bc.ca</v>
      </c>
      <c r="I248" s="62" t="str">
        <f>IFERROR(__xludf.DUMMYFUNCTION("""COMPUTED_VALUE"""),"Post Doc/Resident/Fellow (MD and/or PhD)")</f>
        <v>Post Doc/Resident/Fellow (MD and/or PhD)</v>
      </c>
      <c r="J248" s="62"/>
      <c r="K248" s="62" t="str">
        <f>IFERROR(__xludf.DUMMYFUNCTION("""COMPUTED_VALUE"""),"Variant Pathogenicity")</f>
        <v>Variant Pathogenicity</v>
      </c>
      <c r="L248" s="62"/>
      <c r="M248" s="62"/>
      <c r="N248" s="62"/>
      <c r="O248" s="62"/>
      <c r="P248" s="62"/>
      <c r="Q248" s="62"/>
      <c r="R248" s="62"/>
      <c r="S248" s="62"/>
      <c r="T248" s="62"/>
      <c r="U248" s="62"/>
      <c r="V248" s="62"/>
      <c r="W248" s="62"/>
      <c r="X248" s="62"/>
      <c r="Y248" s="62"/>
      <c r="Z248" s="62"/>
    </row>
    <row r="249">
      <c r="A249" s="62" t="str">
        <f>IFERROR(__xludf.DUMMYFUNCTION("""COMPUTED_VALUE"""),"Contacted")</f>
        <v>Contacted</v>
      </c>
      <c r="B249" s="81">
        <f>IFERROR(__xludf.DUMMYFUNCTION("""COMPUTED_VALUE"""),43819.0)</f>
        <v>43819</v>
      </c>
      <c r="C249" s="106">
        <f>IFERROR(__xludf.DUMMYFUNCTION("""COMPUTED_VALUE"""),43859.0)</f>
        <v>43859</v>
      </c>
      <c r="D249" s="62" t="str">
        <f>IFERROR(__xludf.DUMMYFUNCTION("""COMPUTED_VALUE"""),"Yes")</f>
        <v>Yes</v>
      </c>
      <c r="E249" s="62" t="str">
        <f>IFERROR(__xludf.DUMMYFUNCTION("""COMPUTED_VALUE"""),"Variant Pathogenicity")</f>
        <v>Variant Pathogenicity</v>
      </c>
      <c r="F249" s="62" t="str">
        <f>IFERROR(__xludf.DUMMYFUNCTION("""COMPUTED_VALUE"""),"")</f>
        <v/>
      </c>
      <c r="G249" s="62" t="str">
        <f>IFERROR(__xludf.DUMMYFUNCTION("""COMPUTED_VALUE"""),"jean-leon chong")</f>
        <v>jean-leon chong</v>
      </c>
      <c r="H249" s="62" t="str">
        <f>IFERROR(__xludf.DUMMYFUNCTION("""COMPUTED_VALUE"""),"leon0044@gmail.com")</f>
        <v>leon0044@gmail.com</v>
      </c>
      <c r="I249" s="62" t="str">
        <f>IFERROR(__xludf.DUMMYFUNCTION("""COMPUTED_VALUE"""),"biochemical genetics lab director")</f>
        <v>biochemical genetics lab director</v>
      </c>
      <c r="J249" s="62"/>
      <c r="K249" s="62" t="str">
        <f>IFERROR(__xludf.DUMMYFUNCTION("""COMPUTED_VALUE"""),"Variant Pathogenicity")</f>
        <v>Variant Pathogenicity</v>
      </c>
      <c r="L249" s="62"/>
      <c r="M249" s="62"/>
      <c r="N249" s="62"/>
      <c r="O249" s="62"/>
      <c r="P249" s="62"/>
      <c r="Q249" s="62"/>
      <c r="R249" s="62"/>
      <c r="S249" s="62"/>
      <c r="T249" s="62"/>
      <c r="U249" s="62"/>
      <c r="V249" s="62"/>
      <c r="W249" s="62"/>
      <c r="X249" s="62"/>
      <c r="Y249" s="62"/>
      <c r="Z249" s="62"/>
    </row>
    <row r="250">
      <c r="A250" s="62" t="str">
        <f>IFERROR(__xludf.DUMMYFUNCTION("""COMPUTED_VALUE"""),"Contacted")</f>
        <v>Contacted</v>
      </c>
      <c r="B250" s="81">
        <f>IFERROR(__xludf.DUMMYFUNCTION("""COMPUTED_VALUE"""),43819.0)</f>
        <v>43819</v>
      </c>
      <c r="C250" s="62" t="str">
        <f>IFERROR(__xludf.DUMMYFUNCTION("""COMPUTED_VALUE"""),"")</f>
        <v/>
      </c>
      <c r="D250" s="62" t="str">
        <f>IFERROR(__xludf.DUMMYFUNCTION("""COMPUTED_VALUE"""),"")</f>
        <v/>
      </c>
      <c r="E250" s="62" t="str">
        <f>IFERROR(__xludf.DUMMYFUNCTION("""COMPUTED_VALUE"""),"Variant Pathogenicity")</f>
        <v>Variant Pathogenicity</v>
      </c>
      <c r="F250" s="62" t="str">
        <f>IFERROR(__xludf.DUMMYFUNCTION("""COMPUTED_VALUE"""),"")</f>
        <v/>
      </c>
      <c r="G250" s="62" t="str">
        <f>IFERROR(__xludf.DUMMYFUNCTION("""COMPUTED_VALUE"""),"Terra Brannan")</f>
        <v>Terra Brannan</v>
      </c>
      <c r="H250" s="62" t="str">
        <f>IFERROR(__xludf.DUMMYFUNCTION("""COMPUTED_VALUE"""),"tbrannan@ambrygen.com")</f>
        <v>tbrannan@ambrygen.com</v>
      </c>
      <c r="I250" s="62" t="str">
        <f>IFERROR(__xludf.DUMMYFUNCTION("""COMPUTED_VALUE"""),"Variant Analyst/Scientist - Industry")</f>
        <v>Variant Analyst/Scientist - Industry</v>
      </c>
      <c r="J250" s="62"/>
      <c r="K250" s="62" t="str">
        <f>IFERROR(__xludf.DUMMYFUNCTION("""COMPUTED_VALUE"""),"Variant Pathogenicity")</f>
        <v>Variant Pathogenicity</v>
      </c>
      <c r="L250" s="62"/>
      <c r="M250" s="62"/>
      <c r="N250" s="62"/>
      <c r="O250" s="62"/>
      <c r="P250" s="62"/>
      <c r="Q250" s="62"/>
      <c r="R250" s="62"/>
      <c r="S250" s="62"/>
      <c r="T250" s="62"/>
      <c r="U250" s="62"/>
      <c r="V250" s="62"/>
      <c r="W250" s="62"/>
      <c r="X250" s="62"/>
      <c r="Y250" s="62"/>
      <c r="Z250" s="62"/>
    </row>
    <row r="251">
      <c r="A251" s="62" t="str">
        <f>IFERROR(__xludf.DUMMYFUNCTION("""COMPUTED_VALUE"""),"Unassigned")</f>
        <v>Unassigned</v>
      </c>
      <c r="B251" s="62" t="str">
        <f>IFERROR(__xludf.DUMMYFUNCTION("""COMPUTED_VALUE"""),"")</f>
        <v/>
      </c>
      <c r="C251" s="62" t="str">
        <f>IFERROR(__xludf.DUMMYFUNCTION("""COMPUTED_VALUE"""),"")</f>
        <v/>
      </c>
      <c r="D251" s="62" t="str">
        <f>IFERROR(__xludf.DUMMYFUNCTION("""COMPUTED_VALUE"""),"")</f>
        <v/>
      </c>
      <c r="E251" s="62" t="str">
        <f>IFERROR(__xludf.DUMMYFUNCTION("""COMPUTED_VALUE"""),"Dosage Sensitivity")</f>
        <v>Dosage Sensitivity</v>
      </c>
      <c r="F251" s="62" t="str">
        <f>IFERROR(__xludf.DUMMYFUNCTION("""COMPUTED_VALUE"""),"")</f>
        <v/>
      </c>
      <c r="G251" s="62" t="str">
        <f>IFERROR(__xludf.DUMMYFUNCTION("""COMPUTED_VALUE"""),"Ankita Patel")</f>
        <v>Ankita Patel</v>
      </c>
      <c r="H251" s="62" t="str">
        <f>IFERROR(__xludf.DUMMYFUNCTION("""COMPUTED_VALUE"""),"aspatel1@yahoo.com")</f>
        <v>aspatel1@yahoo.com</v>
      </c>
      <c r="I251" s="62" t="str">
        <f>IFERROR(__xludf.DUMMYFUNCTION("""COMPUTED_VALUE"""),"Independent cytogenetic consultant")</f>
        <v>Independent cytogenetic consultant</v>
      </c>
      <c r="J251" s="62"/>
      <c r="K251" s="62" t="str">
        <f>IFERROR(__xludf.DUMMYFUNCTION("""COMPUTED_VALUE"""),"Dosage Sensitivity")</f>
        <v>Dosage Sensitivity</v>
      </c>
      <c r="L251" s="62"/>
      <c r="M251" s="62"/>
      <c r="N251" s="62"/>
      <c r="O251" s="62"/>
      <c r="P251" s="62"/>
      <c r="Q251" s="62"/>
      <c r="R251" s="62"/>
      <c r="S251" s="62"/>
      <c r="T251" s="62"/>
      <c r="U251" s="62"/>
      <c r="V251" s="62"/>
      <c r="W251" s="62"/>
      <c r="X251" s="62"/>
      <c r="Y251" s="62"/>
      <c r="Z251" s="62"/>
    </row>
    <row r="252">
      <c r="A252" s="62" t="str">
        <f>IFERROR(__xludf.DUMMYFUNCTION("""COMPUTED_VALUE"""),"Contacted")</f>
        <v>Contacted</v>
      </c>
      <c r="B252" s="81">
        <f>IFERROR(__xludf.DUMMYFUNCTION("""COMPUTED_VALUE"""),43819.0)</f>
        <v>43819</v>
      </c>
      <c r="C252" s="62" t="str">
        <f>IFERROR(__xludf.DUMMYFUNCTION("""COMPUTED_VALUE"""),"")</f>
        <v/>
      </c>
      <c r="D252" s="62" t="str">
        <f>IFERROR(__xludf.DUMMYFUNCTION("""COMPUTED_VALUE"""),"")</f>
        <v/>
      </c>
      <c r="E252" s="62" t="str">
        <f>IFERROR(__xludf.DUMMYFUNCTION("""COMPUTED_VALUE"""),"Variant Pathogenicity")</f>
        <v>Variant Pathogenicity</v>
      </c>
      <c r="F252" s="62" t="str">
        <f>IFERROR(__xludf.DUMMYFUNCTION("""COMPUTED_VALUE"""),"")</f>
        <v/>
      </c>
      <c r="G252" s="62" t="str">
        <f>IFERROR(__xludf.DUMMYFUNCTION("""COMPUTED_VALUE"""),"Jordan Stern")</f>
        <v>Jordan Stern</v>
      </c>
      <c r="H252" s="62" t="str">
        <f>IFERROR(__xludf.DUMMYFUNCTION("""COMPUTED_VALUE"""),"jordanjnstern@gmail.com")</f>
        <v>jordanjnstern@gmail.com</v>
      </c>
      <c r="I252" s="62" t="str">
        <f>IFERROR(__xludf.DUMMYFUNCTION("""COMPUTED_VALUE"""),"Undergraduate Student")</f>
        <v>Undergraduate Student</v>
      </c>
      <c r="J252" s="62"/>
      <c r="K252" s="62" t="str">
        <f>IFERROR(__xludf.DUMMYFUNCTION("""COMPUTED_VALUE"""),"Variant Pathogenicity")</f>
        <v>Variant Pathogenicity</v>
      </c>
      <c r="L252" s="62"/>
      <c r="M252" s="62"/>
      <c r="N252" s="62"/>
      <c r="O252" s="62"/>
      <c r="P252" s="62"/>
      <c r="Q252" s="62"/>
      <c r="R252" s="62"/>
      <c r="S252" s="62"/>
      <c r="T252" s="62"/>
      <c r="U252" s="62"/>
      <c r="V252" s="62"/>
      <c r="W252" s="62"/>
      <c r="X252" s="62"/>
      <c r="Y252" s="62"/>
      <c r="Z252" s="62"/>
    </row>
    <row r="253">
      <c r="A253" s="62" t="str">
        <f>IFERROR(__xludf.DUMMYFUNCTION("""COMPUTED_VALUE"""),"Unresponsive")</f>
        <v>Unresponsive</v>
      </c>
      <c r="B253" s="62" t="str">
        <f>IFERROR(__xludf.DUMMYFUNCTION("""COMPUTED_VALUE"""),"")</f>
        <v/>
      </c>
      <c r="C253" s="62" t="str">
        <f>IFERROR(__xludf.DUMMYFUNCTION("""COMPUTED_VALUE"""),"")</f>
        <v/>
      </c>
      <c r="D253" s="62" t="str">
        <f>IFERROR(__xludf.DUMMYFUNCTION("""COMPUTED_VALUE"""),"")</f>
        <v/>
      </c>
      <c r="E253" s="62" t="str">
        <f>IFERROR(__xludf.DUMMYFUNCTION("""COMPUTED_VALUE"""),"Actionability")</f>
        <v>Actionability</v>
      </c>
      <c r="F253" s="62" t="str">
        <f>IFERROR(__xludf.DUMMYFUNCTION("""COMPUTED_VALUE"""),"")</f>
        <v/>
      </c>
      <c r="G253" s="62" t="str">
        <f>IFERROR(__xludf.DUMMYFUNCTION("""COMPUTED_VALUE"""),"Sally Pea ")</f>
        <v>Sally Pea </v>
      </c>
      <c r="H253" s="62" t="str">
        <f>IFERROR(__xludf.DUMMYFUNCTION("""COMPUTED_VALUE"""),"spea@live.com")</f>
        <v>spea@live.com</v>
      </c>
      <c r="I253" s="62" t="str">
        <f>IFERROR(__xludf.DUMMYFUNCTION("""COMPUTED_VALUE"""),"Citizen Scientist/Patient Advocate")</f>
        <v>Citizen Scientist/Patient Advocate</v>
      </c>
      <c r="J253" s="62"/>
      <c r="K253" s="62" t="str">
        <f>IFERROR(__xludf.DUMMYFUNCTION("""COMPUTED_VALUE"""),"Clinical Actionability")</f>
        <v>Clinical Actionability</v>
      </c>
      <c r="L253" s="62"/>
      <c r="M253" s="62"/>
      <c r="N253" s="62"/>
      <c r="O253" s="62"/>
      <c r="P253" s="62"/>
      <c r="Q253" s="62"/>
      <c r="R253" s="62"/>
      <c r="S253" s="62"/>
      <c r="T253" s="62"/>
      <c r="U253" s="62"/>
      <c r="V253" s="62"/>
      <c r="W253" s="62"/>
      <c r="X253" s="62"/>
      <c r="Y253" s="62"/>
      <c r="Z253" s="62"/>
    </row>
    <row r="254">
      <c r="A254" s="62" t="str">
        <f>IFERROR(__xludf.DUMMYFUNCTION("""COMPUTED_VALUE"""),"Contacted")</f>
        <v>Contacted</v>
      </c>
      <c r="B254" s="81">
        <f>IFERROR(__xludf.DUMMYFUNCTION("""COMPUTED_VALUE"""),43819.0)</f>
        <v>43819</v>
      </c>
      <c r="C254" s="62" t="str">
        <f>IFERROR(__xludf.DUMMYFUNCTION("""COMPUTED_VALUE"""),"")</f>
        <v/>
      </c>
      <c r="D254" s="62" t="str">
        <f>IFERROR(__xludf.DUMMYFUNCTION("""COMPUTED_VALUE"""),"")</f>
        <v/>
      </c>
      <c r="E254" s="62" t="str">
        <f>IFERROR(__xludf.DUMMYFUNCTION("""COMPUTED_VALUE"""),"Gene Disease Validity")</f>
        <v>Gene Disease Validity</v>
      </c>
      <c r="F254" s="62" t="str">
        <f>IFERROR(__xludf.DUMMYFUNCTION("""COMPUTED_VALUE"""),"")</f>
        <v/>
      </c>
      <c r="G254" s="62" t="str">
        <f>IFERROR(__xludf.DUMMYFUNCTION("""COMPUTED_VALUE"""),"Sali Farhan")</f>
        <v>Sali Farhan</v>
      </c>
      <c r="H254" s="62" t="str">
        <f>IFERROR(__xludf.DUMMYFUNCTION("""COMPUTED_VALUE"""),"sfarhan@broadinstitute.org")</f>
        <v>sfarhan@broadinstitute.org</v>
      </c>
      <c r="I254" s="62" t="str">
        <f>IFERROR(__xludf.DUMMYFUNCTION("""COMPUTED_VALUE"""),"Post Doc/Resident/Fellow (MD and/or PhD)")</f>
        <v>Post Doc/Resident/Fellow (MD and/or PhD)</v>
      </c>
      <c r="J254" s="62"/>
      <c r="K254" s="62" t="str">
        <f>IFERROR(__xludf.DUMMYFUNCTION("""COMPUTED_VALUE"""),"Gene-Disease Validity")</f>
        <v>Gene-Disease Validity</v>
      </c>
      <c r="L254" s="62"/>
      <c r="M254" s="62"/>
      <c r="N254" s="62"/>
      <c r="O254" s="62"/>
      <c r="P254" s="62"/>
      <c r="Q254" s="62"/>
      <c r="R254" s="62"/>
      <c r="S254" s="62"/>
      <c r="T254" s="62"/>
      <c r="U254" s="62"/>
      <c r="V254" s="62"/>
      <c r="W254" s="62"/>
      <c r="X254" s="62"/>
      <c r="Y254" s="62"/>
      <c r="Z254" s="62"/>
    </row>
    <row r="255">
      <c r="A255" s="62" t="str">
        <f>IFERROR(__xludf.DUMMYFUNCTION("""COMPUTED_VALUE"""),"Contacted")</f>
        <v>Contacted</v>
      </c>
      <c r="B255" s="62" t="str">
        <f>IFERROR(__xludf.DUMMYFUNCTION("""COMPUTED_VALUE"""),"")</f>
        <v/>
      </c>
      <c r="C255" s="106">
        <f>IFERROR(__xludf.DUMMYFUNCTION("""COMPUTED_VALUE"""),43846.0)</f>
        <v>43846</v>
      </c>
      <c r="D255" s="62" t="str">
        <f>IFERROR(__xludf.DUMMYFUNCTION("""COMPUTED_VALUE"""),"Yes")</f>
        <v>Yes</v>
      </c>
      <c r="E255" s="62" t="str">
        <f>IFERROR(__xludf.DUMMYFUNCTION("""COMPUTED_VALUE"""),"Gene Disease Validity")</f>
        <v>Gene Disease Validity</v>
      </c>
      <c r="F255" s="62" t="str">
        <f>IFERROR(__xludf.DUMMYFUNCTION("""COMPUTED_VALUE"""),"")</f>
        <v/>
      </c>
      <c r="G255" s="62" t="str">
        <f>IFERROR(__xludf.DUMMYFUNCTION("""COMPUTED_VALUE"""),"Julie Kim ")</f>
        <v>Julie Kim </v>
      </c>
      <c r="H255" s="62" t="str">
        <f>IFERROR(__xludf.DUMMYFUNCTION("""COMPUTED_VALUE"""),"serin.kim@nih.gov")</f>
        <v>serin.kim@nih.gov</v>
      </c>
      <c r="I255" s="62" t="str">
        <f>IFERROR(__xludf.DUMMYFUNCTION("""COMPUTED_VALUE"""),"Scientific Program Analyst at NHGRI")</f>
        <v>Scientific Program Analyst at NHGRI</v>
      </c>
      <c r="J255" s="62"/>
      <c r="K255" s="62" t="str">
        <f>IFERROR(__xludf.DUMMYFUNCTION("""COMPUTED_VALUE"""),"Gene-Disease Validity")</f>
        <v>Gene-Disease Validity</v>
      </c>
      <c r="L255" s="62"/>
      <c r="M255" s="62"/>
      <c r="N255" s="62"/>
      <c r="O255" s="62"/>
      <c r="P255" s="62"/>
      <c r="Q255" s="62"/>
      <c r="R255" s="62"/>
      <c r="S255" s="62"/>
      <c r="T255" s="62"/>
      <c r="U255" s="62"/>
      <c r="V255" s="62"/>
      <c r="W255" s="62"/>
      <c r="X255" s="62"/>
      <c r="Y255" s="62"/>
      <c r="Z255" s="62"/>
    </row>
    <row r="256">
      <c r="A256" s="62" t="str">
        <f>IFERROR(__xludf.DUMMYFUNCTION("""COMPUTED_VALUE"""),"Contacted")</f>
        <v>Contacted</v>
      </c>
      <c r="B256" s="81">
        <f>IFERROR(__xludf.DUMMYFUNCTION("""COMPUTED_VALUE"""),43819.0)</f>
        <v>43819</v>
      </c>
      <c r="C256" s="62" t="str">
        <f>IFERROR(__xludf.DUMMYFUNCTION("""COMPUTED_VALUE"""),"")</f>
        <v/>
      </c>
      <c r="D256" s="62" t="str">
        <f>IFERROR(__xludf.DUMMYFUNCTION("""COMPUTED_VALUE"""),"")</f>
        <v/>
      </c>
      <c r="E256" s="62" t="str">
        <f>IFERROR(__xludf.DUMMYFUNCTION("""COMPUTED_VALUE"""),"Variant Pathogenicity")</f>
        <v>Variant Pathogenicity</v>
      </c>
      <c r="F256" s="62" t="str">
        <f>IFERROR(__xludf.DUMMYFUNCTION("""COMPUTED_VALUE"""),"")</f>
        <v/>
      </c>
      <c r="G256" s="62" t="str">
        <f>IFERROR(__xludf.DUMMYFUNCTION("""COMPUTED_VALUE"""),"Jamie Maciaszek")</f>
        <v>Jamie Maciaszek</v>
      </c>
      <c r="H256" s="62" t="str">
        <f>IFERROR(__xludf.DUMMYFUNCTION("""COMPUTED_VALUE"""),"jamie.maciaszek@stjude.org")</f>
        <v>jamie.maciaszek@stjude.org</v>
      </c>
      <c r="I256" s="62" t="str">
        <f>IFERROR(__xludf.DUMMYFUNCTION("""COMPUTED_VALUE"""),"Scientific Researcher")</f>
        <v>Scientific Researcher</v>
      </c>
      <c r="J256" s="62"/>
      <c r="K256" s="62" t="str">
        <f>IFERROR(__xludf.DUMMYFUNCTION("""COMPUTED_VALUE"""),"Variant Pathogenicity")</f>
        <v>Variant Pathogenicity</v>
      </c>
      <c r="L256" s="62"/>
      <c r="M256" s="62"/>
      <c r="N256" s="62"/>
      <c r="O256" s="62"/>
      <c r="P256" s="62"/>
      <c r="Q256" s="62"/>
      <c r="R256" s="62"/>
      <c r="S256" s="62"/>
      <c r="T256" s="62"/>
      <c r="U256" s="62"/>
      <c r="V256" s="62"/>
      <c r="W256" s="62"/>
      <c r="X256" s="62"/>
      <c r="Y256" s="62"/>
      <c r="Z256" s="62"/>
    </row>
    <row r="257">
      <c r="A257" s="62" t="str">
        <f>IFERROR(__xludf.DUMMYFUNCTION("""COMPUTED_VALUE"""),"Contacted")</f>
        <v>Contacted</v>
      </c>
      <c r="B257" s="81">
        <f>IFERROR(__xludf.DUMMYFUNCTION("""COMPUTED_VALUE"""),43819.0)</f>
        <v>43819</v>
      </c>
      <c r="C257" s="62" t="str">
        <f>IFERROR(__xludf.DUMMYFUNCTION("""COMPUTED_VALUE"""),"")</f>
        <v/>
      </c>
      <c r="D257" s="62" t="str">
        <f>IFERROR(__xludf.DUMMYFUNCTION("""COMPUTED_VALUE"""),"")</f>
        <v/>
      </c>
      <c r="E257" s="62" t="str">
        <f>IFERROR(__xludf.DUMMYFUNCTION("""COMPUTED_VALUE"""),"Variant Pathogenicity")</f>
        <v>Variant Pathogenicity</v>
      </c>
      <c r="F257" s="62" t="str">
        <f>IFERROR(__xludf.DUMMYFUNCTION("""COMPUTED_VALUE"""),"")</f>
        <v/>
      </c>
      <c r="G257" s="62" t="str">
        <f>IFERROR(__xludf.DUMMYFUNCTION("""COMPUTED_VALUE"""),"Olivier Bluteau")</f>
        <v>Olivier Bluteau</v>
      </c>
      <c r="H257" s="62" t="str">
        <f>IFERROR(__xludf.DUMMYFUNCTION("""COMPUTED_VALUE"""),"olivier.bluteau@aphp.fr")</f>
        <v>olivier.bluteau@aphp.fr</v>
      </c>
      <c r="I257" s="62" t="str">
        <f>IFERROR(__xludf.DUMMYFUNCTION("""COMPUTED_VALUE"""),"Variant Analyst/Scientist - Academic")</f>
        <v>Variant Analyst/Scientist - Academic</v>
      </c>
      <c r="J257" s="62"/>
      <c r="K257" s="62" t="str">
        <f>IFERROR(__xludf.DUMMYFUNCTION("""COMPUTED_VALUE"""),"Variant Pathogenicity")</f>
        <v>Variant Pathogenicity</v>
      </c>
      <c r="L257" s="62"/>
      <c r="M257" s="62"/>
      <c r="N257" s="62"/>
      <c r="O257" s="62"/>
      <c r="P257" s="62"/>
      <c r="Q257" s="62"/>
      <c r="R257" s="62"/>
      <c r="S257" s="62"/>
      <c r="T257" s="62"/>
      <c r="U257" s="62"/>
      <c r="V257" s="62"/>
      <c r="W257" s="62"/>
      <c r="X257" s="62"/>
      <c r="Y257" s="62"/>
      <c r="Z257" s="62"/>
    </row>
    <row r="258">
      <c r="A258" s="62" t="str">
        <f>IFERROR(__xludf.DUMMYFUNCTION("""COMPUTED_VALUE"""),"Unassigned")</f>
        <v>Unassigned</v>
      </c>
      <c r="B258" s="62" t="str">
        <f>IFERROR(__xludf.DUMMYFUNCTION("""COMPUTED_VALUE"""),"")</f>
        <v/>
      </c>
      <c r="C258" s="62" t="str">
        <f>IFERROR(__xludf.DUMMYFUNCTION("""COMPUTED_VALUE"""),"")</f>
        <v/>
      </c>
      <c r="D258" s="62" t="str">
        <f>IFERROR(__xludf.DUMMYFUNCTION("""COMPUTED_VALUE"""),"")</f>
        <v/>
      </c>
      <c r="E258" s="62" t="str">
        <f>IFERROR(__xludf.DUMMYFUNCTION("""COMPUTED_VALUE"""),"Somatic Cancer")</f>
        <v>Somatic Cancer</v>
      </c>
      <c r="F258" s="62" t="str">
        <f>IFERROR(__xludf.DUMMYFUNCTION("""COMPUTED_VALUE"""),"")</f>
        <v/>
      </c>
      <c r="G258" s="62" t="str">
        <f>IFERROR(__xludf.DUMMYFUNCTION("""COMPUTED_VALUE"""),"Zonggao Shi")</f>
        <v>Zonggao Shi</v>
      </c>
      <c r="H258" s="62" t="str">
        <f>IFERROR(__xludf.DUMMYFUNCTION("""COMPUTED_VALUE"""),"zshi1@stjude.org")</f>
        <v>zshi1@stjude.org</v>
      </c>
      <c r="I258" s="62" t="str">
        <f>IFERROR(__xludf.DUMMYFUNCTION("""COMPUTED_VALUE"""),"Variant Analyst/Scientist - Academic")</f>
        <v>Variant Analyst/Scientist - Academic</v>
      </c>
      <c r="J258" s="62"/>
      <c r="K258" s="62" t="str">
        <f>IFERROR(__xludf.DUMMYFUNCTION("""COMPUTED_VALUE"""),"Somatic Cancer")</f>
        <v>Somatic Cancer</v>
      </c>
      <c r="L258" s="62"/>
      <c r="M258" s="62"/>
      <c r="N258" s="62"/>
      <c r="O258" s="62"/>
      <c r="P258" s="62"/>
      <c r="Q258" s="62"/>
      <c r="R258" s="62"/>
      <c r="S258" s="62"/>
      <c r="T258" s="62"/>
      <c r="U258" s="62"/>
      <c r="V258" s="62"/>
      <c r="W258" s="62"/>
      <c r="X258" s="62"/>
      <c r="Y258" s="62"/>
      <c r="Z258" s="62"/>
    </row>
    <row r="259">
      <c r="A259" s="62" t="str">
        <f>IFERROR(__xludf.DUMMYFUNCTION("""COMPUTED_VALUE"""),"Contacted")</f>
        <v>Contacted</v>
      </c>
      <c r="B259" s="81">
        <f>IFERROR(__xludf.DUMMYFUNCTION("""COMPUTED_VALUE"""),43819.0)</f>
        <v>43819</v>
      </c>
      <c r="C259" s="62" t="str">
        <f>IFERROR(__xludf.DUMMYFUNCTION("""COMPUTED_VALUE"""),"")</f>
        <v/>
      </c>
      <c r="D259" s="62" t="str">
        <f>IFERROR(__xludf.DUMMYFUNCTION("""COMPUTED_VALUE"""),"")</f>
        <v/>
      </c>
      <c r="E259" s="62" t="str">
        <f>IFERROR(__xludf.DUMMYFUNCTION("""COMPUTED_VALUE"""),"Variant Pathogenicity")</f>
        <v>Variant Pathogenicity</v>
      </c>
      <c r="F259" s="62" t="str">
        <f>IFERROR(__xludf.DUMMYFUNCTION("""COMPUTED_VALUE"""),"")</f>
        <v/>
      </c>
      <c r="G259" s="62" t="str">
        <f>IFERROR(__xludf.DUMMYFUNCTION("""COMPUTED_VALUE"""),"Linlin Zhang")</f>
        <v>Linlin Zhang</v>
      </c>
      <c r="H259" s="62" t="str">
        <f>IFERROR(__xludf.DUMMYFUNCTION("""COMPUTED_VALUE"""),"linlinzhang277@gmail.com")</f>
        <v>linlinzhang277@gmail.com</v>
      </c>
      <c r="I259" s="62" t="str">
        <f>IFERROR(__xludf.DUMMYFUNCTION("""COMPUTED_VALUE"""),"Clinical laboratory geneticist")</f>
        <v>Clinical laboratory geneticist</v>
      </c>
      <c r="J259" s="62"/>
      <c r="K259" s="62" t="str">
        <f>IFERROR(__xludf.DUMMYFUNCTION("""COMPUTED_VALUE"""),"Variant Pathogenicity")</f>
        <v>Variant Pathogenicity</v>
      </c>
      <c r="L259" s="62"/>
      <c r="M259" s="62"/>
      <c r="N259" s="62"/>
      <c r="O259" s="62"/>
      <c r="P259" s="62"/>
      <c r="Q259" s="62"/>
      <c r="R259" s="62"/>
      <c r="S259" s="62"/>
      <c r="T259" s="62"/>
      <c r="U259" s="62"/>
      <c r="V259" s="62"/>
      <c r="W259" s="62"/>
      <c r="X259" s="62"/>
      <c r="Y259" s="62"/>
      <c r="Z259" s="62"/>
    </row>
    <row r="260">
      <c r="A260" s="62" t="str">
        <f>IFERROR(__xludf.DUMMYFUNCTION("""COMPUTED_VALUE"""),"Contacted")</f>
        <v>Contacted</v>
      </c>
      <c r="B260" s="81">
        <f>IFERROR(__xludf.DUMMYFUNCTION("""COMPUTED_VALUE"""),43819.0)</f>
        <v>43819</v>
      </c>
      <c r="C260" s="62" t="str">
        <f>IFERROR(__xludf.DUMMYFUNCTION("""COMPUTED_VALUE"""),"")</f>
        <v/>
      </c>
      <c r="D260" s="62" t="str">
        <f>IFERROR(__xludf.DUMMYFUNCTION("""COMPUTED_VALUE"""),"")</f>
        <v/>
      </c>
      <c r="E260" s="62" t="str">
        <f>IFERROR(__xludf.DUMMYFUNCTION("""COMPUTED_VALUE"""),"Variant Pathogenicity")</f>
        <v>Variant Pathogenicity</v>
      </c>
      <c r="F260" s="62" t="str">
        <f>IFERROR(__xludf.DUMMYFUNCTION("""COMPUTED_VALUE"""),"")</f>
        <v/>
      </c>
      <c r="G260" s="62" t="str">
        <f>IFERROR(__xludf.DUMMYFUNCTION("""COMPUTED_VALUE"""),"Marco Montes de Oca")</f>
        <v>Marco Montes de Oca</v>
      </c>
      <c r="H260" s="62" t="str">
        <f>IFERROR(__xludf.DUMMYFUNCTION("""COMPUTED_VALUE"""),"montesm@student.unimelb.edu.au")</f>
        <v>montesm@student.unimelb.edu.au</v>
      </c>
      <c r="I260" s="62" t="str">
        <f>IFERROR(__xludf.DUMMYFUNCTION("""COMPUTED_VALUE"""),"Graduate Student")</f>
        <v>Graduate Student</v>
      </c>
      <c r="J260" s="62"/>
      <c r="K260" s="62" t="str">
        <f>IFERROR(__xludf.DUMMYFUNCTION("""COMPUTED_VALUE"""),"Variant Pathogenicity")</f>
        <v>Variant Pathogenicity</v>
      </c>
      <c r="L260" s="62"/>
      <c r="M260" s="62"/>
      <c r="N260" s="62"/>
      <c r="O260" s="62"/>
      <c r="P260" s="62"/>
      <c r="Q260" s="62"/>
      <c r="R260" s="62"/>
      <c r="S260" s="62"/>
      <c r="T260" s="62"/>
      <c r="U260" s="62"/>
      <c r="V260" s="62"/>
      <c r="W260" s="62"/>
      <c r="X260" s="62"/>
      <c r="Y260" s="62"/>
      <c r="Z260" s="62"/>
    </row>
    <row r="261">
      <c r="A261" s="62" t="str">
        <f>IFERROR(__xludf.DUMMYFUNCTION("""COMPUTED_VALUE"""),"Contacted")</f>
        <v>Contacted</v>
      </c>
      <c r="B261" s="81">
        <f>IFERROR(__xludf.DUMMYFUNCTION("""COMPUTED_VALUE"""),43819.0)</f>
        <v>43819</v>
      </c>
      <c r="C261" s="106">
        <f>IFERROR(__xludf.DUMMYFUNCTION("""COMPUTED_VALUE"""),43859.0)</f>
        <v>43859</v>
      </c>
      <c r="D261" s="62" t="str">
        <f>IFERROR(__xludf.DUMMYFUNCTION("""COMPUTED_VALUE"""),"Yes")</f>
        <v>Yes</v>
      </c>
      <c r="E261" s="62" t="str">
        <f>IFERROR(__xludf.DUMMYFUNCTION("""COMPUTED_VALUE"""),"Variant Pathogenicity")</f>
        <v>Variant Pathogenicity</v>
      </c>
      <c r="F261" s="62" t="str">
        <f>IFERROR(__xludf.DUMMYFUNCTION("""COMPUTED_VALUE"""),"")</f>
        <v/>
      </c>
      <c r="G261" s="62" t="str">
        <f>IFERROR(__xludf.DUMMYFUNCTION("""COMPUTED_VALUE"""),"Heather Harris")</f>
        <v>Heather Harris</v>
      </c>
      <c r="H261" s="62" t="str">
        <f>IFERROR(__xludf.DUMMYFUNCTION("""COMPUTED_VALUE"""),"heatherkharris1@gmail.com")</f>
        <v>heatherkharris1@gmail.com</v>
      </c>
      <c r="I261" s="62" t="str">
        <f>IFERROR(__xludf.DUMMYFUNCTION("""COMPUTED_VALUE"""),"Genetic counselor")</f>
        <v>Genetic counselor</v>
      </c>
      <c r="J261" s="62"/>
      <c r="K261" s="62" t="str">
        <f>IFERROR(__xludf.DUMMYFUNCTION("""COMPUTED_VALUE"""),"Variant Pathogenicity")</f>
        <v>Variant Pathogenicity</v>
      </c>
      <c r="L261" s="62"/>
      <c r="M261" s="62"/>
      <c r="N261" s="62"/>
      <c r="O261" s="62"/>
      <c r="P261" s="62"/>
      <c r="Q261" s="62"/>
      <c r="R261" s="62"/>
      <c r="S261" s="62"/>
      <c r="T261" s="62"/>
      <c r="U261" s="62"/>
      <c r="V261" s="62"/>
      <c r="W261" s="62"/>
      <c r="X261" s="62"/>
      <c r="Y261" s="62"/>
      <c r="Z261" s="62"/>
    </row>
    <row r="262">
      <c r="A262" s="62" t="str">
        <f>IFERROR(__xludf.DUMMYFUNCTION("""COMPUTED_VALUE"""),"Contacted")</f>
        <v>Contacted</v>
      </c>
      <c r="B262" s="81">
        <f>IFERROR(__xludf.DUMMYFUNCTION("""COMPUTED_VALUE"""),43819.0)</f>
        <v>43819</v>
      </c>
      <c r="C262" s="106">
        <f>IFERROR(__xludf.DUMMYFUNCTION("""COMPUTED_VALUE"""),43859.0)</f>
        <v>43859</v>
      </c>
      <c r="D262" s="62" t="str">
        <f>IFERROR(__xludf.DUMMYFUNCTION("""COMPUTED_VALUE"""),"Yes")</f>
        <v>Yes</v>
      </c>
      <c r="E262" s="62" t="str">
        <f>IFERROR(__xludf.DUMMYFUNCTION("""COMPUTED_VALUE"""),"Variant Pathogenicity")</f>
        <v>Variant Pathogenicity</v>
      </c>
      <c r="F262" s="62" t="str">
        <f>IFERROR(__xludf.DUMMYFUNCTION("""COMPUTED_VALUE"""),"")</f>
        <v/>
      </c>
      <c r="G262" s="62" t="str">
        <f>IFERROR(__xludf.DUMMYFUNCTION("""COMPUTED_VALUE"""),"Kaitlin Lenhart")</f>
        <v>Kaitlin Lenhart</v>
      </c>
      <c r="H262" s="62" t="str">
        <f>IFERROR(__xludf.DUMMYFUNCTION("""COMPUTED_VALUE"""),"kaitlin.lenhart@slh.wisc.edu")</f>
        <v>kaitlin.lenhart@slh.wisc.edu</v>
      </c>
      <c r="I262" s="62" t="str">
        <f>IFERROR(__xludf.DUMMYFUNCTION("""COMPUTED_VALUE"""),"Clinical laboratory geneticist")</f>
        <v>Clinical laboratory geneticist</v>
      </c>
      <c r="J262" s="62"/>
      <c r="K262" s="62" t="str">
        <f>IFERROR(__xludf.DUMMYFUNCTION("""COMPUTED_VALUE"""),"Variant Pathogenicity")</f>
        <v>Variant Pathogenicity</v>
      </c>
      <c r="L262" s="62"/>
      <c r="M262" s="62"/>
      <c r="N262" s="62"/>
      <c r="O262" s="62"/>
      <c r="P262" s="62"/>
      <c r="Q262" s="62"/>
      <c r="R262" s="62"/>
      <c r="S262" s="62"/>
      <c r="T262" s="62"/>
      <c r="U262" s="62"/>
      <c r="V262" s="62"/>
      <c r="W262" s="62"/>
      <c r="X262" s="62"/>
      <c r="Y262" s="62"/>
      <c r="Z262" s="62"/>
    </row>
    <row r="263">
      <c r="A263" s="62" t="str">
        <f>IFERROR(__xludf.DUMMYFUNCTION("""COMPUTED_VALUE"""),"Contacted")</f>
        <v>Contacted</v>
      </c>
      <c r="B263" s="81">
        <f>IFERROR(__xludf.DUMMYFUNCTION("""COMPUTED_VALUE"""),43819.0)</f>
        <v>43819</v>
      </c>
      <c r="C263" s="62" t="str">
        <f>IFERROR(__xludf.DUMMYFUNCTION("""COMPUTED_VALUE"""),"")</f>
        <v/>
      </c>
      <c r="D263" s="62" t="str">
        <f>IFERROR(__xludf.DUMMYFUNCTION("""COMPUTED_VALUE"""),"")</f>
        <v/>
      </c>
      <c r="E263" s="62" t="str">
        <f>IFERROR(__xludf.DUMMYFUNCTION("""COMPUTED_VALUE"""),"Variant Pathogenicity")</f>
        <v>Variant Pathogenicity</v>
      </c>
      <c r="F263" s="62" t="str">
        <f>IFERROR(__xludf.DUMMYFUNCTION("""COMPUTED_VALUE"""),"")</f>
        <v/>
      </c>
      <c r="G263" s="62" t="str">
        <f>IFERROR(__xludf.DUMMYFUNCTION("""COMPUTED_VALUE"""),"YANYI YAO")</f>
        <v>YANYI YAO</v>
      </c>
      <c r="H263" s="62" t="str">
        <f>IFERROR(__xludf.DUMMYFUNCTION("""COMPUTED_VALUE"""),"yaoyanyi@hotmail.com")</f>
        <v>yaoyanyi@hotmail.com</v>
      </c>
      <c r="I263" s="62" t="str">
        <f>IFERROR(__xludf.DUMMYFUNCTION("""COMPUTED_VALUE"""),"Post Doc/Resident/Fellow (MD and/or PhD)")</f>
        <v>Post Doc/Resident/Fellow (MD and/or PhD)</v>
      </c>
      <c r="J263" s="62"/>
      <c r="K263" s="62" t="str">
        <f>IFERROR(__xludf.DUMMYFUNCTION("""COMPUTED_VALUE"""),"Variant Pathogenicity")</f>
        <v>Variant Pathogenicity</v>
      </c>
      <c r="L263" s="62"/>
      <c r="M263" s="62"/>
      <c r="N263" s="62"/>
      <c r="O263" s="62"/>
      <c r="P263" s="62"/>
      <c r="Q263" s="62"/>
      <c r="R263" s="62"/>
      <c r="S263" s="62"/>
      <c r="T263" s="62"/>
      <c r="U263" s="62"/>
      <c r="V263" s="62"/>
      <c r="W263" s="62"/>
      <c r="X263" s="62"/>
      <c r="Y263" s="62"/>
      <c r="Z263" s="62"/>
    </row>
    <row r="264">
      <c r="A264" s="62" t="str">
        <f>IFERROR(__xludf.DUMMYFUNCTION("""COMPUTED_VALUE"""),"Contacted")</f>
        <v>Contacted</v>
      </c>
      <c r="B264" s="81">
        <f>IFERROR(__xludf.DUMMYFUNCTION("""COMPUTED_VALUE"""),43819.0)</f>
        <v>43819</v>
      </c>
      <c r="C264" s="106">
        <f>IFERROR(__xludf.DUMMYFUNCTION("""COMPUTED_VALUE"""),43846.0)</f>
        <v>43846</v>
      </c>
      <c r="D264" s="62" t="str">
        <f>IFERROR(__xludf.DUMMYFUNCTION("""COMPUTED_VALUE"""),"Yes")</f>
        <v>Yes</v>
      </c>
      <c r="E264" s="62" t="str">
        <f>IFERROR(__xludf.DUMMYFUNCTION("""COMPUTED_VALUE"""),"Gene Disease Validity")</f>
        <v>Gene Disease Validity</v>
      </c>
      <c r="F264" s="62" t="str">
        <f>IFERROR(__xludf.DUMMYFUNCTION("""COMPUTED_VALUE"""),"")</f>
        <v/>
      </c>
      <c r="G264" s="62" t="str">
        <f>IFERROR(__xludf.DUMMYFUNCTION("""COMPUTED_VALUE"""),"Ikeoluwa Osei-Owusu")</f>
        <v>Ikeoluwa Osei-Owusu</v>
      </c>
      <c r="H264" s="62" t="str">
        <f>IFERROR(__xludf.DUMMYFUNCTION("""COMPUTED_VALUE"""),"ikeoluwa@jhmi.edu")</f>
        <v>ikeoluwa@jhmi.edu</v>
      </c>
      <c r="I264" s="62" t="str">
        <f>IFERROR(__xludf.DUMMYFUNCTION("""COMPUTED_VALUE"""),"Graduate Student")</f>
        <v>Graduate Student</v>
      </c>
      <c r="J264" s="62"/>
      <c r="K264" s="62" t="str">
        <f>IFERROR(__xludf.DUMMYFUNCTION("""COMPUTED_VALUE"""),"Gene-Disease Validity")</f>
        <v>Gene-Disease Validity</v>
      </c>
      <c r="L264" s="62"/>
      <c r="M264" s="62"/>
      <c r="N264" s="62"/>
      <c r="O264" s="62"/>
      <c r="P264" s="62"/>
      <c r="Q264" s="62"/>
      <c r="R264" s="62"/>
      <c r="S264" s="62"/>
      <c r="T264" s="62"/>
      <c r="U264" s="62"/>
      <c r="V264" s="62"/>
      <c r="W264" s="62"/>
      <c r="X264" s="62"/>
      <c r="Y264" s="62"/>
      <c r="Z264" s="62"/>
    </row>
    <row r="265">
      <c r="A265" s="62" t="str">
        <f>IFERROR(__xludf.DUMMYFUNCTION("""COMPUTED_VALUE"""),"Contacted")</f>
        <v>Contacted</v>
      </c>
      <c r="B265" s="81">
        <f>IFERROR(__xludf.DUMMYFUNCTION("""COMPUTED_VALUE"""),43819.0)</f>
        <v>43819</v>
      </c>
      <c r="C265" s="62" t="str">
        <f>IFERROR(__xludf.DUMMYFUNCTION("""COMPUTED_VALUE"""),"")</f>
        <v/>
      </c>
      <c r="D265" s="62" t="str">
        <f>IFERROR(__xludf.DUMMYFUNCTION("""COMPUTED_VALUE"""),"")</f>
        <v/>
      </c>
      <c r="E265" s="62" t="str">
        <f>IFERROR(__xludf.DUMMYFUNCTION("""COMPUTED_VALUE"""),"Variant Pathogenicity")</f>
        <v>Variant Pathogenicity</v>
      </c>
      <c r="F265" s="62" t="str">
        <f>IFERROR(__xludf.DUMMYFUNCTION("""COMPUTED_VALUE"""),"")</f>
        <v/>
      </c>
      <c r="G265" s="62" t="str">
        <f>IFERROR(__xludf.DUMMYFUNCTION("""COMPUTED_VALUE"""),"Daniela Martiniuc")</f>
        <v>Daniela Martiniuc</v>
      </c>
      <c r="H265" s="62" t="str">
        <f>IFERROR(__xludf.DUMMYFUNCTION("""COMPUTED_VALUE"""),"dmartiniuc@ucdavis.edu")</f>
        <v>dmartiniuc@ucdavis.edu</v>
      </c>
      <c r="I265" s="62" t="str">
        <f>IFERROR(__xludf.DUMMYFUNCTION("""COMPUTED_VALUE"""),"Genetic counselor")</f>
        <v>Genetic counselor</v>
      </c>
      <c r="J265" s="62"/>
      <c r="K265" s="62" t="str">
        <f>IFERROR(__xludf.DUMMYFUNCTION("""COMPUTED_VALUE"""),"Variant Pathogenicity")</f>
        <v>Variant Pathogenicity</v>
      </c>
      <c r="L265" s="62"/>
      <c r="M265" s="62"/>
      <c r="N265" s="62"/>
      <c r="O265" s="62"/>
      <c r="P265" s="62"/>
      <c r="Q265" s="62"/>
      <c r="R265" s="62"/>
      <c r="S265" s="62"/>
      <c r="T265" s="62"/>
      <c r="U265" s="62"/>
      <c r="V265" s="62"/>
      <c r="W265" s="62"/>
      <c r="X265" s="62"/>
      <c r="Y265" s="62"/>
      <c r="Z265" s="62"/>
    </row>
    <row r="266">
      <c r="A266" s="62" t="str">
        <f>IFERROR(__xludf.DUMMYFUNCTION("""COMPUTED_VALUE"""),"Unassigned")</f>
        <v>Unassigned</v>
      </c>
      <c r="B266" s="62" t="str">
        <f>IFERROR(__xludf.DUMMYFUNCTION("""COMPUTED_VALUE"""),"")</f>
        <v/>
      </c>
      <c r="C266" s="62" t="str">
        <f>IFERROR(__xludf.DUMMYFUNCTION("""COMPUTED_VALUE"""),"")</f>
        <v/>
      </c>
      <c r="D266" s="62" t="str">
        <f>IFERROR(__xludf.DUMMYFUNCTION("""COMPUTED_VALUE"""),"")</f>
        <v/>
      </c>
      <c r="E266" s="62" t="str">
        <f>IFERROR(__xludf.DUMMYFUNCTION("""COMPUTED_VALUE"""),"Somatic Cancer")</f>
        <v>Somatic Cancer</v>
      </c>
      <c r="F266" s="62" t="str">
        <f>IFERROR(__xludf.DUMMYFUNCTION("""COMPUTED_VALUE"""),"")</f>
        <v/>
      </c>
      <c r="G266" s="62" t="str">
        <f>IFERROR(__xludf.DUMMYFUNCTION("""COMPUTED_VALUE"""),"Emilie Lalonde")</f>
        <v>Emilie Lalonde</v>
      </c>
      <c r="H266" s="62" t="str">
        <f>IFERROR(__xludf.DUMMYFUNCTION("""COMPUTED_VALUE"""),"lalondee@email.chop.edu")</f>
        <v>lalondee@email.chop.edu</v>
      </c>
      <c r="I266" s="62" t="str">
        <f>IFERROR(__xludf.DUMMYFUNCTION("""COMPUTED_VALUE"""),"Clinical laboratory geneticist")</f>
        <v>Clinical laboratory geneticist</v>
      </c>
      <c r="J266" s="62"/>
      <c r="K266" s="62" t="str">
        <f>IFERROR(__xludf.DUMMYFUNCTION("""COMPUTED_VALUE"""),"Somatic Cancer")</f>
        <v>Somatic Cancer</v>
      </c>
      <c r="L266" s="62"/>
      <c r="M266" s="62"/>
      <c r="N266" s="62"/>
      <c r="O266" s="62"/>
      <c r="P266" s="62"/>
      <c r="Q266" s="62"/>
      <c r="R266" s="62"/>
      <c r="S266" s="62"/>
      <c r="T266" s="62"/>
      <c r="U266" s="62"/>
      <c r="V266" s="62"/>
      <c r="W266" s="62"/>
      <c r="X266" s="62"/>
      <c r="Y266" s="62"/>
      <c r="Z266" s="62"/>
    </row>
    <row r="267">
      <c r="A267" s="62" t="str">
        <f>IFERROR(__xludf.DUMMYFUNCTION("""COMPUTED_VALUE"""),"Contacted")</f>
        <v>Contacted</v>
      </c>
      <c r="B267" s="81">
        <f>IFERROR(__xludf.DUMMYFUNCTION("""COMPUTED_VALUE"""),43819.0)</f>
        <v>43819</v>
      </c>
      <c r="C267" s="106">
        <f>IFERROR(__xludf.DUMMYFUNCTION("""COMPUTED_VALUE"""),43859.0)</f>
        <v>43859</v>
      </c>
      <c r="D267" s="62" t="str">
        <f>IFERROR(__xludf.DUMMYFUNCTION("""COMPUTED_VALUE"""),"Yes")</f>
        <v>Yes</v>
      </c>
      <c r="E267" s="62" t="str">
        <f>IFERROR(__xludf.DUMMYFUNCTION("""COMPUTED_VALUE"""),"Variant Pathogenicity")</f>
        <v>Variant Pathogenicity</v>
      </c>
      <c r="F267" s="62" t="str">
        <f>IFERROR(__xludf.DUMMYFUNCTION("""COMPUTED_VALUE"""),"")</f>
        <v/>
      </c>
      <c r="G267" s="62" t="str">
        <f>IFERROR(__xludf.DUMMYFUNCTION("""COMPUTED_VALUE"""),"Elizabeth Ewen")</f>
        <v>Elizabeth Ewen</v>
      </c>
      <c r="H267" s="62" t="str">
        <f>IFERROR(__xludf.DUMMYFUNCTION("""COMPUTED_VALUE"""),"elizabeth.ewen@agilent.com")</f>
        <v>elizabeth.ewen@agilent.com</v>
      </c>
      <c r="I267" s="62" t="str">
        <f>IFERROR(__xludf.DUMMYFUNCTION("""COMPUTED_VALUE"""),"Variant Analyst/Scientist - Industry")</f>
        <v>Variant Analyst/Scientist - Industry</v>
      </c>
      <c r="J267" s="62"/>
      <c r="K267" s="62" t="str">
        <f>IFERROR(__xludf.DUMMYFUNCTION("""COMPUTED_VALUE"""),"Variant Pathogenicity")</f>
        <v>Variant Pathogenicity</v>
      </c>
      <c r="L267" s="62"/>
      <c r="M267" s="62"/>
      <c r="N267" s="62"/>
      <c r="O267" s="62"/>
      <c r="P267" s="62"/>
      <c r="Q267" s="62"/>
      <c r="R267" s="62"/>
      <c r="S267" s="62"/>
      <c r="T267" s="62"/>
      <c r="U267" s="62"/>
      <c r="V267" s="62"/>
      <c r="W267" s="62"/>
      <c r="X267" s="62"/>
      <c r="Y267" s="62"/>
      <c r="Z267" s="62"/>
    </row>
    <row r="268">
      <c r="A268" s="62" t="str">
        <f>IFERROR(__xludf.DUMMYFUNCTION("""COMPUTED_VALUE"""),"Unassigned")</f>
        <v>Unassigned</v>
      </c>
      <c r="B268" s="62" t="str">
        <f>IFERROR(__xludf.DUMMYFUNCTION("""COMPUTED_VALUE"""),"")</f>
        <v/>
      </c>
      <c r="C268" s="62" t="str">
        <f>IFERROR(__xludf.DUMMYFUNCTION("""COMPUTED_VALUE"""),"")</f>
        <v/>
      </c>
      <c r="D268" s="62" t="str">
        <f>IFERROR(__xludf.DUMMYFUNCTION("""COMPUTED_VALUE"""),"")</f>
        <v/>
      </c>
      <c r="E268" s="62" t="str">
        <f>IFERROR(__xludf.DUMMYFUNCTION("""COMPUTED_VALUE"""),"Somatic Cancer")</f>
        <v>Somatic Cancer</v>
      </c>
      <c r="F268" s="62" t="str">
        <f>IFERROR(__xludf.DUMMYFUNCTION("""COMPUTED_VALUE"""),"")</f>
        <v/>
      </c>
      <c r="G268" s="62" t="str">
        <f>IFERROR(__xludf.DUMMYFUNCTION("""COMPUTED_VALUE"""),"KC Vavra")</f>
        <v>KC Vavra</v>
      </c>
      <c r="H268" s="62" t="str">
        <f>IFERROR(__xludf.DUMMYFUNCTION("""COMPUTED_VALUE"""),"kc.vavra@agilent.com")</f>
        <v>kc.vavra@agilent.com</v>
      </c>
      <c r="I268" s="62" t="str">
        <f>IFERROR(__xludf.DUMMYFUNCTION("""COMPUTED_VALUE"""),"Citizen Scientist/Patient Advocate")</f>
        <v>Citizen Scientist/Patient Advocate</v>
      </c>
      <c r="J268" s="62"/>
      <c r="K268" s="62" t="str">
        <f>IFERROR(__xludf.DUMMYFUNCTION("""COMPUTED_VALUE"""),"Somatic Cancer")</f>
        <v>Somatic Cancer</v>
      </c>
      <c r="L268" s="62"/>
      <c r="M268" s="62"/>
      <c r="N268" s="62"/>
      <c r="O268" s="62"/>
      <c r="P268" s="62"/>
      <c r="Q268" s="62"/>
      <c r="R268" s="62"/>
      <c r="S268" s="62"/>
      <c r="T268" s="62"/>
      <c r="U268" s="62"/>
      <c r="V268" s="62"/>
      <c r="W268" s="62"/>
      <c r="X268" s="62"/>
      <c r="Y268" s="62"/>
      <c r="Z268" s="62"/>
    </row>
    <row r="269">
      <c r="A269" s="62" t="str">
        <f>IFERROR(__xludf.DUMMYFUNCTION("""COMPUTED_VALUE"""),"Contacted")</f>
        <v>Contacted</v>
      </c>
      <c r="B269" s="81">
        <f>IFERROR(__xludf.DUMMYFUNCTION("""COMPUTED_VALUE"""),43819.0)</f>
        <v>43819</v>
      </c>
      <c r="C269" s="106">
        <f>IFERROR(__xludf.DUMMYFUNCTION("""COMPUTED_VALUE"""),43846.0)</f>
        <v>43846</v>
      </c>
      <c r="D269" s="62" t="str">
        <f>IFERROR(__xludf.DUMMYFUNCTION("""COMPUTED_VALUE"""),"Yes")</f>
        <v>Yes</v>
      </c>
      <c r="E269" s="62" t="str">
        <f>IFERROR(__xludf.DUMMYFUNCTION("""COMPUTED_VALUE"""),"Gene Disease Validity")</f>
        <v>Gene Disease Validity</v>
      </c>
      <c r="F269" s="62" t="str">
        <f>IFERROR(__xludf.DUMMYFUNCTION("""COMPUTED_VALUE"""),"")</f>
        <v/>
      </c>
      <c r="G269" s="62" t="str">
        <f>IFERROR(__xludf.DUMMYFUNCTION("""COMPUTED_VALUE"""),"Beth Stronach")</f>
        <v>Beth Stronach</v>
      </c>
      <c r="H269" s="62" t="str">
        <f>IFERROR(__xludf.DUMMYFUNCTION("""COMPUTED_VALUE"""),"stronach@pitt.edu")</f>
        <v>stronach@pitt.edu</v>
      </c>
      <c r="I269" s="62" t="str">
        <f>IFERROR(__xludf.DUMMYFUNCTION("""COMPUTED_VALUE"""),"Scientific Researcher")</f>
        <v>Scientific Researcher</v>
      </c>
      <c r="J269" s="62"/>
      <c r="K269" s="62" t="str">
        <f>IFERROR(__xludf.DUMMYFUNCTION("""COMPUTED_VALUE"""),"Gene-Disease Validity")</f>
        <v>Gene-Disease Validity</v>
      </c>
      <c r="L269" s="62"/>
      <c r="M269" s="62"/>
      <c r="N269" s="62"/>
      <c r="O269" s="62"/>
      <c r="P269" s="62"/>
      <c r="Q269" s="62"/>
      <c r="R269" s="62"/>
      <c r="S269" s="62"/>
      <c r="T269" s="62"/>
      <c r="U269" s="62"/>
      <c r="V269" s="62"/>
      <c r="W269" s="62"/>
      <c r="X269" s="62"/>
      <c r="Y269" s="62"/>
      <c r="Z269" s="62"/>
    </row>
    <row r="270">
      <c r="A270" s="62" t="str">
        <f>IFERROR(__xludf.DUMMYFUNCTION("""COMPUTED_VALUE"""),"Unassigned")</f>
        <v>Unassigned</v>
      </c>
      <c r="B270" s="62" t="str">
        <f>IFERROR(__xludf.DUMMYFUNCTION("""COMPUTED_VALUE"""),"")</f>
        <v/>
      </c>
      <c r="C270" s="62" t="str">
        <f>IFERROR(__xludf.DUMMYFUNCTION("""COMPUTED_VALUE"""),"")</f>
        <v/>
      </c>
      <c r="D270" s="62" t="str">
        <f>IFERROR(__xludf.DUMMYFUNCTION("""COMPUTED_VALUE"""),"")</f>
        <v/>
      </c>
      <c r="E270" s="62" t="str">
        <f>IFERROR(__xludf.DUMMYFUNCTION("""COMPUTED_VALUE"""),"Somatic Cancer")</f>
        <v>Somatic Cancer</v>
      </c>
      <c r="F270" s="62" t="str">
        <f>IFERROR(__xludf.DUMMYFUNCTION("""COMPUTED_VALUE"""),"")</f>
        <v/>
      </c>
      <c r="G270" s="62" t="str">
        <f>IFERROR(__xludf.DUMMYFUNCTION("""COMPUTED_VALUE"""),"Eileen Chen")</f>
        <v>Eileen Chen</v>
      </c>
      <c r="H270" s="62" t="str">
        <f>IFERROR(__xludf.DUMMYFUNCTION("""COMPUTED_VALUE"""),"eileen.chen.x.q@sgh.com.sg")</f>
        <v>eileen.chen.x.q@sgh.com.sg</v>
      </c>
      <c r="I270" s="62" t="str">
        <f>IFERROR(__xludf.DUMMYFUNCTION("""COMPUTED_VALUE"""),"Variant Analyst/Scientist - Academic")</f>
        <v>Variant Analyst/Scientist - Academic</v>
      </c>
      <c r="J270" s="62"/>
      <c r="K270" s="62" t="str">
        <f>IFERROR(__xludf.DUMMYFUNCTION("""COMPUTED_VALUE"""),"Somatic Cancer")</f>
        <v>Somatic Cancer</v>
      </c>
      <c r="L270" s="62"/>
      <c r="M270" s="62"/>
      <c r="N270" s="62"/>
      <c r="O270" s="62"/>
      <c r="P270" s="62"/>
      <c r="Q270" s="62"/>
      <c r="R270" s="62"/>
      <c r="S270" s="62"/>
      <c r="T270" s="62"/>
      <c r="U270" s="62"/>
      <c r="V270" s="62"/>
      <c r="W270" s="62"/>
      <c r="X270" s="62"/>
      <c r="Y270" s="62"/>
      <c r="Z270" s="62"/>
    </row>
    <row r="271">
      <c r="A271" s="62" t="str">
        <f>IFERROR(__xludf.DUMMYFUNCTION("""COMPUTED_VALUE"""),"Contacted")</f>
        <v>Contacted</v>
      </c>
      <c r="B271" s="81">
        <f>IFERROR(__xludf.DUMMYFUNCTION("""COMPUTED_VALUE"""),43819.0)</f>
        <v>43819</v>
      </c>
      <c r="C271" s="62" t="str">
        <f>IFERROR(__xludf.DUMMYFUNCTION("""COMPUTED_VALUE"""),"")</f>
        <v/>
      </c>
      <c r="D271" s="62" t="str">
        <f>IFERROR(__xludf.DUMMYFUNCTION("""COMPUTED_VALUE"""),"")</f>
        <v/>
      </c>
      <c r="E271" s="62" t="str">
        <f>IFERROR(__xludf.DUMMYFUNCTION("""COMPUTED_VALUE"""),"Variant Pathogenicity")</f>
        <v>Variant Pathogenicity</v>
      </c>
      <c r="F271" s="62" t="str">
        <f>IFERROR(__xludf.DUMMYFUNCTION("""COMPUTED_VALUE"""),"")</f>
        <v/>
      </c>
      <c r="G271" s="62" t="str">
        <f>IFERROR(__xludf.DUMMYFUNCTION("""COMPUTED_VALUE"""),"Jennifer Sloan")</f>
        <v>Jennifer Sloan</v>
      </c>
      <c r="H271" s="62" t="str">
        <f>IFERROR(__xludf.DUMMYFUNCTION("""COMPUTED_VALUE"""),"jsloan@mail.nih.gov")</f>
        <v>jsloan@mail.nih.gov</v>
      </c>
      <c r="I271" s="62" t="str">
        <f>IFERROR(__xludf.DUMMYFUNCTION("""COMPUTED_VALUE"""),"Genetic counselor")</f>
        <v>Genetic counselor</v>
      </c>
      <c r="J271" s="62"/>
      <c r="K271" s="62" t="str">
        <f>IFERROR(__xludf.DUMMYFUNCTION("""COMPUTED_VALUE"""),"Variant Pathogenicity")</f>
        <v>Variant Pathogenicity</v>
      </c>
      <c r="L271" s="62"/>
      <c r="M271" s="62"/>
      <c r="N271" s="62"/>
      <c r="O271" s="62"/>
      <c r="P271" s="62"/>
      <c r="Q271" s="62"/>
      <c r="R271" s="62"/>
      <c r="S271" s="62"/>
      <c r="T271" s="62"/>
      <c r="U271" s="62"/>
      <c r="V271" s="62"/>
      <c r="W271" s="62"/>
      <c r="X271" s="62"/>
      <c r="Y271" s="62"/>
      <c r="Z271" s="62"/>
    </row>
    <row r="272">
      <c r="A272" s="62" t="str">
        <f>IFERROR(__xludf.DUMMYFUNCTION("""COMPUTED_VALUE"""),"Contacted")</f>
        <v>Contacted</v>
      </c>
      <c r="B272" s="81">
        <f>IFERROR(__xludf.DUMMYFUNCTION("""COMPUTED_VALUE"""),43819.0)</f>
        <v>43819</v>
      </c>
      <c r="C272" s="62" t="str">
        <f>IFERROR(__xludf.DUMMYFUNCTION("""COMPUTED_VALUE"""),"")</f>
        <v/>
      </c>
      <c r="D272" s="62" t="str">
        <f>IFERROR(__xludf.DUMMYFUNCTION("""COMPUTED_VALUE"""),"")</f>
        <v/>
      </c>
      <c r="E272" s="62" t="str">
        <f>IFERROR(__xludf.DUMMYFUNCTION("""COMPUTED_VALUE"""),"Gene Disease Validity")</f>
        <v>Gene Disease Validity</v>
      </c>
      <c r="F272" s="62" t="str">
        <f>IFERROR(__xludf.DUMMYFUNCTION("""COMPUTED_VALUE"""),"")</f>
        <v/>
      </c>
      <c r="G272" s="62" t="str">
        <f>IFERROR(__xludf.DUMMYFUNCTION("""COMPUTED_VALUE"""),"Vasiliki Rahimzadeh")</f>
        <v>Vasiliki Rahimzadeh</v>
      </c>
      <c r="H272" s="62" t="str">
        <f>IFERROR(__xludf.DUMMYFUNCTION("""COMPUTED_VALUE"""),"vrahim@stanford.edu")</f>
        <v>vrahim@stanford.edu</v>
      </c>
      <c r="I272" s="62" t="str">
        <f>IFERROR(__xludf.DUMMYFUNCTION("""COMPUTED_VALUE"""),"Postdoctoral fellow ")</f>
        <v>Postdoctoral fellow </v>
      </c>
      <c r="J272" s="62"/>
      <c r="K272" s="62" t="str">
        <f>IFERROR(__xludf.DUMMYFUNCTION("""COMPUTED_VALUE"""),"Gene-Disease Validity")</f>
        <v>Gene-Disease Validity</v>
      </c>
      <c r="L272" s="62"/>
      <c r="M272" s="62"/>
      <c r="N272" s="62"/>
      <c r="O272" s="62"/>
      <c r="P272" s="62"/>
      <c r="Q272" s="62"/>
      <c r="R272" s="62"/>
      <c r="S272" s="62"/>
      <c r="T272" s="62"/>
      <c r="U272" s="62"/>
      <c r="V272" s="62"/>
      <c r="W272" s="62"/>
      <c r="X272" s="62"/>
      <c r="Y272" s="62"/>
      <c r="Z272" s="62"/>
    </row>
    <row r="273">
      <c r="A273" s="62" t="str">
        <f>IFERROR(__xludf.DUMMYFUNCTION("""COMPUTED_VALUE"""),"Contacted")</f>
        <v>Contacted</v>
      </c>
      <c r="B273" s="81">
        <f>IFERROR(__xludf.DUMMYFUNCTION("""COMPUTED_VALUE"""),43819.0)</f>
        <v>43819</v>
      </c>
      <c r="C273" s="62" t="str">
        <f>IFERROR(__xludf.DUMMYFUNCTION("""COMPUTED_VALUE"""),"")</f>
        <v/>
      </c>
      <c r="D273" s="62" t="str">
        <f>IFERROR(__xludf.DUMMYFUNCTION("""COMPUTED_VALUE"""),"")</f>
        <v/>
      </c>
      <c r="E273" s="62" t="str">
        <f>IFERROR(__xludf.DUMMYFUNCTION("""COMPUTED_VALUE"""),"Variant Pathogenicity")</f>
        <v>Variant Pathogenicity</v>
      </c>
      <c r="F273" s="62" t="str">
        <f>IFERROR(__xludf.DUMMYFUNCTION("""COMPUTED_VALUE"""),"")</f>
        <v/>
      </c>
      <c r="G273" s="62" t="str">
        <f>IFERROR(__xludf.DUMMYFUNCTION("""COMPUTED_VALUE"""),"Guadalupe Carvajal")</f>
        <v>Guadalupe Carvajal</v>
      </c>
      <c r="H273" s="62" t="str">
        <f>IFERROR(__xludf.DUMMYFUNCTION("""COMPUTED_VALUE"""),"gcarvajal18@students.kgi.edu")</f>
        <v>gcarvajal18@students.kgi.edu</v>
      </c>
      <c r="I273" s="62" t="str">
        <f>IFERROR(__xludf.DUMMYFUNCTION("""COMPUTED_VALUE"""),"Genetic counselor")</f>
        <v>Genetic counselor</v>
      </c>
      <c r="J273" s="62"/>
      <c r="K273" s="62" t="str">
        <f>IFERROR(__xludf.DUMMYFUNCTION("""COMPUTED_VALUE"""),"Variant Pathogenicity")</f>
        <v>Variant Pathogenicity</v>
      </c>
      <c r="L273" s="62"/>
      <c r="M273" s="62"/>
      <c r="N273" s="62"/>
      <c r="O273" s="62"/>
      <c r="P273" s="62"/>
      <c r="Q273" s="62"/>
      <c r="R273" s="62"/>
      <c r="S273" s="62"/>
      <c r="T273" s="62"/>
      <c r="U273" s="62"/>
      <c r="V273" s="62"/>
      <c r="W273" s="62"/>
      <c r="X273" s="62"/>
      <c r="Y273" s="62"/>
      <c r="Z273" s="62"/>
    </row>
    <row r="274">
      <c r="A274" s="62" t="str">
        <f>IFERROR(__xludf.DUMMYFUNCTION("""COMPUTED_VALUE"""),"Contacted")</f>
        <v>Contacted</v>
      </c>
      <c r="B274" s="81">
        <f>IFERROR(__xludf.DUMMYFUNCTION("""COMPUTED_VALUE"""),43819.0)</f>
        <v>43819</v>
      </c>
      <c r="C274" s="62" t="str">
        <f>IFERROR(__xludf.DUMMYFUNCTION("""COMPUTED_VALUE"""),"")</f>
        <v/>
      </c>
      <c r="D274" s="62" t="str">
        <f>IFERROR(__xludf.DUMMYFUNCTION("""COMPUTED_VALUE"""),"")</f>
        <v/>
      </c>
      <c r="E274" s="62" t="str">
        <f>IFERROR(__xludf.DUMMYFUNCTION("""COMPUTED_VALUE"""),"Variant Pathogenicity")</f>
        <v>Variant Pathogenicity</v>
      </c>
      <c r="F274" s="62" t="str">
        <f>IFERROR(__xludf.DUMMYFUNCTION("""COMPUTED_VALUE"""),"")</f>
        <v/>
      </c>
      <c r="G274" s="62" t="str">
        <f>IFERROR(__xludf.DUMMYFUNCTION("""COMPUTED_VALUE"""),"Liang Guo")</f>
        <v>Liang Guo</v>
      </c>
      <c r="H274" s="62" t="str">
        <f>IFERROR(__xludf.DUMMYFUNCTION("""COMPUTED_VALUE"""),"lguo@cvpath.org")</f>
        <v>lguo@cvpath.org</v>
      </c>
      <c r="I274" s="62" t="str">
        <f>IFERROR(__xludf.DUMMYFUNCTION("""COMPUTED_VALUE"""),"Scientific Researcher")</f>
        <v>Scientific Researcher</v>
      </c>
      <c r="J274" s="62"/>
      <c r="K274" s="62" t="str">
        <f>IFERROR(__xludf.DUMMYFUNCTION("""COMPUTED_VALUE"""),"Variant Pathogenicity")</f>
        <v>Variant Pathogenicity</v>
      </c>
      <c r="L274" s="62"/>
      <c r="M274" s="62"/>
      <c r="N274" s="62"/>
      <c r="O274" s="62"/>
      <c r="P274" s="62"/>
      <c r="Q274" s="62"/>
      <c r="R274" s="62"/>
      <c r="S274" s="62"/>
      <c r="T274" s="62"/>
      <c r="U274" s="62"/>
      <c r="V274" s="62"/>
      <c r="W274" s="62"/>
      <c r="X274" s="62"/>
      <c r="Y274" s="62"/>
      <c r="Z274" s="62"/>
    </row>
    <row r="275">
      <c r="A275" s="62" t="str">
        <f>IFERROR(__xludf.DUMMYFUNCTION("""COMPUTED_VALUE"""),"Contacted")</f>
        <v>Contacted</v>
      </c>
      <c r="B275" s="81">
        <f>IFERROR(__xludf.DUMMYFUNCTION("""COMPUTED_VALUE"""),43819.0)</f>
        <v>43819</v>
      </c>
      <c r="C275" s="62" t="str">
        <f>IFERROR(__xludf.DUMMYFUNCTION("""COMPUTED_VALUE"""),"")</f>
        <v/>
      </c>
      <c r="D275" s="62" t="str">
        <f>IFERROR(__xludf.DUMMYFUNCTION("""COMPUTED_VALUE"""),"")</f>
        <v/>
      </c>
      <c r="E275" s="62" t="str">
        <f>IFERROR(__xludf.DUMMYFUNCTION("""COMPUTED_VALUE"""),"Gene Disease Validity")</f>
        <v>Gene Disease Validity</v>
      </c>
      <c r="F275" s="62" t="str">
        <f>IFERROR(__xludf.DUMMYFUNCTION("""COMPUTED_VALUE"""),"")</f>
        <v/>
      </c>
      <c r="G275" s="62" t="str">
        <f>IFERROR(__xludf.DUMMYFUNCTION("""COMPUTED_VALUE"""),"Sha Tang")</f>
        <v>Sha Tang</v>
      </c>
      <c r="H275" s="62" t="str">
        <f>IFERROR(__xludf.DUMMYFUNCTION("""COMPUTED_VALUE"""),"stang@wuxinextcode.cm")</f>
        <v>stang@wuxinextcode.cm</v>
      </c>
      <c r="I275" s="62" t="str">
        <f>IFERROR(__xludf.DUMMYFUNCTION("""COMPUTED_VALUE"""),"Clinical laboratory geneticist")</f>
        <v>Clinical laboratory geneticist</v>
      </c>
      <c r="J275" s="62"/>
      <c r="K275" s="62" t="str">
        <f>IFERROR(__xludf.DUMMYFUNCTION("""COMPUTED_VALUE"""),"Gene-Disease Validity")</f>
        <v>Gene-Disease Validity</v>
      </c>
      <c r="L275" s="62"/>
      <c r="M275" s="62"/>
      <c r="N275" s="62"/>
      <c r="O275" s="62"/>
      <c r="P275" s="62"/>
      <c r="Q275" s="62"/>
      <c r="R275" s="62"/>
      <c r="S275" s="62"/>
      <c r="T275" s="62"/>
      <c r="U275" s="62"/>
      <c r="V275" s="62"/>
      <c r="W275" s="62"/>
      <c r="X275" s="62"/>
      <c r="Y275" s="62"/>
      <c r="Z275" s="62"/>
    </row>
    <row r="276">
      <c r="A276" s="62" t="str">
        <f>IFERROR(__xludf.DUMMYFUNCTION("""COMPUTED_VALUE"""),"Contacted")</f>
        <v>Contacted</v>
      </c>
      <c r="B276" s="81">
        <f>IFERROR(__xludf.DUMMYFUNCTION("""COMPUTED_VALUE"""),43819.0)</f>
        <v>43819</v>
      </c>
      <c r="C276" s="62" t="str">
        <f>IFERROR(__xludf.DUMMYFUNCTION("""COMPUTED_VALUE"""),"")</f>
        <v/>
      </c>
      <c r="D276" s="62" t="str">
        <f>IFERROR(__xludf.DUMMYFUNCTION("""COMPUTED_VALUE"""),"")</f>
        <v/>
      </c>
      <c r="E276" s="62" t="str">
        <f>IFERROR(__xludf.DUMMYFUNCTION("""COMPUTED_VALUE"""),"Gene Disease Validity")</f>
        <v>Gene Disease Validity</v>
      </c>
      <c r="F276" s="62" t="str">
        <f>IFERROR(__xludf.DUMMYFUNCTION("""COMPUTED_VALUE"""),"")</f>
        <v/>
      </c>
      <c r="G276" s="62" t="str">
        <f>IFERROR(__xludf.DUMMYFUNCTION("""COMPUTED_VALUE"""),"Steve Waring")</f>
        <v>Steve Waring</v>
      </c>
      <c r="H276" s="62" t="str">
        <f>IFERROR(__xludf.DUMMYFUNCTION("""COMPUTED_VALUE"""),"stephen.waring@essentiahealth.org")</f>
        <v>stephen.waring@essentiahealth.org</v>
      </c>
      <c r="I276" s="62" t="str">
        <f>IFERROR(__xludf.DUMMYFUNCTION("""COMPUTED_VALUE"""),"Scientific Researcher")</f>
        <v>Scientific Researcher</v>
      </c>
      <c r="J276" s="62"/>
      <c r="K276" s="62" t="str">
        <f>IFERROR(__xludf.DUMMYFUNCTION("""COMPUTED_VALUE"""),"Gene-Disease Validity")</f>
        <v>Gene-Disease Validity</v>
      </c>
      <c r="L276" s="62"/>
      <c r="M276" s="62"/>
      <c r="N276" s="62"/>
      <c r="O276" s="62"/>
      <c r="P276" s="62"/>
      <c r="Q276" s="62"/>
      <c r="R276" s="62"/>
      <c r="S276" s="62"/>
      <c r="T276" s="62"/>
      <c r="U276" s="62"/>
      <c r="V276" s="62"/>
      <c r="W276" s="62"/>
      <c r="X276" s="62"/>
      <c r="Y276" s="62"/>
      <c r="Z276" s="62"/>
    </row>
    <row r="277">
      <c r="A277" s="62" t="str">
        <f>IFERROR(__xludf.DUMMYFUNCTION("""COMPUTED_VALUE"""),"Contacted")</f>
        <v>Contacted</v>
      </c>
      <c r="B277" s="81">
        <f>IFERROR(__xludf.DUMMYFUNCTION("""COMPUTED_VALUE"""),43819.0)</f>
        <v>43819</v>
      </c>
      <c r="C277" s="106">
        <f>IFERROR(__xludf.DUMMYFUNCTION("""COMPUTED_VALUE"""),43859.0)</f>
        <v>43859</v>
      </c>
      <c r="D277" s="62" t="str">
        <f>IFERROR(__xludf.DUMMYFUNCTION("""COMPUTED_VALUE"""),"Yes")</f>
        <v>Yes</v>
      </c>
      <c r="E277" s="62" t="str">
        <f>IFERROR(__xludf.DUMMYFUNCTION("""COMPUTED_VALUE"""),"Variant Pathogenicity")</f>
        <v>Variant Pathogenicity</v>
      </c>
      <c r="F277" s="62" t="str">
        <f>IFERROR(__xludf.DUMMYFUNCTION("""COMPUTED_VALUE"""),"")</f>
        <v/>
      </c>
      <c r="G277" s="62" t="str">
        <f>IFERROR(__xludf.DUMMYFUNCTION("""COMPUTED_VALUE"""),"Abul Kalam Azad")</f>
        <v>Abul Kalam Azad</v>
      </c>
      <c r="H277" s="62" t="str">
        <f>IFERROR(__xludf.DUMMYFUNCTION("""COMPUTED_VALUE"""),"azadak@gmail.com")</f>
        <v>azadak@gmail.com</v>
      </c>
      <c r="I277" s="62" t="str">
        <f>IFERROR(__xludf.DUMMYFUNCTION("""COMPUTED_VALUE"""),"Post Doc/Resident/Fellow (MD and/or PhD)")</f>
        <v>Post Doc/Resident/Fellow (MD and/or PhD)</v>
      </c>
      <c r="J277" s="62"/>
      <c r="K277" s="62" t="str">
        <f>IFERROR(__xludf.DUMMYFUNCTION("""COMPUTED_VALUE"""),"Variant Pathogenicity")</f>
        <v>Variant Pathogenicity</v>
      </c>
      <c r="L277" s="62"/>
      <c r="M277" s="62"/>
      <c r="N277" s="62"/>
      <c r="O277" s="62"/>
      <c r="P277" s="62"/>
      <c r="Q277" s="62"/>
      <c r="R277" s="62"/>
      <c r="S277" s="62"/>
      <c r="T277" s="62"/>
      <c r="U277" s="62"/>
      <c r="V277" s="62"/>
      <c r="W277" s="62"/>
      <c r="X277" s="62"/>
      <c r="Y277" s="62"/>
      <c r="Z277" s="62"/>
    </row>
    <row r="278">
      <c r="A278" s="62" t="str">
        <f>IFERROR(__xludf.DUMMYFUNCTION("""COMPUTED_VALUE"""),"Unassigned")</f>
        <v>Unassigned</v>
      </c>
      <c r="B278" s="62" t="str">
        <f>IFERROR(__xludf.DUMMYFUNCTION("""COMPUTED_VALUE"""),"")</f>
        <v/>
      </c>
      <c r="C278" s="62" t="str">
        <f>IFERROR(__xludf.DUMMYFUNCTION("""COMPUTED_VALUE"""),"")</f>
        <v/>
      </c>
      <c r="D278" s="62" t="str">
        <f>IFERROR(__xludf.DUMMYFUNCTION("""COMPUTED_VALUE"""),"")</f>
        <v/>
      </c>
      <c r="E278" s="62" t="str">
        <f>IFERROR(__xludf.DUMMYFUNCTION("""COMPUTED_VALUE"""),"Somatic Cancer")</f>
        <v>Somatic Cancer</v>
      </c>
      <c r="F278" s="62" t="str">
        <f>IFERROR(__xludf.DUMMYFUNCTION("""COMPUTED_VALUE"""),"")</f>
        <v/>
      </c>
      <c r="G278" s="62" t="str">
        <f>IFERROR(__xludf.DUMMYFUNCTION("""COMPUTED_VALUE"""),"Qing Zhang")</f>
        <v>Qing Zhang</v>
      </c>
      <c r="H278" s="62" t="str">
        <f>IFERROR(__xludf.DUMMYFUNCTION("""COMPUTED_VALUE"""),"qz1seattle@yahoo.com")</f>
        <v>qz1seattle@yahoo.com</v>
      </c>
      <c r="I278" s="62" t="str">
        <f>IFERROR(__xludf.DUMMYFUNCTION("""COMPUTED_VALUE"""),"Scientific Researcher")</f>
        <v>Scientific Researcher</v>
      </c>
      <c r="J278" s="62"/>
      <c r="K278" s="62" t="str">
        <f>IFERROR(__xludf.DUMMYFUNCTION("""COMPUTED_VALUE"""),"Somatic Cancer")</f>
        <v>Somatic Cancer</v>
      </c>
      <c r="L278" s="62"/>
      <c r="M278" s="62"/>
      <c r="N278" s="62"/>
      <c r="O278" s="62"/>
      <c r="P278" s="62"/>
      <c r="Q278" s="62"/>
      <c r="R278" s="62"/>
      <c r="S278" s="62"/>
      <c r="T278" s="62"/>
      <c r="U278" s="62"/>
      <c r="V278" s="62"/>
      <c r="W278" s="62"/>
      <c r="X278" s="62"/>
      <c r="Y278" s="62"/>
      <c r="Z278" s="62"/>
    </row>
    <row r="279">
      <c r="A279" s="62" t="str">
        <f>IFERROR(__xludf.DUMMYFUNCTION("""COMPUTED_VALUE"""),"Unassigned")</f>
        <v>Unassigned</v>
      </c>
      <c r="B279" s="62" t="str">
        <f>IFERROR(__xludf.DUMMYFUNCTION("""COMPUTED_VALUE"""),"")</f>
        <v/>
      </c>
      <c r="C279" s="62" t="str">
        <f>IFERROR(__xludf.DUMMYFUNCTION("""COMPUTED_VALUE"""),"")</f>
        <v/>
      </c>
      <c r="D279" s="62" t="str">
        <f>IFERROR(__xludf.DUMMYFUNCTION("""COMPUTED_VALUE"""),"")</f>
        <v/>
      </c>
      <c r="E279" s="62" t="str">
        <f>IFERROR(__xludf.DUMMYFUNCTION("""COMPUTED_VALUE"""),"NA")</f>
        <v>NA</v>
      </c>
      <c r="F279" s="62" t="str">
        <f>IFERROR(__xludf.DUMMYFUNCTION("""COMPUTED_VALUE"""),"")</f>
        <v/>
      </c>
      <c r="G279" s="62" t="str">
        <f>IFERROR(__xludf.DUMMYFUNCTION("""COMPUTED_VALUE"""),"Cassandra Barrett")</f>
        <v>Cassandra Barrett</v>
      </c>
      <c r="H279" s="62" t="str">
        <f>IFERROR(__xludf.DUMMYFUNCTION("""COMPUTED_VALUE"""),"cas9bar@gmail.com")</f>
        <v>cas9bar@gmail.com</v>
      </c>
      <c r="I279" s="62" t="str">
        <f>IFERROR(__xludf.DUMMYFUNCTION("""COMPUTED_VALUE"""),"PhD in genetic engineering; currently in a genetic counseling graduate program")</f>
        <v>PhD in genetic engineering; currently in a genetic counseling graduate program</v>
      </c>
      <c r="J279" s="62"/>
      <c r="K279" s="62" t="str">
        <f>IFERROR(__xludf.DUMMYFUNCTION("""COMPUTED_VALUE"""),"Dosage Sensitivity")</f>
        <v>Dosage Sensitivity</v>
      </c>
      <c r="L279" s="62"/>
      <c r="M279" s="62"/>
      <c r="N279" s="62"/>
      <c r="O279" s="62"/>
      <c r="P279" s="62"/>
      <c r="Q279" s="62"/>
      <c r="R279" s="62"/>
      <c r="S279" s="62"/>
      <c r="T279" s="62"/>
      <c r="U279" s="62"/>
      <c r="V279" s="62"/>
      <c r="W279" s="62"/>
      <c r="X279" s="62"/>
      <c r="Y279" s="62"/>
      <c r="Z279" s="62"/>
    </row>
    <row r="280">
      <c r="A280" s="62" t="str">
        <f>IFERROR(__xludf.DUMMYFUNCTION("""COMPUTED_VALUE"""),"Contacted")</f>
        <v>Contacted</v>
      </c>
      <c r="B280" s="81">
        <f>IFERROR(__xludf.DUMMYFUNCTION("""COMPUTED_VALUE"""),43819.0)</f>
        <v>43819</v>
      </c>
      <c r="C280" s="62" t="str">
        <f>IFERROR(__xludf.DUMMYFUNCTION("""COMPUTED_VALUE"""),"")</f>
        <v/>
      </c>
      <c r="D280" s="62" t="str">
        <f>IFERROR(__xludf.DUMMYFUNCTION("""COMPUTED_VALUE"""),"")</f>
        <v/>
      </c>
      <c r="E280" s="62" t="str">
        <f>IFERROR(__xludf.DUMMYFUNCTION("""COMPUTED_VALUE"""),"Variant Pathogenicity")</f>
        <v>Variant Pathogenicity</v>
      </c>
      <c r="F280" s="62" t="str">
        <f>IFERROR(__xludf.DUMMYFUNCTION("""COMPUTED_VALUE"""),"")</f>
        <v/>
      </c>
      <c r="G280" s="62" t="str">
        <f>IFERROR(__xludf.DUMMYFUNCTION("""COMPUTED_VALUE"""),"Celeste Bento")</f>
        <v>Celeste Bento</v>
      </c>
      <c r="H280" s="62" t="str">
        <f>IFERROR(__xludf.DUMMYFUNCTION("""COMPUTED_VALUE"""),"celeste.bento@chuc.min-saude.pt")</f>
        <v>celeste.bento@chuc.min-saude.pt</v>
      </c>
      <c r="I280" s="62" t="str">
        <f>IFERROR(__xludf.DUMMYFUNCTION("""COMPUTED_VALUE"""),"Clinical laboratory geneticist")</f>
        <v>Clinical laboratory geneticist</v>
      </c>
      <c r="J280" s="62"/>
      <c r="K280" s="62" t="str">
        <f>IFERROR(__xludf.DUMMYFUNCTION("""COMPUTED_VALUE"""),"Variant Pathogenicity")</f>
        <v>Variant Pathogenicity</v>
      </c>
      <c r="L280" s="62"/>
      <c r="M280" s="62"/>
      <c r="N280" s="62"/>
      <c r="O280" s="62"/>
      <c r="P280" s="62"/>
      <c r="Q280" s="62"/>
      <c r="R280" s="62"/>
      <c r="S280" s="62"/>
      <c r="T280" s="62"/>
      <c r="U280" s="62"/>
      <c r="V280" s="62"/>
      <c r="W280" s="62"/>
      <c r="X280" s="62"/>
      <c r="Y280" s="62"/>
      <c r="Z280" s="62"/>
    </row>
    <row r="281">
      <c r="A281" s="62" t="str">
        <f>IFERROR(__xludf.DUMMYFUNCTION("""COMPUTED_VALUE"""),"Unassigned")</f>
        <v>Unassigned</v>
      </c>
      <c r="B281" s="62" t="str">
        <f>IFERROR(__xludf.DUMMYFUNCTION("""COMPUTED_VALUE"""),"")</f>
        <v/>
      </c>
      <c r="C281" s="62" t="str">
        <f>IFERROR(__xludf.DUMMYFUNCTION("""COMPUTED_VALUE"""),"")</f>
        <v/>
      </c>
      <c r="D281" s="62" t="str">
        <f>IFERROR(__xludf.DUMMYFUNCTION("""COMPUTED_VALUE"""),"")</f>
        <v/>
      </c>
      <c r="E281" s="62" t="str">
        <f>IFERROR(__xludf.DUMMYFUNCTION("""COMPUTED_VALUE"""),"Somatic Cancer")</f>
        <v>Somatic Cancer</v>
      </c>
      <c r="F281" s="62" t="str">
        <f>IFERROR(__xludf.DUMMYFUNCTION("""COMPUTED_VALUE"""),"")</f>
        <v/>
      </c>
      <c r="G281" s="62" t="str">
        <f>IFERROR(__xludf.DUMMYFUNCTION("""COMPUTED_VALUE"""),"Gokce Toruner")</f>
        <v>Gokce Toruner</v>
      </c>
      <c r="H281" s="62" t="str">
        <f>IFERROR(__xludf.DUMMYFUNCTION("""COMPUTED_VALUE"""),"gatoruner@mdanderson.org")</f>
        <v>gatoruner@mdanderson.org</v>
      </c>
      <c r="I281" s="62" t="str">
        <f>IFERROR(__xludf.DUMMYFUNCTION("""COMPUTED_VALUE"""),"Clinical laboratory geneticist")</f>
        <v>Clinical laboratory geneticist</v>
      </c>
      <c r="J281" s="62"/>
      <c r="K281" s="62" t="str">
        <f>IFERROR(__xludf.DUMMYFUNCTION("""COMPUTED_VALUE"""),"Somatic Cancer")</f>
        <v>Somatic Cancer</v>
      </c>
      <c r="L281" s="62"/>
      <c r="M281" s="62"/>
      <c r="N281" s="62"/>
      <c r="O281" s="62"/>
      <c r="P281" s="62"/>
      <c r="Q281" s="62"/>
      <c r="R281" s="62"/>
      <c r="S281" s="62"/>
      <c r="T281" s="62"/>
      <c r="U281" s="62"/>
      <c r="V281" s="62"/>
      <c r="W281" s="62"/>
      <c r="X281" s="62"/>
      <c r="Y281" s="62"/>
      <c r="Z281" s="62"/>
    </row>
    <row r="282">
      <c r="A282" s="62" t="str">
        <f>IFERROR(__xludf.DUMMYFUNCTION("""COMPUTED_VALUE"""),"Assigned")</f>
        <v>Assigned</v>
      </c>
      <c r="B282" s="77">
        <f>IFERROR(__xludf.DUMMYFUNCTION("""COMPUTED_VALUE"""),44160.0)</f>
        <v>44160</v>
      </c>
      <c r="C282" s="77">
        <f>IFERROR(__xludf.DUMMYFUNCTION("""COMPUTED_VALUE"""),43859.0)</f>
        <v>43859</v>
      </c>
      <c r="D282" s="62" t="str">
        <f>IFERROR(__xludf.DUMMYFUNCTION("""COMPUTED_VALUE"""),"Yes")</f>
        <v>Yes</v>
      </c>
      <c r="E282" s="62" t="str">
        <f>IFERROR(__xludf.DUMMYFUNCTION("""COMPUTED_VALUE"""),"Actionability")</f>
        <v>Actionability</v>
      </c>
      <c r="F282" s="62" t="str">
        <f>IFERROR(__xludf.DUMMYFUNCTION("""COMPUTED_VALUE"""),"")</f>
        <v/>
      </c>
      <c r="G282" s="62" t="str">
        <f>IFERROR(__xludf.DUMMYFUNCTION("""COMPUTED_VALUE"""),"Larissa Waldman")</f>
        <v>Larissa Waldman</v>
      </c>
      <c r="H282" s="62" t="str">
        <f>IFERROR(__xludf.DUMMYFUNCTION("""COMPUTED_VALUE"""),"larissa.waldman@gmail.com")</f>
        <v>larissa.waldman@gmail.com</v>
      </c>
      <c r="I282" s="62" t="str">
        <f>IFERROR(__xludf.DUMMYFUNCTION("""COMPUTED_VALUE"""),"Genetic counselor")</f>
        <v>Genetic counselor</v>
      </c>
      <c r="J282" s="62"/>
      <c r="K282" s="62" t="str">
        <f>IFERROR(__xludf.DUMMYFUNCTION("""COMPUTED_VALUE"""),"Clinical Actionability")</f>
        <v>Clinical Actionability</v>
      </c>
      <c r="L282" s="62"/>
      <c r="M282" s="62"/>
      <c r="N282" s="62"/>
      <c r="O282" s="62"/>
      <c r="P282" s="62"/>
      <c r="Q282" s="62"/>
      <c r="R282" s="62"/>
      <c r="S282" s="62"/>
      <c r="T282" s="62"/>
      <c r="U282" s="62"/>
      <c r="V282" s="62"/>
      <c r="W282" s="62"/>
      <c r="X282" s="62"/>
      <c r="Y282" s="62"/>
      <c r="Z282" s="62"/>
    </row>
    <row r="283">
      <c r="A283" s="62" t="str">
        <f>IFERROR(__xludf.DUMMYFUNCTION("""COMPUTED_VALUE"""),"Contacted")</f>
        <v>Contacted</v>
      </c>
      <c r="B283" s="81">
        <f>IFERROR(__xludf.DUMMYFUNCTION("""COMPUTED_VALUE"""),43819.0)</f>
        <v>43819</v>
      </c>
      <c r="C283" s="106">
        <f>IFERROR(__xludf.DUMMYFUNCTION("""COMPUTED_VALUE"""),43859.0)</f>
        <v>43859</v>
      </c>
      <c r="D283" s="62" t="str">
        <f>IFERROR(__xludf.DUMMYFUNCTION("""COMPUTED_VALUE"""),"Yes")</f>
        <v>Yes</v>
      </c>
      <c r="E283" s="62" t="str">
        <f>IFERROR(__xludf.DUMMYFUNCTION("""COMPUTED_VALUE"""),"Variant Pathogenicity")</f>
        <v>Variant Pathogenicity</v>
      </c>
      <c r="F283" s="62" t="str">
        <f>IFERROR(__xludf.DUMMYFUNCTION("""COMPUTED_VALUE"""),"")</f>
        <v/>
      </c>
      <c r="G283" s="62" t="str">
        <f>IFERROR(__xludf.DUMMYFUNCTION("""COMPUTED_VALUE"""),"Prasad Rao Kopparapu")</f>
        <v>Prasad Rao Kopparapu</v>
      </c>
      <c r="H283" s="62" t="str">
        <f>IFERROR(__xludf.DUMMYFUNCTION("""COMPUTED_VALUE"""),"prasaad82@gmail.com")</f>
        <v>prasaad82@gmail.com</v>
      </c>
      <c r="I283" s="62" t="str">
        <f>IFERROR(__xludf.DUMMYFUNCTION("""COMPUTED_VALUE"""),"Post Doc/Resident/Fellow (MD and/or PhD)")</f>
        <v>Post Doc/Resident/Fellow (MD and/or PhD)</v>
      </c>
      <c r="J283" s="62"/>
      <c r="K283" s="62" t="str">
        <f>IFERROR(__xludf.DUMMYFUNCTION("""COMPUTED_VALUE"""),"Variant Pathogenicity")</f>
        <v>Variant Pathogenicity</v>
      </c>
      <c r="L283" s="62"/>
      <c r="M283" s="62"/>
      <c r="N283" s="62"/>
      <c r="O283" s="62"/>
      <c r="P283" s="62"/>
      <c r="Q283" s="62"/>
      <c r="R283" s="62"/>
      <c r="S283" s="62"/>
      <c r="T283" s="62"/>
      <c r="U283" s="62"/>
      <c r="V283" s="62"/>
      <c r="W283" s="62"/>
      <c r="X283" s="62"/>
      <c r="Y283" s="62"/>
      <c r="Z283" s="62"/>
    </row>
    <row r="284">
      <c r="A284" s="62" t="str">
        <f>IFERROR(__xludf.DUMMYFUNCTION("""COMPUTED_VALUE"""),"Contacted")</f>
        <v>Contacted</v>
      </c>
      <c r="B284" s="81">
        <f>IFERROR(__xludf.DUMMYFUNCTION("""COMPUTED_VALUE"""),43819.0)</f>
        <v>43819</v>
      </c>
      <c r="C284" s="62" t="str">
        <f>IFERROR(__xludf.DUMMYFUNCTION("""COMPUTED_VALUE"""),"")</f>
        <v/>
      </c>
      <c r="D284" s="62" t="str">
        <f>IFERROR(__xludf.DUMMYFUNCTION("""COMPUTED_VALUE"""),"")</f>
        <v/>
      </c>
      <c r="E284" s="62" t="str">
        <f>IFERROR(__xludf.DUMMYFUNCTION("""COMPUTED_VALUE"""),"Gene Disease Validity")</f>
        <v>Gene Disease Validity</v>
      </c>
      <c r="F284" s="62" t="str">
        <f>IFERROR(__xludf.DUMMYFUNCTION("""COMPUTED_VALUE"""),"")</f>
        <v/>
      </c>
      <c r="G284" s="62" t="str">
        <f>IFERROR(__xludf.DUMMYFUNCTION("""COMPUTED_VALUE"""),"Mansour Zamanpoor")</f>
        <v>Mansour Zamanpoor</v>
      </c>
      <c r="H284" s="62" t="str">
        <f>IFERROR(__xludf.DUMMYFUNCTION("""COMPUTED_VALUE"""),"mansour.zamanpoor@ccdhb.org.nz")</f>
        <v>mansour.zamanpoor@ccdhb.org.nz</v>
      </c>
      <c r="I284" s="62" t="str">
        <f>IFERROR(__xludf.DUMMYFUNCTION("""COMPUTED_VALUE"""),"Clinical laboratory geneticist")</f>
        <v>Clinical laboratory geneticist</v>
      </c>
      <c r="J284" s="62"/>
      <c r="K284" s="62" t="str">
        <f>IFERROR(__xludf.DUMMYFUNCTION("""COMPUTED_VALUE"""),"Gene-Disease Validity")</f>
        <v>Gene-Disease Validity</v>
      </c>
      <c r="L284" s="62"/>
      <c r="M284" s="62"/>
      <c r="N284" s="62"/>
      <c r="O284" s="62"/>
      <c r="P284" s="62"/>
      <c r="Q284" s="62"/>
      <c r="R284" s="62"/>
      <c r="S284" s="62"/>
      <c r="T284" s="62"/>
      <c r="U284" s="62"/>
      <c r="V284" s="62"/>
      <c r="W284" s="62"/>
      <c r="X284" s="62"/>
      <c r="Y284" s="62"/>
      <c r="Z284" s="62"/>
    </row>
    <row r="285">
      <c r="A285" s="62" t="str">
        <f>IFERROR(__xludf.DUMMYFUNCTION("""COMPUTED_VALUE"""),"Assigned")</f>
        <v>Assigned</v>
      </c>
      <c r="B285" s="77">
        <f>IFERROR(__xludf.DUMMYFUNCTION("""COMPUTED_VALUE"""),43808.0)</f>
        <v>43808</v>
      </c>
      <c r="C285" s="77">
        <f>IFERROR(__xludf.DUMMYFUNCTION("""COMPUTED_VALUE"""),43859.0)</f>
        <v>43859</v>
      </c>
      <c r="D285" s="62" t="str">
        <f>IFERROR(__xludf.DUMMYFUNCTION("""COMPUTED_VALUE"""),"Yes")</f>
        <v>Yes</v>
      </c>
      <c r="E285" s="62" t="str">
        <f>IFERROR(__xludf.DUMMYFUNCTION("""COMPUTED_VALUE"""),"Actionability")</f>
        <v>Actionability</v>
      </c>
      <c r="F285" s="62" t="str">
        <f>IFERROR(__xludf.DUMMYFUNCTION("""COMPUTED_VALUE"""),"")</f>
        <v/>
      </c>
      <c r="G285" s="62" t="str">
        <f>IFERROR(__xludf.DUMMYFUNCTION("""COMPUTED_VALUE"""),"Mark Shlapobersky")</f>
        <v>Mark Shlapobersky</v>
      </c>
      <c r="H285" s="62" t="str">
        <f>IFERROR(__xludf.DUMMYFUNCTION("""COMPUTED_VALUE"""),"marks@bmc.gov.il")</f>
        <v>marks@bmc.gov.il</v>
      </c>
      <c r="I285" s="62" t="str">
        <f>IFERROR(__xludf.DUMMYFUNCTION("""COMPUTED_VALUE"""),"Director of Pathology lab")</f>
        <v>Director of Pathology lab</v>
      </c>
      <c r="J285" s="62"/>
      <c r="K285" s="62" t="str">
        <f>IFERROR(__xludf.DUMMYFUNCTION("""COMPUTED_VALUE"""),"Clinical Actionability")</f>
        <v>Clinical Actionability</v>
      </c>
      <c r="L285" s="62"/>
      <c r="M285" s="62"/>
      <c r="N285" s="62"/>
      <c r="O285" s="62"/>
      <c r="P285" s="62"/>
      <c r="Q285" s="62"/>
      <c r="R285" s="62"/>
      <c r="S285" s="62"/>
      <c r="T285" s="62"/>
      <c r="U285" s="62"/>
      <c r="V285" s="62"/>
      <c r="W285" s="62"/>
      <c r="X285" s="62"/>
      <c r="Y285" s="62"/>
      <c r="Z285" s="62"/>
    </row>
    <row r="286">
      <c r="A286" s="62" t="str">
        <f>IFERROR(__xludf.DUMMYFUNCTION("""COMPUTED_VALUE"""),"Contacted")</f>
        <v>Contacted</v>
      </c>
      <c r="B286" s="81">
        <f>IFERROR(__xludf.DUMMYFUNCTION("""COMPUTED_VALUE"""),43819.0)</f>
        <v>43819</v>
      </c>
      <c r="C286" s="106">
        <f>IFERROR(__xludf.DUMMYFUNCTION("""COMPUTED_VALUE"""),43846.0)</f>
        <v>43846</v>
      </c>
      <c r="D286" s="62" t="str">
        <f>IFERROR(__xludf.DUMMYFUNCTION("""COMPUTED_VALUE"""),"Yes")</f>
        <v>Yes</v>
      </c>
      <c r="E286" s="62" t="str">
        <f>IFERROR(__xludf.DUMMYFUNCTION("""COMPUTED_VALUE"""),"Gene Disease Validity")</f>
        <v>Gene Disease Validity</v>
      </c>
      <c r="F286" s="62" t="str">
        <f>IFERROR(__xludf.DUMMYFUNCTION("""COMPUTED_VALUE"""),"")</f>
        <v/>
      </c>
      <c r="G286" s="62" t="str">
        <f>IFERROR(__xludf.DUMMYFUNCTION("""COMPUTED_VALUE"""),"Marie-Luise Brennan")</f>
        <v>Marie-Luise Brennan</v>
      </c>
      <c r="H286" s="62" t="str">
        <f>IFERROR(__xludf.DUMMYFUNCTION("""COMPUTED_VALUE"""),"mbrennan@acmg.net")</f>
        <v>mbrennan@acmg.net</v>
      </c>
      <c r="I286" s="62" t="str">
        <f>IFERROR(__xludf.DUMMYFUNCTION("""COMPUTED_VALUE"""),"Clinical Medical Geneticist")</f>
        <v>Clinical Medical Geneticist</v>
      </c>
      <c r="J286" s="62"/>
      <c r="K286" s="62" t="str">
        <f>IFERROR(__xludf.DUMMYFUNCTION("""COMPUTED_VALUE"""),"Gene-Disease Validity")</f>
        <v>Gene-Disease Validity</v>
      </c>
      <c r="L286" s="62"/>
      <c r="M286" s="62"/>
      <c r="N286" s="62"/>
      <c r="O286" s="62"/>
      <c r="P286" s="62"/>
      <c r="Q286" s="62"/>
      <c r="R286" s="62"/>
      <c r="S286" s="62"/>
      <c r="T286" s="62"/>
      <c r="U286" s="62"/>
      <c r="V286" s="62"/>
      <c r="W286" s="62"/>
      <c r="X286" s="62"/>
      <c r="Y286" s="62"/>
      <c r="Z286" s="62"/>
    </row>
    <row r="287">
      <c r="A287" s="62" t="str">
        <f>IFERROR(__xludf.DUMMYFUNCTION("""COMPUTED_VALUE"""),"Contacted")</f>
        <v>Contacted</v>
      </c>
      <c r="B287" s="81">
        <f>IFERROR(__xludf.DUMMYFUNCTION("""COMPUTED_VALUE"""),43819.0)</f>
        <v>43819</v>
      </c>
      <c r="C287" s="106">
        <f>IFERROR(__xludf.DUMMYFUNCTION("""COMPUTED_VALUE"""),43859.0)</f>
        <v>43859</v>
      </c>
      <c r="D287" s="62" t="str">
        <f>IFERROR(__xludf.DUMMYFUNCTION("""COMPUTED_VALUE"""),"Yes")</f>
        <v>Yes</v>
      </c>
      <c r="E287" s="62" t="str">
        <f>IFERROR(__xludf.DUMMYFUNCTION("""COMPUTED_VALUE"""),"Variant Pathogenicity")</f>
        <v>Variant Pathogenicity</v>
      </c>
      <c r="F287" s="62" t="str">
        <f>IFERROR(__xludf.DUMMYFUNCTION("""COMPUTED_VALUE"""),"")</f>
        <v/>
      </c>
      <c r="G287" s="62" t="str">
        <f>IFERROR(__xludf.DUMMYFUNCTION("""COMPUTED_VALUE"""),"Shawn Gessay")</f>
        <v>Shawn Gessay</v>
      </c>
      <c r="H287" s="62" t="str">
        <f>IFERROR(__xludf.DUMMYFUNCTION("""COMPUTED_VALUE"""),"gessays75@gmail.com")</f>
        <v>gessays75@gmail.com</v>
      </c>
      <c r="I287" s="62" t="str">
        <f>IFERROR(__xludf.DUMMYFUNCTION("""COMPUTED_VALUE"""),"Genetic counselor")</f>
        <v>Genetic counselor</v>
      </c>
      <c r="J287" s="62"/>
      <c r="K287" s="62" t="str">
        <f>IFERROR(__xludf.DUMMYFUNCTION("""COMPUTED_VALUE"""),"Variant Pathogenicity")</f>
        <v>Variant Pathogenicity</v>
      </c>
      <c r="L287" s="62"/>
      <c r="M287" s="62"/>
      <c r="N287" s="62"/>
      <c r="O287" s="62"/>
      <c r="P287" s="62"/>
      <c r="Q287" s="62"/>
      <c r="R287" s="62"/>
      <c r="S287" s="62"/>
      <c r="T287" s="62"/>
      <c r="U287" s="62"/>
      <c r="V287" s="62"/>
      <c r="W287" s="62"/>
      <c r="X287" s="62"/>
      <c r="Y287" s="62"/>
      <c r="Z287" s="62"/>
    </row>
    <row r="288">
      <c r="A288" s="62" t="str">
        <f>IFERROR(__xludf.DUMMYFUNCTION("""COMPUTED_VALUE"""),"Contacted")</f>
        <v>Contacted</v>
      </c>
      <c r="B288" s="81">
        <f>IFERROR(__xludf.DUMMYFUNCTION("""COMPUTED_VALUE"""),43819.0)</f>
        <v>43819</v>
      </c>
      <c r="C288" s="106">
        <f>IFERROR(__xludf.DUMMYFUNCTION("""COMPUTED_VALUE"""),43859.0)</f>
        <v>43859</v>
      </c>
      <c r="D288" s="62" t="str">
        <f>IFERROR(__xludf.DUMMYFUNCTION("""COMPUTED_VALUE"""),"Yes")</f>
        <v>Yes</v>
      </c>
      <c r="E288" s="62" t="str">
        <f>IFERROR(__xludf.DUMMYFUNCTION("""COMPUTED_VALUE"""),"Variant Pathogenicity")</f>
        <v>Variant Pathogenicity</v>
      </c>
      <c r="F288" s="62" t="str">
        <f>IFERROR(__xludf.DUMMYFUNCTION("""COMPUTED_VALUE"""),"")</f>
        <v/>
      </c>
      <c r="G288" s="62" t="str">
        <f>IFERROR(__xludf.DUMMYFUNCTION("""COMPUTED_VALUE"""),"Angela Hoang")</f>
        <v>Angela Hoang</v>
      </c>
      <c r="H288" s="62" t="str">
        <f>IFERROR(__xludf.DUMMYFUNCTION("""COMPUTED_VALUE"""),"ahoang18@students.kgi.edu")</f>
        <v>ahoang18@students.kgi.edu</v>
      </c>
      <c r="I288" s="62" t="str">
        <f>IFERROR(__xludf.DUMMYFUNCTION("""COMPUTED_VALUE"""),"Graduate Student")</f>
        <v>Graduate Student</v>
      </c>
      <c r="J288" s="62"/>
      <c r="K288" s="62" t="str">
        <f>IFERROR(__xludf.DUMMYFUNCTION("""COMPUTED_VALUE"""),"Variant Pathogenicity")</f>
        <v>Variant Pathogenicity</v>
      </c>
      <c r="L288" s="62"/>
      <c r="M288" s="62"/>
      <c r="N288" s="62"/>
      <c r="O288" s="62"/>
      <c r="P288" s="62"/>
      <c r="Q288" s="62"/>
      <c r="R288" s="62"/>
      <c r="S288" s="62"/>
      <c r="T288" s="62"/>
      <c r="U288" s="62"/>
      <c r="V288" s="62"/>
      <c r="W288" s="62"/>
      <c r="X288" s="62"/>
      <c r="Y288" s="62"/>
      <c r="Z288" s="62"/>
    </row>
    <row r="289">
      <c r="A289" s="62" t="str">
        <f>IFERROR(__xludf.DUMMYFUNCTION("""COMPUTED_VALUE"""),"Contacted")</f>
        <v>Contacted</v>
      </c>
      <c r="B289" s="81">
        <f>IFERROR(__xludf.DUMMYFUNCTION("""COMPUTED_VALUE"""),43819.0)</f>
        <v>43819</v>
      </c>
      <c r="C289" s="106">
        <f>IFERROR(__xludf.DUMMYFUNCTION("""COMPUTED_VALUE"""),43859.0)</f>
        <v>43859</v>
      </c>
      <c r="D289" s="62" t="str">
        <f>IFERROR(__xludf.DUMMYFUNCTION("""COMPUTED_VALUE"""),"Yes")</f>
        <v>Yes</v>
      </c>
      <c r="E289" s="62" t="str">
        <f>IFERROR(__xludf.DUMMYFUNCTION("""COMPUTED_VALUE"""),"Variant Pathogenicity")</f>
        <v>Variant Pathogenicity</v>
      </c>
      <c r="F289" s="62" t="str">
        <f>IFERROR(__xludf.DUMMYFUNCTION("""COMPUTED_VALUE"""),"")</f>
        <v/>
      </c>
      <c r="G289" s="62" t="str">
        <f>IFERROR(__xludf.DUMMYFUNCTION("""COMPUTED_VALUE"""),"Poornima Vijayan")</f>
        <v>Poornima Vijayan</v>
      </c>
      <c r="H289" s="62" t="str">
        <f>IFERROR(__xludf.DUMMYFUNCTION("""COMPUTED_VALUE"""),"poornima2785@gmail.com")</f>
        <v>poornima2785@gmail.com</v>
      </c>
      <c r="I289" s="62" t="str">
        <f>IFERROR(__xludf.DUMMYFUNCTION("""COMPUTED_VALUE"""),"Graduate Student")</f>
        <v>Graduate Student</v>
      </c>
      <c r="J289" s="62"/>
      <c r="K289" s="62" t="str">
        <f>IFERROR(__xludf.DUMMYFUNCTION("""COMPUTED_VALUE"""),"Variant Pathogenicity")</f>
        <v>Variant Pathogenicity</v>
      </c>
      <c r="L289" s="62"/>
      <c r="M289" s="62"/>
      <c r="N289" s="62"/>
      <c r="O289" s="62"/>
      <c r="P289" s="62"/>
      <c r="Q289" s="62"/>
      <c r="R289" s="62"/>
      <c r="S289" s="62"/>
      <c r="T289" s="62"/>
      <c r="U289" s="62"/>
      <c r="V289" s="62"/>
      <c r="W289" s="62"/>
      <c r="X289" s="62"/>
      <c r="Y289" s="62"/>
      <c r="Z289" s="62"/>
    </row>
    <row r="290">
      <c r="A290" s="62" t="str">
        <f>IFERROR(__xludf.DUMMYFUNCTION("""COMPUTED_VALUE"""),"Contacted")</f>
        <v>Contacted</v>
      </c>
      <c r="B290" s="81">
        <f>IFERROR(__xludf.DUMMYFUNCTION("""COMPUTED_VALUE"""),43819.0)</f>
        <v>43819</v>
      </c>
      <c r="C290" s="106">
        <f>IFERROR(__xludf.DUMMYFUNCTION("""COMPUTED_VALUE"""),43846.0)</f>
        <v>43846</v>
      </c>
      <c r="D290" s="62" t="str">
        <f>IFERROR(__xludf.DUMMYFUNCTION("""COMPUTED_VALUE"""),"Yes")</f>
        <v>Yes</v>
      </c>
      <c r="E290" s="62" t="str">
        <f>IFERROR(__xludf.DUMMYFUNCTION("""COMPUTED_VALUE"""),"Gene Disease Validity")</f>
        <v>Gene Disease Validity</v>
      </c>
      <c r="F290" s="62" t="str">
        <f>IFERROR(__xludf.DUMMYFUNCTION("""COMPUTED_VALUE"""),"")</f>
        <v/>
      </c>
      <c r="G290" s="62" t="str">
        <f>IFERROR(__xludf.DUMMYFUNCTION("""COMPUTED_VALUE"""),"Adriana Bastos Carvalho")</f>
        <v>Adriana Bastos Carvalho</v>
      </c>
      <c r="H290" s="62" t="str">
        <f>IFERROR(__xludf.DUMMYFUNCTION("""COMPUTED_VALUE"""),"carvalhoab@biof.ufrj.br")</f>
        <v>carvalhoab@biof.ufrj.br</v>
      </c>
      <c r="I290" s="62" t="str">
        <f>IFERROR(__xludf.DUMMYFUNCTION("""COMPUTED_VALUE"""),"Scientific Researcher")</f>
        <v>Scientific Researcher</v>
      </c>
      <c r="J290" s="62"/>
      <c r="K290" s="62" t="str">
        <f>IFERROR(__xludf.DUMMYFUNCTION("""COMPUTED_VALUE"""),"Gene-Disease Validity")</f>
        <v>Gene-Disease Validity</v>
      </c>
      <c r="L290" s="62"/>
      <c r="M290" s="62"/>
      <c r="N290" s="62"/>
      <c r="O290" s="62"/>
      <c r="P290" s="62"/>
      <c r="Q290" s="62"/>
      <c r="R290" s="62"/>
      <c r="S290" s="62"/>
      <c r="T290" s="62"/>
      <c r="U290" s="62"/>
      <c r="V290" s="62"/>
      <c r="W290" s="62"/>
      <c r="X290" s="62"/>
      <c r="Y290" s="62"/>
      <c r="Z290" s="62"/>
    </row>
    <row r="291">
      <c r="A291" s="62" t="str">
        <f>IFERROR(__xludf.DUMMYFUNCTION("""COMPUTED_VALUE"""),"Contacted")</f>
        <v>Contacted</v>
      </c>
      <c r="B291" s="81">
        <f>IFERROR(__xludf.DUMMYFUNCTION("""COMPUTED_VALUE"""),43819.0)</f>
        <v>43819</v>
      </c>
      <c r="C291" s="62" t="str">
        <f>IFERROR(__xludf.DUMMYFUNCTION("""COMPUTED_VALUE"""),"")</f>
        <v/>
      </c>
      <c r="D291" s="62" t="str">
        <f>IFERROR(__xludf.DUMMYFUNCTION("""COMPUTED_VALUE"""),"")</f>
        <v/>
      </c>
      <c r="E291" s="62" t="str">
        <f>IFERROR(__xludf.DUMMYFUNCTION("""COMPUTED_VALUE"""),"Gene Disease Validity")</f>
        <v>Gene Disease Validity</v>
      </c>
      <c r="F291" s="62" t="str">
        <f>IFERROR(__xludf.DUMMYFUNCTION("""COMPUTED_VALUE"""),"")</f>
        <v/>
      </c>
      <c r="G291" s="62" t="str">
        <f>IFERROR(__xludf.DUMMYFUNCTION("""COMPUTED_VALUE"""),"Megan Puckelwartz")</f>
        <v>Megan Puckelwartz</v>
      </c>
      <c r="H291" s="62" t="str">
        <f>IFERROR(__xludf.DUMMYFUNCTION("""COMPUTED_VALUE"""),"m.puckelwartz@northwestern.edu")</f>
        <v>m.puckelwartz@northwestern.edu</v>
      </c>
      <c r="I291" s="62" t="str">
        <f>IFERROR(__xludf.DUMMYFUNCTION("""COMPUTED_VALUE"""),"Scientific Researcher")</f>
        <v>Scientific Researcher</v>
      </c>
      <c r="J291" s="62"/>
      <c r="K291" s="62" t="str">
        <f>IFERROR(__xludf.DUMMYFUNCTION("""COMPUTED_VALUE"""),"Gene-Disease Validity")</f>
        <v>Gene-Disease Validity</v>
      </c>
      <c r="L291" s="62"/>
      <c r="M291" s="62"/>
      <c r="N291" s="62"/>
      <c r="O291" s="62"/>
      <c r="P291" s="62"/>
      <c r="Q291" s="62"/>
      <c r="R291" s="62"/>
      <c r="S291" s="62"/>
      <c r="T291" s="62"/>
      <c r="U291" s="62"/>
      <c r="V291" s="62"/>
      <c r="W291" s="62"/>
      <c r="X291" s="62"/>
      <c r="Y291" s="62"/>
      <c r="Z291" s="62"/>
    </row>
    <row r="292">
      <c r="A292" s="62" t="str">
        <f>IFERROR(__xludf.DUMMYFUNCTION("""COMPUTED_VALUE"""),"Unassigned")</f>
        <v>Unassigned</v>
      </c>
      <c r="B292" s="62" t="str">
        <f>IFERROR(__xludf.DUMMYFUNCTION("""COMPUTED_VALUE"""),"")</f>
        <v/>
      </c>
      <c r="C292" s="62" t="str">
        <f>IFERROR(__xludf.DUMMYFUNCTION("""COMPUTED_VALUE"""),"")</f>
        <v/>
      </c>
      <c r="D292" s="62" t="str">
        <f>IFERROR(__xludf.DUMMYFUNCTION("""COMPUTED_VALUE"""),"")</f>
        <v/>
      </c>
      <c r="E292" s="62" t="str">
        <f>IFERROR(__xludf.DUMMYFUNCTION("""COMPUTED_VALUE"""),"Somatic Cancer")</f>
        <v>Somatic Cancer</v>
      </c>
      <c r="F292" s="62" t="str">
        <f>IFERROR(__xludf.DUMMYFUNCTION("""COMPUTED_VALUE"""),"")</f>
        <v/>
      </c>
      <c r="G292" s="62" t="str">
        <f>IFERROR(__xludf.DUMMYFUNCTION("""COMPUTED_VALUE"""),"Nicole Hinceman")</f>
        <v>Nicole Hinceman</v>
      </c>
      <c r="H292" s="62" t="str">
        <f>IFERROR(__xludf.DUMMYFUNCTION("""COMPUTED_VALUE"""),"nhinceman@genedx.com")</f>
        <v>nhinceman@genedx.com</v>
      </c>
      <c r="I292" s="62" t="str">
        <f>IFERROR(__xludf.DUMMYFUNCTION("""COMPUTED_VALUE"""),"Prospective Genetic Counseling Student &amp; Variant Analyst (currently a Genetic Counseling Assistant)")</f>
        <v>Prospective Genetic Counseling Student &amp; Variant Analyst (currently a Genetic Counseling Assistant)</v>
      </c>
      <c r="J292" s="62"/>
      <c r="K292" s="62" t="str">
        <f>IFERROR(__xludf.DUMMYFUNCTION("""COMPUTED_VALUE"""),"Somatic Cancer")</f>
        <v>Somatic Cancer</v>
      </c>
      <c r="L292" s="62"/>
      <c r="M292" s="62"/>
      <c r="N292" s="62"/>
      <c r="O292" s="62"/>
      <c r="P292" s="62"/>
      <c r="Q292" s="62"/>
      <c r="R292" s="62"/>
      <c r="S292" s="62"/>
      <c r="T292" s="62"/>
      <c r="U292" s="62"/>
      <c r="V292" s="62"/>
      <c r="W292" s="62"/>
      <c r="X292" s="62"/>
      <c r="Y292" s="62"/>
      <c r="Z292" s="62"/>
    </row>
    <row r="293">
      <c r="A293" s="62" t="str">
        <f>IFERROR(__xludf.DUMMYFUNCTION("""COMPUTED_VALUE"""),"Unassigned")</f>
        <v>Unassigned</v>
      </c>
      <c r="B293" s="62" t="str">
        <f>IFERROR(__xludf.DUMMYFUNCTION("""COMPUTED_VALUE"""),"")</f>
        <v/>
      </c>
      <c r="C293" s="62" t="str">
        <f>IFERROR(__xludf.DUMMYFUNCTION("""COMPUTED_VALUE"""),"")</f>
        <v/>
      </c>
      <c r="D293" s="62" t="str">
        <f>IFERROR(__xludf.DUMMYFUNCTION("""COMPUTED_VALUE"""),"")</f>
        <v/>
      </c>
      <c r="E293" s="62" t="str">
        <f>IFERROR(__xludf.DUMMYFUNCTION("""COMPUTED_VALUE"""),"NA")</f>
        <v>NA</v>
      </c>
      <c r="F293" s="62" t="str">
        <f>IFERROR(__xludf.DUMMYFUNCTION("""COMPUTED_VALUE"""),"")</f>
        <v/>
      </c>
      <c r="G293" s="62" t="str">
        <f>IFERROR(__xludf.DUMMYFUNCTION("""COMPUTED_VALUE"""),"Ekaterini Iordanou")</f>
        <v>Ekaterini Iordanou</v>
      </c>
      <c r="H293" s="62" t="str">
        <f>IFERROR(__xludf.DUMMYFUNCTION("""COMPUTED_VALUE"""),"iordanoue@childrensdayton.org")</f>
        <v>iordanoue@childrensdayton.org</v>
      </c>
      <c r="I293" s="62" t="str">
        <f>IFERROR(__xludf.DUMMYFUNCTION("""COMPUTED_VALUE"""),"Clinical laboratory geneticist")</f>
        <v>Clinical laboratory geneticist</v>
      </c>
      <c r="J293" s="62"/>
      <c r="K293" s="62" t="str">
        <f>IFERROR(__xludf.DUMMYFUNCTION("""COMPUTED_VALUE"""),"Dosage Sensitivity")</f>
        <v>Dosage Sensitivity</v>
      </c>
      <c r="L293" s="62"/>
      <c r="M293" s="62"/>
      <c r="N293" s="62"/>
      <c r="O293" s="62"/>
      <c r="P293" s="62"/>
      <c r="Q293" s="62"/>
      <c r="R293" s="62"/>
      <c r="S293" s="62"/>
      <c r="T293" s="62"/>
      <c r="U293" s="62"/>
      <c r="V293" s="62"/>
      <c r="W293" s="62"/>
      <c r="X293" s="62"/>
      <c r="Y293" s="62"/>
      <c r="Z293" s="62"/>
    </row>
    <row r="294">
      <c r="A294" s="62" t="str">
        <f>IFERROR(__xludf.DUMMYFUNCTION("""COMPUTED_VALUE"""),"Contacted")</f>
        <v>Contacted</v>
      </c>
      <c r="B294" s="62" t="str">
        <f>IFERROR(__xludf.DUMMYFUNCTION("""COMPUTED_VALUE"""),"")</f>
        <v/>
      </c>
      <c r="C294" s="62" t="str">
        <f>IFERROR(__xludf.DUMMYFUNCTION("""COMPUTED_VALUE"""),"")</f>
        <v/>
      </c>
      <c r="D294" s="62" t="str">
        <f>IFERROR(__xludf.DUMMYFUNCTION("""COMPUTED_VALUE"""),"")</f>
        <v/>
      </c>
      <c r="E294" s="62" t="str">
        <f>IFERROR(__xludf.DUMMYFUNCTION("""COMPUTED_VALUE"""),"Actionability")</f>
        <v>Actionability</v>
      </c>
      <c r="F294" s="62" t="str">
        <f>IFERROR(__xludf.DUMMYFUNCTION("""COMPUTED_VALUE"""),"")</f>
        <v/>
      </c>
      <c r="G294" s="62" t="str">
        <f>IFERROR(__xludf.DUMMYFUNCTION("""COMPUTED_VALUE"""),"Laurie Connors")</f>
        <v>Laurie Connors</v>
      </c>
      <c r="H294" s="62" t="str">
        <f>IFERROR(__xludf.DUMMYFUNCTION("""COMPUTED_VALUE"""),"laurie.m.connors@vanderbilt.edu")</f>
        <v>laurie.m.connors@vanderbilt.edu</v>
      </c>
      <c r="I294" s="62" t="str">
        <f>IFERROR(__xludf.DUMMYFUNCTION("""COMPUTED_VALUE"""),"Clinical geneticist, Genetic Nurse Practitioner")</f>
        <v>Clinical geneticist, Genetic Nurse Practitioner</v>
      </c>
      <c r="J294" s="62"/>
      <c r="K294" s="62" t="str">
        <f>IFERROR(__xludf.DUMMYFUNCTION("""COMPUTED_VALUE"""),"Clinical Actionability")</f>
        <v>Clinical Actionability</v>
      </c>
      <c r="L294" s="62"/>
      <c r="M294" s="62"/>
      <c r="N294" s="62"/>
      <c r="O294" s="62"/>
      <c r="P294" s="62"/>
      <c r="Q294" s="62"/>
      <c r="R294" s="62"/>
      <c r="S294" s="62"/>
      <c r="T294" s="62"/>
      <c r="U294" s="62"/>
      <c r="V294" s="62"/>
      <c r="W294" s="62"/>
      <c r="X294" s="62"/>
      <c r="Y294" s="62"/>
      <c r="Z294" s="62"/>
    </row>
    <row r="295">
      <c r="A295" s="62" t="str">
        <f>IFERROR(__xludf.DUMMYFUNCTION("""COMPUTED_VALUE"""),"Contacted")</f>
        <v>Contacted</v>
      </c>
      <c r="B295" s="81">
        <f>IFERROR(__xludf.DUMMYFUNCTION("""COMPUTED_VALUE"""),43819.0)</f>
        <v>43819</v>
      </c>
      <c r="C295" s="106">
        <f>IFERROR(__xludf.DUMMYFUNCTION("""COMPUTED_VALUE"""),43846.0)</f>
        <v>43846</v>
      </c>
      <c r="D295" s="62" t="str">
        <f>IFERROR(__xludf.DUMMYFUNCTION("""COMPUTED_VALUE"""),"Yes")</f>
        <v>Yes</v>
      </c>
      <c r="E295" s="62" t="str">
        <f>IFERROR(__xludf.DUMMYFUNCTION("""COMPUTED_VALUE"""),"Gene Disease Validity")</f>
        <v>Gene Disease Validity</v>
      </c>
      <c r="F295" s="62" t="str">
        <f>IFERROR(__xludf.DUMMYFUNCTION("""COMPUTED_VALUE"""),"")</f>
        <v/>
      </c>
      <c r="G295" s="62" t="str">
        <f>IFERROR(__xludf.DUMMYFUNCTION("""COMPUTED_VALUE"""),"Tess Levy")</f>
        <v>Tess Levy</v>
      </c>
      <c r="H295" s="62" t="str">
        <f>IFERROR(__xludf.DUMMYFUNCTION("""COMPUTED_VALUE"""),"tess.levy@mssm.edu")</f>
        <v>tess.levy@mssm.edu</v>
      </c>
      <c r="I295" s="62" t="str">
        <f>IFERROR(__xludf.DUMMYFUNCTION("""COMPUTED_VALUE"""),"Genetic counselor")</f>
        <v>Genetic counselor</v>
      </c>
      <c r="J295" s="62"/>
      <c r="K295" s="62" t="str">
        <f>IFERROR(__xludf.DUMMYFUNCTION("""COMPUTED_VALUE"""),"Gene-Disease Validity")</f>
        <v>Gene-Disease Validity</v>
      </c>
      <c r="L295" s="62"/>
      <c r="M295" s="62"/>
      <c r="N295" s="62"/>
      <c r="O295" s="62"/>
      <c r="P295" s="62"/>
      <c r="Q295" s="62"/>
      <c r="R295" s="62"/>
      <c r="S295" s="62"/>
      <c r="T295" s="62"/>
      <c r="U295" s="62"/>
      <c r="V295" s="62"/>
      <c r="W295" s="62"/>
      <c r="X295" s="62"/>
      <c r="Y295" s="62"/>
      <c r="Z295" s="62"/>
    </row>
    <row r="296">
      <c r="A296" s="62" t="str">
        <f>IFERROR(__xludf.DUMMYFUNCTION("""COMPUTED_VALUE"""),"Contacted")</f>
        <v>Contacted</v>
      </c>
      <c r="B296" s="81">
        <f>IFERROR(__xludf.DUMMYFUNCTION("""COMPUTED_VALUE"""),43819.0)</f>
        <v>43819</v>
      </c>
      <c r="C296" s="106">
        <f>IFERROR(__xludf.DUMMYFUNCTION("""COMPUTED_VALUE"""),43846.0)</f>
        <v>43846</v>
      </c>
      <c r="D296" s="62" t="str">
        <f>IFERROR(__xludf.DUMMYFUNCTION("""COMPUTED_VALUE"""),"Yes")</f>
        <v>Yes</v>
      </c>
      <c r="E296" s="62" t="str">
        <f>IFERROR(__xludf.DUMMYFUNCTION("""COMPUTED_VALUE"""),"Gene Disease Validity")</f>
        <v>Gene Disease Validity</v>
      </c>
      <c r="F296" s="62" t="str">
        <f>IFERROR(__xludf.DUMMYFUNCTION("""COMPUTED_VALUE"""),"")</f>
        <v/>
      </c>
      <c r="G296" s="62" t="str">
        <f>IFERROR(__xludf.DUMMYFUNCTION("""COMPUTED_VALUE"""),"Xiaoyan Guo ")</f>
        <v>Xiaoyan Guo </v>
      </c>
      <c r="H296" s="62" t="str">
        <f>IFERROR(__xludf.DUMMYFUNCTION("""COMPUTED_VALUE"""),"540842557@qq.com")</f>
        <v>540842557@qq.com</v>
      </c>
      <c r="I296" s="62" t="str">
        <f>IFERROR(__xludf.DUMMYFUNCTION("""COMPUTED_VALUE"""),"Post Doc/Resident/Fellow (MD and/or PhD)")</f>
        <v>Post Doc/Resident/Fellow (MD and/or PhD)</v>
      </c>
      <c r="J296" s="62"/>
      <c r="K296" s="62" t="str">
        <f>IFERROR(__xludf.DUMMYFUNCTION("""COMPUTED_VALUE"""),"Gene-Disease Validity")</f>
        <v>Gene-Disease Validity</v>
      </c>
      <c r="L296" s="62"/>
      <c r="M296" s="62"/>
      <c r="N296" s="62"/>
      <c r="O296" s="62"/>
      <c r="P296" s="62"/>
      <c r="Q296" s="62"/>
      <c r="R296" s="62"/>
      <c r="S296" s="62"/>
      <c r="T296" s="62"/>
      <c r="U296" s="62"/>
      <c r="V296" s="62"/>
      <c r="W296" s="62"/>
      <c r="X296" s="62"/>
      <c r="Y296" s="62"/>
      <c r="Z296" s="62"/>
    </row>
    <row r="297">
      <c r="A297" s="62" t="str">
        <f>IFERROR(__xludf.DUMMYFUNCTION("""COMPUTED_VALUE"""),"Unassigned")</f>
        <v>Unassigned</v>
      </c>
      <c r="B297" s="62" t="str">
        <f>IFERROR(__xludf.DUMMYFUNCTION("""COMPUTED_VALUE"""),"")</f>
        <v/>
      </c>
      <c r="C297" s="62" t="str">
        <f>IFERROR(__xludf.DUMMYFUNCTION("""COMPUTED_VALUE"""),"")</f>
        <v/>
      </c>
      <c r="D297" s="62" t="str">
        <f>IFERROR(__xludf.DUMMYFUNCTION("""COMPUTED_VALUE"""),"")</f>
        <v/>
      </c>
      <c r="E297" s="62" t="str">
        <f>IFERROR(__xludf.DUMMYFUNCTION("""COMPUTED_VALUE"""),"NA")</f>
        <v>NA</v>
      </c>
      <c r="F297" s="62" t="str">
        <f>IFERROR(__xludf.DUMMYFUNCTION("""COMPUTED_VALUE"""),"")</f>
        <v/>
      </c>
      <c r="G297" s="62" t="str">
        <f>IFERROR(__xludf.DUMMYFUNCTION("""COMPUTED_VALUE"""),"Benjamin Clyde")</f>
        <v>Benjamin Clyde</v>
      </c>
      <c r="H297" s="62" t="str">
        <f>IFERROR(__xludf.DUMMYFUNCTION("""COMPUTED_VALUE"""),"benjamin.clyde@aruplab.com")</f>
        <v>benjamin.clyde@aruplab.com</v>
      </c>
      <c r="I297" s="62" t="str">
        <f>IFERROR(__xludf.DUMMYFUNCTION("""COMPUTED_VALUE"""),"Variant Analyst/Scientist - Industry")</f>
        <v>Variant Analyst/Scientist - Industry</v>
      </c>
      <c r="J297" s="62"/>
      <c r="K297" s="62" t="str">
        <f>IFERROR(__xludf.DUMMYFUNCTION("""COMPUTED_VALUE"""),"Dosage Sensitivity")</f>
        <v>Dosage Sensitivity</v>
      </c>
      <c r="L297" s="62"/>
      <c r="M297" s="62"/>
      <c r="N297" s="62"/>
      <c r="O297" s="62"/>
      <c r="P297" s="62"/>
      <c r="Q297" s="62"/>
      <c r="R297" s="62"/>
      <c r="S297" s="62"/>
      <c r="T297" s="62"/>
      <c r="U297" s="62"/>
      <c r="V297" s="62"/>
      <c r="W297" s="62"/>
      <c r="X297" s="62"/>
      <c r="Y297" s="62"/>
      <c r="Z297" s="62"/>
    </row>
    <row r="298">
      <c r="A298" s="62" t="str">
        <f>IFERROR(__xludf.DUMMYFUNCTION("""COMPUTED_VALUE"""),"Unassigned")</f>
        <v>Unassigned</v>
      </c>
      <c r="B298" s="62" t="str">
        <f>IFERROR(__xludf.DUMMYFUNCTION("""COMPUTED_VALUE"""),"")</f>
        <v/>
      </c>
      <c r="C298" s="62" t="str">
        <f>IFERROR(__xludf.DUMMYFUNCTION("""COMPUTED_VALUE"""),"")</f>
        <v/>
      </c>
      <c r="D298" s="62" t="str">
        <f>IFERROR(__xludf.DUMMYFUNCTION("""COMPUTED_VALUE"""),"")</f>
        <v/>
      </c>
      <c r="E298" s="62" t="str">
        <f>IFERROR(__xludf.DUMMYFUNCTION("""COMPUTED_VALUE"""),"Somatic Cancer")</f>
        <v>Somatic Cancer</v>
      </c>
      <c r="F298" s="62" t="str">
        <f>IFERROR(__xludf.DUMMYFUNCTION("""COMPUTED_VALUE"""),"")</f>
        <v/>
      </c>
      <c r="G298" s="62" t="str">
        <f>IFERROR(__xludf.DUMMYFUNCTION("""COMPUTED_VALUE"""),"cynthia chow")</f>
        <v>cynthia chow</v>
      </c>
      <c r="H298" s="62" t="str">
        <f>IFERROR(__xludf.DUMMYFUNCTION("""COMPUTED_VALUE"""),"cchow3@bccancer.bc.ca")</f>
        <v>cchow3@bccancer.bc.ca</v>
      </c>
      <c r="I298" s="62" t="str">
        <f>IFERROR(__xludf.DUMMYFUNCTION("""COMPUTED_VALUE"""),"Variant Analyst for an In-house Oncopanel and Myeloid Panels")</f>
        <v>Variant Analyst for an In-house Oncopanel and Myeloid Panels</v>
      </c>
      <c r="J298" s="62"/>
      <c r="K298" s="62" t="str">
        <f>IFERROR(__xludf.DUMMYFUNCTION("""COMPUTED_VALUE"""),"Somatic Cancer")</f>
        <v>Somatic Cancer</v>
      </c>
      <c r="L298" s="62"/>
      <c r="M298" s="62"/>
      <c r="N298" s="62"/>
      <c r="O298" s="62"/>
      <c r="P298" s="62"/>
      <c r="Q298" s="62"/>
      <c r="R298" s="62"/>
      <c r="S298" s="62"/>
      <c r="T298" s="62"/>
      <c r="U298" s="62"/>
      <c r="V298" s="62"/>
      <c r="W298" s="62"/>
      <c r="X298" s="62"/>
      <c r="Y298" s="62"/>
      <c r="Z298" s="62"/>
    </row>
    <row r="299">
      <c r="A299" s="62" t="str">
        <f>IFERROR(__xludf.DUMMYFUNCTION("""COMPUTED_VALUE"""),"Contacted")</f>
        <v>Contacted</v>
      </c>
      <c r="B299" s="81">
        <f>IFERROR(__xludf.DUMMYFUNCTION("""COMPUTED_VALUE"""),43819.0)</f>
        <v>43819</v>
      </c>
      <c r="C299" s="62" t="str">
        <f>IFERROR(__xludf.DUMMYFUNCTION("""COMPUTED_VALUE"""),"")</f>
        <v/>
      </c>
      <c r="D299" s="62" t="str">
        <f>IFERROR(__xludf.DUMMYFUNCTION("""COMPUTED_VALUE"""),"")</f>
        <v/>
      </c>
      <c r="E299" s="62" t="str">
        <f>IFERROR(__xludf.DUMMYFUNCTION("""COMPUTED_VALUE"""),"Gene Disease Validity")</f>
        <v>Gene Disease Validity</v>
      </c>
      <c r="F299" s="62" t="str">
        <f>IFERROR(__xludf.DUMMYFUNCTION("""COMPUTED_VALUE"""),"")</f>
        <v/>
      </c>
      <c r="G299" s="62" t="str">
        <f>IFERROR(__xludf.DUMMYFUNCTION("""COMPUTED_VALUE"""),"Marco Leung")</f>
        <v>Marco Leung</v>
      </c>
      <c r="H299" s="62" t="str">
        <f>IFERROR(__xludf.DUMMYFUNCTION("""COMPUTED_VALUE"""),"marcoleung@me.com")</f>
        <v>marcoleung@me.com</v>
      </c>
      <c r="I299" s="62" t="str">
        <f>IFERROR(__xludf.DUMMYFUNCTION("""COMPUTED_VALUE"""),"Clinical laboratory geneticist")</f>
        <v>Clinical laboratory geneticist</v>
      </c>
      <c r="J299" s="62"/>
      <c r="K299" s="62" t="str">
        <f>IFERROR(__xludf.DUMMYFUNCTION("""COMPUTED_VALUE"""),"Gene-Disease Validity")</f>
        <v>Gene-Disease Validity</v>
      </c>
      <c r="L299" s="62"/>
      <c r="M299" s="62"/>
      <c r="N299" s="62"/>
      <c r="O299" s="62"/>
      <c r="P299" s="62"/>
      <c r="Q299" s="62"/>
      <c r="R299" s="62"/>
      <c r="S299" s="62"/>
      <c r="T299" s="62"/>
      <c r="U299" s="62"/>
      <c r="V299" s="62"/>
      <c r="W299" s="62"/>
      <c r="X299" s="62"/>
      <c r="Y299" s="62"/>
      <c r="Z299" s="62"/>
    </row>
    <row r="300">
      <c r="A300" s="62" t="str">
        <f>IFERROR(__xludf.DUMMYFUNCTION("""COMPUTED_VALUE"""),"Contacted")</f>
        <v>Contacted</v>
      </c>
      <c r="B300" s="81">
        <f>IFERROR(__xludf.DUMMYFUNCTION("""COMPUTED_VALUE"""),43819.0)</f>
        <v>43819</v>
      </c>
      <c r="C300" s="106">
        <f>IFERROR(__xludf.DUMMYFUNCTION("""COMPUTED_VALUE"""),43846.0)</f>
        <v>43846</v>
      </c>
      <c r="D300" s="62" t="str">
        <f>IFERROR(__xludf.DUMMYFUNCTION("""COMPUTED_VALUE"""),"Yes")</f>
        <v>Yes</v>
      </c>
      <c r="E300" s="62" t="str">
        <f>IFERROR(__xludf.DUMMYFUNCTION("""COMPUTED_VALUE"""),"Gene Disease Validity")</f>
        <v>Gene Disease Validity</v>
      </c>
      <c r="F300" s="62" t="str">
        <f>IFERROR(__xludf.DUMMYFUNCTION("""COMPUTED_VALUE"""),"")</f>
        <v/>
      </c>
      <c r="G300" s="62" t="str">
        <f>IFERROR(__xludf.DUMMYFUNCTION("""COMPUTED_VALUE"""),"Thanuja Selvanayagam")</f>
        <v>Thanuja Selvanayagam</v>
      </c>
      <c r="H300" s="62" t="str">
        <f>IFERROR(__xludf.DUMMYFUNCTION("""COMPUTED_VALUE"""),"tselvanayagam@cheo.on.ca")</f>
        <v>tselvanayagam@cheo.on.ca</v>
      </c>
      <c r="I300" s="62" t="str">
        <f>IFERROR(__xludf.DUMMYFUNCTION("""COMPUTED_VALUE"""),"Genetic counselor")</f>
        <v>Genetic counselor</v>
      </c>
      <c r="J300" s="62"/>
      <c r="K300" s="62" t="str">
        <f>IFERROR(__xludf.DUMMYFUNCTION("""COMPUTED_VALUE"""),"Gene-Disease Validity")</f>
        <v>Gene-Disease Validity</v>
      </c>
      <c r="L300" s="62"/>
      <c r="M300" s="62"/>
      <c r="N300" s="62"/>
      <c r="O300" s="62"/>
      <c r="P300" s="62"/>
      <c r="Q300" s="62"/>
      <c r="R300" s="62"/>
      <c r="S300" s="62"/>
      <c r="T300" s="62"/>
      <c r="U300" s="62"/>
      <c r="V300" s="62"/>
      <c r="W300" s="62"/>
      <c r="X300" s="62"/>
      <c r="Y300" s="62"/>
      <c r="Z300" s="62"/>
    </row>
    <row r="301">
      <c r="A301" s="62" t="str">
        <f>IFERROR(__xludf.DUMMYFUNCTION("""COMPUTED_VALUE"""),"Assigned")</f>
        <v>Assigned</v>
      </c>
      <c r="B301" s="77">
        <f>IFERROR(__xludf.DUMMYFUNCTION("""COMPUTED_VALUE"""),43860.0)</f>
        <v>43860</v>
      </c>
      <c r="C301" s="62" t="str">
        <f>IFERROR(__xludf.DUMMYFUNCTION("""COMPUTED_VALUE"""),"")</f>
        <v/>
      </c>
      <c r="D301" s="62" t="str">
        <f>IFERROR(__xludf.DUMMYFUNCTION("""COMPUTED_VALUE"""),"")</f>
        <v/>
      </c>
      <c r="E301" s="62" t="str">
        <f>IFERROR(__xludf.DUMMYFUNCTION("""COMPUTED_VALUE"""),"Actionability")</f>
        <v>Actionability</v>
      </c>
      <c r="F301" s="62" t="str">
        <f>IFERROR(__xludf.DUMMYFUNCTION("""COMPUTED_VALUE"""),"")</f>
        <v/>
      </c>
      <c r="G301" s="62" t="str">
        <f>IFERROR(__xludf.DUMMYFUNCTION("""COMPUTED_VALUE"""),"Shrutika Jadhav")</f>
        <v>Shrutika Jadhav</v>
      </c>
      <c r="H301" s="62" t="str">
        <f>IFERROR(__xludf.DUMMYFUNCTION("""COMPUTED_VALUE"""),"shrutikajadhav18@gmail.com")</f>
        <v>shrutikajadhav18@gmail.com</v>
      </c>
      <c r="I301" s="62" t="str">
        <f>IFERROR(__xludf.DUMMYFUNCTION("""COMPUTED_VALUE"""),"Graduate Student")</f>
        <v>Graduate Student</v>
      </c>
      <c r="J301" s="62"/>
      <c r="K301" s="62" t="str">
        <f>IFERROR(__xludf.DUMMYFUNCTION("""COMPUTED_VALUE"""),"Clinical Actionability")</f>
        <v>Clinical Actionability</v>
      </c>
      <c r="L301" s="62"/>
      <c r="M301" s="62"/>
      <c r="N301" s="62"/>
      <c r="O301" s="62"/>
      <c r="P301" s="62"/>
      <c r="Q301" s="62"/>
      <c r="R301" s="62"/>
      <c r="S301" s="62"/>
      <c r="T301" s="62"/>
      <c r="U301" s="62"/>
      <c r="V301" s="62"/>
      <c r="W301" s="62"/>
      <c r="X301" s="62"/>
      <c r="Y301" s="62"/>
      <c r="Z301" s="62"/>
    </row>
    <row r="302">
      <c r="A302" s="62" t="str">
        <f>IFERROR(__xludf.DUMMYFUNCTION("""COMPUTED_VALUE"""),"Contacted")</f>
        <v>Contacted</v>
      </c>
      <c r="B302" s="81">
        <f>IFERROR(__xludf.DUMMYFUNCTION("""COMPUTED_VALUE"""),43838.0)</f>
        <v>43838</v>
      </c>
      <c r="C302" s="62" t="str">
        <f>IFERROR(__xludf.DUMMYFUNCTION("""COMPUTED_VALUE"""),"")</f>
        <v/>
      </c>
      <c r="D302" s="62" t="str">
        <f>IFERROR(__xludf.DUMMYFUNCTION("""COMPUTED_VALUE"""),"")</f>
        <v/>
      </c>
      <c r="E302" s="62" t="str">
        <f>IFERROR(__xludf.DUMMYFUNCTION("""COMPUTED_VALUE"""),"Gene Disease Validity")</f>
        <v>Gene Disease Validity</v>
      </c>
      <c r="F302" s="62" t="str">
        <f>IFERROR(__xludf.DUMMYFUNCTION("""COMPUTED_VALUE"""),"")</f>
        <v/>
      </c>
      <c r="G302" s="62" t="str">
        <f>IFERROR(__xludf.DUMMYFUNCTION("""COMPUTED_VALUE"""),"JACQUELINE BATANIAN")</f>
        <v>JACQUELINE BATANIAN</v>
      </c>
      <c r="H302" s="62" t="str">
        <f>IFERROR(__xludf.DUMMYFUNCTION("""COMPUTED_VALUE"""),"JACQUELINE.BATANIAN@HEALTH.SLU.EDU")</f>
        <v>JACQUELINE.BATANIAN@HEALTH.SLU.EDU</v>
      </c>
      <c r="I302" s="62" t="str">
        <f>IFERROR(__xludf.DUMMYFUNCTION("""COMPUTED_VALUE"""),"Clinical laboratory geneticist")</f>
        <v>Clinical laboratory geneticist</v>
      </c>
      <c r="J302" s="62"/>
      <c r="K302" s="62" t="str">
        <f>IFERROR(__xludf.DUMMYFUNCTION("""COMPUTED_VALUE"""),"Gene-Disease Validity")</f>
        <v>Gene-Disease Validity</v>
      </c>
      <c r="L302" s="62"/>
      <c r="M302" s="62"/>
      <c r="N302" s="62"/>
      <c r="O302" s="62"/>
      <c r="P302" s="62"/>
      <c r="Q302" s="62"/>
      <c r="R302" s="62"/>
      <c r="S302" s="62"/>
      <c r="T302" s="62"/>
      <c r="U302" s="62"/>
      <c r="V302" s="62"/>
      <c r="W302" s="62"/>
      <c r="X302" s="62"/>
      <c r="Y302" s="62"/>
      <c r="Z302" s="62"/>
    </row>
    <row r="303">
      <c r="A303" s="62" t="str">
        <f>IFERROR(__xludf.DUMMYFUNCTION("""COMPUTED_VALUE"""),"Unassigned")</f>
        <v>Unassigned</v>
      </c>
      <c r="B303" s="62" t="str">
        <f>IFERROR(__xludf.DUMMYFUNCTION("""COMPUTED_VALUE"""),"")</f>
        <v/>
      </c>
      <c r="C303" s="62" t="str">
        <f>IFERROR(__xludf.DUMMYFUNCTION("""COMPUTED_VALUE"""),"")</f>
        <v/>
      </c>
      <c r="D303" s="62" t="str">
        <f>IFERROR(__xludf.DUMMYFUNCTION("""COMPUTED_VALUE"""),"")</f>
        <v/>
      </c>
      <c r="E303" s="62" t="str">
        <f>IFERROR(__xludf.DUMMYFUNCTION("""COMPUTED_VALUE"""),"NA")</f>
        <v>NA</v>
      </c>
      <c r="F303" s="62" t="str">
        <f>IFERROR(__xludf.DUMMYFUNCTION("""COMPUTED_VALUE"""),"")</f>
        <v/>
      </c>
      <c r="G303" s="62" t="str">
        <f>IFERROR(__xludf.DUMMYFUNCTION("""COMPUTED_VALUE"""),"Nan Jiang")</f>
        <v>Nan Jiang</v>
      </c>
      <c r="H303" s="62" t="str">
        <f>IFERROR(__xludf.DUMMYFUNCTION("""COMPUTED_VALUE"""),"nj2421@cumc.columbia.edu")</f>
        <v>nj2421@cumc.columbia.edu</v>
      </c>
      <c r="I303" s="62" t="str">
        <f>IFERROR(__xludf.DUMMYFUNCTION("""COMPUTED_VALUE"""),"Post Doc/Resident/Fellow (MD and/or PhD)")</f>
        <v>Post Doc/Resident/Fellow (MD and/or PhD)</v>
      </c>
      <c r="J303" s="62"/>
      <c r="K303" s="62" t="str">
        <f>IFERROR(__xludf.DUMMYFUNCTION("""COMPUTED_VALUE"""),"Somatic Cancer")</f>
        <v>Somatic Cancer</v>
      </c>
      <c r="L303" s="62"/>
      <c r="M303" s="62"/>
      <c r="N303" s="62"/>
      <c r="O303" s="62"/>
      <c r="P303" s="62"/>
      <c r="Q303" s="62"/>
      <c r="R303" s="62"/>
      <c r="S303" s="62"/>
      <c r="T303" s="62"/>
      <c r="U303" s="62"/>
      <c r="V303" s="62"/>
      <c r="W303" s="62"/>
      <c r="X303" s="62"/>
      <c r="Y303" s="62"/>
      <c r="Z303" s="62"/>
    </row>
    <row r="304">
      <c r="A304" s="62" t="str">
        <f>IFERROR(__xludf.DUMMYFUNCTION("""COMPUTED_VALUE"""),"Unassigned")</f>
        <v>Unassigned</v>
      </c>
      <c r="B304" s="62" t="str">
        <f>IFERROR(__xludf.DUMMYFUNCTION("""COMPUTED_VALUE"""),"")</f>
        <v/>
      </c>
      <c r="C304" s="62" t="str">
        <f>IFERROR(__xludf.DUMMYFUNCTION("""COMPUTED_VALUE"""),"")</f>
        <v/>
      </c>
      <c r="D304" s="62" t="str">
        <f>IFERROR(__xludf.DUMMYFUNCTION("""COMPUTED_VALUE"""),"")</f>
        <v/>
      </c>
      <c r="E304" s="62" t="str">
        <f>IFERROR(__xludf.DUMMYFUNCTION("""COMPUTED_VALUE"""),"NA")</f>
        <v>NA</v>
      </c>
      <c r="F304" s="62" t="str">
        <f>IFERROR(__xludf.DUMMYFUNCTION("""COMPUTED_VALUE"""),"")</f>
        <v/>
      </c>
      <c r="G304" s="62" t="str">
        <f>IFERROR(__xludf.DUMMYFUNCTION("""COMPUTED_VALUE"""),"Jaime Nagy")</f>
        <v>Jaime Nagy</v>
      </c>
      <c r="H304" s="62" t="str">
        <f>IFERROR(__xludf.DUMMYFUNCTION("""COMPUTED_VALUE"""),"jaime-nagy@uiowa.edu")</f>
        <v>jaime-nagy@uiowa.edu</v>
      </c>
      <c r="I304" s="62" t="str">
        <f>IFERROR(__xludf.DUMMYFUNCTION("""COMPUTED_VALUE"""),"Clinical laboratory geneticist")</f>
        <v>Clinical laboratory geneticist</v>
      </c>
      <c r="J304" s="62"/>
      <c r="K304" s="62" t="str">
        <f>IFERROR(__xludf.DUMMYFUNCTION("""COMPUTED_VALUE"""),"Dosage Sensitivity")</f>
        <v>Dosage Sensitivity</v>
      </c>
      <c r="L304" s="62"/>
      <c r="M304" s="62"/>
      <c r="N304" s="62"/>
      <c r="O304" s="62"/>
      <c r="P304" s="62"/>
      <c r="Q304" s="62"/>
      <c r="R304" s="62"/>
      <c r="S304" s="62"/>
      <c r="T304" s="62"/>
      <c r="U304" s="62"/>
      <c r="V304" s="62"/>
      <c r="W304" s="62"/>
      <c r="X304" s="62"/>
      <c r="Y304" s="62"/>
      <c r="Z304" s="62"/>
    </row>
    <row r="305">
      <c r="A305" s="62" t="str">
        <f>IFERROR(__xludf.DUMMYFUNCTION("""COMPUTED_VALUE"""),"Unassigned")</f>
        <v>Unassigned</v>
      </c>
      <c r="B305" s="62" t="str">
        <f>IFERROR(__xludf.DUMMYFUNCTION("""COMPUTED_VALUE"""),"")</f>
        <v/>
      </c>
      <c r="C305" s="62" t="str">
        <f>IFERROR(__xludf.DUMMYFUNCTION("""COMPUTED_VALUE"""),"")</f>
        <v/>
      </c>
      <c r="D305" s="62" t="str">
        <f>IFERROR(__xludf.DUMMYFUNCTION("""COMPUTED_VALUE"""),"")</f>
        <v/>
      </c>
      <c r="E305" s="62" t="str">
        <f>IFERROR(__xludf.DUMMYFUNCTION("""COMPUTED_VALUE"""),"NA")</f>
        <v>NA</v>
      </c>
      <c r="F305" s="62" t="str">
        <f>IFERROR(__xludf.DUMMYFUNCTION("""COMPUTED_VALUE"""),"")</f>
        <v/>
      </c>
      <c r="G305" s="62" t="str">
        <f>IFERROR(__xludf.DUMMYFUNCTION("""COMPUTED_VALUE"""),"Indu Raja")</f>
        <v>Indu Raja</v>
      </c>
      <c r="H305" s="62" t="str">
        <f>IFERROR(__xludf.DUMMYFUNCTION("""COMPUTED_VALUE"""),"indudraja@gmail.com")</f>
        <v>indudraja@gmail.com</v>
      </c>
      <c r="I305" s="62" t="str">
        <f>IFERROR(__xludf.DUMMYFUNCTION("""COMPUTED_VALUE"""),"Laboratory Technologist")</f>
        <v>Laboratory Technologist</v>
      </c>
      <c r="J305" s="62"/>
      <c r="K305" s="62" t="str">
        <f>IFERROR(__xludf.DUMMYFUNCTION("""COMPUTED_VALUE"""),"Gene-Disease Validity")</f>
        <v>Gene-Disease Validity</v>
      </c>
      <c r="L305" s="62"/>
      <c r="M305" s="62"/>
      <c r="N305" s="62"/>
      <c r="O305" s="62"/>
      <c r="P305" s="62"/>
      <c r="Q305" s="62"/>
      <c r="R305" s="62"/>
      <c r="S305" s="62"/>
      <c r="T305" s="62"/>
      <c r="U305" s="62"/>
      <c r="V305" s="62"/>
      <c r="W305" s="62"/>
      <c r="X305" s="62"/>
      <c r="Y305" s="62"/>
      <c r="Z305" s="62"/>
    </row>
    <row r="306">
      <c r="A306" s="62" t="str">
        <f>IFERROR(__xludf.DUMMYFUNCTION("""COMPUTED_VALUE"""),"Contacted")</f>
        <v>Contacted</v>
      </c>
      <c r="B306" s="106">
        <f>IFERROR(__xludf.DUMMYFUNCTION("""COMPUTED_VALUE"""),43847.0)</f>
        <v>43847</v>
      </c>
      <c r="C306" s="106">
        <f>IFERROR(__xludf.DUMMYFUNCTION("""COMPUTED_VALUE"""),43859.0)</f>
        <v>43859</v>
      </c>
      <c r="D306" s="62" t="str">
        <f>IFERROR(__xludf.DUMMYFUNCTION("""COMPUTED_VALUE"""),"Yes")</f>
        <v>Yes</v>
      </c>
      <c r="E306" s="62" t="str">
        <f>IFERROR(__xludf.DUMMYFUNCTION("""COMPUTED_VALUE"""),"Variant Pathogenicity")</f>
        <v>Variant Pathogenicity</v>
      </c>
      <c r="F306" s="62" t="str">
        <f>IFERROR(__xludf.DUMMYFUNCTION("""COMPUTED_VALUE"""),"")</f>
        <v/>
      </c>
      <c r="G306" s="62" t="str">
        <f>IFERROR(__xludf.DUMMYFUNCTION("""COMPUTED_VALUE"""),"Kendrah Kidd")</f>
        <v>Kendrah Kidd</v>
      </c>
      <c r="H306" s="62" t="str">
        <f>IFERROR(__xludf.DUMMYFUNCTION("""COMPUTED_VALUE"""),"kkidd@wakehealth.edu")</f>
        <v>kkidd@wakehealth.edu</v>
      </c>
      <c r="I306" s="62" t="str">
        <f>IFERROR(__xludf.DUMMYFUNCTION("""COMPUTED_VALUE"""),"Scientific Researcher")</f>
        <v>Scientific Researcher</v>
      </c>
      <c r="J306" s="62"/>
      <c r="K306" s="62" t="str">
        <f>IFERROR(__xludf.DUMMYFUNCTION("""COMPUTED_VALUE"""),"Variant Pathogenicity")</f>
        <v>Variant Pathogenicity</v>
      </c>
      <c r="L306" s="62"/>
      <c r="M306" s="62"/>
      <c r="N306" s="62"/>
      <c r="O306" s="62"/>
      <c r="P306" s="62"/>
      <c r="Q306" s="62"/>
      <c r="R306" s="62"/>
      <c r="S306" s="62"/>
      <c r="T306" s="62"/>
      <c r="U306" s="62"/>
      <c r="V306" s="62"/>
      <c r="W306" s="62"/>
      <c r="X306" s="62"/>
      <c r="Y306" s="62"/>
      <c r="Z306" s="62"/>
    </row>
    <row r="307">
      <c r="A307" s="62" t="str">
        <f>IFERROR(__xludf.DUMMYFUNCTION("""COMPUTED_VALUE"""),"Unassigned")</f>
        <v>Unassigned</v>
      </c>
      <c r="B307" s="62" t="str">
        <f>IFERROR(__xludf.DUMMYFUNCTION("""COMPUTED_VALUE"""),"")</f>
        <v/>
      </c>
      <c r="C307" s="62" t="str">
        <f>IFERROR(__xludf.DUMMYFUNCTION("""COMPUTED_VALUE"""),"")</f>
        <v/>
      </c>
      <c r="D307" s="62" t="str">
        <f>IFERROR(__xludf.DUMMYFUNCTION("""COMPUTED_VALUE"""),"")</f>
        <v/>
      </c>
      <c r="E307" s="62" t="str">
        <f>IFERROR(__xludf.DUMMYFUNCTION("""COMPUTED_VALUE"""),"NA")</f>
        <v>NA</v>
      </c>
      <c r="F307" s="62" t="str">
        <f>IFERROR(__xludf.DUMMYFUNCTION("""COMPUTED_VALUE"""),"")</f>
        <v/>
      </c>
      <c r="G307" s="62" t="str">
        <f>IFERROR(__xludf.DUMMYFUNCTION("""COMPUTED_VALUE"""),"Joanne Adelberg")</f>
        <v>Joanne Adelberg</v>
      </c>
      <c r="H307" s="62" t="str">
        <f>IFERROR(__xludf.DUMMYFUNCTION("""COMPUTED_VALUE"""),"joanneadelberg@gmail.com")</f>
        <v>joanneadelberg@gmail.com</v>
      </c>
      <c r="I307" s="62" t="str">
        <f>IFERROR(__xludf.DUMMYFUNCTION("""COMPUTED_VALUE"""),"Scientific Researcher")</f>
        <v>Scientific Researcher</v>
      </c>
      <c r="J307" s="62"/>
      <c r="K307" s="62" t="str">
        <f>IFERROR(__xludf.DUMMYFUNCTION("""COMPUTED_VALUE"""),"Gene-Disease Validity")</f>
        <v>Gene-Disease Validity</v>
      </c>
      <c r="L307" s="62"/>
      <c r="M307" s="62"/>
      <c r="N307" s="62"/>
      <c r="O307" s="62"/>
      <c r="P307" s="62"/>
      <c r="Q307" s="62"/>
      <c r="R307" s="62"/>
      <c r="S307" s="62"/>
      <c r="T307" s="62"/>
      <c r="U307" s="62"/>
      <c r="V307" s="62"/>
      <c r="W307" s="62"/>
      <c r="X307" s="62"/>
      <c r="Y307" s="62"/>
      <c r="Z307" s="62"/>
    </row>
    <row r="308">
      <c r="A308" s="62" t="str">
        <f>IFERROR(__xludf.DUMMYFUNCTION("""COMPUTED_VALUE"""),"Contacted")</f>
        <v>Contacted</v>
      </c>
      <c r="B308" s="62" t="str">
        <f>IFERROR(__xludf.DUMMYFUNCTION("""COMPUTED_VALUE"""),"")</f>
        <v/>
      </c>
      <c r="C308" s="106">
        <f>IFERROR(__xludf.DUMMYFUNCTION("""COMPUTED_VALUE"""),43846.0)</f>
        <v>43846</v>
      </c>
      <c r="D308" s="62" t="str">
        <f>IFERROR(__xludf.DUMMYFUNCTION("""COMPUTED_VALUE"""),"Yes")</f>
        <v>Yes</v>
      </c>
      <c r="E308" s="62" t="str">
        <f>IFERROR(__xludf.DUMMYFUNCTION("""COMPUTED_VALUE"""),"Gene Disease Validity")</f>
        <v>Gene Disease Validity</v>
      </c>
      <c r="F308" s="62" t="str">
        <f>IFERROR(__xludf.DUMMYFUNCTION("""COMPUTED_VALUE"""),"")</f>
        <v/>
      </c>
      <c r="G308" s="62" t="str">
        <f>IFERROR(__xludf.DUMMYFUNCTION("""COMPUTED_VALUE"""),"Julie Hathaway")</f>
        <v>Julie Hathaway</v>
      </c>
      <c r="H308" s="62" t="str">
        <f>IFERROR(__xludf.DUMMYFUNCTION("""COMPUTED_VALUE"""),"julie.hathaway@blueprintgenetics.com")</f>
        <v>julie.hathaway@blueprintgenetics.com</v>
      </c>
      <c r="I308" s="62" t="str">
        <f>IFERROR(__xludf.DUMMYFUNCTION("""COMPUTED_VALUE"""),"Genetic counselor")</f>
        <v>Genetic counselor</v>
      </c>
      <c r="J308" s="62"/>
      <c r="K308" s="62" t="str">
        <f>IFERROR(__xludf.DUMMYFUNCTION("""COMPUTED_VALUE"""),"Gene-Disease Validity")</f>
        <v>Gene-Disease Validity</v>
      </c>
      <c r="L308" s="62"/>
      <c r="M308" s="62"/>
      <c r="N308" s="62"/>
      <c r="O308" s="62"/>
      <c r="P308" s="62"/>
      <c r="Q308" s="62"/>
      <c r="R308" s="62"/>
      <c r="S308" s="62"/>
      <c r="T308" s="62"/>
      <c r="U308" s="62"/>
      <c r="V308" s="62"/>
      <c r="W308" s="62"/>
      <c r="X308" s="62"/>
      <c r="Y308" s="62"/>
      <c r="Z308" s="62"/>
    </row>
    <row r="309">
      <c r="A309" s="62" t="str">
        <f>IFERROR(__xludf.DUMMYFUNCTION("""COMPUTED_VALUE"""),"Contacted")</f>
        <v>Contacted</v>
      </c>
      <c r="B309" s="62" t="str">
        <f>IFERROR(__xludf.DUMMYFUNCTION("""COMPUTED_VALUE"""),"")</f>
        <v/>
      </c>
      <c r="C309" s="106">
        <f>IFERROR(__xludf.DUMMYFUNCTION("""COMPUTED_VALUE"""),43846.0)</f>
        <v>43846</v>
      </c>
      <c r="D309" s="62" t="str">
        <f>IFERROR(__xludf.DUMMYFUNCTION("""COMPUTED_VALUE"""),"Yes")</f>
        <v>Yes</v>
      </c>
      <c r="E309" s="62" t="str">
        <f>IFERROR(__xludf.DUMMYFUNCTION("""COMPUTED_VALUE"""),"Gene Disease Validity")</f>
        <v>Gene Disease Validity</v>
      </c>
      <c r="F309" s="62" t="str">
        <f>IFERROR(__xludf.DUMMYFUNCTION("""COMPUTED_VALUE"""),"")</f>
        <v/>
      </c>
      <c r="G309" s="62" t="str">
        <f>IFERROR(__xludf.DUMMYFUNCTION("""COMPUTED_VALUE"""),"Devon Thrush")</f>
        <v>Devon Thrush</v>
      </c>
      <c r="H309" s="62" t="str">
        <f>IFERROR(__xludf.DUMMYFUNCTION("""COMPUTED_VALUE"""),"dthrush@ambrygen.com")</f>
        <v>dthrush@ambrygen.com</v>
      </c>
      <c r="I309" s="62" t="str">
        <f>IFERROR(__xludf.DUMMYFUNCTION("""COMPUTED_VALUE"""),"Genetic counselor")</f>
        <v>Genetic counselor</v>
      </c>
      <c r="J309" s="62"/>
      <c r="K309" s="62" t="str">
        <f>IFERROR(__xludf.DUMMYFUNCTION("""COMPUTED_VALUE"""),"Gene-Disease Validity")</f>
        <v>Gene-Disease Validity</v>
      </c>
      <c r="L309" s="62"/>
      <c r="M309" s="62"/>
      <c r="N309" s="62"/>
      <c r="O309" s="62"/>
      <c r="P309" s="62"/>
      <c r="Q309" s="62"/>
      <c r="R309" s="62"/>
      <c r="S309" s="62"/>
      <c r="T309" s="62"/>
      <c r="U309" s="62"/>
      <c r="V309" s="62"/>
      <c r="W309" s="62"/>
      <c r="X309" s="62"/>
      <c r="Y309" s="62"/>
      <c r="Z309" s="62"/>
    </row>
    <row r="310">
      <c r="A310" s="62" t="str">
        <f>IFERROR(__xludf.DUMMYFUNCTION("""COMPUTED_VALUE"""),"Contacted")</f>
        <v>Contacted</v>
      </c>
      <c r="B310" s="106">
        <f>IFERROR(__xludf.DUMMYFUNCTION("""COMPUTED_VALUE"""),43482.0)</f>
        <v>43482</v>
      </c>
      <c r="C310" s="106">
        <f>IFERROR(__xludf.DUMMYFUNCTION("""COMPUTED_VALUE"""),43859.0)</f>
        <v>43859</v>
      </c>
      <c r="D310" s="62" t="str">
        <f>IFERROR(__xludf.DUMMYFUNCTION("""COMPUTED_VALUE"""),"Yes")</f>
        <v>Yes</v>
      </c>
      <c r="E310" s="62" t="str">
        <f>IFERROR(__xludf.DUMMYFUNCTION("""COMPUTED_VALUE"""),"Variant Pathogenicity")</f>
        <v>Variant Pathogenicity</v>
      </c>
      <c r="F310" s="62" t="str">
        <f>IFERROR(__xludf.DUMMYFUNCTION("""COMPUTED_VALUE"""),"")</f>
        <v/>
      </c>
      <c r="G310" s="62" t="str">
        <f>IFERROR(__xludf.DUMMYFUNCTION("""COMPUTED_VALUE"""),"Adriana Bastos Carvalho")</f>
        <v>Adriana Bastos Carvalho</v>
      </c>
      <c r="H310" s="62" t="str">
        <f>IFERROR(__xludf.DUMMYFUNCTION("""COMPUTED_VALUE"""),"carvalhoab@biof.ufrj.br")</f>
        <v>carvalhoab@biof.ufrj.br</v>
      </c>
      <c r="I310" s="62" t="str">
        <f>IFERROR(__xludf.DUMMYFUNCTION("""COMPUTED_VALUE"""),"Scientific Researcher")</f>
        <v>Scientific Researcher</v>
      </c>
      <c r="J310" s="62"/>
      <c r="K310" s="62" t="str">
        <f>IFERROR(__xludf.DUMMYFUNCTION("""COMPUTED_VALUE"""),"Variant Pathogenicity")</f>
        <v>Variant Pathogenicity</v>
      </c>
      <c r="L310" s="62"/>
      <c r="M310" s="62"/>
      <c r="N310" s="62"/>
      <c r="O310" s="62"/>
      <c r="P310" s="62"/>
      <c r="Q310" s="62"/>
      <c r="R310" s="62"/>
      <c r="S310" s="62"/>
      <c r="T310" s="62"/>
      <c r="U310" s="62"/>
      <c r="V310" s="62"/>
      <c r="W310" s="62"/>
      <c r="X310" s="62"/>
      <c r="Y310" s="62"/>
      <c r="Z310" s="62"/>
    </row>
    <row r="311">
      <c r="A311" s="62" t="str">
        <f>IFERROR(__xludf.DUMMYFUNCTION("""COMPUTED_VALUE"""),"Contacted")</f>
        <v>Contacted</v>
      </c>
      <c r="B311" s="62" t="str">
        <f>IFERROR(__xludf.DUMMYFUNCTION("""COMPUTED_VALUE"""),"")</f>
        <v/>
      </c>
      <c r="C311" s="106">
        <f>IFERROR(__xludf.DUMMYFUNCTION("""COMPUTED_VALUE"""),43846.0)</f>
        <v>43846</v>
      </c>
      <c r="D311" s="62" t="str">
        <f>IFERROR(__xludf.DUMMYFUNCTION("""COMPUTED_VALUE"""),"Yes")</f>
        <v>Yes</v>
      </c>
      <c r="E311" s="62" t="str">
        <f>IFERROR(__xludf.DUMMYFUNCTION("""COMPUTED_VALUE"""),"Gene Disease Validity")</f>
        <v>Gene Disease Validity</v>
      </c>
      <c r="F311" s="62" t="str">
        <f>IFERROR(__xludf.DUMMYFUNCTION("""COMPUTED_VALUE"""),"")</f>
        <v/>
      </c>
      <c r="G311" s="62" t="str">
        <f>IFERROR(__xludf.DUMMYFUNCTION("""COMPUTED_VALUE"""),"Shiloh Martin")</f>
        <v>Shiloh Martin</v>
      </c>
      <c r="H311" s="62" t="str">
        <f>IFERROR(__xludf.DUMMYFUNCTION("""COMPUTED_VALUE"""),"shiloh.martin@invitae.com")</f>
        <v>shiloh.martin@invitae.com</v>
      </c>
      <c r="I311" s="62" t="str">
        <f>IFERROR(__xludf.DUMMYFUNCTION("""COMPUTED_VALUE"""),"Variant Analyst/Scientist - Industry")</f>
        <v>Variant Analyst/Scientist - Industry</v>
      </c>
      <c r="J311" s="62"/>
      <c r="K311" s="62" t="str">
        <f>IFERROR(__xludf.DUMMYFUNCTION("""COMPUTED_VALUE"""),"Gene-Disease Validity")</f>
        <v>Gene-Disease Validity</v>
      </c>
      <c r="L311" s="62"/>
      <c r="M311" s="62"/>
      <c r="N311" s="62"/>
      <c r="O311" s="62"/>
      <c r="P311" s="62"/>
      <c r="Q311" s="62"/>
      <c r="R311" s="62"/>
      <c r="S311" s="62"/>
      <c r="T311" s="62"/>
      <c r="U311" s="62"/>
      <c r="V311" s="62"/>
      <c r="W311" s="62"/>
      <c r="X311" s="62"/>
      <c r="Y311" s="62"/>
      <c r="Z311" s="62"/>
    </row>
    <row r="312">
      <c r="A312" s="62" t="str">
        <f>IFERROR(__xludf.DUMMYFUNCTION("""COMPUTED_VALUE"""),"Unassigned")</f>
        <v>Unassigned</v>
      </c>
      <c r="B312" s="62" t="str">
        <f>IFERROR(__xludf.DUMMYFUNCTION("""COMPUTED_VALUE"""),"")</f>
        <v/>
      </c>
      <c r="C312" s="62" t="str">
        <f>IFERROR(__xludf.DUMMYFUNCTION("""COMPUTED_VALUE"""),"")</f>
        <v/>
      </c>
      <c r="D312" s="62" t="str">
        <f>IFERROR(__xludf.DUMMYFUNCTION("""COMPUTED_VALUE"""),"")</f>
        <v/>
      </c>
      <c r="E312" s="62" t="str">
        <f>IFERROR(__xludf.DUMMYFUNCTION("""COMPUTED_VALUE"""),"NA")</f>
        <v>NA</v>
      </c>
      <c r="F312" s="62" t="str">
        <f>IFERROR(__xludf.DUMMYFUNCTION("""COMPUTED_VALUE"""),"")</f>
        <v/>
      </c>
      <c r="G312" s="62" t="str">
        <f>IFERROR(__xludf.DUMMYFUNCTION("""COMPUTED_VALUE"""),"Jennifer Holle")</f>
        <v>Jennifer Holle</v>
      </c>
      <c r="H312" s="62" t="str">
        <f>IFERROR(__xludf.DUMMYFUNCTION("""COMPUTED_VALUE"""),"jennifer.holle@invitae.com")</f>
        <v>jennifer.holle@invitae.com</v>
      </c>
      <c r="I312" s="62" t="str">
        <f>IFERROR(__xludf.DUMMYFUNCTION("""COMPUTED_VALUE"""),"Variant Analyst/Scientist - Industry")</f>
        <v>Variant Analyst/Scientist - Industry</v>
      </c>
      <c r="J312" s="62"/>
      <c r="K312" s="62" t="str">
        <f>IFERROR(__xludf.DUMMYFUNCTION("""COMPUTED_VALUE"""),"Gene-Disease Validity")</f>
        <v>Gene-Disease Validity</v>
      </c>
      <c r="L312" s="62"/>
      <c r="M312" s="62"/>
      <c r="N312" s="62"/>
      <c r="O312" s="62"/>
      <c r="P312" s="62"/>
      <c r="Q312" s="62"/>
      <c r="R312" s="62"/>
      <c r="S312" s="62"/>
      <c r="T312" s="62"/>
      <c r="U312" s="62"/>
      <c r="V312" s="62"/>
      <c r="W312" s="62"/>
      <c r="X312" s="62"/>
      <c r="Y312" s="62"/>
      <c r="Z312" s="62"/>
    </row>
    <row r="313">
      <c r="A313" s="62" t="str">
        <f>IFERROR(__xludf.DUMMYFUNCTION("""COMPUTED_VALUE"""),"Unassigned")</f>
        <v>Unassigned</v>
      </c>
      <c r="B313" s="62" t="str">
        <f>IFERROR(__xludf.DUMMYFUNCTION("""COMPUTED_VALUE"""),"")</f>
        <v/>
      </c>
      <c r="C313" s="62" t="str">
        <f>IFERROR(__xludf.DUMMYFUNCTION("""COMPUTED_VALUE"""),"")</f>
        <v/>
      </c>
      <c r="D313" s="62" t="str">
        <f>IFERROR(__xludf.DUMMYFUNCTION("""COMPUTED_VALUE"""),"")</f>
        <v/>
      </c>
      <c r="E313" s="62" t="str">
        <f>IFERROR(__xludf.DUMMYFUNCTION("""COMPUTED_VALUE"""),"NA")</f>
        <v>NA</v>
      </c>
      <c r="F313" s="62" t="str">
        <f>IFERROR(__xludf.DUMMYFUNCTION("""COMPUTED_VALUE"""),"")</f>
        <v/>
      </c>
      <c r="G313" s="62" t="str">
        <f>IFERROR(__xludf.DUMMYFUNCTION("""COMPUTED_VALUE"""),"Emily Hansen-Kiss")</f>
        <v>Emily Hansen-Kiss</v>
      </c>
      <c r="H313" s="62" t="str">
        <f>IFERROR(__xludf.DUMMYFUNCTION("""COMPUTED_VALUE"""),"Emily.HansenKiss@uth.tmc.edu")</f>
        <v>Emily.HansenKiss@uth.tmc.edu</v>
      </c>
      <c r="I313" s="62" t="str">
        <f>IFERROR(__xludf.DUMMYFUNCTION("""COMPUTED_VALUE"""),"Genetic counselor")</f>
        <v>Genetic counselor</v>
      </c>
      <c r="J313" s="62"/>
      <c r="K313" s="62" t="str">
        <f>IFERROR(__xludf.DUMMYFUNCTION("""COMPUTED_VALUE"""),"Variant Pathogenicity")</f>
        <v>Variant Pathogenicity</v>
      </c>
      <c r="L313" s="62"/>
      <c r="M313" s="62"/>
      <c r="N313" s="62"/>
      <c r="O313" s="62"/>
      <c r="P313" s="62"/>
      <c r="Q313" s="62"/>
      <c r="R313" s="62"/>
      <c r="S313" s="62"/>
      <c r="T313" s="62"/>
      <c r="U313" s="62"/>
      <c r="V313" s="62"/>
      <c r="W313" s="62"/>
      <c r="X313" s="62"/>
      <c r="Y313" s="62"/>
      <c r="Z313" s="62"/>
    </row>
    <row r="314">
      <c r="A314" s="62" t="str">
        <f>IFERROR(__xludf.DUMMYFUNCTION("""COMPUTED_VALUE"""),"Unassigned")</f>
        <v>Unassigned</v>
      </c>
      <c r="B314" s="62" t="str">
        <f>IFERROR(__xludf.DUMMYFUNCTION("""COMPUTED_VALUE"""),"")</f>
        <v/>
      </c>
      <c r="C314" s="62" t="str">
        <f>IFERROR(__xludf.DUMMYFUNCTION("""COMPUTED_VALUE"""),"")</f>
        <v/>
      </c>
      <c r="D314" s="62" t="str">
        <f>IFERROR(__xludf.DUMMYFUNCTION("""COMPUTED_VALUE"""),"")</f>
        <v/>
      </c>
      <c r="E314" s="62" t="str">
        <f>IFERROR(__xludf.DUMMYFUNCTION("""COMPUTED_VALUE"""),"NA")</f>
        <v>NA</v>
      </c>
      <c r="F314" s="62" t="str">
        <f>IFERROR(__xludf.DUMMYFUNCTION("""COMPUTED_VALUE"""),"")</f>
        <v/>
      </c>
      <c r="G314" s="62" t="str">
        <f>IFERROR(__xludf.DUMMYFUNCTION("""COMPUTED_VALUE"""),"Chitra Chandrasekaran")</f>
        <v>Chitra Chandrasekaran</v>
      </c>
      <c r="H314" s="62" t="str">
        <f>IFERROR(__xludf.DUMMYFUNCTION("""COMPUTED_VALUE"""),"cchandrasekaran@txwes.edu")</f>
        <v>cchandrasekaran@txwes.edu</v>
      </c>
      <c r="I314" s="62" t="str">
        <f>IFERROR(__xludf.DUMMYFUNCTION("""COMPUTED_VALUE"""),"Biology Professor")</f>
        <v>Biology Professor</v>
      </c>
      <c r="J314" s="62"/>
      <c r="K314" s="62" t="str">
        <f>IFERROR(__xludf.DUMMYFUNCTION("""COMPUTED_VALUE"""),"Gene-Disease Validity")</f>
        <v>Gene-Disease Validity</v>
      </c>
      <c r="L314" s="62"/>
      <c r="M314" s="62"/>
      <c r="N314" s="62"/>
      <c r="O314" s="62"/>
      <c r="P314" s="62"/>
      <c r="Q314" s="62"/>
      <c r="R314" s="62"/>
      <c r="S314" s="62"/>
      <c r="T314" s="62"/>
      <c r="U314" s="62"/>
      <c r="V314" s="62"/>
      <c r="W314" s="62"/>
      <c r="X314" s="62"/>
      <c r="Y314" s="62"/>
      <c r="Z314" s="62"/>
    </row>
    <row r="315">
      <c r="A315" s="62" t="str">
        <f>IFERROR(__xludf.DUMMYFUNCTION("""COMPUTED_VALUE"""),"Unassigned")</f>
        <v>Unassigned</v>
      </c>
      <c r="B315" s="62" t="str">
        <f>IFERROR(__xludf.DUMMYFUNCTION("""COMPUTED_VALUE"""),"")</f>
        <v/>
      </c>
      <c r="C315" s="62" t="str">
        <f>IFERROR(__xludf.DUMMYFUNCTION("""COMPUTED_VALUE"""),"")</f>
        <v/>
      </c>
      <c r="D315" s="62" t="str">
        <f>IFERROR(__xludf.DUMMYFUNCTION("""COMPUTED_VALUE"""),"")</f>
        <v/>
      </c>
      <c r="E315" s="62" t="str">
        <f>IFERROR(__xludf.DUMMYFUNCTION("""COMPUTED_VALUE"""),"NA")</f>
        <v>NA</v>
      </c>
      <c r="F315" s="62" t="str">
        <f>IFERROR(__xludf.DUMMYFUNCTION("""COMPUTED_VALUE"""),"")</f>
        <v/>
      </c>
      <c r="G315" s="62" t="str">
        <f>IFERROR(__xludf.DUMMYFUNCTION("""COMPUTED_VALUE"""),"Silke Waap")</f>
        <v>Silke Waap</v>
      </c>
      <c r="H315" s="62" t="str">
        <f>IFERROR(__xludf.DUMMYFUNCTION("""COMPUTED_VALUE"""),"silkewaap@gmail.com")</f>
        <v>silkewaap@gmail.com</v>
      </c>
      <c r="I315" s="62" t="str">
        <f>IFERROR(__xludf.DUMMYFUNCTION("""COMPUTED_VALUE"""),"Scientific Researcher")</f>
        <v>Scientific Researcher</v>
      </c>
      <c r="J315" s="62"/>
      <c r="K315" s="62" t="str">
        <f>IFERROR(__xludf.DUMMYFUNCTION("""COMPUTED_VALUE"""),"Gene-Disease Validity")</f>
        <v>Gene-Disease Validity</v>
      </c>
      <c r="L315" s="62"/>
      <c r="M315" s="62"/>
      <c r="N315" s="62"/>
      <c r="O315" s="62"/>
      <c r="P315" s="62"/>
      <c r="Q315" s="62"/>
      <c r="R315" s="62"/>
      <c r="S315" s="62"/>
      <c r="T315" s="62"/>
      <c r="U315" s="62"/>
      <c r="V315" s="62"/>
      <c r="W315" s="62"/>
      <c r="X315" s="62"/>
      <c r="Y315" s="62"/>
      <c r="Z315" s="62"/>
    </row>
    <row r="316">
      <c r="A316" s="62" t="str">
        <f>IFERROR(__xludf.DUMMYFUNCTION("""COMPUTED_VALUE"""),"Unassigned")</f>
        <v>Unassigned</v>
      </c>
      <c r="B316" s="62" t="str">
        <f>IFERROR(__xludf.DUMMYFUNCTION("""COMPUTED_VALUE"""),"")</f>
        <v/>
      </c>
      <c r="C316" s="62" t="str">
        <f>IFERROR(__xludf.DUMMYFUNCTION("""COMPUTED_VALUE"""),"")</f>
        <v/>
      </c>
      <c r="D316" s="62" t="str">
        <f>IFERROR(__xludf.DUMMYFUNCTION("""COMPUTED_VALUE"""),"")</f>
        <v/>
      </c>
      <c r="E316" s="62" t="str">
        <f>IFERROR(__xludf.DUMMYFUNCTION("""COMPUTED_VALUE"""),"NA")</f>
        <v>NA</v>
      </c>
      <c r="F316" s="62" t="str">
        <f>IFERROR(__xludf.DUMMYFUNCTION("""COMPUTED_VALUE"""),"")</f>
        <v/>
      </c>
      <c r="G316" s="62" t="str">
        <f>IFERROR(__xludf.DUMMYFUNCTION("""COMPUTED_VALUE"""),"Emilie Hulse")</f>
        <v>Emilie Hulse</v>
      </c>
      <c r="H316" s="62" t="str">
        <f>IFERROR(__xludf.DUMMYFUNCTION("""COMPUTED_VALUE"""),"ehulse@genedx.com")</f>
        <v>ehulse@genedx.com</v>
      </c>
      <c r="I316" s="62" t="str">
        <f>IFERROR(__xludf.DUMMYFUNCTION("""COMPUTED_VALUE"""),"Genetic Counseling Assistant")</f>
        <v>Genetic Counseling Assistant</v>
      </c>
      <c r="J316" s="62"/>
      <c r="K316" s="62" t="str">
        <f>IFERROR(__xludf.DUMMYFUNCTION("""COMPUTED_VALUE"""),"Gene-Disease Validity")</f>
        <v>Gene-Disease Validity</v>
      </c>
      <c r="L316" s="62"/>
      <c r="M316" s="62"/>
      <c r="N316" s="62"/>
      <c r="O316" s="62"/>
      <c r="P316" s="62"/>
      <c r="Q316" s="62"/>
      <c r="R316" s="62"/>
      <c r="S316" s="62"/>
      <c r="T316" s="62"/>
      <c r="U316" s="62"/>
      <c r="V316" s="62"/>
      <c r="W316" s="62"/>
      <c r="X316" s="62"/>
      <c r="Y316" s="62"/>
      <c r="Z316" s="62"/>
    </row>
    <row r="317">
      <c r="A317" s="62" t="str">
        <f>IFERROR(__xludf.DUMMYFUNCTION("""COMPUTED_VALUE"""),"Unassigned")</f>
        <v>Unassigned</v>
      </c>
      <c r="B317" s="62" t="str">
        <f>IFERROR(__xludf.DUMMYFUNCTION("""COMPUTED_VALUE"""),"")</f>
        <v/>
      </c>
      <c r="C317" s="62" t="str">
        <f>IFERROR(__xludf.DUMMYFUNCTION("""COMPUTED_VALUE"""),"")</f>
        <v/>
      </c>
      <c r="D317" s="62" t="str">
        <f>IFERROR(__xludf.DUMMYFUNCTION("""COMPUTED_VALUE"""),"")</f>
        <v/>
      </c>
      <c r="E317" s="62" t="str">
        <f>IFERROR(__xludf.DUMMYFUNCTION("""COMPUTED_VALUE"""),"NA")</f>
        <v>NA</v>
      </c>
      <c r="F317" s="62" t="str">
        <f>IFERROR(__xludf.DUMMYFUNCTION("""COMPUTED_VALUE"""),"")</f>
        <v/>
      </c>
      <c r="G317" s="62" t="str">
        <f>IFERROR(__xludf.DUMMYFUNCTION("""COMPUTED_VALUE"""),"Stephen Wicks ")</f>
        <v>Stephen Wicks </v>
      </c>
      <c r="H317" s="62" t="str">
        <f>IFERROR(__xludf.DUMMYFUNCTION("""COMPUTED_VALUE"""),"stephenwicks1@gmail.com")</f>
        <v>stephenwicks1@gmail.com</v>
      </c>
      <c r="I317" s="62" t="str">
        <f>IFERROR(__xludf.DUMMYFUNCTION("""COMPUTED_VALUE"""),"Post Doc/Resident/Fellow (MD and/or PhD)")</f>
        <v>Post Doc/Resident/Fellow (MD and/or PhD)</v>
      </c>
      <c r="J317" s="62"/>
      <c r="K317" s="62" t="str">
        <f>IFERROR(__xludf.DUMMYFUNCTION("""COMPUTED_VALUE"""),"Somatic Cancer")</f>
        <v>Somatic Cancer</v>
      </c>
      <c r="L317" s="62"/>
      <c r="M317" s="62"/>
      <c r="N317" s="62"/>
      <c r="O317" s="62"/>
      <c r="P317" s="62"/>
      <c r="Q317" s="62"/>
      <c r="R317" s="62"/>
      <c r="S317" s="62"/>
      <c r="T317" s="62"/>
      <c r="U317" s="62"/>
      <c r="V317" s="62"/>
      <c r="W317" s="62"/>
      <c r="X317" s="62"/>
      <c r="Y317" s="62"/>
      <c r="Z317" s="62"/>
    </row>
    <row r="318">
      <c r="A318" s="62" t="str">
        <f>IFERROR(__xludf.DUMMYFUNCTION("""COMPUTED_VALUE"""),"Contacted")</f>
        <v>Contacted</v>
      </c>
      <c r="B318" s="62" t="str">
        <f>IFERROR(__xludf.DUMMYFUNCTION("""COMPUTED_VALUE"""),"")</f>
        <v/>
      </c>
      <c r="C318" s="106">
        <f>IFERROR(__xludf.DUMMYFUNCTION("""COMPUTED_VALUE"""),43859.0)</f>
        <v>43859</v>
      </c>
      <c r="D318" s="62" t="str">
        <f>IFERROR(__xludf.DUMMYFUNCTION("""COMPUTED_VALUE"""),"Yes")</f>
        <v>Yes</v>
      </c>
      <c r="E318" s="62" t="str">
        <f>IFERROR(__xludf.DUMMYFUNCTION("""COMPUTED_VALUE"""),"Variant Pathogenicity")</f>
        <v>Variant Pathogenicity</v>
      </c>
      <c r="F318" s="62" t="str">
        <f>IFERROR(__xludf.DUMMYFUNCTION("""COMPUTED_VALUE"""),"")</f>
        <v/>
      </c>
      <c r="G318" s="62" t="str">
        <f>IFERROR(__xludf.DUMMYFUNCTION("""COMPUTED_VALUE"""),"Saja El Yaacoub")</f>
        <v>Saja El Yaacoub</v>
      </c>
      <c r="H318" s="62" t="str">
        <f>IFERROR(__xludf.DUMMYFUNCTION("""COMPUTED_VALUE"""),"saja.alyaacoub@live.com")</f>
        <v>saja.alyaacoub@live.com</v>
      </c>
      <c r="I318" s="62" t="str">
        <f>IFERROR(__xludf.DUMMYFUNCTION("""COMPUTED_VALUE"""),"Graduate Student")</f>
        <v>Graduate Student</v>
      </c>
      <c r="J318" s="62"/>
      <c r="K318" s="62" t="str">
        <f>IFERROR(__xludf.DUMMYFUNCTION("""COMPUTED_VALUE"""),"Gene-Disease Validity")</f>
        <v>Gene-Disease Validity</v>
      </c>
      <c r="L318" s="62"/>
      <c r="M318" s="62"/>
      <c r="N318" s="62"/>
      <c r="O318" s="62"/>
      <c r="P318" s="62"/>
      <c r="Q318" s="62"/>
      <c r="R318" s="62"/>
      <c r="S318" s="62"/>
      <c r="T318" s="62"/>
      <c r="U318" s="62"/>
      <c r="V318" s="62"/>
      <c r="W318" s="62"/>
      <c r="X318" s="62"/>
      <c r="Y318" s="62"/>
      <c r="Z318" s="62"/>
    </row>
    <row r="319">
      <c r="A319" s="62" t="str">
        <f>IFERROR(__xludf.DUMMYFUNCTION("""COMPUTED_VALUE"""),"Unassigned")</f>
        <v>Unassigned</v>
      </c>
      <c r="B319" s="62" t="str">
        <f>IFERROR(__xludf.DUMMYFUNCTION("""COMPUTED_VALUE"""),"")</f>
        <v/>
      </c>
      <c r="C319" s="62" t="str">
        <f>IFERROR(__xludf.DUMMYFUNCTION("""COMPUTED_VALUE"""),"")</f>
        <v/>
      </c>
      <c r="D319" s="62" t="str">
        <f>IFERROR(__xludf.DUMMYFUNCTION("""COMPUTED_VALUE"""),"")</f>
        <v/>
      </c>
      <c r="E319" s="62" t="str">
        <f>IFERROR(__xludf.DUMMYFUNCTION("""COMPUTED_VALUE"""),"NA")</f>
        <v>NA</v>
      </c>
      <c r="F319" s="62" t="str">
        <f>IFERROR(__xludf.DUMMYFUNCTION("""COMPUTED_VALUE"""),"")</f>
        <v/>
      </c>
      <c r="G319" s="62" t="str">
        <f>IFERROR(__xludf.DUMMYFUNCTION("""COMPUTED_VALUE"""),"Raiana Barbosa")</f>
        <v>Raiana Barbosa</v>
      </c>
      <c r="H319" s="62" t="str">
        <f>IFERROR(__xludf.DUMMYFUNCTION("""COMPUTED_VALUE"""),"rapa_andrade@hotmail.com")</f>
        <v>rapa_andrade@hotmail.com</v>
      </c>
      <c r="I319" s="62" t="str">
        <f>IFERROR(__xludf.DUMMYFUNCTION("""COMPUTED_VALUE"""),"Post Doc/Resident/Fellow (MD and/or PhD)")</f>
        <v>Post Doc/Resident/Fellow (MD and/or PhD)</v>
      </c>
      <c r="J319" s="62"/>
      <c r="K319" s="62" t="str">
        <f>IFERROR(__xludf.DUMMYFUNCTION("""COMPUTED_VALUE"""),"Variant Pathogenicity")</f>
        <v>Variant Pathogenicity</v>
      </c>
      <c r="L319" s="62"/>
      <c r="M319" s="62"/>
      <c r="N319" s="62"/>
      <c r="O319" s="62"/>
      <c r="P319" s="62"/>
      <c r="Q319" s="62"/>
      <c r="R319" s="62"/>
      <c r="S319" s="62"/>
      <c r="T319" s="62"/>
      <c r="U319" s="62"/>
      <c r="V319" s="62"/>
      <c r="W319" s="62"/>
      <c r="X319" s="62"/>
      <c r="Y319" s="62"/>
      <c r="Z319" s="62"/>
    </row>
    <row r="320">
      <c r="A320" s="62" t="str">
        <f>IFERROR(__xludf.DUMMYFUNCTION("""COMPUTED_VALUE"""),"Unassigned")</f>
        <v>Unassigned</v>
      </c>
      <c r="B320" s="62" t="str">
        <f>IFERROR(__xludf.DUMMYFUNCTION("""COMPUTED_VALUE"""),"")</f>
        <v/>
      </c>
      <c r="C320" s="62" t="str">
        <f>IFERROR(__xludf.DUMMYFUNCTION("""COMPUTED_VALUE"""),"")</f>
        <v/>
      </c>
      <c r="D320" s="62" t="str">
        <f>IFERROR(__xludf.DUMMYFUNCTION("""COMPUTED_VALUE"""),"")</f>
        <v/>
      </c>
      <c r="E320" s="62" t="str">
        <f>IFERROR(__xludf.DUMMYFUNCTION("""COMPUTED_VALUE"""),"NA")</f>
        <v>NA</v>
      </c>
      <c r="F320" s="62" t="str">
        <f>IFERROR(__xludf.DUMMYFUNCTION("""COMPUTED_VALUE"""),"")</f>
        <v/>
      </c>
      <c r="G320" s="62" t="str">
        <f>IFERROR(__xludf.DUMMYFUNCTION("""COMPUTED_VALUE"""),"Sarada Gandhi Kolli")</f>
        <v>Sarada Gandhi Kolli</v>
      </c>
      <c r="H320" s="62" t="str">
        <f>IFERROR(__xludf.DUMMYFUNCTION("""COMPUTED_VALUE"""),"saradagandhikolli@mater.ie")</f>
        <v>saradagandhikolli@mater.ie</v>
      </c>
      <c r="I320" s="62" t="str">
        <f>IFERROR(__xludf.DUMMYFUNCTION("""COMPUTED_VALUE"""),"Variant Analyst/Scientist - Academic")</f>
        <v>Variant Analyst/Scientist - Academic</v>
      </c>
      <c r="J320" s="62"/>
      <c r="K320" s="62" t="str">
        <f>IFERROR(__xludf.DUMMYFUNCTION("""COMPUTED_VALUE"""),"Variant Pathogenicity")</f>
        <v>Variant Pathogenicity</v>
      </c>
      <c r="L320" s="62"/>
      <c r="M320" s="62"/>
      <c r="N320" s="62"/>
      <c r="O320" s="62"/>
      <c r="P320" s="62"/>
      <c r="Q320" s="62"/>
      <c r="R320" s="62"/>
      <c r="S320" s="62"/>
      <c r="T320" s="62"/>
      <c r="U320" s="62"/>
      <c r="V320" s="62"/>
      <c r="W320" s="62"/>
      <c r="X320" s="62"/>
      <c r="Y320" s="62"/>
      <c r="Z320" s="62"/>
    </row>
    <row r="321">
      <c r="A321" s="62" t="str">
        <f>IFERROR(__xludf.DUMMYFUNCTION("""COMPUTED_VALUE"""),"Unassigned")</f>
        <v>Unassigned</v>
      </c>
      <c r="B321" s="62" t="str">
        <f>IFERROR(__xludf.DUMMYFUNCTION("""COMPUTED_VALUE"""),"")</f>
        <v/>
      </c>
      <c r="C321" s="62" t="str">
        <f>IFERROR(__xludf.DUMMYFUNCTION("""COMPUTED_VALUE"""),"")</f>
        <v/>
      </c>
      <c r="D321" s="62" t="str">
        <f>IFERROR(__xludf.DUMMYFUNCTION("""COMPUTED_VALUE"""),"")</f>
        <v/>
      </c>
      <c r="E321" s="62" t="str">
        <f>IFERROR(__xludf.DUMMYFUNCTION("""COMPUTED_VALUE"""),"NA")</f>
        <v>NA</v>
      </c>
      <c r="F321" s="62" t="str">
        <f>IFERROR(__xludf.DUMMYFUNCTION("""COMPUTED_VALUE"""),"")</f>
        <v/>
      </c>
      <c r="G321" s="62" t="str">
        <f>IFERROR(__xludf.DUMMYFUNCTION("""COMPUTED_VALUE"""),"Eah Keomanee")</f>
        <v>Eah Keomanee</v>
      </c>
      <c r="H321" s="62" t="str">
        <f>IFERROR(__xludf.DUMMYFUNCTION("""COMPUTED_VALUE"""),"ekeomanee19@students.kgi.edu")</f>
        <v>ekeomanee19@students.kgi.edu</v>
      </c>
      <c r="I321" s="62" t="str">
        <f>IFERROR(__xludf.DUMMYFUNCTION("""COMPUTED_VALUE"""),"Graduate Student")</f>
        <v>Graduate Student</v>
      </c>
      <c r="J321" s="62"/>
      <c r="K321" s="62" t="str">
        <f>IFERROR(__xludf.DUMMYFUNCTION("""COMPUTED_VALUE"""),"Gene-Disease Validity")</f>
        <v>Gene-Disease Validity</v>
      </c>
      <c r="L321" s="62"/>
      <c r="M321" s="62"/>
      <c r="N321" s="62"/>
      <c r="O321" s="62"/>
      <c r="P321" s="62"/>
      <c r="Q321" s="62"/>
      <c r="R321" s="62"/>
      <c r="S321" s="62"/>
      <c r="T321" s="62"/>
      <c r="U321" s="62"/>
      <c r="V321" s="62"/>
      <c r="W321" s="62"/>
      <c r="X321" s="62"/>
      <c r="Y321" s="62"/>
      <c r="Z321" s="62"/>
    </row>
    <row r="322">
      <c r="A322" s="62" t="str">
        <f>IFERROR(__xludf.DUMMYFUNCTION("""COMPUTED_VALUE"""),"Unassigned")</f>
        <v>Unassigned</v>
      </c>
      <c r="B322" s="62" t="str">
        <f>IFERROR(__xludf.DUMMYFUNCTION("""COMPUTED_VALUE"""),"")</f>
        <v/>
      </c>
      <c r="C322" s="62" t="str">
        <f>IFERROR(__xludf.DUMMYFUNCTION("""COMPUTED_VALUE"""),"")</f>
        <v/>
      </c>
      <c r="D322" s="62" t="str">
        <f>IFERROR(__xludf.DUMMYFUNCTION("""COMPUTED_VALUE"""),"")</f>
        <v/>
      </c>
      <c r="E322" s="62" t="str">
        <f>IFERROR(__xludf.DUMMYFUNCTION("""COMPUTED_VALUE"""),"NA")</f>
        <v>NA</v>
      </c>
      <c r="F322" s="62" t="str">
        <f>IFERROR(__xludf.DUMMYFUNCTION("""COMPUTED_VALUE"""),"")</f>
        <v/>
      </c>
      <c r="G322" s="62" t="str">
        <f>IFERROR(__xludf.DUMMYFUNCTION("""COMPUTED_VALUE"""),"Sara Pajouhanfar")</f>
        <v>Sara Pajouhanfar</v>
      </c>
      <c r="H322" s="62" t="str">
        <f>IFERROR(__xludf.DUMMYFUNCTION("""COMPUTED_VALUE"""),"sara.pajouhanfar@gmail.com")</f>
        <v>sara.pajouhanfar@gmail.com</v>
      </c>
      <c r="I322" s="62" t="str">
        <f>IFERROR(__xludf.DUMMYFUNCTION("""COMPUTED_VALUE"""),"Resercher")</f>
        <v>Resercher</v>
      </c>
      <c r="J322" s="62"/>
      <c r="K322" s="62" t="str">
        <f>IFERROR(__xludf.DUMMYFUNCTION("""COMPUTED_VALUE"""),"Clinical Actionability")</f>
        <v>Clinical Actionability</v>
      </c>
      <c r="L322" s="62"/>
      <c r="M322" s="62"/>
      <c r="N322" s="62"/>
      <c r="O322" s="62"/>
      <c r="P322" s="62"/>
      <c r="Q322" s="62"/>
      <c r="R322" s="62"/>
      <c r="S322" s="62"/>
      <c r="T322" s="62"/>
      <c r="U322" s="62"/>
      <c r="V322" s="62"/>
      <c r="W322" s="62"/>
      <c r="X322" s="62"/>
      <c r="Y322" s="62"/>
      <c r="Z322" s="62"/>
    </row>
    <row r="323">
      <c r="A323" s="62" t="str">
        <f>IFERROR(__xludf.DUMMYFUNCTION("""COMPUTED_VALUE"""),"Unassigned")</f>
        <v>Unassigned</v>
      </c>
      <c r="B323" s="62" t="str">
        <f>IFERROR(__xludf.DUMMYFUNCTION("""COMPUTED_VALUE"""),"")</f>
        <v/>
      </c>
      <c r="C323" s="62" t="str">
        <f>IFERROR(__xludf.DUMMYFUNCTION("""COMPUTED_VALUE"""),"")</f>
        <v/>
      </c>
      <c r="D323" s="62" t="str">
        <f>IFERROR(__xludf.DUMMYFUNCTION("""COMPUTED_VALUE"""),"")</f>
        <v/>
      </c>
      <c r="E323" s="62" t="str">
        <f>IFERROR(__xludf.DUMMYFUNCTION("""COMPUTED_VALUE"""),"NA")</f>
        <v>NA</v>
      </c>
      <c r="F323" s="62" t="str">
        <f>IFERROR(__xludf.DUMMYFUNCTION("""COMPUTED_VALUE"""),"")</f>
        <v/>
      </c>
      <c r="G323" s="62" t="str">
        <f>IFERROR(__xludf.DUMMYFUNCTION("""COMPUTED_VALUE"""),"Adele fairclough")</f>
        <v>Adele fairclough</v>
      </c>
      <c r="H323" s="62" t="str">
        <f>IFERROR(__xludf.DUMMYFUNCTION("""COMPUTED_VALUE"""),"Adele.fairclough@mft.nhs.uk")</f>
        <v>Adele.fairclough@mft.nhs.uk</v>
      </c>
      <c r="I323" s="62" t="str">
        <f>IFERROR(__xludf.DUMMYFUNCTION("""COMPUTED_VALUE"""),"Clinical laboratory geneticist")</f>
        <v>Clinical laboratory geneticist</v>
      </c>
      <c r="J323" s="62"/>
      <c r="K323" s="62" t="str">
        <f>IFERROR(__xludf.DUMMYFUNCTION("""COMPUTED_VALUE"""),"Dosage Sensitivity")</f>
        <v>Dosage Sensitivity</v>
      </c>
      <c r="L323" s="62"/>
      <c r="M323" s="62"/>
      <c r="N323" s="62"/>
      <c r="O323" s="62"/>
      <c r="P323" s="62"/>
      <c r="Q323" s="62"/>
      <c r="R323" s="62"/>
      <c r="S323" s="62"/>
      <c r="T323" s="62"/>
      <c r="U323" s="62"/>
      <c r="V323" s="62"/>
      <c r="W323" s="62"/>
      <c r="X323" s="62"/>
      <c r="Y323" s="62"/>
      <c r="Z323" s="62"/>
    </row>
    <row r="324">
      <c r="A324" s="62" t="str">
        <f>IFERROR(__xludf.DUMMYFUNCTION("""COMPUTED_VALUE"""),"Unassigned")</f>
        <v>Unassigned</v>
      </c>
      <c r="B324" s="62" t="str">
        <f>IFERROR(__xludf.DUMMYFUNCTION("""COMPUTED_VALUE"""),"")</f>
        <v/>
      </c>
      <c r="C324" s="62" t="str">
        <f>IFERROR(__xludf.DUMMYFUNCTION("""COMPUTED_VALUE"""),"")</f>
        <v/>
      </c>
      <c r="D324" s="62" t="str">
        <f>IFERROR(__xludf.DUMMYFUNCTION("""COMPUTED_VALUE"""),"")</f>
        <v/>
      </c>
      <c r="E324" s="62" t="str">
        <f>IFERROR(__xludf.DUMMYFUNCTION("""COMPUTED_VALUE"""),"NA")</f>
        <v>NA</v>
      </c>
      <c r="F324" s="62" t="str">
        <f>IFERROR(__xludf.DUMMYFUNCTION("""COMPUTED_VALUE"""),"")</f>
        <v/>
      </c>
      <c r="G324" s="62" t="str">
        <f>IFERROR(__xludf.DUMMYFUNCTION("""COMPUTED_VALUE"""),"Eric Bend")</f>
        <v>Eric Bend</v>
      </c>
      <c r="H324" s="62" t="str">
        <f>IFERROR(__xludf.DUMMYFUNCTION("""COMPUTED_VALUE"""),"eric.bend@preventiongenetics.com")</f>
        <v>eric.bend@preventiongenetics.com</v>
      </c>
      <c r="I324" s="62" t="str">
        <f>IFERROR(__xludf.DUMMYFUNCTION("""COMPUTED_VALUE"""),"Clinical laboratory geneticist")</f>
        <v>Clinical laboratory geneticist</v>
      </c>
      <c r="J324" s="62"/>
      <c r="K324" s="62" t="str">
        <f>IFERROR(__xludf.DUMMYFUNCTION("""COMPUTED_VALUE"""),"Gene-Disease Validity")</f>
        <v>Gene-Disease Validity</v>
      </c>
      <c r="L324" s="62"/>
      <c r="M324" s="62"/>
      <c r="N324" s="62"/>
      <c r="O324" s="62"/>
      <c r="P324" s="62"/>
      <c r="Q324" s="62"/>
      <c r="R324" s="62"/>
      <c r="S324" s="62"/>
      <c r="T324" s="62"/>
      <c r="U324" s="62"/>
      <c r="V324" s="62"/>
      <c r="W324" s="62"/>
      <c r="X324" s="62"/>
      <c r="Y324" s="62"/>
      <c r="Z324" s="62"/>
    </row>
    <row r="325">
      <c r="A325" s="62" t="str">
        <f>IFERROR(__xludf.DUMMYFUNCTION("""COMPUTED_VALUE"""),"Unassigned")</f>
        <v>Unassigned</v>
      </c>
      <c r="B325" s="62" t="str">
        <f>IFERROR(__xludf.DUMMYFUNCTION("""COMPUTED_VALUE"""),"")</f>
        <v/>
      </c>
      <c r="C325" s="62" t="str">
        <f>IFERROR(__xludf.DUMMYFUNCTION("""COMPUTED_VALUE"""),"")</f>
        <v/>
      </c>
      <c r="D325" s="62" t="str">
        <f>IFERROR(__xludf.DUMMYFUNCTION("""COMPUTED_VALUE"""),"")</f>
        <v/>
      </c>
      <c r="E325" s="62" t="str">
        <f>IFERROR(__xludf.DUMMYFUNCTION("""COMPUTED_VALUE"""),"NA")</f>
        <v>NA</v>
      </c>
      <c r="F325" s="62" t="str">
        <f>IFERROR(__xludf.DUMMYFUNCTION("""COMPUTED_VALUE"""),"")</f>
        <v/>
      </c>
      <c r="G325" s="62" t="str">
        <f>IFERROR(__xludf.DUMMYFUNCTION("""COMPUTED_VALUE"""),"Reza Semiromi Davoodi")</f>
        <v>Reza Semiromi Davoodi</v>
      </c>
      <c r="H325" s="62" t="str">
        <f>IFERROR(__xludf.DUMMYFUNCTION("""COMPUTED_VALUE"""),"davoodi_semiromi@yahoo.com")</f>
        <v>davoodi_semiromi@yahoo.com</v>
      </c>
      <c r="I325" s="62" t="str">
        <f>IFERROR(__xludf.DUMMYFUNCTION("""COMPUTED_VALUE"""),"Clinical laboratory geneticist")</f>
        <v>Clinical laboratory geneticist</v>
      </c>
      <c r="J325" s="62"/>
      <c r="K325" s="62" t="str">
        <f>IFERROR(__xludf.DUMMYFUNCTION("""COMPUTED_VALUE"""),"Variant Pathogenicity")</f>
        <v>Variant Pathogenicity</v>
      </c>
      <c r="L325" s="62"/>
      <c r="M325" s="62"/>
      <c r="N325" s="62"/>
      <c r="O325" s="62"/>
      <c r="P325" s="62"/>
      <c r="Q325" s="62"/>
      <c r="R325" s="62"/>
      <c r="S325" s="62"/>
      <c r="T325" s="62"/>
      <c r="U325" s="62"/>
      <c r="V325" s="62"/>
      <c r="W325" s="62"/>
      <c r="X325" s="62"/>
      <c r="Y325" s="62"/>
      <c r="Z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2">
    <mergeCell ref="A1:F1"/>
    <mergeCell ref="G1:H1"/>
  </mergeCells>
  <conditionalFormatting sqref="A1:A1000">
    <cfRule type="containsText" dxfId="0" priority="1" operator="containsText" text="Unassigned">
      <formula>NOT(ISERROR(SEARCH(("Unassigned"),(A1))))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15.43"/>
    <col customWidth="1" min="3" max="3" width="14.43"/>
    <col customWidth="1" min="4" max="4" width="19.0"/>
    <col customWidth="1" min="5" max="5" width="20.0"/>
    <col customWidth="1" min="6" max="6" width="28.43"/>
    <col customWidth="1" min="7" max="7" width="13.43"/>
    <col customWidth="1" min="8" max="8" width="17.86"/>
    <col customWidth="1" min="9" max="9" width="23.0"/>
    <col customWidth="1" min="10" max="10" width="28.86"/>
    <col customWidth="1" min="11" max="11" width="60.0"/>
  </cols>
  <sheetData>
    <row r="1">
      <c r="A1" s="8" t="s">
        <v>12</v>
      </c>
      <c r="B1" s="9"/>
      <c r="C1" s="9"/>
      <c r="D1" s="9"/>
      <c r="E1" s="9"/>
      <c r="F1" s="9"/>
      <c r="G1" s="10"/>
      <c r="H1" s="107" t="s">
        <v>25</v>
      </c>
    </row>
    <row r="2">
      <c r="A2" s="108" t="s">
        <v>0</v>
      </c>
      <c r="B2" s="109" t="s">
        <v>73</v>
      </c>
      <c r="C2" s="109" t="s">
        <v>74</v>
      </c>
      <c r="D2" s="110" t="s">
        <v>75</v>
      </c>
      <c r="E2" s="110" t="s">
        <v>329</v>
      </c>
      <c r="F2" s="110" t="s">
        <v>330</v>
      </c>
      <c r="G2" s="109" t="s">
        <v>199</v>
      </c>
      <c r="H2" s="111" t="s">
        <v>331</v>
      </c>
      <c r="I2" s="112" t="s">
        <v>332</v>
      </c>
      <c r="J2" s="112" t="s">
        <v>333</v>
      </c>
      <c r="K2" s="113" t="s">
        <v>334</v>
      </c>
    </row>
    <row r="3">
      <c r="A3" t="str">
        <f>IFERROR(__xludf.DUMMYFUNCTION("filter(Assignments!B3:B1000,Assignments!P3:P1000=""Clinical Actionability"", Assignments!O3:O1000=""Comprehensive"")"),"Unresponsive")</f>
        <v>Unresponsive</v>
      </c>
      <c r="B3" t="str">
        <f>IFERROR(__xludf.DUMMYFUNCTION("filter(Assignments!C3:C1000,Assignments!P3:P1000=""Clinical Actionability"",Assignments!O3:O1000=""Comprehensive"")"),"")</f>
        <v/>
      </c>
      <c r="C3" t="str">
        <f>IFERROR(__xludf.DUMMYFUNCTION("filter(Assignments!D3:D1000,Assignments!P3:P1000=""Clinical Actionability"",Assignments!O3:O1000=""Comprehensive"")"),"")</f>
        <v/>
      </c>
      <c r="D3" s="67" t="str">
        <f>IFERROR(__xludf.DUMMYFUNCTION("filter(Assignments!E3:E1000,Assignments!P3:P1000=""Clinical Actionability"",Assignments!O3:O1000=""Comprehensive"")"),"No")</f>
        <v>No</v>
      </c>
      <c r="E3" s="67" t="str">
        <f>IFERROR(__xludf.DUMMYFUNCTION("filter(Assignments!F3:F1000,Assignments!P3:P1000=""Clinical Actionability"",Assignments!O3:O1000=""Comprehensive"")"),"No")</f>
        <v>No</v>
      </c>
      <c r="F3" s="62" t="str">
        <f>IFERROR(__xludf.DUMMYFUNCTION("filter(Assignments!G3:G1000,Assignments!P3:P1000=""Clinical Actionability"",Assignments!O3:O1000=""Comprehensive"")"),"Actionability")</f>
        <v>Actionability</v>
      </c>
      <c r="G3" t="str">
        <f>IFERROR(__xludf.DUMMYFUNCTION("filter(Assignments!H3:H1000,Assignments!P3:P1000=""Clinical Actionability"",Assignments!O3:O1000=""Comprehensive"")"),"")</f>
        <v/>
      </c>
      <c r="H3" t="str">
        <f>IFERROR(__xludf.DUMMYFUNCTION("filter(Assignments!L3:L1000,Assignments!P3:P1000=""Clinical Actionability"",Assignments!O3:O1000=""Comprehensive"")"),"Edwin Kim")</f>
        <v>Edwin Kim</v>
      </c>
      <c r="I3" t="str">
        <f>IFERROR(__xludf.DUMMYFUNCTION("filter(Assignments!M3:M1000,Assignments!P3:P1000=""Clinical Actionability"",Assignments!O3:O1000=""Comprehensive"")"),"Edwinkimmd@gmail.com")</f>
        <v>Edwinkimmd@gmail.com</v>
      </c>
      <c r="J3" s="62" t="str">
        <f>IFERROR(__xludf.DUMMYFUNCTION("filter(Assignments!O3:O1000,Assignments!P3:P1000=""Clinical Actionability"",Assignments!O3:O1000=""Comprehensive"")"),"Comprehensive")</f>
        <v>Comprehensive</v>
      </c>
      <c r="K3" t="str">
        <f>IFERROR(__xludf.DUMMYFUNCTION("filter(Assignments!W3:W1000,Assignments!P3:P1000=""Clinical Actionability"",Assignments!O3:O1000=""Comprehensive"")"),"Possibly after gaining some more exposure and increasing experience.")</f>
        <v>Possibly after gaining some more exposure and increasing experience.</v>
      </c>
    </row>
    <row r="4">
      <c r="A4" t="str">
        <f>IFERROR(__xludf.DUMMYFUNCTION("""COMPUTED_VALUE"""),"Contacted")</f>
        <v>Contacted</v>
      </c>
      <c r="B4" t="str">
        <f>IFERROR(__xludf.DUMMYFUNCTION("""COMPUTED_VALUE"""),"")</f>
        <v/>
      </c>
      <c r="C4" s="114">
        <f>IFERROR(__xludf.DUMMYFUNCTION("""COMPUTED_VALUE"""),43678.0)</f>
        <v>43678</v>
      </c>
      <c r="D4" s="62" t="str">
        <f>IFERROR(__xludf.DUMMYFUNCTION("""COMPUTED_VALUE"""),"Yes")</f>
        <v>Yes</v>
      </c>
      <c r="E4" s="62" t="str">
        <f>IFERROR(__xludf.DUMMYFUNCTION("""COMPUTED_VALUE"""),"No")</f>
        <v>No</v>
      </c>
      <c r="F4" s="62" t="str">
        <f>IFERROR(__xludf.DUMMYFUNCTION("""COMPUTED_VALUE"""),"Actionability")</f>
        <v>Actionability</v>
      </c>
      <c r="G4" t="str">
        <f>IFERROR(__xludf.DUMMYFUNCTION("""COMPUTED_VALUE"""),"")</f>
        <v/>
      </c>
      <c r="H4" t="str">
        <f>IFERROR(__xludf.DUMMYFUNCTION("""COMPUTED_VALUE"""),"Juan Carlos Diaz ")</f>
        <v>Juan Carlos Diaz </v>
      </c>
      <c r="I4" t="str">
        <f>IFERROR(__xludf.DUMMYFUNCTION("""COMPUTED_VALUE"""),"cuallijuan@hotmail.com ")</f>
        <v>cuallijuan@hotmail.com </v>
      </c>
      <c r="J4" s="62" t="str">
        <f>IFERROR(__xludf.DUMMYFUNCTION("""COMPUTED_VALUE"""),"Comprehensive")</f>
        <v>Comprehensive</v>
      </c>
      <c r="K4" t="str">
        <f>IFERROR(__xludf.DUMMYFUNCTION("""COMPUTED_VALUE"""),"Gene Curation Expert Panels")</f>
        <v>Gene Curation Expert Panels</v>
      </c>
    </row>
    <row r="5">
      <c r="A5" t="str">
        <f>IFERROR(__xludf.DUMMYFUNCTION("""COMPUTED_VALUE"""),"Contacted")</f>
        <v>Contacted</v>
      </c>
      <c r="B5" t="str">
        <f>IFERROR(__xludf.DUMMYFUNCTION("""COMPUTED_VALUE"""),"")</f>
        <v/>
      </c>
      <c r="C5" s="114">
        <f>IFERROR(__xludf.DUMMYFUNCTION("""COMPUTED_VALUE"""),43678.0)</f>
        <v>43678</v>
      </c>
      <c r="D5" s="62" t="str">
        <f>IFERROR(__xludf.DUMMYFUNCTION("""COMPUTED_VALUE"""),"Yes")</f>
        <v>Yes</v>
      </c>
      <c r="E5" s="62" t="str">
        <f>IFERROR(__xludf.DUMMYFUNCTION("""COMPUTED_VALUE"""),"No")</f>
        <v>No</v>
      </c>
      <c r="F5" s="62" t="str">
        <f>IFERROR(__xludf.DUMMYFUNCTION("""COMPUTED_VALUE"""),"Actionability")</f>
        <v>Actionability</v>
      </c>
      <c r="G5" t="str">
        <f>IFERROR(__xludf.DUMMYFUNCTION("""COMPUTED_VALUE"""),"")</f>
        <v/>
      </c>
      <c r="H5" t="str">
        <f>IFERROR(__xludf.DUMMYFUNCTION("""COMPUTED_VALUE"""),"Rhea Vallente")</f>
        <v>Rhea Vallente</v>
      </c>
      <c r="I5" t="str">
        <f>IFERROR(__xludf.DUMMYFUNCTION("""COMPUTED_VALUE"""),"rvallente@fulgentgenetics.com")</f>
        <v>rvallente@fulgentgenetics.com</v>
      </c>
      <c r="J5" s="62" t="str">
        <f>IFERROR(__xludf.DUMMYFUNCTION("""COMPUTED_VALUE"""),"Comprehensive")</f>
        <v>Comprehensive</v>
      </c>
      <c r="K5" t="str">
        <f>IFERROR(__xludf.DUMMYFUNCTION("""COMPUTED_VALUE"""),"Hearing loss")</f>
        <v>Hearing loss</v>
      </c>
    </row>
    <row r="6">
      <c r="A6" t="str">
        <f>IFERROR(__xludf.DUMMYFUNCTION("""COMPUTED_VALUE"""),"Contacted")</f>
        <v>Contacted</v>
      </c>
      <c r="B6" t="str">
        <f>IFERROR(__xludf.DUMMYFUNCTION("""COMPUTED_VALUE"""),"")</f>
        <v/>
      </c>
      <c r="C6" s="115">
        <f>IFERROR(__xludf.DUMMYFUNCTION("""COMPUTED_VALUE"""),43567.0)</f>
        <v>43567</v>
      </c>
      <c r="D6" s="62" t="str">
        <f>IFERROR(__xludf.DUMMYFUNCTION("""COMPUTED_VALUE"""),"Yes")</f>
        <v>Yes</v>
      </c>
      <c r="E6" s="62" t="str">
        <f>IFERROR(__xludf.DUMMYFUNCTION("""COMPUTED_VALUE"""),"Yes")</f>
        <v>Yes</v>
      </c>
      <c r="F6" s="62" t="str">
        <f>IFERROR(__xludf.DUMMYFUNCTION("""COMPUTED_VALUE"""),"Actionability")</f>
        <v>Actionability</v>
      </c>
      <c r="G6" t="str">
        <f>IFERROR(__xludf.DUMMYFUNCTION("""COMPUTED_VALUE"""),"Actionability")</f>
        <v>Actionability</v>
      </c>
      <c r="H6" t="str">
        <f>IFERROR(__xludf.DUMMYFUNCTION("""COMPUTED_VALUE"""),"Melissa Murfin")</f>
        <v>Melissa Murfin</v>
      </c>
      <c r="I6" t="str">
        <f>IFERROR(__xludf.DUMMYFUNCTION("""COMPUTED_VALUE"""),"mmurfin@elon.edu")</f>
        <v>mmurfin@elon.edu</v>
      </c>
      <c r="J6" s="62" t="str">
        <f>IFERROR(__xludf.DUMMYFUNCTION("""COMPUTED_VALUE"""),"Comprehensive")</f>
        <v>Comprehensive</v>
      </c>
      <c r="K6" t="str">
        <f>IFERROR(__xludf.DUMMYFUNCTION("""COMPUTED_VALUE"""),"I am open to any opportunity")</f>
        <v>I am open to any opportunity</v>
      </c>
    </row>
    <row r="7">
      <c r="A7" t="str">
        <f>IFERROR(__xludf.DUMMYFUNCTION("""COMPUTED_VALUE"""),"Contacted")</f>
        <v>Contacted</v>
      </c>
      <c r="B7" t="str">
        <f>IFERROR(__xludf.DUMMYFUNCTION("""COMPUTED_VALUE"""),"")</f>
        <v/>
      </c>
      <c r="C7" s="115">
        <f>IFERROR(__xludf.DUMMYFUNCTION("""COMPUTED_VALUE"""),43567.0)</f>
        <v>43567</v>
      </c>
      <c r="D7" s="62" t="str">
        <f>IFERROR(__xludf.DUMMYFUNCTION("""COMPUTED_VALUE"""),"Yes")</f>
        <v>Yes</v>
      </c>
      <c r="E7" s="62" t="str">
        <f>IFERROR(__xludf.DUMMYFUNCTION("""COMPUTED_VALUE"""),"No")</f>
        <v>No</v>
      </c>
      <c r="F7" s="62" t="str">
        <f>IFERROR(__xludf.DUMMYFUNCTION("""COMPUTED_VALUE"""),"Actionability")</f>
        <v>Actionability</v>
      </c>
      <c r="G7" t="str">
        <f>IFERROR(__xludf.DUMMYFUNCTION("""COMPUTED_VALUE"""),"")</f>
        <v/>
      </c>
      <c r="H7" t="str">
        <f>IFERROR(__xludf.DUMMYFUNCTION("""COMPUTED_VALUE"""),"Marwan Shinawi")</f>
        <v>Marwan Shinawi</v>
      </c>
      <c r="I7" t="str">
        <f>IFERROR(__xludf.DUMMYFUNCTION("""COMPUTED_VALUE"""),"mshinawi@wustl.edu")</f>
        <v>mshinawi@wustl.edu</v>
      </c>
      <c r="J7" s="62" t="str">
        <f>IFERROR(__xludf.DUMMYFUNCTION("""COMPUTED_VALUE"""),"Comprehensive")</f>
        <v>Comprehensive</v>
      </c>
      <c r="K7" t="str">
        <f>IFERROR(__xludf.DUMMYFUNCTION("""COMPUTED_VALUE"""),"Autism and Intellectual Disability Gene Curation Expert Panel")</f>
        <v>Autism and Intellectual Disability Gene Curation Expert Panel</v>
      </c>
    </row>
    <row r="8">
      <c r="A8" t="str">
        <f>IFERROR(__xludf.DUMMYFUNCTION("""COMPUTED_VALUE"""),"Assigned")</f>
        <v>Assigned</v>
      </c>
      <c r="B8" s="116">
        <f>IFERROR(__xludf.DUMMYFUNCTION("""COMPUTED_VALUE"""),43434.0)</f>
        <v>43434</v>
      </c>
      <c r="C8" s="115">
        <f>IFERROR(__xludf.DUMMYFUNCTION("""COMPUTED_VALUE"""),43522.0)</f>
        <v>43522</v>
      </c>
      <c r="D8" s="62" t="str">
        <f>IFERROR(__xludf.DUMMYFUNCTION("""COMPUTED_VALUE"""),"Yes")</f>
        <v>Yes</v>
      </c>
      <c r="E8" s="62" t="str">
        <f>IFERROR(__xludf.DUMMYFUNCTION("""COMPUTED_VALUE"""),"Yes")</f>
        <v>Yes</v>
      </c>
      <c r="F8" s="62" t="str">
        <f>IFERROR(__xludf.DUMMYFUNCTION("""COMPUTED_VALUE"""),"Actionability")</f>
        <v>Actionability</v>
      </c>
      <c r="G8" t="str">
        <f>IFERROR(__xludf.DUMMYFUNCTION("""COMPUTED_VALUE"""),"Actionability")</f>
        <v>Actionability</v>
      </c>
      <c r="H8" t="str">
        <f>IFERROR(__xludf.DUMMYFUNCTION("""COMPUTED_VALUE"""),"Kylin Boehler")</f>
        <v>Kylin Boehler</v>
      </c>
      <c r="I8" t="str">
        <f>IFERROR(__xludf.DUMMYFUNCTION("""COMPUTED_VALUE"""),"kylin.y.boehler@questdiagnostics.com")</f>
        <v>kylin.y.boehler@questdiagnostics.com</v>
      </c>
      <c r="J8" s="62" t="str">
        <f>IFERROR(__xludf.DUMMYFUNCTION("""COMPUTED_VALUE"""),"Comprehensive")</f>
        <v>Comprehensive</v>
      </c>
      <c r="K8" t="str">
        <f>IFERROR(__xludf.DUMMYFUNCTION("""COMPUTED_VALUE"""),"I am mainly interested in the Hereditary Cancer Gene Dosage Sensitivity Curation group.")</f>
        <v>I am mainly interested in the Hereditary Cancer Gene Dosage Sensitivity Curation group.</v>
      </c>
    </row>
    <row r="9">
      <c r="A9" t="str">
        <f>IFERROR(__xludf.DUMMYFUNCTION("""COMPUTED_VALUE"""),"Unresponsive")</f>
        <v>Unresponsive</v>
      </c>
      <c r="B9" s="116">
        <f>IFERROR(__xludf.DUMMYFUNCTION("""COMPUTED_VALUE"""),43434.0)</f>
        <v>43434</v>
      </c>
      <c r="C9" t="str">
        <f>IFERROR(__xludf.DUMMYFUNCTION("""COMPUTED_VALUE"""),"")</f>
        <v/>
      </c>
      <c r="D9" s="62" t="str">
        <f>IFERROR(__xludf.DUMMYFUNCTION("""COMPUTED_VALUE"""),"No")</f>
        <v>No</v>
      </c>
      <c r="E9" s="62" t="str">
        <f>IFERROR(__xludf.DUMMYFUNCTION("""COMPUTED_VALUE"""),"No")</f>
        <v>No</v>
      </c>
      <c r="F9" s="62" t="str">
        <f>IFERROR(__xludf.DUMMYFUNCTION("""COMPUTED_VALUE"""),"Actionability")</f>
        <v>Actionability</v>
      </c>
      <c r="G9" t="str">
        <f>IFERROR(__xludf.DUMMYFUNCTION("""COMPUTED_VALUE"""),"")</f>
        <v/>
      </c>
      <c r="H9" t="str">
        <f>IFERROR(__xludf.DUMMYFUNCTION("""COMPUTED_VALUE"""),"Lisa Diller")</f>
        <v>Lisa Diller</v>
      </c>
      <c r="I9" t="str">
        <f>IFERROR(__xludf.DUMMYFUNCTION("""COMPUTED_VALUE"""),"lisa_diller@dfci.harvard.edu")</f>
        <v>lisa_diller@dfci.harvard.edu</v>
      </c>
      <c r="J9" s="62" t="str">
        <f>IFERROR(__xludf.DUMMYFUNCTION("""COMPUTED_VALUE"""),"Comprehensive")</f>
        <v>Comprehensive</v>
      </c>
      <c r="K9" t="str">
        <f>IFERROR(__xludf.DUMMYFUNCTION("""COMPUTED_VALUE"""),"Hereditary Cancer")</f>
        <v>Hereditary Cancer</v>
      </c>
    </row>
    <row r="10">
      <c r="A10" t="str">
        <f>IFERROR(__xludf.DUMMYFUNCTION("""COMPUTED_VALUE"""),"Unresponsive")</f>
        <v>Unresponsive</v>
      </c>
      <c r="B10" s="116">
        <f>IFERROR(__xludf.DUMMYFUNCTION("""COMPUTED_VALUE"""),43434.0)</f>
        <v>43434</v>
      </c>
      <c r="C10" s="115">
        <f>IFERROR(__xludf.DUMMYFUNCTION("""COMPUTED_VALUE"""),43567.0)</f>
        <v>43567</v>
      </c>
      <c r="D10" s="62" t="str">
        <f>IFERROR(__xludf.DUMMYFUNCTION("""COMPUTED_VALUE"""),"Yes")</f>
        <v>Yes</v>
      </c>
      <c r="E10" s="62" t="str">
        <f>IFERROR(__xludf.DUMMYFUNCTION("""COMPUTED_VALUE"""),"No")</f>
        <v>No</v>
      </c>
      <c r="F10" s="62" t="str">
        <f>IFERROR(__xludf.DUMMYFUNCTION("""COMPUTED_VALUE"""),"Actionability")</f>
        <v>Actionability</v>
      </c>
      <c r="G10" t="str">
        <f>IFERROR(__xludf.DUMMYFUNCTION("""COMPUTED_VALUE"""),"")</f>
        <v/>
      </c>
      <c r="H10" t="str">
        <f>IFERROR(__xludf.DUMMYFUNCTION("""COMPUTED_VALUE"""),"Nharimann Azima")</f>
        <v>Nharimann Azima</v>
      </c>
      <c r="I10" t="str">
        <f>IFERROR(__xludf.DUMMYFUNCTION("""COMPUTED_VALUE"""),"naa3f@gwu.edu")</f>
        <v>naa3f@gwu.edu</v>
      </c>
      <c r="J10" s="62" t="str">
        <f>IFERROR(__xludf.DUMMYFUNCTION("""COMPUTED_VALUE"""),"Comprehensive")</f>
        <v>Comprehensive</v>
      </c>
      <c r="K10" t="str">
        <f>IFERROR(__xludf.DUMMYFUNCTION("""COMPUTED_VALUE"""),"I am flexible")</f>
        <v>I am flexible</v>
      </c>
    </row>
    <row r="11">
      <c r="A11" t="str">
        <f>IFERROR(__xludf.DUMMYFUNCTION("""COMPUTED_VALUE"""),"Assigned")</f>
        <v>Assigned</v>
      </c>
      <c r="B11" s="116">
        <f>IFERROR(__xludf.DUMMYFUNCTION("""COMPUTED_VALUE"""),43434.0)</f>
        <v>43434</v>
      </c>
      <c r="C11" s="114">
        <f>IFERROR(__xludf.DUMMYFUNCTION("""COMPUTED_VALUE"""),43678.0)</f>
        <v>43678</v>
      </c>
      <c r="D11" s="62" t="str">
        <f>IFERROR(__xludf.DUMMYFUNCTION("""COMPUTED_VALUE"""),"Yes")</f>
        <v>Yes</v>
      </c>
      <c r="E11" s="62" t="str">
        <f>IFERROR(__xludf.DUMMYFUNCTION("""COMPUTED_VALUE"""),"Yes")</f>
        <v>Yes</v>
      </c>
      <c r="F11" s="62" t="str">
        <f>IFERROR(__xludf.DUMMYFUNCTION("""COMPUTED_VALUE"""),"Actionability")</f>
        <v>Actionability</v>
      </c>
      <c r="G11" t="str">
        <f>IFERROR(__xludf.DUMMYFUNCTION("""COMPUTED_VALUE"""),"Actionability")</f>
        <v>Actionability</v>
      </c>
      <c r="H11" t="str">
        <f>IFERROR(__xludf.DUMMYFUNCTION("""COMPUTED_VALUE"""),"Krzysztof Szczaluba")</f>
        <v>Krzysztof Szczaluba</v>
      </c>
      <c r="I11" t="str">
        <f>IFERROR(__xludf.DUMMYFUNCTION("""COMPUTED_VALUE"""),"krzysztof.szczaluba@gmail.com")</f>
        <v>krzysztof.szczaluba@gmail.com</v>
      </c>
      <c r="J11" s="62" t="str">
        <f>IFERROR(__xludf.DUMMYFUNCTION("""COMPUTED_VALUE"""),"Comprehensive")</f>
        <v>Comprehensive</v>
      </c>
      <c r="K11" t="str">
        <f>IFERROR(__xludf.DUMMYFUNCTION("""COMPUTED_VALUE"""),"autism/ID, epi, brovca")</f>
        <v>autism/ID, epi, brovca</v>
      </c>
    </row>
    <row r="12">
      <c r="A12" t="str">
        <f>IFERROR(__xludf.DUMMYFUNCTION("""COMPUTED_VALUE"""),"Unresponsive")</f>
        <v>Unresponsive</v>
      </c>
      <c r="B12" s="116">
        <f>IFERROR(__xludf.DUMMYFUNCTION("""COMPUTED_VALUE"""),43434.0)</f>
        <v>43434</v>
      </c>
      <c r="C12" t="str">
        <f>IFERROR(__xludf.DUMMYFUNCTION("""COMPUTED_VALUE"""),"")</f>
        <v/>
      </c>
      <c r="D12" s="62" t="str">
        <f>IFERROR(__xludf.DUMMYFUNCTION("""COMPUTED_VALUE"""),"No")</f>
        <v>No</v>
      </c>
      <c r="E12" s="62" t="str">
        <f>IFERROR(__xludf.DUMMYFUNCTION("""COMPUTED_VALUE"""),"No")</f>
        <v>No</v>
      </c>
      <c r="F12" s="62" t="str">
        <f>IFERROR(__xludf.DUMMYFUNCTION("""COMPUTED_VALUE"""),"Actionability")</f>
        <v>Actionability</v>
      </c>
      <c r="G12" t="str">
        <f>IFERROR(__xludf.DUMMYFUNCTION("""COMPUTED_VALUE"""),"")</f>
        <v/>
      </c>
      <c r="H12" t="str">
        <f>IFERROR(__xludf.DUMMYFUNCTION("""COMPUTED_VALUE"""),"Robin Bennett")</f>
        <v>Robin Bennett</v>
      </c>
      <c r="I12" t="str">
        <f>IFERROR(__xludf.DUMMYFUNCTION("""COMPUTED_VALUE"""),"robinb@uw.edu")</f>
        <v>robinb@uw.edu</v>
      </c>
      <c r="J12" s="62" t="str">
        <f>IFERROR(__xludf.DUMMYFUNCTION("""COMPUTED_VALUE"""),"Comprehensive")</f>
        <v>Comprehensive</v>
      </c>
      <c r="K12" t="str">
        <f>IFERROR(__xludf.DUMMYFUNCTION("""COMPUTED_VALUE"""),"Variant curation expert panels: PTEN, VHL, CDH1, Colorectal cancer, breast-ovarian")</f>
        <v>Variant curation expert panels: PTEN, VHL, CDH1, Colorectal cancer, breast-ovarian</v>
      </c>
    </row>
    <row r="13">
      <c r="A13" t="str">
        <f>IFERROR(__xludf.DUMMYFUNCTION("""COMPUTED_VALUE"""),"Unresponsive")</f>
        <v>Unresponsive</v>
      </c>
      <c r="B13" s="116">
        <f>IFERROR(__xludf.DUMMYFUNCTION("""COMPUTED_VALUE"""),43434.0)</f>
        <v>43434</v>
      </c>
      <c r="C13" s="115">
        <f>IFERROR(__xludf.DUMMYFUNCTION("""COMPUTED_VALUE"""),43522.0)</f>
        <v>43522</v>
      </c>
      <c r="D13" s="62" t="str">
        <f>IFERROR(__xludf.DUMMYFUNCTION("""COMPUTED_VALUE"""),"Yes")</f>
        <v>Yes</v>
      </c>
      <c r="E13" s="62" t="str">
        <f>IFERROR(__xludf.DUMMYFUNCTION("""COMPUTED_VALUE"""),"No")</f>
        <v>No</v>
      </c>
      <c r="F13" s="62" t="str">
        <f>IFERROR(__xludf.DUMMYFUNCTION("""COMPUTED_VALUE"""),"Actionability")</f>
        <v>Actionability</v>
      </c>
      <c r="G13" t="str">
        <f>IFERROR(__xludf.DUMMYFUNCTION("""COMPUTED_VALUE"""),"Actionability")</f>
        <v>Actionability</v>
      </c>
      <c r="H13" t="str">
        <f>IFERROR(__xludf.DUMMYFUNCTION("""COMPUTED_VALUE"""),"Fiona Curtis")</f>
        <v>Fiona Curtis</v>
      </c>
      <c r="I13" t="str">
        <f>IFERROR(__xludf.DUMMYFUNCTION("""COMPUTED_VALUE"""),"fionakatherinecurtis@yahoo.ca")</f>
        <v>fionakatherinecurtis@yahoo.ca</v>
      </c>
      <c r="J13" s="62" t="str">
        <f>IFERROR(__xludf.DUMMYFUNCTION("""COMPUTED_VALUE"""),"Comprehensive")</f>
        <v>Comprehensive</v>
      </c>
      <c r="K13" t="str">
        <f>IFERROR(__xludf.DUMMYFUNCTION("""COMPUTED_VALUE"""),"inherited cardiomyopathy or other CV diseases")</f>
        <v>inherited cardiomyopathy or other CV diseases</v>
      </c>
    </row>
    <row r="14">
      <c r="A14" t="str">
        <f>IFERROR(__xludf.DUMMYFUNCTION("""COMPUTED_VALUE"""),"Unresponsive")</f>
        <v>Unresponsive</v>
      </c>
      <c r="B14" s="116">
        <f>IFERROR(__xludf.DUMMYFUNCTION("""COMPUTED_VALUE"""),43434.0)</f>
        <v>43434</v>
      </c>
      <c r="C14" t="str">
        <f>IFERROR(__xludf.DUMMYFUNCTION("""COMPUTED_VALUE"""),"")</f>
        <v/>
      </c>
      <c r="D14" s="62" t="str">
        <f>IFERROR(__xludf.DUMMYFUNCTION("""COMPUTED_VALUE"""),"No")</f>
        <v>No</v>
      </c>
      <c r="E14" s="62" t="str">
        <f>IFERROR(__xludf.DUMMYFUNCTION("""COMPUTED_VALUE"""),"No")</f>
        <v>No</v>
      </c>
      <c r="F14" s="62" t="str">
        <f>IFERROR(__xludf.DUMMYFUNCTION("""COMPUTED_VALUE"""),"Actionability")</f>
        <v>Actionability</v>
      </c>
      <c r="G14" t="str">
        <f>IFERROR(__xludf.DUMMYFUNCTION("""COMPUTED_VALUE"""),"")</f>
        <v/>
      </c>
      <c r="H14" t="str">
        <f>IFERROR(__xludf.DUMMYFUNCTION("""COMPUTED_VALUE"""),"Jennifer Marie Lee")</f>
        <v>Jennifer Marie Lee</v>
      </c>
      <c r="I14" t="str">
        <f>IFERROR(__xludf.DUMMYFUNCTION("""COMPUTED_VALUE"""),"Jennifer.Lee2@nih.gov")</f>
        <v>Jennifer.Lee2@nih.gov</v>
      </c>
      <c r="J14" s="62" t="str">
        <f>IFERROR(__xludf.DUMMYFUNCTION("""COMPUTED_VALUE"""),"Comprehensive")</f>
        <v>Comprehensive</v>
      </c>
      <c r="K14" t="str">
        <f>IFERROR(__xludf.DUMMYFUNCTION("""COMPUTED_VALUE"""),"NA")</f>
        <v>NA</v>
      </c>
    </row>
    <row r="15">
      <c r="A15" t="str">
        <f>IFERROR(__xludf.DUMMYFUNCTION("""COMPUTED_VALUE"""),"Follow up email")</f>
        <v>Follow up email</v>
      </c>
      <c r="B15" t="str">
        <f>IFERROR(__xludf.DUMMYFUNCTION("""COMPUTED_VALUE"""),"12/18/18 (assigned)
declined(5-2-19)
Renewed interest 8/12/19")</f>
        <v>12/18/18 (assigned)
declined(5-2-19)
Renewed interest 8/12/19</v>
      </c>
      <c r="C15" s="114">
        <f>IFERROR(__xludf.DUMMYFUNCTION("""COMPUTED_VALUE"""),43769.0)</f>
        <v>43769</v>
      </c>
      <c r="D15" s="62" t="str">
        <f>IFERROR(__xludf.DUMMYFUNCTION("""COMPUTED_VALUE"""),"Yes")</f>
        <v>Yes</v>
      </c>
      <c r="E15" s="62" t="str">
        <f>IFERROR(__xludf.DUMMYFUNCTION("""COMPUTED_VALUE"""),"Yes")</f>
        <v>Yes</v>
      </c>
      <c r="F15" s="62" t="str">
        <f>IFERROR(__xludf.DUMMYFUNCTION("""COMPUTED_VALUE"""),"Actionability")</f>
        <v>Actionability</v>
      </c>
      <c r="G15" t="str">
        <f>IFERROR(__xludf.DUMMYFUNCTION("""COMPUTED_VALUE"""),"Actionability")</f>
        <v>Actionability</v>
      </c>
      <c r="H15" t="str">
        <f>IFERROR(__xludf.DUMMYFUNCTION("""COMPUTED_VALUE"""),"Morgan Similuk")</f>
        <v>Morgan Similuk</v>
      </c>
      <c r="I15" t="str">
        <f>IFERROR(__xludf.DUMMYFUNCTION("""COMPUTED_VALUE"""),"Morgan.similuk@nih.gov")</f>
        <v>Morgan.similuk@nih.gov</v>
      </c>
      <c r="J15" s="62" t="str">
        <f>IFERROR(__xludf.DUMMYFUNCTION("""COMPUTED_VALUE"""),"Comprehensive")</f>
        <v>Comprehensive</v>
      </c>
      <c r="K15" t="str">
        <f>IFERROR(__xludf.DUMMYFUNCTION("""COMPUTED_VALUE"""),"NA")</f>
        <v>NA</v>
      </c>
    </row>
    <row r="16">
      <c r="A16" t="str">
        <f>IFERROR(__xludf.DUMMYFUNCTION("""COMPUTED_VALUE"""),"Unresponsive")</f>
        <v>Unresponsive</v>
      </c>
      <c r="B16" s="116">
        <f>IFERROR(__xludf.DUMMYFUNCTION("""COMPUTED_VALUE"""),43452.0)</f>
        <v>43452</v>
      </c>
      <c r="C16" s="114">
        <f>IFERROR(__xludf.DUMMYFUNCTION("""COMPUTED_VALUE"""),43678.0)</f>
        <v>43678</v>
      </c>
      <c r="D16" s="62" t="str">
        <f>IFERROR(__xludf.DUMMYFUNCTION("""COMPUTED_VALUE"""),"Yes")</f>
        <v>Yes</v>
      </c>
      <c r="E16" s="62" t="str">
        <f>IFERROR(__xludf.DUMMYFUNCTION("""COMPUTED_VALUE"""),"No")</f>
        <v>No</v>
      </c>
      <c r="F16" s="62" t="str">
        <f>IFERROR(__xludf.DUMMYFUNCTION("""COMPUTED_VALUE"""),"Actionability")</f>
        <v>Actionability</v>
      </c>
      <c r="G16" t="str">
        <f>IFERROR(__xludf.DUMMYFUNCTION("""COMPUTED_VALUE"""),"")</f>
        <v/>
      </c>
      <c r="H16" t="str">
        <f>IFERROR(__xludf.DUMMYFUNCTION("""COMPUTED_VALUE"""),"Sandra P Smieszek")</f>
        <v>Sandra P Smieszek</v>
      </c>
      <c r="I16" t="str">
        <f>IFERROR(__xludf.DUMMYFUNCTION("""COMPUTED_VALUE"""),"sps92@case.edu")</f>
        <v>sps92@case.edu</v>
      </c>
      <c r="J16" s="62" t="str">
        <f>IFERROR(__xludf.DUMMYFUNCTION("""COMPUTED_VALUE"""),"Comprehensive")</f>
        <v>Comprehensive</v>
      </c>
      <c r="K16" t="str">
        <f>IFERROR(__xludf.DUMMYFUNCTION("""COMPUTED_VALUE"""),"Autism")</f>
        <v>Autism</v>
      </c>
    </row>
    <row r="17">
      <c r="A17" t="str">
        <f>IFERROR(__xludf.DUMMYFUNCTION("""COMPUTED_VALUE"""),"Unresponsive")</f>
        <v>Unresponsive</v>
      </c>
      <c r="B17" t="str">
        <f>IFERROR(__xludf.DUMMYFUNCTION("""COMPUTED_VALUE"""),"")</f>
        <v/>
      </c>
      <c r="C17" t="str">
        <f>IFERROR(__xludf.DUMMYFUNCTION("""COMPUTED_VALUE"""),"")</f>
        <v/>
      </c>
      <c r="D17" s="62" t="str">
        <f>IFERROR(__xludf.DUMMYFUNCTION("""COMPUTED_VALUE"""),"No")</f>
        <v>No</v>
      </c>
      <c r="E17" s="62" t="str">
        <f>IFERROR(__xludf.DUMMYFUNCTION("""COMPUTED_VALUE"""),"No")</f>
        <v>No</v>
      </c>
      <c r="F17" s="62" t="str">
        <f>IFERROR(__xludf.DUMMYFUNCTION("""COMPUTED_VALUE"""),"Actionability")</f>
        <v>Actionability</v>
      </c>
      <c r="G17" t="str">
        <f>IFERROR(__xludf.DUMMYFUNCTION("""COMPUTED_VALUE"""),"")</f>
        <v/>
      </c>
      <c r="H17" t="str">
        <f>IFERROR(__xludf.DUMMYFUNCTION("""COMPUTED_VALUE"""),"Samata Singhi")</f>
        <v>Samata Singhi</v>
      </c>
      <c r="I17" t="str">
        <f>IFERROR(__xludf.DUMMYFUNCTION("""COMPUTED_VALUE"""),"samata.singhi@gmail.com")</f>
        <v>samata.singhi@gmail.com</v>
      </c>
      <c r="J17" s="62" t="str">
        <f>IFERROR(__xludf.DUMMYFUNCTION("""COMPUTED_VALUE"""),"Comprehensive")</f>
        <v>Comprehensive</v>
      </c>
      <c r="K17" t="str">
        <f>IFERROR(__xludf.DUMMYFUNCTION("""COMPUTED_VALUE"""),"Epilepsy")</f>
        <v>Epilepsy</v>
      </c>
    </row>
    <row r="18">
      <c r="A18" t="str">
        <f>IFERROR(__xludf.DUMMYFUNCTION("""COMPUTED_VALUE"""),"Unresponsive")</f>
        <v>Unresponsive</v>
      </c>
      <c r="B18" t="str">
        <f>IFERROR(__xludf.DUMMYFUNCTION("""COMPUTED_VALUE"""),"")</f>
        <v/>
      </c>
      <c r="C18" s="115">
        <f>IFERROR(__xludf.DUMMYFUNCTION("""COMPUTED_VALUE"""),43567.0)</f>
        <v>43567</v>
      </c>
      <c r="D18" s="62" t="str">
        <f>IFERROR(__xludf.DUMMYFUNCTION("""COMPUTED_VALUE"""),"Yes")</f>
        <v>Yes</v>
      </c>
      <c r="E18" s="62" t="str">
        <f>IFERROR(__xludf.DUMMYFUNCTION("""COMPUTED_VALUE"""),"Yes")</f>
        <v>Yes</v>
      </c>
      <c r="F18" s="62" t="str">
        <f>IFERROR(__xludf.DUMMYFUNCTION("""COMPUTED_VALUE"""),"Actionability")</f>
        <v>Actionability</v>
      </c>
      <c r="G18" t="str">
        <f>IFERROR(__xludf.DUMMYFUNCTION("""COMPUTED_VALUE"""),"Actionability")</f>
        <v>Actionability</v>
      </c>
      <c r="H18" t="str">
        <f>IFERROR(__xludf.DUMMYFUNCTION("""COMPUTED_VALUE"""),"Ramesh Vaidyanathan")</f>
        <v>Ramesh Vaidyanathan</v>
      </c>
      <c r="I18" t="str">
        <f>IFERROR(__xludf.DUMMYFUNCTION("""COMPUTED_VALUE"""),"vaid@rocketmail.com")</f>
        <v>vaid@rocketmail.com</v>
      </c>
      <c r="J18" s="62" t="str">
        <f>IFERROR(__xludf.DUMMYFUNCTION("""COMPUTED_VALUE"""),"Comprehensive")</f>
        <v>Comprehensive</v>
      </c>
      <c r="K18" t="str">
        <f>IFERROR(__xludf.DUMMYFUNCTION("""COMPUTED_VALUE"""),"")</f>
        <v/>
      </c>
    </row>
    <row r="19">
      <c r="A19" t="str">
        <f>IFERROR(__xludf.DUMMYFUNCTION("""COMPUTED_VALUE"""),"Unresponsive")</f>
        <v>Unresponsive</v>
      </c>
      <c r="B19" t="str">
        <f>IFERROR(__xludf.DUMMYFUNCTION("""COMPUTED_VALUE"""),"")</f>
        <v/>
      </c>
      <c r="C19" s="115">
        <f>IFERROR(__xludf.DUMMYFUNCTION("""COMPUTED_VALUE"""),43567.0)</f>
        <v>43567</v>
      </c>
      <c r="D19" s="62" t="str">
        <f>IFERROR(__xludf.DUMMYFUNCTION("""COMPUTED_VALUE"""),"Yes")</f>
        <v>Yes</v>
      </c>
      <c r="E19" s="62" t="str">
        <f>IFERROR(__xludf.DUMMYFUNCTION("""COMPUTED_VALUE"""),"Yes")</f>
        <v>Yes</v>
      </c>
      <c r="F19" s="62" t="str">
        <f>IFERROR(__xludf.DUMMYFUNCTION("""COMPUTED_VALUE"""),"Actionability")</f>
        <v>Actionability</v>
      </c>
      <c r="G19" t="str">
        <f>IFERROR(__xludf.DUMMYFUNCTION("""COMPUTED_VALUE"""),"Actionability")</f>
        <v>Actionability</v>
      </c>
      <c r="H19" t="str">
        <f>IFERROR(__xludf.DUMMYFUNCTION("""COMPUTED_VALUE"""),"Lesley Northrop")</f>
        <v>Lesley Northrop</v>
      </c>
      <c r="I19" t="str">
        <f>IFERROR(__xludf.DUMMYFUNCTION("""COMPUTED_VALUE"""),"lesleyenorthrop@gmail.com")</f>
        <v>lesleyenorthrop@gmail.com</v>
      </c>
      <c r="J19" s="62" t="str">
        <f>IFERROR(__xludf.DUMMYFUNCTION("""COMPUTED_VALUE"""),"Comprehensive")</f>
        <v>Comprehensive</v>
      </c>
      <c r="K19" t="str">
        <f>IFERROR(__xludf.DUMMYFUNCTION("""COMPUTED_VALUE"""),"Gene Curation - Epilepsy or Autism &amp; ID")</f>
        <v>Gene Curation - Epilepsy or Autism &amp; ID</v>
      </c>
    </row>
    <row r="20">
      <c r="A20" t="str">
        <f>IFERROR(__xludf.DUMMYFUNCTION("""COMPUTED_VALUE"""),"Unresponsive")</f>
        <v>Unresponsive</v>
      </c>
      <c r="B20" t="str">
        <f>IFERROR(__xludf.DUMMYFUNCTION("""COMPUTED_VALUE"""),"7-9-19 (status changed to unresponsive)")</f>
        <v>7-9-19 (status changed to unresponsive)</v>
      </c>
      <c r="C20" t="str">
        <f>IFERROR(__xludf.DUMMYFUNCTION("""COMPUTED_VALUE"""),"")</f>
        <v/>
      </c>
      <c r="D20" s="62" t="str">
        <f>IFERROR(__xludf.DUMMYFUNCTION("""COMPUTED_VALUE"""),"No")</f>
        <v>No</v>
      </c>
      <c r="E20" s="62" t="str">
        <f>IFERROR(__xludf.DUMMYFUNCTION("""COMPUTED_VALUE"""),"No")</f>
        <v>No</v>
      </c>
      <c r="F20" s="62" t="str">
        <f>IFERROR(__xludf.DUMMYFUNCTION("""COMPUTED_VALUE"""),"Actionability")</f>
        <v>Actionability</v>
      </c>
      <c r="G20" t="str">
        <f>IFERROR(__xludf.DUMMYFUNCTION("""COMPUTED_VALUE"""),"")</f>
        <v/>
      </c>
      <c r="H20" t="str">
        <f>IFERROR(__xludf.DUMMYFUNCTION("""COMPUTED_VALUE"""),"Alka Chaubey")</f>
        <v>Alka Chaubey</v>
      </c>
      <c r="I20" t="str">
        <f>IFERROR(__xludf.DUMMYFUNCTION("""COMPUTED_VALUE"""),"")</f>
        <v/>
      </c>
      <c r="J20" s="62" t="str">
        <f>IFERROR(__xludf.DUMMYFUNCTION("""COMPUTED_VALUE"""),"Comprehensive")</f>
        <v>Comprehensive</v>
      </c>
      <c r="K20" t="str">
        <f>IFERROR(__xludf.DUMMYFUNCTION("""COMPUTED_VALUE"""),"Dosage sensitivity and somatic cancer ")</f>
        <v>Dosage sensitivity and somatic cancer </v>
      </c>
    </row>
    <row r="21">
      <c r="A21" t="str">
        <f>IFERROR(__xludf.DUMMYFUNCTION("""COMPUTED_VALUE"""),"Contacted")</f>
        <v>Contacted</v>
      </c>
      <c r="B21" t="str">
        <f>IFERROR(__xludf.DUMMYFUNCTION("""COMPUTED_VALUE"""),"")</f>
        <v/>
      </c>
      <c r="C21" s="114">
        <f>IFERROR(__xludf.DUMMYFUNCTION("""COMPUTED_VALUE"""),43594.0)</f>
        <v>43594</v>
      </c>
      <c r="D21" s="62" t="str">
        <f>IFERROR(__xludf.DUMMYFUNCTION("""COMPUTED_VALUE"""),"Yes")</f>
        <v>Yes</v>
      </c>
      <c r="E21" s="62" t="str">
        <f>IFERROR(__xludf.DUMMYFUNCTION("""COMPUTED_VALUE"""),"Yes")</f>
        <v>Yes</v>
      </c>
      <c r="F21" s="62" t="str">
        <f>IFERROR(__xludf.DUMMYFUNCTION("""COMPUTED_VALUE"""),"Actionability")</f>
        <v>Actionability</v>
      </c>
      <c r="G21" t="str">
        <f>IFERROR(__xludf.DUMMYFUNCTION("""COMPUTED_VALUE"""),"Actionability")</f>
        <v>Actionability</v>
      </c>
      <c r="H21" t="str">
        <f>IFERROR(__xludf.DUMMYFUNCTION("""COMPUTED_VALUE"""),"Karen Hanson")</f>
        <v>Karen Hanson</v>
      </c>
      <c r="I21" t="str">
        <f>IFERROR(__xludf.DUMMYFUNCTION("""COMPUTED_VALUE"""),"krhms3@gmail.com")</f>
        <v>krhms3@gmail.com</v>
      </c>
      <c r="J21" s="62" t="str">
        <f>IFERROR(__xludf.DUMMYFUNCTION("""COMPUTED_VALUE"""),"Comprehensive")</f>
        <v>Comprehensive</v>
      </c>
      <c r="K21" t="str">
        <f>IFERROR(__xludf.DUMMYFUNCTION("""COMPUTED_VALUE"""),"brain malformations, cancer")</f>
        <v>brain malformations, cancer</v>
      </c>
    </row>
    <row r="22">
      <c r="A22" t="str">
        <f>IFERROR(__xludf.DUMMYFUNCTION("""COMPUTED_VALUE"""),"Assigned")</f>
        <v>Assigned</v>
      </c>
      <c r="B22" s="114">
        <f>IFERROR(__xludf.DUMMYFUNCTION("""COMPUTED_VALUE"""),43787.0)</f>
        <v>43787</v>
      </c>
      <c r="C22" t="str">
        <f>IFERROR(__xludf.DUMMYFUNCTION("""COMPUTED_VALUE"""),"")</f>
        <v/>
      </c>
      <c r="D22" s="62" t="str">
        <f>IFERROR(__xludf.DUMMYFUNCTION("""COMPUTED_VALUE"""),"No")</f>
        <v>No</v>
      </c>
      <c r="E22" s="62" t="str">
        <f>IFERROR(__xludf.DUMMYFUNCTION("""COMPUTED_VALUE"""),"No")</f>
        <v>No</v>
      </c>
      <c r="F22" s="62" t="str">
        <f>IFERROR(__xludf.DUMMYFUNCTION("""COMPUTED_VALUE"""),"Actionability")</f>
        <v>Actionability</v>
      </c>
      <c r="G22" t="str">
        <f>IFERROR(__xludf.DUMMYFUNCTION("""COMPUTED_VALUE"""),"")</f>
        <v/>
      </c>
      <c r="H22" t="str">
        <f>IFERROR(__xludf.DUMMYFUNCTION("""COMPUTED_VALUE"""),"Fareed Al Qusous")</f>
        <v>Fareed Al Qusous</v>
      </c>
      <c r="I22" t="str">
        <f>IFERROR(__xludf.DUMMYFUNCTION("""COMPUTED_VALUE"""),"Fareedh.al.qusous@hotmail.com")</f>
        <v>Fareedh.al.qusous@hotmail.com</v>
      </c>
      <c r="J22" s="62" t="str">
        <f>IFERROR(__xludf.DUMMYFUNCTION("""COMPUTED_VALUE"""),"Comprehensive")</f>
        <v>Comprehensive</v>
      </c>
      <c r="K22" t="str">
        <f>IFERROR(__xludf.DUMMYFUNCTION("""COMPUTED_VALUE"""),"")</f>
        <v/>
      </c>
    </row>
    <row r="23">
      <c r="A23" t="str">
        <f>IFERROR(__xludf.DUMMYFUNCTION("""COMPUTED_VALUE"""),"Contacted")</f>
        <v>Contacted</v>
      </c>
      <c r="B23" s="116">
        <f>IFERROR(__xludf.DUMMYFUNCTION("""COMPUTED_VALUE"""),43689.0)</f>
        <v>43689</v>
      </c>
      <c r="C23" s="116">
        <f>IFERROR(__xludf.DUMMYFUNCTION("""COMPUTED_VALUE"""),43768.0)</f>
        <v>43768</v>
      </c>
      <c r="D23" s="62" t="str">
        <f>IFERROR(__xludf.DUMMYFUNCTION("""COMPUTED_VALUE"""),"Yes")</f>
        <v>Yes</v>
      </c>
      <c r="E23" s="62" t="str">
        <f>IFERROR(__xludf.DUMMYFUNCTION("""COMPUTED_VALUE"""),"Yes")</f>
        <v>Yes</v>
      </c>
      <c r="F23" s="62" t="str">
        <f>IFERROR(__xludf.DUMMYFUNCTION("""COMPUTED_VALUE"""),"Actionability")</f>
        <v>Actionability</v>
      </c>
      <c r="G23" t="str">
        <f>IFERROR(__xludf.DUMMYFUNCTION("""COMPUTED_VALUE"""),"Actionability")</f>
        <v>Actionability</v>
      </c>
      <c r="H23" t="str">
        <f>IFERROR(__xludf.DUMMYFUNCTION("""COMPUTED_VALUE"""),"Gifty Bhat")</f>
        <v>Gifty Bhat</v>
      </c>
      <c r="I23" t="str">
        <f>IFERROR(__xludf.DUMMYFUNCTION("""COMPUTED_VALUE"""),"drgiftybhat@gmail.com")</f>
        <v>drgiftybhat@gmail.com</v>
      </c>
      <c r="J23" s="62" t="str">
        <f>IFERROR(__xludf.DUMMYFUNCTION("""COMPUTED_VALUE"""),"Comprehensive")</f>
        <v>Comprehensive</v>
      </c>
      <c r="K23" t="str">
        <f>IFERROR(__xludf.DUMMYFUNCTION("""COMPUTED_VALUE"""),"Intellectual disability and autism")</f>
        <v>Intellectual disability and autism</v>
      </c>
    </row>
    <row r="24">
      <c r="A24" t="str">
        <f>IFERROR(__xludf.DUMMYFUNCTION("""COMPUTED_VALUE"""),"Contacted")</f>
        <v>Contacted</v>
      </c>
      <c r="B24" s="116">
        <f>IFERROR(__xludf.DUMMYFUNCTION("""COMPUTED_VALUE"""),43689.0)</f>
        <v>43689</v>
      </c>
      <c r="C24" t="str">
        <f>IFERROR(__xludf.DUMMYFUNCTION("""COMPUTED_VALUE"""),"")</f>
        <v/>
      </c>
      <c r="D24" s="62" t="str">
        <f>IFERROR(__xludf.DUMMYFUNCTION("""COMPUTED_VALUE"""),"")</f>
        <v/>
      </c>
      <c r="E24" s="62" t="str">
        <f>IFERROR(__xludf.DUMMYFUNCTION("""COMPUTED_VALUE"""),"No")</f>
        <v>No</v>
      </c>
      <c r="F24" s="62" t="str">
        <f>IFERROR(__xludf.DUMMYFUNCTION("""COMPUTED_VALUE"""),"Actionability")</f>
        <v>Actionability</v>
      </c>
      <c r="G24" t="str">
        <f>IFERROR(__xludf.DUMMYFUNCTION("""COMPUTED_VALUE"""),"")</f>
        <v/>
      </c>
      <c r="H24" t="str">
        <f>IFERROR(__xludf.DUMMYFUNCTION("""COMPUTED_VALUE"""),"Léon Tshilolo")</f>
        <v>Léon Tshilolo</v>
      </c>
      <c r="I24" t="str">
        <f>IFERROR(__xludf.DUMMYFUNCTION("""COMPUTED_VALUE"""),"leon.tshilolo2012@gmail.com")</f>
        <v>leon.tshilolo2012@gmail.com</v>
      </c>
      <c r="J24" s="62" t="str">
        <f>IFERROR(__xludf.DUMMYFUNCTION("""COMPUTED_VALUE"""),"Comprehensive")</f>
        <v>Comprehensive</v>
      </c>
      <c r="K24" t="str">
        <f>IFERROR(__xludf.DUMMYFUNCTION("""COMPUTED_VALUE"""),"hemoglobinopathies")</f>
        <v>hemoglobinopathies</v>
      </c>
    </row>
    <row r="25">
      <c r="A25" t="str">
        <f>IFERROR(__xludf.DUMMYFUNCTION("""COMPUTED_VALUE"""),"Unresponsive")</f>
        <v>Unresponsive</v>
      </c>
      <c r="B25" s="116">
        <f>IFERROR(__xludf.DUMMYFUNCTION("""COMPUTED_VALUE"""),43689.0)</f>
        <v>43689</v>
      </c>
      <c r="C25" t="str">
        <f>IFERROR(__xludf.DUMMYFUNCTION("""COMPUTED_VALUE"""),"")</f>
        <v/>
      </c>
      <c r="D25" s="62" t="str">
        <f>IFERROR(__xludf.DUMMYFUNCTION("""COMPUTED_VALUE"""),"")</f>
        <v/>
      </c>
      <c r="E25" s="62" t="str">
        <f>IFERROR(__xludf.DUMMYFUNCTION("""COMPUTED_VALUE"""),"No")</f>
        <v>No</v>
      </c>
      <c r="F25" s="62" t="str">
        <f>IFERROR(__xludf.DUMMYFUNCTION("""COMPUTED_VALUE"""),"Actionability")</f>
        <v>Actionability</v>
      </c>
      <c r="G25" t="str">
        <f>IFERROR(__xludf.DUMMYFUNCTION("""COMPUTED_VALUE"""),"")</f>
        <v/>
      </c>
      <c r="H25" t="str">
        <f>IFERROR(__xludf.DUMMYFUNCTION("""COMPUTED_VALUE"""),"Altovise Ewing")</f>
        <v>Altovise Ewing</v>
      </c>
      <c r="I25" t="str">
        <f>IFERROR(__xludf.DUMMYFUNCTION("""COMPUTED_VALUE"""),"altovisee@gmail.com")</f>
        <v>altovisee@gmail.com</v>
      </c>
      <c r="J25" s="62" t="str">
        <f>IFERROR(__xludf.DUMMYFUNCTION("""COMPUTED_VALUE"""),"Comprehensive")</f>
        <v>Comprehensive</v>
      </c>
      <c r="K25" t="str">
        <f>IFERROR(__xludf.DUMMYFUNCTION("""COMPUTED_VALUE"""),"Hereditary cancer")</f>
        <v>Hereditary cancer</v>
      </c>
    </row>
    <row r="26">
      <c r="A26" t="str">
        <f>IFERROR(__xludf.DUMMYFUNCTION("""COMPUTED_VALUE"""),"Contacted")</f>
        <v>Contacted</v>
      </c>
      <c r="B26" s="116">
        <f>IFERROR(__xludf.DUMMYFUNCTION("""COMPUTED_VALUE"""),43689.0)</f>
        <v>43689</v>
      </c>
      <c r="C26" s="114">
        <f>IFERROR(__xludf.DUMMYFUNCTION("""COMPUTED_VALUE"""),43768.0)</f>
        <v>43768</v>
      </c>
      <c r="D26" s="62" t="str">
        <f>IFERROR(__xludf.DUMMYFUNCTION("""COMPUTED_VALUE"""),"Yes")</f>
        <v>Yes</v>
      </c>
      <c r="E26" s="62" t="str">
        <f>IFERROR(__xludf.DUMMYFUNCTION("""COMPUTED_VALUE"""),"Yes")</f>
        <v>Yes</v>
      </c>
      <c r="F26" s="62" t="str">
        <f>IFERROR(__xludf.DUMMYFUNCTION("""COMPUTED_VALUE"""),"Actionability")</f>
        <v>Actionability</v>
      </c>
      <c r="G26" t="str">
        <f>IFERROR(__xludf.DUMMYFUNCTION("""COMPUTED_VALUE"""),"Actionability")</f>
        <v>Actionability</v>
      </c>
      <c r="H26" t="str">
        <f>IFERROR(__xludf.DUMMYFUNCTION("""COMPUTED_VALUE"""),"Greg Lennon")</f>
        <v>Greg Lennon</v>
      </c>
      <c r="I26" t="str">
        <f>IFERROR(__xludf.DUMMYFUNCTION("""COMPUTED_VALUE"""),"greg.lennon@gmail.com")</f>
        <v>greg.lennon@gmail.com</v>
      </c>
      <c r="J26" s="62" t="str">
        <f>IFERROR(__xludf.DUMMYFUNCTION("""COMPUTED_VALUE"""),"Comprehensive")</f>
        <v>Comprehensive</v>
      </c>
      <c r="K26" t="str">
        <f>IFERROR(__xludf.DUMMYFUNCTION("""COMPUTED_VALUE"""),"Actionability Working Group")</f>
        <v>Actionability Working Group</v>
      </c>
    </row>
    <row r="27">
      <c r="A27" t="str">
        <f>IFERROR(__xludf.DUMMYFUNCTION("""COMPUTED_VALUE"""),"Contacted")</f>
        <v>Contacted</v>
      </c>
      <c r="B27" s="116">
        <f>IFERROR(__xludf.DUMMYFUNCTION("""COMPUTED_VALUE"""),43689.0)</f>
        <v>43689</v>
      </c>
      <c r="C27" t="str">
        <f>IFERROR(__xludf.DUMMYFUNCTION("""COMPUTED_VALUE"""),"")</f>
        <v/>
      </c>
      <c r="D27" s="62" t="str">
        <f>IFERROR(__xludf.DUMMYFUNCTION("""COMPUTED_VALUE"""),"Yes")</f>
        <v>Yes</v>
      </c>
      <c r="E27" s="62" t="str">
        <f>IFERROR(__xludf.DUMMYFUNCTION("""COMPUTED_VALUE"""),"No")</f>
        <v>No</v>
      </c>
      <c r="F27" s="62" t="str">
        <f>IFERROR(__xludf.DUMMYFUNCTION("""COMPUTED_VALUE"""),"Actionability")</f>
        <v>Actionability</v>
      </c>
      <c r="G27" t="str">
        <f>IFERROR(__xludf.DUMMYFUNCTION("""COMPUTED_VALUE"""),"")</f>
        <v/>
      </c>
      <c r="H27" t="str">
        <f>IFERROR(__xludf.DUMMYFUNCTION("""COMPUTED_VALUE"""),"Generoso")</f>
        <v>Generoso</v>
      </c>
      <c r="I27" t="str">
        <f>IFERROR(__xludf.DUMMYFUNCTION("""COMPUTED_VALUE"""),"generoso@dantelabs.com")</f>
        <v>generoso@dantelabs.com</v>
      </c>
      <c r="J27" s="62" t="str">
        <f>IFERROR(__xludf.DUMMYFUNCTION("""COMPUTED_VALUE"""),"Comprehensive")</f>
        <v>Comprehensive</v>
      </c>
      <c r="K27" t="str">
        <f>IFERROR(__xludf.DUMMYFUNCTION("""COMPUTED_VALUE"""),"")</f>
        <v/>
      </c>
    </row>
    <row r="28">
      <c r="A28" t="str">
        <f>IFERROR(__xludf.DUMMYFUNCTION("""COMPUTED_VALUE"""),"Contacted")</f>
        <v>Contacted</v>
      </c>
      <c r="B28" s="116">
        <f>IFERROR(__xludf.DUMMYFUNCTION("""COMPUTED_VALUE"""),43689.0)</f>
        <v>43689</v>
      </c>
      <c r="C28" s="114">
        <f>IFERROR(__xludf.DUMMYFUNCTION("""COMPUTED_VALUE"""),43769.0)</f>
        <v>43769</v>
      </c>
      <c r="D28" s="62" t="str">
        <f>IFERROR(__xludf.DUMMYFUNCTION("""COMPUTED_VALUE"""),"Yes")</f>
        <v>Yes</v>
      </c>
      <c r="E28" s="62" t="str">
        <f>IFERROR(__xludf.DUMMYFUNCTION("""COMPUTED_VALUE"""),"Yes")</f>
        <v>Yes</v>
      </c>
      <c r="F28" s="62" t="str">
        <f>IFERROR(__xludf.DUMMYFUNCTION("""COMPUTED_VALUE"""),"Actionability")</f>
        <v>Actionability</v>
      </c>
      <c r="G28" t="str">
        <f>IFERROR(__xludf.DUMMYFUNCTION("""COMPUTED_VALUE"""),"Actionability")</f>
        <v>Actionability</v>
      </c>
      <c r="H28" t="str">
        <f>IFERROR(__xludf.DUMMYFUNCTION("""COMPUTED_VALUE"""),"Abul Kalam Azad")</f>
        <v>Abul Kalam Azad</v>
      </c>
      <c r="I28" t="str">
        <f>IFERROR(__xludf.DUMMYFUNCTION("""COMPUTED_VALUE"""),"azadak@gmail.com")</f>
        <v>azadak@gmail.com</v>
      </c>
      <c r="J28" s="62" t="str">
        <f>IFERROR(__xludf.DUMMYFUNCTION("""COMPUTED_VALUE"""),"Comprehensive")</f>
        <v>Comprehensive</v>
      </c>
      <c r="K28" t="str">
        <f>IFERROR(__xludf.DUMMYFUNCTION("""COMPUTED_VALUE"""),"")</f>
        <v/>
      </c>
    </row>
    <row r="29">
      <c r="A29" t="str">
        <f>IFERROR(__xludf.DUMMYFUNCTION("""COMPUTED_VALUE"""),"Contacted")</f>
        <v>Contacted</v>
      </c>
      <c r="B29" s="116">
        <f>IFERROR(__xludf.DUMMYFUNCTION("""COMPUTED_VALUE"""),43689.0)</f>
        <v>43689</v>
      </c>
      <c r="C29" t="str">
        <f>IFERROR(__xludf.DUMMYFUNCTION("""COMPUTED_VALUE"""),"")</f>
        <v/>
      </c>
      <c r="D29" s="62" t="str">
        <f>IFERROR(__xludf.DUMMYFUNCTION("""COMPUTED_VALUE"""),"")</f>
        <v/>
      </c>
      <c r="E29" s="62" t="str">
        <f>IFERROR(__xludf.DUMMYFUNCTION("""COMPUTED_VALUE"""),"No")</f>
        <v>No</v>
      </c>
      <c r="F29" s="62" t="str">
        <f>IFERROR(__xludf.DUMMYFUNCTION("""COMPUTED_VALUE"""),"Actionability")</f>
        <v>Actionability</v>
      </c>
      <c r="G29" t="str">
        <f>IFERROR(__xludf.DUMMYFUNCTION("""COMPUTED_VALUE"""),"")</f>
        <v/>
      </c>
      <c r="H29" t="str">
        <f>IFERROR(__xludf.DUMMYFUNCTION("""COMPUTED_VALUE"""),"Agnes Sebastian")</f>
        <v>Agnes Sebastian</v>
      </c>
      <c r="I29" t="str">
        <f>IFERROR(__xludf.DUMMYFUNCTION("""COMPUTED_VALUE"""),"agnes.sebastian@mail.utoronto.ca")</f>
        <v>agnes.sebastian@mail.utoronto.ca</v>
      </c>
      <c r="J29" s="62" t="str">
        <f>IFERROR(__xludf.DUMMYFUNCTION("""COMPUTED_VALUE"""),"Comprehensive")</f>
        <v>Comprehensive</v>
      </c>
      <c r="K29" t="str">
        <f>IFERROR(__xludf.DUMMYFUNCTION("""COMPUTED_VALUE"""),"No - any group related to cancer or hearing loss is preferable")</f>
        <v>No - any group related to cancer or hearing loss is preferable</v>
      </c>
    </row>
    <row r="30">
      <c r="A30" t="str">
        <f>IFERROR(__xludf.DUMMYFUNCTION("""COMPUTED_VALUE"""),"Contacted")</f>
        <v>Contacted</v>
      </c>
      <c r="B30" s="116">
        <f>IFERROR(__xludf.DUMMYFUNCTION("""COMPUTED_VALUE"""),43689.0)</f>
        <v>43689</v>
      </c>
      <c r="C30" t="str">
        <f>IFERROR(__xludf.DUMMYFUNCTION("""COMPUTED_VALUE"""),"")</f>
        <v/>
      </c>
      <c r="D30" s="62" t="str">
        <f>IFERROR(__xludf.DUMMYFUNCTION("""COMPUTED_VALUE"""),"")</f>
        <v/>
      </c>
      <c r="E30" s="62" t="str">
        <f>IFERROR(__xludf.DUMMYFUNCTION("""COMPUTED_VALUE"""),"No")</f>
        <v>No</v>
      </c>
      <c r="F30" s="62" t="str">
        <f>IFERROR(__xludf.DUMMYFUNCTION("""COMPUTED_VALUE"""),"Actionability")</f>
        <v>Actionability</v>
      </c>
      <c r="G30" t="str">
        <f>IFERROR(__xludf.DUMMYFUNCTION("""COMPUTED_VALUE"""),"")</f>
        <v/>
      </c>
      <c r="H30" t="str">
        <f>IFERROR(__xludf.DUMMYFUNCTION("""COMPUTED_VALUE"""),"Terri McVeigh")</f>
        <v>Terri McVeigh</v>
      </c>
      <c r="I30" t="str">
        <f>IFERROR(__xludf.DUMMYFUNCTION("""COMPUTED_VALUE"""),"terri.mcveigh@rmh.nhs.uk")</f>
        <v>terri.mcveigh@rmh.nhs.uk</v>
      </c>
      <c r="J30" s="62" t="str">
        <f>IFERROR(__xludf.DUMMYFUNCTION("""COMPUTED_VALUE"""),"Comprehensive")</f>
        <v>Comprehensive</v>
      </c>
      <c r="K30" t="str">
        <f>IFERROR(__xludf.DUMMYFUNCTION("""COMPUTED_VALUE"""),"")</f>
        <v/>
      </c>
    </row>
    <row r="31">
      <c r="A31" t="str">
        <f>IFERROR(__xludf.DUMMYFUNCTION("""COMPUTED_VALUE"""),"Contacted")</f>
        <v>Contacted</v>
      </c>
      <c r="B31" s="116">
        <f>IFERROR(__xludf.DUMMYFUNCTION("""COMPUTED_VALUE"""),43689.0)</f>
        <v>43689</v>
      </c>
      <c r="C31" t="str">
        <f>IFERROR(__xludf.DUMMYFUNCTION("""COMPUTED_VALUE"""),"")</f>
        <v/>
      </c>
      <c r="D31" s="62" t="str">
        <f>IFERROR(__xludf.DUMMYFUNCTION("""COMPUTED_VALUE"""),"")</f>
        <v/>
      </c>
      <c r="E31" s="62" t="str">
        <f>IFERROR(__xludf.DUMMYFUNCTION("""COMPUTED_VALUE"""),"No")</f>
        <v>No</v>
      </c>
      <c r="F31" s="62" t="str">
        <f>IFERROR(__xludf.DUMMYFUNCTION("""COMPUTED_VALUE"""),"Actionability")</f>
        <v>Actionability</v>
      </c>
      <c r="G31" t="str">
        <f>IFERROR(__xludf.DUMMYFUNCTION("""COMPUTED_VALUE"""),"")</f>
        <v/>
      </c>
      <c r="H31" t="str">
        <f>IFERROR(__xludf.DUMMYFUNCTION("""COMPUTED_VALUE"""),"Rawan Awwad")</f>
        <v>Rawan Awwad</v>
      </c>
      <c r="I31" t="str">
        <f>IFERROR(__xludf.DUMMYFUNCTION("""COMPUTED_VALUE"""),"rawan.awwad@gmail.com")</f>
        <v>rawan.awwad@gmail.com</v>
      </c>
      <c r="J31" s="62" t="str">
        <f>IFERROR(__xludf.DUMMYFUNCTION("""COMPUTED_VALUE"""),"Comprehensive")</f>
        <v>Comprehensive</v>
      </c>
      <c r="K31" t="str">
        <f>IFERROR(__xludf.DUMMYFUNCTION("""COMPUTED_VALUE"""),"Clinical actionability for Peds ")</f>
        <v>Clinical actionability for Peds </v>
      </c>
    </row>
    <row r="32">
      <c r="A32" t="str">
        <f>IFERROR(__xludf.DUMMYFUNCTION("""COMPUTED_VALUE"""),"Contacted")</f>
        <v>Contacted</v>
      </c>
      <c r="B32" s="116">
        <f>IFERROR(__xludf.DUMMYFUNCTION("""COMPUTED_VALUE"""),43689.0)</f>
        <v>43689</v>
      </c>
      <c r="C32" t="str">
        <f>IFERROR(__xludf.DUMMYFUNCTION("""COMPUTED_VALUE"""),"")</f>
        <v/>
      </c>
      <c r="D32" s="62" t="str">
        <f>IFERROR(__xludf.DUMMYFUNCTION("""COMPUTED_VALUE"""),"")</f>
        <v/>
      </c>
      <c r="E32" s="62" t="str">
        <f>IFERROR(__xludf.DUMMYFUNCTION("""COMPUTED_VALUE"""),"No")</f>
        <v>No</v>
      </c>
      <c r="F32" s="62" t="str">
        <f>IFERROR(__xludf.DUMMYFUNCTION("""COMPUTED_VALUE"""),"Actionability")</f>
        <v>Actionability</v>
      </c>
      <c r="G32" t="str">
        <f>IFERROR(__xludf.DUMMYFUNCTION("""COMPUTED_VALUE"""),"")</f>
        <v/>
      </c>
      <c r="H32" t="str">
        <f>IFERROR(__xludf.DUMMYFUNCTION("""COMPUTED_VALUE"""),"Leila Jamal")</f>
        <v>Leila Jamal</v>
      </c>
      <c r="I32" t="str">
        <f>IFERROR(__xludf.DUMMYFUNCTION("""COMPUTED_VALUE"""),"leila.jamal@nih.gov")</f>
        <v>leila.jamal@nih.gov</v>
      </c>
      <c r="J32" s="62" t="str">
        <f>IFERROR(__xludf.DUMMYFUNCTION("""COMPUTED_VALUE"""),"Comprehensive")</f>
        <v>Comprehensive</v>
      </c>
      <c r="K32" t="str">
        <f>IFERROR(__xludf.DUMMYFUNCTION("""COMPUTED_VALUE"""),"I am most interested in the Pediatric Actionability Working Group and/or the Charcot-Marie-Tooth Gene Curation Group.  I would consider joining other gene or variant curation working groups as well.   ")</f>
        <v>I am most interested in the Pediatric Actionability Working Group and/or the Charcot-Marie-Tooth Gene Curation Group.  I would consider joining other gene or variant curation working groups as well.   </v>
      </c>
    </row>
    <row r="33">
      <c r="A33" t="str">
        <f>IFERROR(__xludf.DUMMYFUNCTION("""COMPUTED_VALUE"""),"Declined")</f>
        <v>Declined</v>
      </c>
      <c r="B33" s="116">
        <f>IFERROR(__xludf.DUMMYFUNCTION("""COMPUTED_VALUE"""),43689.0)</f>
        <v>43689</v>
      </c>
      <c r="C33" t="str">
        <f>IFERROR(__xludf.DUMMYFUNCTION("""COMPUTED_VALUE"""),"")</f>
        <v/>
      </c>
      <c r="D33" s="62" t="str">
        <f>IFERROR(__xludf.DUMMYFUNCTION("""COMPUTED_VALUE"""),"")</f>
        <v/>
      </c>
      <c r="E33" s="62" t="str">
        <f>IFERROR(__xludf.DUMMYFUNCTION("""COMPUTED_VALUE"""),"No")</f>
        <v>No</v>
      </c>
      <c r="F33" s="62" t="str">
        <f>IFERROR(__xludf.DUMMYFUNCTION("""COMPUTED_VALUE"""),"Actionability")</f>
        <v>Actionability</v>
      </c>
      <c r="G33" t="str">
        <f>IFERROR(__xludf.DUMMYFUNCTION("""COMPUTED_VALUE"""),"")</f>
        <v/>
      </c>
      <c r="H33" t="str">
        <f>IFERROR(__xludf.DUMMYFUNCTION("""COMPUTED_VALUE"""),"Parham Habibzadeh")</f>
        <v>Parham Habibzadeh</v>
      </c>
      <c r="I33" t="str">
        <f>IFERROR(__xludf.DUMMYFUNCTION("""COMPUTED_VALUE"""),"parham.habibzadeh@yahoo.com")</f>
        <v>parham.habibzadeh@yahoo.com</v>
      </c>
      <c r="J33" s="62" t="str">
        <f>IFERROR(__xludf.DUMMYFUNCTION("""COMPUTED_VALUE"""),"Comprehensive")</f>
        <v>Comprehensive</v>
      </c>
      <c r="K33" t="str">
        <f>IFERROR(__xludf.DUMMYFUNCTION("""COMPUTED_VALUE"""),"Cardiomyopathy, Brain Malformations")</f>
        <v>Cardiomyopathy, Brain Malformations</v>
      </c>
    </row>
    <row r="34">
      <c r="A34" t="str">
        <f>IFERROR(__xludf.DUMMYFUNCTION("""COMPUTED_VALUE"""),"Contacted")</f>
        <v>Contacted</v>
      </c>
      <c r="B34" s="116">
        <f>IFERROR(__xludf.DUMMYFUNCTION("""COMPUTED_VALUE"""),43717.0)</f>
        <v>43717</v>
      </c>
      <c r="C34" s="114">
        <f>IFERROR(__xludf.DUMMYFUNCTION("""COMPUTED_VALUE"""),43769.0)</f>
        <v>43769</v>
      </c>
      <c r="D34" s="62" t="str">
        <f>IFERROR(__xludf.DUMMYFUNCTION("""COMPUTED_VALUE"""),"Yes")</f>
        <v>Yes</v>
      </c>
      <c r="E34" s="62" t="str">
        <f>IFERROR(__xludf.DUMMYFUNCTION("""COMPUTED_VALUE"""),"Yes")</f>
        <v>Yes</v>
      </c>
      <c r="F34" s="62" t="str">
        <f>IFERROR(__xludf.DUMMYFUNCTION("""COMPUTED_VALUE"""),"Actionability")</f>
        <v>Actionability</v>
      </c>
      <c r="G34" t="str">
        <f>IFERROR(__xludf.DUMMYFUNCTION("""COMPUTED_VALUE"""),"Actionability")</f>
        <v>Actionability</v>
      </c>
      <c r="H34" t="str">
        <f>IFERROR(__xludf.DUMMYFUNCTION("""COMPUTED_VALUE"""),"Xiaolin Hu")</f>
        <v>Xiaolin Hu</v>
      </c>
      <c r="I34" t="str">
        <f>IFERROR(__xludf.DUMMYFUNCTION("""COMPUTED_VALUE"""),"xiaolin.hu@cchmc.org")</f>
        <v>xiaolin.hu@cchmc.org</v>
      </c>
      <c r="J34" s="62" t="str">
        <f>IFERROR(__xludf.DUMMYFUNCTION("""COMPUTED_VALUE"""),"Comprehensive")</f>
        <v>Comprehensive</v>
      </c>
      <c r="K34" t="str">
        <f>IFERROR(__xludf.DUMMYFUNCTION("""COMPUTED_VALUE"""),"hereditary cancer, somatic cancer, Mitochondrial Diseases")</f>
        <v>hereditary cancer, somatic cancer, Mitochondrial Diseases</v>
      </c>
    </row>
    <row r="35">
      <c r="A35" t="str">
        <f>IFERROR(__xludf.DUMMYFUNCTION("""COMPUTED_VALUE"""),"Declined")</f>
        <v>Declined</v>
      </c>
      <c r="B35" s="116">
        <f>IFERROR(__xludf.DUMMYFUNCTION("""COMPUTED_VALUE"""),43717.0)</f>
        <v>43717</v>
      </c>
      <c r="C35" t="str">
        <f>IFERROR(__xludf.DUMMYFUNCTION("""COMPUTED_VALUE"""),"")</f>
        <v/>
      </c>
      <c r="D35" s="62" t="str">
        <f>IFERROR(__xludf.DUMMYFUNCTION("""COMPUTED_VALUE"""),"")</f>
        <v/>
      </c>
      <c r="E35" s="62" t="str">
        <f>IFERROR(__xludf.DUMMYFUNCTION("""COMPUTED_VALUE"""),"No")</f>
        <v>No</v>
      </c>
      <c r="F35" s="62" t="str">
        <f>IFERROR(__xludf.DUMMYFUNCTION("""COMPUTED_VALUE"""),"Actionability")</f>
        <v>Actionability</v>
      </c>
      <c r="G35" t="str">
        <f>IFERROR(__xludf.DUMMYFUNCTION("""COMPUTED_VALUE"""),"")</f>
        <v/>
      </c>
      <c r="H35" t="str">
        <f>IFERROR(__xludf.DUMMYFUNCTION("""COMPUTED_VALUE"""),"Ellie Jhun")</f>
        <v>Ellie Jhun</v>
      </c>
      <c r="I35" t="str">
        <f>IFERROR(__xludf.DUMMYFUNCTION("""COMPUTED_VALUE"""),"ejhun@base10genetics.com")</f>
        <v>ejhun@base10genetics.com</v>
      </c>
      <c r="J35" s="62" t="str">
        <f>IFERROR(__xludf.DUMMYFUNCTION("""COMPUTED_VALUE"""),"Comprehensive")</f>
        <v>Comprehensive</v>
      </c>
      <c r="K35" t="str">
        <f>IFERROR(__xludf.DUMMYFUNCTION("""COMPUTED_VALUE"""),"")</f>
        <v/>
      </c>
    </row>
    <row r="36">
      <c r="A36" t="str">
        <f>IFERROR(__xludf.DUMMYFUNCTION("""COMPUTED_VALUE"""),"Assigned")</f>
        <v>Assigned</v>
      </c>
      <c r="B36" s="116">
        <f>IFERROR(__xludf.DUMMYFUNCTION("""COMPUTED_VALUE"""),43717.0)</f>
        <v>43717</v>
      </c>
      <c r="C36" s="114">
        <f>IFERROR(__xludf.DUMMYFUNCTION("""COMPUTED_VALUE"""),43678.0)</f>
        <v>43678</v>
      </c>
      <c r="D36" s="62" t="str">
        <f>IFERROR(__xludf.DUMMYFUNCTION("""COMPUTED_VALUE"""),"Yes")</f>
        <v>Yes</v>
      </c>
      <c r="E36" s="62" t="str">
        <f>IFERROR(__xludf.DUMMYFUNCTION("""COMPUTED_VALUE"""),"Yes")</f>
        <v>Yes</v>
      </c>
      <c r="F36" s="62" t="str">
        <f>IFERROR(__xludf.DUMMYFUNCTION("""COMPUTED_VALUE"""),"Actionability")</f>
        <v>Actionability</v>
      </c>
      <c r="G36" t="str">
        <f>IFERROR(__xludf.DUMMYFUNCTION("""COMPUTED_VALUE"""),"")</f>
        <v/>
      </c>
      <c r="H36" t="str">
        <f>IFERROR(__xludf.DUMMYFUNCTION("""COMPUTED_VALUE"""),"Andrew Stergachis")</f>
        <v>Andrew Stergachis</v>
      </c>
      <c r="I36" t="str">
        <f>IFERROR(__xludf.DUMMYFUNCTION("""COMPUTED_VALUE"""),"astergachis@bwh.harvard.edu")</f>
        <v>astergachis@bwh.harvard.edu</v>
      </c>
      <c r="J36" s="62" t="str">
        <f>IFERROR(__xludf.DUMMYFUNCTION("""COMPUTED_VALUE"""),"Comprehensive")</f>
        <v>Comprehensive</v>
      </c>
      <c r="K36" t="str">
        <f>IFERROR(__xludf.DUMMYFUNCTION("""COMPUTED_VALUE"""),"Possibly ")</f>
        <v>Possibly </v>
      </c>
    </row>
    <row r="37">
      <c r="A37" t="str">
        <f>IFERROR(__xludf.DUMMYFUNCTION("""COMPUTED_VALUE"""),"Contacted")</f>
        <v>Contacted</v>
      </c>
      <c r="B37" s="116">
        <f>IFERROR(__xludf.DUMMYFUNCTION("""COMPUTED_VALUE"""),43717.0)</f>
        <v>43717</v>
      </c>
      <c r="C37" t="str">
        <f>IFERROR(__xludf.DUMMYFUNCTION("""COMPUTED_VALUE"""),"")</f>
        <v/>
      </c>
      <c r="D37" s="62" t="str">
        <f>IFERROR(__xludf.DUMMYFUNCTION("""COMPUTED_VALUE"""),"")</f>
        <v/>
      </c>
      <c r="E37" s="62" t="str">
        <f>IFERROR(__xludf.DUMMYFUNCTION("""COMPUTED_VALUE"""),"No")</f>
        <v>No</v>
      </c>
      <c r="F37" s="62" t="str">
        <f>IFERROR(__xludf.DUMMYFUNCTION("""COMPUTED_VALUE"""),"Actionability")</f>
        <v>Actionability</v>
      </c>
      <c r="G37" t="str">
        <f>IFERROR(__xludf.DUMMYFUNCTION("""COMPUTED_VALUE"""),"")</f>
        <v/>
      </c>
      <c r="H37" t="str">
        <f>IFERROR(__xludf.DUMMYFUNCTION("""COMPUTED_VALUE"""),"Lalitha Venkateswaran")</f>
        <v>Lalitha Venkateswaran</v>
      </c>
      <c r="I37" t="str">
        <f>IFERROR(__xludf.DUMMYFUNCTION("""COMPUTED_VALUE"""),"lalithapv19@gmail.com")</f>
        <v>lalithapv19@gmail.com</v>
      </c>
      <c r="J37" s="62" t="str">
        <f>IFERROR(__xludf.DUMMYFUNCTION("""COMPUTED_VALUE"""),"Comprehensive")</f>
        <v>Comprehensive</v>
      </c>
      <c r="K37" t="str">
        <f>IFERROR(__xludf.DUMMYFUNCTION("""COMPUTED_VALUE"""),"")</f>
        <v/>
      </c>
    </row>
    <row r="38">
      <c r="A38" t="str">
        <f>IFERROR(__xludf.DUMMYFUNCTION("""COMPUTED_VALUE"""),"Unresponsive")</f>
        <v>Unresponsive</v>
      </c>
      <c r="B38" t="str">
        <f>IFERROR(__xludf.DUMMYFUNCTION("""COMPUTED_VALUE"""),"")</f>
        <v/>
      </c>
      <c r="C38" t="str">
        <f>IFERROR(__xludf.DUMMYFUNCTION("""COMPUTED_VALUE"""),"")</f>
        <v/>
      </c>
      <c r="D38" s="62" t="str">
        <f>IFERROR(__xludf.DUMMYFUNCTION("""COMPUTED_VALUE"""),"")</f>
        <v/>
      </c>
      <c r="E38" s="62" t="str">
        <f>IFERROR(__xludf.DUMMYFUNCTION("""COMPUTED_VALUE"""),"No")</f>
        <v>No</v>
      </c>
      <c r="F38" s="62" t="str">
        <f>IFERROR(__xludf.DUMMYFUNCTION("""COMPUTED_VALUE"""),"Actionability")</f>
        <v>Actionability</v>
      </c>
      <c r="G38" t="str">
        <f>IFERROR(__xludf.DUMMYFUNCTION("""COMPUTED_VALUE"""),"")</f>
        <v/>
      </c>
      <c r="H38" t="str">
        <f>IFERROR(__xludf.DUMMYFUNCTION("""COMPUTED_VALUE"""),"Andrew Langlois")</f>
        <v>Andrew Langlois</v>
      </c>
      <c r="I38" t="str">
        <f>IFERROR(__xludf.DUMMYFUNCTION("""COMPUTED_VALUE"""),"andrewlanglois001@gmail.com")</f>
        <v>andrewlanglois001@gmail.com</v>
      </c>
      <c r="J38" s="62" t="str">
        <f>IFERROR(__xludf.DUMMYFUNCTION("""COMPUTED_VALUE"""),"Comprehensive")</f>
        <v>Comprehensive</v>
      </c>
      <c r="K38" t="str">
        <f>IFERROR(__xludf.DUMMYFUNCTION("""COMPUTED_VALUE"""),"")</f>
        <v/>
      </c>
    </row>
    <row r="39">
      <c r="A39" t="str">
        <f>IFERROR(__xludf.DUMMYFUNCTION("""COMPUTED_VALUE"""),"Unresponsive")</f>
        <v>Unresponsive</v>
      </c>
      <c r="B39" t="str">
        <f>IFERROR(__xludf.DUMMYFUNCTION("""COMPUTED_VALUE"""),"")</f>
        <v/>
      </c>
      <c r="C39" t="str">
        <f>IFERROR(__xludf.DUMMYFUNCTION("""COMPUTED_VALUE"""),"")</f>
        <v/>
      </c>
      <c r="D39" s="62" t="str">
        <f>IFERROR(__xludf.DUMMYFUNCTION("""COMPUTED_VALUE"""),"")</f>
        <v/>
      </c>
      <c r="E39" s="62" t="str">
        <f>IFERROR(__xludf.DUMMYFUNCTION("""COMPUTED_VALUE"""),"No")</f>
        <v>No</v>
      </c>
      <c r="F39" s="62" t="str">
        <f>IFERROR(__xludf.DUMMYFUNCTION("""COMPUTED_VALUE"""),"Actionability")</f>
        <v>Actionability</v>
      </c>
      <c r="G39" t="str">
        <f>IFERROR(__xludf.DUMMYFUNCTION("""COMPUTED_VALUE"""),"")</f>
        <v/>
      </c>
      <c r="H39" t="str">
        <f>IFERROR(__xludf.DUMMYFUNCTION("""COMPUTED_VALUE"""),"Sally Pea ")</f>
        <v>Sally Pea </v>
      </c>
      <c r="I39" t="str">
        <f>IFERROR(__xludf.DUMMYFUNCTION("""COMPUTED_VALUE"""),"spea@live.com")</f>
        <v>spea@live.com</v>
      </c>
      <c r="J39" s="62" t="str">
        <f>IFERROR(__xludf.DUMMYFUNCTION("""COMPUTED_VALUE"""),"Comprehensive")</f>
        <v>Comprehensive</v>
      </c>
      <c r="K39" t="str">
        <f>IFERROR(__xludf.DUMMYFUNCTION("""COMPUTED_VALUE"""),"Congenital Myopathies or Limb Girdle Dystrophies or anywhere needed")</f>
        <v>Congenital Myopathies or Limb Girdle Dystrophies or anywhere needed</v>
      </c>
    </row>
    <row r="40">
      <c r="A40" t="str">
        <f>IFERROR(__xludf.DUMMYFUNCTION("""COMPUTED_VALUE"""),"Assigned")</f>
        <v>Assigned</v>
      </c>
      <c r="B40" s="114">
        <f>IFERROR(__xludf.DUMMYFUNCTION("""COMPUTED_VALUE"""),44160.0)</f>
        <v>44160</v>
      </c>
      <c r="C40" s="114">
        <f>IFERROR(__xludf.DUMMYFUNCTION("""COMPUTED_VALUE"""),43859.0)</f>
        <v>43859</v>
      </c>
      <c r="D40" s="62" t="str">
        <f>IFERROR(__xludf.DUMMYFUNCTION("""COMPUTED_VALUE"""),"Yes")</f>
        <v>Yes</v>
      </c>
      <c r="E40" s="62" t="str">
        <f>IFERROR(__xludf.DUMMYFUNCTION("""COMPUTED_VALUE"""),"No")</f>
        <v>No</v>
      </c>
      <c r="F40" s="62" t="str">
        <f>IFERROR(__xludf.DUMMYFUNCTION("""COMPUTED_VALUE"""),"Actionability")</f>
        <v>Actionability</v>
      </c>
      <c r="G40" t="str">
        <f>IFERROR(__xludf.DUMMYFUNCTION("""COMPUTED_VALUE"""),"")</f>
        <v/>
      </c>
      <c r="H40" t="str">
        <f>IFERROR(__xludf.DUMMYFUNCTION("""COMPUTED_VALUE"""),"Larissa Waldman")</f>
        <v>Larissa Waldman</v>
      </c>
      <c r="I40" t="str">
        <f>IFERROR(__xludf.DUMMYFUNCTION("""COMPUTED_VALUE"""),"larissa.waldman@gmail.com")</f>
        <v>larissa.waldman@gmail.com</v>
      </c>
      <c r="J40" s="62" t="str">
        <f>IFERROR(__xludf.DUMMYFUNCTION("""COMPUTED_VALUE"""),"Comprehensive")</f>
        <v>Comprehensive</v>
      </c>
      <c r="K40" t="str">
        <f>IFERROR(__xludf.DUMMYFUNCTION("""COMPUTED_VALUE"""),"Hereditary cancer, myeloid malignancy, pediatric somatic")</f>
        <v>Hereditary cancer, myeloid malignancy, pediatric somatic</v>
      </c>
    </row>
    <row r="41">
      <c r="A41" t="str">
        <f>IFERROR(__xludf.DUMMYFUNCTION("""COMPUTED_VALUE"""),"Assigned")</f>
        <v>Assigned</v>
      </c>
      <c r="B41" s="114">
        <f>IFERROR(__xludf.DUMMYFUNCTION("""COMPUTED_VALUE"""),43808.0)</f>
        <v>43808</v>
      </c>
      <c r="C41" s="114">
        <f>IFERROR(__xludf.DUMMYFUNCTION("""COMPUTED_VALUE"""),43859.0)</f>
        <v>43859</v>
      </c>
      <c r="D41" s="62" t="str">
        <f>IFERROR(__xludf.DUMMYFUNCTION("""COMPUTED_VALUE"""),"Yes")</f>
        <v>Yes</v>
      </c>
      <c r="E41" s="62" t="str">
        <f>IFERROR(__xludf.DUMMYFUNCTION("""COMPUTED_VALUE"""),"No")</f>
        <v>No</v>
      </c>
      <c r="F41" s="62" t="str">
        <f>IFERROR(__xludf.DUMMYFUNCTION("""COMPUTED_VALUE"""),"Actionability")</f>
        <v>Actionability</v>
      </c>
      <c r="G41" t="str">
        <f>IFERROR(__xludf.DUMMYFUNCTION("""COMPUTED_VALUE"""),"")</f>
        <v/>
      </c>
      <c r="H41" t="str">
        <f>IFERROR(__xludf.DUMMYFUNCTION("""COMPUTED_VALUE"""),"Mark Shlapobersky")</f>
        <v>Mark Shlapobersky</v>
      </c>
      <c r="I41" t="str">
        <f>IFERROR(__xludf.DUMMYFUNCTION("""COMPUTED_VALUE"""),"marks@bmc.gov.il")</f>
        <v>marks@bmc.gov.il</v>
      </c>
      <c r="J41" s="62" t="str">
        <f>IFERROR(__xludf.DUMMYFUNCTION("""COMPUTED_VALUE"""),"Comprehensive")</f>
        <v>Comprehensive</v>
      </c>
      <c r="K41" t="str">
        <f>IFERROR(__xludf.DUMMYFUNCTION("""COMPUTED_VALUE"""),"")</f>
        <v/>
      </c>
    </row>
    <row r="42">
      <c r="A42" t="str">
        <f>IFERROR(__xludf.DUMMYFUNCTION("""COMPUTED_VALUE"""),"Contacted")</f>
        <v>Contacted</v>
      </c>
      <c r="B42" t="str">
        <f>IFERROR(__xludf.DUMMYFUNCTION("""COMPUTED_VALUE"""),"")</f>
        <v/>
      </c>
      <c r="C42" t="str">
        <f>IFERROR(__xludf.DUMMYFUNCTION("""COMPUTED_VALUE"""),"")</f>
        <v/>
      </c>
      <c r="D42" s="62" t="str">
        <f>IFERROR(__xludf.DUMMYFUNCTION("""COMPUTED_VALUE"""),"")</f>
        <v/>
      </c>
      <c r="E42" s="62" t="str">
        <f>IFERROR(__xludf.DUMMYFUNCTION("""COMPUTED_VALUE"""),"No")</f>
        <v>No</v>
      </c>
      <c r="F42" s="62" t="str">
        <f>IFERROR(__xludf.DUMMYFUNCTION("""COMPUTED_VALUE"""),"Actionability")</f>
        <v>Actionability</v>
      </c>
      <c r="G42" t="str">
        <f>IFERROR(__xludf.DUMMYFUNCTION("""COMPUTED_VALUE"""),"")</f>
        <v/>
      </c>
      <c r="H42" t="str">
        <f>IFERROR(__xludf.DUMMYFUNCTION("""COMPUTED_VALUE"""),"Laurie Connors")</f>
        <v>Laurie Connors</v>
      </c>
      <c r="I42" t="str">
        <f>IFERROR(__xludf.DUMMYFUNCTION("""COMPUTED_VALUE"""),"laurie.m.connors@vanderbilt.edu")</f>
        <v>laurie.m.connors@vanderbilt.edu</v>
      </c>
      <c r="J42" s="62" t="str">
        <f>IFERROR(__xludf.DUMMYFUNCTION("""COMPUTED_VALUE"""),"Comprehensive")</f>
        <v>Comprehensive</v>
      </c>
      <c r="K42" t="str">
        <f>IFERROR(__xludf.DUMMYFUNCTION("""COMPUTED_VALUE"""),"Hereditary Cancer, PTEN, VHL")</f>
        <v>Hereditary Cancer, PTEN, VHL</v>
      </c>
    </row>
    <row r="43">
      <c r="A43" t="str">
        <f>IFERROR(__xludf.DUMMYFUNCTION("""COMPUTED_VALUE"""),"Assigned")</f>
        <v>Assigned</v>
      </c>
      <c r="B43" s="114">
        <f>IFERROR(__xludf.DUMMYFUNCTION("""COMPUTED_VALUE"""),43860.0)</f>
        <v>43860</v>
      </c>
      <c r="C43" t="str">
        <f>IFERROR(__xludf.DUMMYFUNCTION("""COMPUTED_VALUE"""),"")</f>
        <v/>
      </c>
      <c r="D43" s="62" t="str">
        <f>IFERROR(__xludf.DUMMYFUNCTION("""COMPUTED_VALUE"""),"")</f>
        <v/>
      </c>
      <c r="E43" s="62" t="str">
        <f>IFERROR(__xludf.DUMMYFUNCTION("""COMPUTED_VALUE"""),"No")</f>
        <v>No</v>
      </c>
      <c r="F43" s="62" t="str">
        <f>IFERROR(__xludf.DUMMYFUNCTION("""COMPUTED_VALUE"""),"Actionability")</f>
        <v>Actionability</v>
      </c>
      <c r="G43" t="str">
        <f>IFERROR(__xludf.DUMMYFUNCTION("""COMPUTED_VALUE"""),"")</f>
        <v/>
      </c>
      <c r="H43" t="str">
        <f>IFERROR(__xludf.DUMMYFUNCTION("""COMPUTED_VALUE"""),"Shrutika Jadhav")</f>
        <v>Shrutika Jadhav</v>
      </c>
      <c r="I43" t="str">
        <f>IFERROR(__xludf.DUMMYFUNCTION("""COMPUTED_VALUE"""),"shrutikajadhav18@gmail.com")</f>
        <v>shrutikajadhav18@gmail.com</v>
      </c>
      <c r="J43" s="62" t="str">
        <f>IFERROR(__xludf.DUMMYFUNCTION("""COMPUTED_VALUE"""),"Comprehensive")</f>
        <v>Comprehensive</v>
      </c>
      <c r="K43" t="str">
        <f>IFERROR(__xludf.DUMMYFUNCTION("""COMPUTED_VALUE"""),"Brain Malformations, Intellectual Disability and Autism, Pediatric ")</f>
        <v>Brain Malformations, Intellectual Disability and Autism, Pediatric </v>
      </c>
    </row>
    <row r="44">
      <c r="A44" t="str">
        <f>IFERROR(__xludf.DUMMYFUNCTION("""COMPUTED_VALUE"""),"Unassigned")</f>
        <v>Unassigned</v>
      </c>
      <c r="B44" t="str">
        <f>IFERROR(__xludf.DUMMYFUNCTION("""COMPUTED_VALUE"""),"")</f>
        <v/>
      </c>
      <c r="C44" t="str">
        <f>IFERROR(__xludf.DUMMYFUNCTION("""COMPUTED_VALUE"""),"")</f>
        <v/>
      </c>
      <c r="D44" s="62" t="str">
        <f>IFERROR(__xludf.DUMMYFUNCTION("""COMPUTED_VALUE"""),"")</f>
        <v/>
      </c>
      <c r="E44" s="62" t="str">
        <f>IFERROR(__xludf.DUMMYFUNCTION("""COMPUTED_VALUE"""),"No")</f>
        <v>No</v>
      </c>
      <c r="F44" s="62" t="str">
        <f>IFERROR(__xludf.DUMMYFUNCTION("""COMPUTED_VALUE"""),"NA")</f>
        <v>NA</v>
      </c>
      <c r="G44" t="str">
        <f>IFERROR(__xludf.DUMMYFUNCTION("""COMPUTED_VALUE"""),"")</f>
        <v/>
      </c>
      <c r="H44" t="str">
        <f>IFERROR(__xludf.DUMMYFUNCTION("""COMPUTED_VALUE"""),"Sara Pajouhanfar")</f>
        <v>Sara Pajouhanfar</v>
      </c>
      <c r="I44" t="str">
        <f>IFERROR(__xludf.DUMMYFUNCTION("""COMPUTED_VALUE"""),"sara.pajouhanfar@gmail.com")</f>
        <v>sara.pajouhanfar@gmail.com</v>
      </c>
      <c r="J44" s="62" t="str">
        <f>IFERROR(__xludf.DUMMYFUNCTION("""COMPUTED_VALUE"""),"Comprehensive")</f>
        <v>Comprehensive</v>
      </c>
      <c r="K44" t="str">
        <f>IFERROR(__xludf.DUMMYFUNCTION("""COMPUTED_VALUE"""),"Pediatrics.")</f>
        <v>Pediatrics.</v>
      </c>
    </row>
    <row r="45">
      <c r="D45" s="62"/>
      <c r="E45" s="62"/>
      <c r="F45" s="62"/>
      <c r="J45" s="62"/>
    </row>
    <row r="46">
      <c r="D46" s="62"/>
      <c r="E46" s="62"/>
      <c r="F46" s="62"/>
      <c r="J46" s="62"/>
    </row>
    <row r="47">
      <c r="D47" s="62"/>
      <c r="E47" s="62"/>
      <c r="F47" s="62"/>
      <c r="J47" s="62"/>
    </row>
    <row r="48">
      <c r="D48" s="62"/>
      <c r="E48" s="62"/>
      <c r="F48" s="62"/>
      <c r="J48" s="62"/>
    </row>
    <row r="49">
      <c r="D49" s="62"/>
      <c r="E49" s="62"/>
      <c r="F49" s="62"/>
      <c r="J49" s="62"/>
    </row>
    <row r="50">
      <c r="D50" s="62"/>
      <c r="E50" s="62"/>
      <c r="F50" s="62"/>
      <c r="J50" s="62"/>
    </row>
    <row r="51">
      <c r="D51" s="62"/>
      <c r="E51" s="62"/>
      <c r="F51" s="62"/>
      <c r="J51" s="62"/>
    </row>
    <row r="52">
      <c r="D52" s="62"/>
      <c r="E52" s="62"/>
      <c r="F52" s="62"/>
      <c r="J52" s="62"/>
    </row>
    <row r="53">
      <c r="D53" s="62"/>
      <c r="E53" s="62"/>
      <c r="F53" s="62"/>
      <c r="J53" s="62"/>
    </row>
    <row r="54">
      <c r="D54" s="62"/>
      <c r="E54" s="62"/>
      <c r="F54" s="62"/>
      <c r="J54" s="62"/>
    </row>
    <row r="55">
      <c r="D55" s="62"/>
      <c r="E55" s="62"/>
      <c r="F55" s="62"/>
      <c r="J55" s="62"/>
    </row>
    <row r="56">
      <c r="D56" s="62"/>
      <c r="E56" s="62"/>
      <c r="F56" s="62"/>
      <c r="J56" s="62"/>
    </row>
    <row r="57">
      <c r="D57" s="62"/>
      <c r="E57" s="62"/>
      <c r="F57" s="62"/>
      <c r="J57" s="62"/>
    </row>
    <row r="58">
      <c r="D58" s="62"/>
      <c r="E58" s="62"/>
      <c r="F58" s="62"/>
      <c r="J58" s="62"/>
    </row>
    <row r="59">
      <c r="D59" s="62"/>
      <c r="E59" s="62"/>
      <c r="F59" s="62"/>
      <c r="J59" s="62"/>
    </row>
    <row r="60">
      <c r="D60" s="62"/>
      <c r="E60" s="62"/>
      <c r="F60" s="62"/>
      <c r="J60" s="62"/>
    </row>
    <row r="61">
      <c r="D61" s="62"/>
      <c r="E61" s="62"/>
      <c r="F61" s="62"/>
      <c r="J61" s="62"/>
    </row>
    <row r="62">
      <c r="D62" s="62"/>
      <c r="E62" s="62"/>
      <c r="F62" s="62"/>
      <c r="J62" s="62"/>
    </row>
    <row r="63">
      <c r="D63" s="62"/>
      <c r="E63" s="62"/>
      <c r="F63" s="62"/>
      <c r="J63" s="62"/>
    </row>
    <row r="64">
      <c r="D64" s="62"/>
      <c r="E64" s="62"/>
      <c r="F64" s="62"/>
      <c r="J64" s="62"/>
    </row>
    <row r="65">
      <c r="D65" s="62"/>
      <c r="E65" s="62"/>
      <c r="F65" s="62"/>
      <c r="J65" s="62"/>
    </row>
    <row r="66">
      <c r="D66" s="62"/>
      <c r="E66" s="62"/>
      <c r="F66" s="62"/>
      <c r="J66" s="62"/>
    </row>
    <row r="67">
      <c r="D67" s="62"/>
      <c r="E67" s="62"/>
      <c r="F67" s="62"/>
      <c r="J67" s="62"/>
    </row>
    <row r="68">
      <c r="D68" s="62"/>
      <c r="E68" s="62"/>
      <c r="F68" s="62"/>
      <c r="J68" s="62"/>
    </row>
    <row r="69">
      <c r="D69" s="62"/>
      <c r="E69" s="62"/>
      <c r="F69" s="62"/>
      <c r="J69" s="62"/>
    </row>
    <row r="70">
      <c r="D70" s="62"/>
      <c r="E70" s="62"/>
      <c r="F70" s="62"/>
      <c r="J70" s="62"/>
    </row>
    <row r="71">
      <c r="D71" s="62"/>
      <c r="E71" s="62"/>
      <c r="F71" s="62"/>
      <c r="J71" s="62"/>
    </row>
    <row r="72">
      <c r="D72" s="62"/>
      <c r="E72" s="62"/>
      <c r="F72" s="62"/>
      <c r="J72" s="62"/>
    </row>
    <row r="73">
      <c r="D73" s="62"/>
      <c r="E73" s="62"/>
      <c r="F73" s="62"/>
      <c r="J73" s="62"/>
    </row>
    <row r="74">
      <c r="D74" s="62"/>
      <c r="E74" s="62"/>
      <c r="F74" s="62"/>
      <c r="J74" s="62"/>
    </row>
    <row r="75">
      <c r="D75" s="62"/>
      <c r="E75" s="62"/>
      <c r="F75" s="62"/>
      <c r="J75" s="62"/>
    </row>
    <row r="76">
      <c r="D76" s="62"/>
      <c r="E76" s="62"/>
      <c r="F76" s="62"/>
      <c r="J76" s="62"/>
    </row>
    <row r="77">
      <c r="D77" s="62"/>
      <c r="E77" s="62"/>
      <c r="F77" s="62"/>
      <c r="J77" s="62"/>
    </row>
    <row r="78">
      <c r="D78" s="62"/>
      <c r="E78" s="62"/>
      <c r="F78" s="62"/>
      <c r="J78" s="62"/>
    </row>
    <row r="79">
      <c r="D79" s="62"/>
      <c r="E79" s="62"/>
      <c r="F79" s="62"/>
      <c r="J79" s="62"/>
    </row>
    <row r="80">
      <c r="D80" s="62"/>
      <c r="E80" s="62"/>
      <c r="F80" s="62"/>
      <c r="J80" s="62"/>
    </row>
    <row r="81">
      <c r="D81" s="62"/>
      <c r="E81" s="62"/>
      <c r="F81" s="62"/>
      <c r="J81" s="62"/>
    </row>
    <row r="82">
      <c r="D82" s="62"/>
      <c r="E82" s="62"/>
      <c r="F82" s="62"/>
      <c r="J82" s="62"/>
    </row>
    <row r="83">
      <c r="D83" s="62"/>
      <c r="E83" s="62"/>
      <c r="F83" s="62"/>
      <c r="J83" s="62"/>
    </row>
    <row r="84">
      <c r="D84" s="62"/>
      <c r="E84" s="62"/>
      <c r="F84" s="62"/>
      <c r="J84" s="62"/>
    </row>
    <row r="85">
      <c r="D85" s="62"/>
      <c r="E85" s="62"/>
      <c r="F85" s="62"/>
      <c r="J85" s="62"/>
    </row>
    <row r="86">
      <c r="D86" s="62"/>
      <c r="E86" s="62"/>
      <c r="F86" s="62"/>
      <c r="J86" s="62"/>
    </row>
    <row r="87">
      <c r="D87" s="62"/>
      <c r="E87" s="62"/>
      <c r="F87" s="62"/>
      <c r="J87" s="62"/>
    </row>
    <row r="88">
      <c r="D88" s="62"/>
      <c r="E88" s="62"/>
      <c r="F88" s="62"/>
      <c r="J88" s="62"/>
    </row>
    <row r="89">
      <c r="D89" s="62"/>
      <c r="E89" s="62"/>
      <c r="F89" s="62"/>
      <c r="J89" s="62"/>
    </row>
    <row r="90">
      <c r="D90" s="62"/>
      <c r="E90" s="62"/>
      <c r="F90" s="62"/>
      <c r="J90" s="62"/>
    </row>
    <row r="91">
      <c r="D91" s="62"/>
      <c r="E91" s="62"/>
      <c r="F91" s="62"/>
      <c r="J91" s="62"/>
    </row>
    <row r="92">
      <c r="D92" s="62"/>
      <c r="E92" s="62"/>
      <c r="F92" s="62"/>
      <c r="J92" s="62"/>
    </row>
    <row r="93">
      <c r="D93" s="62"/>
      <c r="E93" s="62"/>
      <c r="F93" s="62"/>
      <c r="J93" s="62"/>
    </row>
    <row r="94">
      <c r="D94" s="62"/>
      <c r="E94" s="62"/>
      <c r="F94" s="62"/>
      <c r="J94" s="62"/>
    </row>
    <row r="95">
      <c r="D95" s="62"/>
      <c r="E95" s="62"/>
      <c r="F95" s="62"/>
      <c r="J95" s="62"/>
    </row>
    <row r="96">
      <c r="D96" s="62"/>
      <c r="E96" s="62"/>
      <c r="F96" s="62"/>
      <c r="J96" s="62"/>
    </row>
    <row r="97">
      <c r="D97" s="62"/>
      <c r="E97" s="62"/>
      <c r="F97" s="62"/>
      <c r="J97" s="62"/>
    </row>
    <row r="98">
      <c r="D98" s="62"/>
      <c r="E98" s="62"/>
      <c r="F98" s="62"/>
      <c r="J98" s="62"/>
    </row>
    <row r="99">
      <c r="D99" s="62"/>
      <c r="E99" s="62"/>
      <c r="F99" s="62"/>
      <c r="J99" s="62"/>
    </row>
    <row r="100">
      <c r="D100" s="62"/>
      <c r="E100" s="62"/>
      <c r="F100" s="62"/>
      <c r="J100" s="62"/>
    </row>
    <row r="101">
      <c r="D101" s="62"/>
      <c r="E101" s="62"/>
      <c r="F101" s="62"/>
      <c r="J101" s="62"/>
    </row>
    <row r="102">
      <c r="D102" s="62"/>
      <c r="E102" s="62"/>
      <c r="F102" s="62"/>
      <c r="J102" s="62"/>
    </row>
    <row r="103">
      <c r="D103" s="62"/>
      <c r="E103" s="62"/>
      <c r="F103" s="62"/>
      <c r="J103" s="62"/>
    </row>
    <row r="104">
      <c r="D104" s="62"/>
      <c r="E104" s="62"/>
      <c r="F104" s="62"/>
      <c r="J104" s="62"/>
    </row>
    <row r="105">
      <c r="D105" s="62"/>
      <c r="E105" s="62"/>
      <c r="F105" s="62"/>
      <c r="J105" s="62"/>
    </row>
    <row r="106">
      <c r="D106" s="62"/>
      <c r="E106" s="62"/>
      <c r="F106" s="62"/>
      <c r="J106" s="62"/>
    </row>
    <row r="107">
      <c r="D107" s="62"/>
      <c r="E107" s="62"/>
      <c r="F107" s="62"/>
      <c r="J107" s="62"/>
    </row>
    <row r="108">
      <c r="D108" s="62"/>
      <c r="E108" s="62"/>
      <c r="F108" s="62"/>
      <c r="J108" s="62"/>
    </row>
    <row r="109">
      <c r="D109" s="62"/>
      <c r="E109" s="62"/>
      <c r="F109" s="62"/>
      <c r="J109" s="62"/>
    </row>
    <row r="110">
      <c r="D110" s="62"/>
      <c r="E110" s="62"/>
      <c r="F110" s="62"/>
      <c r="J110" s="62"/>
    </row>
    <row r="111">
      <c r="D111" s="62"/>
      <c r="E111" s="62"/>
      <c r="F111" s="62"/>
      <c r="J111" s="62"/>
    </row>
    <row r="112">
      <c r="D112" s="62"/>
      <c r="E112" s="62"/>
      <c r="F112" s="62"/>
      <c r="J112" s="62"/>
    </row>
    <row r="113">
      <c r="D113" s="62"/>
      <c r="E113" s="62"/>
      <c r="F113" s="62"/>
      <c r="J113" s="62"/>
    </row>
    <row r="114">
      <c r="D114" s="62"/>
      <c r="E114" s="62"/>
      <c r="F114" s="62"/>
      <c r="J114" s="62"/>
    </row>
    <row r="115">
      <c r="D115" s="62"/>
      <c r="E115" s="62"/>
      <c r="F115" s="62"/>
      <c r="J115" s="62"/>
    </row>
    <row r="116">
      <c r="D116" s="62"/>
      <c r="E116" s="62"/>
      <c r="F116" s="62"/>
      <c r="J116" s="62"/>
    </row>
    <row r="117">
      <c r="D117" s="62"/>
      <c r="E117" s="62"/>
      <c r="F117" s="62"/>
      <c r="J117" s="62"/>
    </row>
    <row r="118">
      <c r="D118" s="62"/>
      <c r="E118" s="62"/>
      <c r="F118" s="62"/>
      <c r="J118" s="62"/>
    </row>
    <row r="119">
      <c r="D119" s="62"/>
      <c r="E119" s="62"/>
      <c r="F119" s="62"/>
      <c r="J119" s="62"/>
    </row>
    <row r="120">
      <c r="D120" s="62"/>
      <c r="E120" s="62"/>
      <c r="F120" s="62"/>
      <c r="J120" s="62"/>
    </row>
    <row r="121">
      <c r="D121" s="62"/>
      <c r="E121" s="62"/>
      <c r="F121" s="62"/>
      <c r="J121" s="62"/>
    </row>
    <row r="122">
      <c r="D122" s="62"/>
      <c r="E122" s="62"/>
      <c r="F122" s="62"/>
      <c r="J122" s="62"/>
    </row>
    <row r="123">
      <c r="D123" s="62"/>
      <c r="E123" s="62"/>
      <c r="F123" s="62"/>
      <c r="J123" s="62"/>
    </row>
    <row r="124">
      <c r="D124" s="62"/>
      <c r="E124" s="62"/>
      <c r="F124" s="62"/>
      <c r="J124" s="62"/>
    </row>
    <row r="125">
      <c r="D125" s="62"/>
      <c r="E125" s="62"/>
      <c r="F125" s="62"/>
      <c r="J125" s="62"/>
    </row>
    <row r="126">
      <c r="D126" s="62"/>
      <c r="E126" s="62"/>
      <c r="F126" s="62"/>
      <c r="J126" s="62"/>
    </row>
    <row r="127">
      <c r="D127" s="62"/>
      <c r="E127" s="62"/>
      <c r="F127" s="62"/>
      <c r="J127" s="62"/>
    </row>
    <row r="128">
      <c r="D128" s="62"/>
      <c r="E128" s="62"/>
      <c r="F128" s="62"/>
      <c r="J128" s="62"/>
    </row>
    <row r="129">
      <c r="D129" s="62"/>
      <c r="E129" s="62"/>
      <c r="F129" s="62"/>
      <c r="J129" s="62"/>
    </row>
    <row r="130">
      <c r="D130" s="62"/>
      <c r="E130" s="62"/>
      <c r="F130" s="62"/>
      <c r="J130" s="62"/>
    </row>
    <row r="131">
      <c r="D131" s="62"/>
      <c r="E131" s="62"/>
      <c r="F131" s="62"/>
      <c r="J131" s="62"/>
    </row>
    <row r="132">
      <c r="D132" s="62"/>
      <c r="E132" s="62"/>
      <c r="F132" s="62"/>
      <c r="J132" s="62"/>
    </row>
    <row r="133">
      <c r="D133" s="62"/>
      <c r="E133" s="62"/>
      <c r="F133" s="62"/>
      <c r="J133" s="62"/>
    </row>
    <row r="134">
      <c r="D134" s="62"/>
      <c r="E134" s="62"/>
      <c r="F134" s="62"/>
      <c r="J134" s="62"/>
    </row>
    <row r="135">
      <c r="D135" s="62"/>
      <c r="E135" s="62"/>
      <c r="F135" s="62"/>
      <c r="J135" s="62"/>
    </row>
    <row r="136">
      <c r="D136" s="62"/>
      <c r="E136" s="62"/>
      <c r="F136" s="62"/>
      <c r="J136" s="62"/>
    </row>
    <row r="137">
      <c r="D137" s="62"/>
      <c r="E137" s="62"/>
      <c r="F137" s="62"/>
      <c r="J137" s="62"/>
    </row>
    <row r="138">
      <c r="D138" s="62"/>
      <c r="E138" s="62"/>
      <c r="F138" s="62"/>
      <c r="J138" s="62"/>
    </row>
    <row r="139">
      <c r="D139" s="62"/>
      <c r="E139" s="62"/>
      <c r="F139" s="62"/>
      <c r="J139" s="62"/>
    </row>
    <row r="140">
      <c r="D140" s="62"/>
      <c r="E140" s="62"/>
      <c r="F140" s="62"/>
      <c r="J140" s="62"/>
    </row>
    <row r="141">
      <c r="D141" s="62"/>
      <c r="E141" s="62"/>
      <c r="F141" s="62"/>
      <c r="J141" s="62"/>
    </row>
    <row r="142">
      <c r="D142" s="62"/>
      <c r="E142" s="62"/>
      <c r="F142" s="62"/>
      <c r="J142" s="62"/>
    </row>
    <row r="143">
      <c r="D143" s="62"/>
      <c r="E143" s="62"/>
      <c r="F143" s="62"/>
      <c r="J143" s="62"/>
    </row>
    <row r="144">
      <c r="D144" s="62"/>
      <c r="E144" s="62"/>
      <c r="F144" s="62"/>
      <c r="J144" s="62"/>
    </row>
    <row r="145">
      <c r="D145" s="62"/>
      <c r="E145" s="62"/>
      <c r="F145" s="62"/>
      <c r="J145" s="62"/>
    </row>
    <row r="146">
      <c r="D146" s="62"/>
      <c r="E146" s="62"/>
      <c r="F146" s="62"/>
      <c r="J146" s="62"/>
    </row>
    <row r="147">
      <c r="D147" s="62"/>
      <c r="E147" s="62"/>
      <c r="F147" s="62"/>
      <c r="J147" s="62"/>
    </row>
    <row r="148">
      <c r="D148" s="62"/>
      <c r="E148" s="62"/>
      <c r="F148" s="62"/>
      <c r="J148" s="62"/>
    </row>
    <row r="149">
      <c r="D149" s="62"/>
      <c r="E149" s="62"/>
      <c r="F149" s="62"/>
      <c r="J149" s="62"/>
    </row>
    <row r="150">
      <c r="D150" s="62"/>
      <c r="E150" s="62"/>
      <c r="F150" s="62"/>
      <c r="J150" s="62"/>
    </row>
    <row r="151">
      <c r="D151" s="62"/>
      <c r="E151" s="62"/>
      <c r="F151" s="62"/>
      <c r="J151" s="62"/>
    </row>
    <row r="152">
      <c r="D152" s="62"/>
      <c r="E152" s="62"/>
      <c r="F152" s="62"/>
      <c r="J152" s="62"/>
    </row>
    <row r="153">
      <c r="D153" s="62"/>
      <c r="E153" s="62"/>
      <c r="F153" s="62"/>
      <c r="J153" s="62"/>
    </row>
    <row r="154">
      <c r="D154" s="62"/>
      <c r="E154" s="62"/>
      <c r="F154" s="62"/>
      <c r="J154" s="62"/>
    </row>
    <row r="155">
      <c r="D155" s="62"/>
      <c r="E155" s="62"/>
      <c r="F155" s="62"/>
      <c r="J155" s="62"/>
    </row>
    <row r="156">
      <c r="D156" s="62"/>
      <c r="E156" s="62"/>
      <c r="F156" s="62"/>
      <c r="J156" s="62"/>
    </row>
    <row r="157">
      <c r="D157" s="62"/>
      <c r="E157" s="62"/>
      <c r="F157" s="62"/>
      <c r="J157" s="62"/>
    </row>
    <row r="158">
      <c r="D158" s="62"/>
      <c r="E158" s="62"/>
      <c r="F158" s="62"/>
      <c r="J158" s="62"/>
    </row>
    <row r="159">
      <c r="D159" s="62"/>
      <c r="E159" s="62"/>
      <c r="F159" s="62"/>
      <c r="J159" s="62"/>
    </row>
    <row r="160">
      <c r="D160" s="62"/>
      <c r="E160" s="62"/>
      <c r="F160" s="62"/>
      <c r="J160" s="62"/>
    </row>
    <row r="161">
      <c r="D161" s="62"/>
      <c r="E161" s="62"/>
      <c r="F161" s="62"/>
      <c r="J161" s="62"/>
    </row>
    <row r="162">
      <c r="D162" s="62"/>
      <c r="E162" s="62"/>
      <c r="F162" s="62"/>
      <c r="J162" s="62"/>
    </row>
    <row r="163">
      <c r="D163" s="62"/>
      <c r="E163" s="62"/>
      <c r="F163" s="62"/>
      <c r="J163" s="62"/>
    </row>
    <row r="164">
      <c r="D164" s="62"/>
      <c r="E164" s="62"/>
      <c r="F164" s="62"/>
      <c r="J164" s="62"/>
    </row>
    <row r="165">
      <c r="D165" s="62"/>
      <c r="E165" s="62"/>
      <c r="F165" s="62"/>
      <c r="J165" s="62"/>
    </row>
    <row r="166">
      <c r="D166" s="62"/>
      <c r="E166" s="62"/>
      <c r="F166" s="62"/>
      <c r="J166" s="62"/>
    </row>
    <row r="167">
      <c r="D167" s="62"/>
      <c r="E167" s="62"/>
      <c r="F167" s="62"/>
      <c r="J167" s="62"/>
    </row>
    <row r="168">
      <c r="D168" s="62"/>
      <c r="E168" s="62"/>
      <c r="F168" s="62"/>
      <c r="J168" s="62"/>
    </row>
    <row r="169">
      <c r="D169" s="62"/>
      <c r="E169" s="62"/>
      <c r="F169" s="62"/>
      <c r="J169" s="62"/>
    </row>
    <row r="170">
      <c r="D170" s="62"/>
      <c r="E170" s="62"/>
      <c r="F170" s="62"/>
      <c r="J170" s="62"/>
    </row>
    <row r="171">
      <c r="D171" s="62"/>
      <c r="E171" s="62"/>
      <c r="F171" s="62"/>
      <c r="J171" s="62"/>
    </row>
    <row r="172">
      <c r="D172" s="62"/>
      <c r="E172" s="62"/>
      <c r="F172" s="62"/>
      <c r="J172" s="62"/>
    </row>
    <row r="173">
      <c r="D173" s="62"/>
      <c r="E173" s="62"/>
      <c r="F173" s="62"/>
      <c r="J173" s="62"/>
    </row>
    <row r="174">
      <c r="D174" s="62"/>
      <c r="E174" s="62"/>
      <c r="F174" s="62"/>
      <c r="J174" s="62"/>
    </row>
    <row r="175">
      <c r="D175" s="62"/>
      <c r="E175" s="62"/>
      <c r="F175" s="62"/>
      <c r="J175" s="62"/>
    </row>
    <row r="176">
      <c r="D176" s="62"/>
      <c r="E176" s="62"/>
      <c r="F176" s="62"/>
      <c r="J176" s="62"/>
    </row>
    <row r="177">
      <c r="D177" s="62"/>
      <c r="E177" s="62"/>
      <c r="F177" s="62"/>
      <c r="J177" s="62"/>
    </row>
    <row r="178">
      <c r="D178" s="62"/>
      <c r="E178" s="62"/>
      <c r="F178" s="62"/>
      <c r="J178" s="62"/>
    </row>
    <row r="179">
      <c r="D179" s="62"/>
      <c r="E179" s="62"/>
      <c r="F179" s="62"/>
      <c r="J179" s="62"/>
    </row>
    <row r="180">
      <c r="D180" s="62"/>
      <c r="E180" s="62"/>
      <c r="F180" s="62"/>
      <c r="J180" s="62"/>
    </row>
    <row r="181">
      <c r="D181" s="62"/>
      <c r="E181" s="62"/>
      <c r="F181" s="62"/>
      <c r="J181" s="62"/>
    </row>
    <row r="182">
      <c r="D182" s="62"/>
      <c r="E182" s="62"/>
      <c r="F182" s="62"/>
      <c r="J182" s="62"/>
    </row>
    <row r="183">
      <c r="D183" s="62"/>
      <c r="E183" s="62"/>
      <c r="F183" s="62"/>
      <c r="J183" s="62"/>
    </row>
    <row r="184">
      <c r="D184" s="62"/>
      <c r="E184" s="62"/>
      <c r="F184" s="62"/>
      <c r="J184" s="62"/>
    </row>
    <row r="185">
      <c r="D185" s="62"/>
      <c r="E185" s="62"/>
      <c r="F185" s="62"/>
      <c r="J185" s="62"/>
    </row>
    <row r="186">
      <c r="D186" s="62"/>
      <c r="E186" s="62"/>
      <c r="F186" s="62"/>
      <c r="J186" s="62"/>
    </row>
    <row r="187">
      <c r="D187" s="62"/>
      <c r="E187" s="62"/>
      <c r="F187" s="62"/>
      <c r="J187" s="62"/>
    </row>
    <row r="188">
      <c r="D188" s="62"/>
      <c r="E188" s="62"/>
      <c r="F188" s="62"/>
      <c r="J188" s="62"/>
    </row>
    <row r="189">
      <c r="D189" s="62"/>
      <c r="E189" s="62"/>
      <c r="F189" s="62"/>
      <c r="J189" s="62"/>
    </row>
    <row r="190">
      <c r="D190" s="62"/>
      <c r="E190" s="62"/>
      <c r="F190" s="62"/>
      <c r="J190" s="62"/>
    </row>
    <row r="191">
      <c r="D191" s="62"/>
      <c r="E191" s="62"/>
      <c r="F191" s="62"/>
      <c r="J191" s="62"/>
    </row>
    <row r="192">
      <c r="D192" s="62"/>
      <c r="E192" s="62"/>
      <c r="F192" s="62"/>
      <c r="J192" s="62"/>
    </row>
    <row r="193">
      <c r="D193" s="62"/>
      <c r="E193" s="62"/>
      <c r="F193" s="62"/>
      <c r="J193" s="62"/>
    </row>
    <row r="194">
      <c r="D194" s="62"/>
      <c r="E194" s="62"/>
      <c r="F194" s="62"/>
      <c r="J194" s="62"/>
    </row>
    <row r="195">
      <c r="D195" s="62"/>
      <c r="E195" s="62"/>
      <c r="F195" s="62"/>
      <c r="J195" s="62"/>
    </row>
    <row r="196">
      <c r="D196" s="62"/>
      <c r="E196" s="62"/>
      <c r="F196" s="62"/>
      <c r="J196" s="62"/>
    </row>
    <row r="197">
      <c r="D197" s="62"/>
      <c r="E197" s="62"/>
      <c r="F197" s="62"/>
      <c r="J197" s="62"/>
    </row>
    <row r="198">
      <c r="D198" s="62"/>
      <c r="E198" s="62"/>
      <c r="F198" s="62"/>
      <c r="J198" s="62"/>
    </row>
    <row r="199">
      <c r="D199" s="62"/>
      <c r="E199" s="62"/>
      <c r="F199" s="62"/>
      <c r="J199" s="62"/>
    </row>
    <row r="200">
      <c r="D200" s="62"/>
      <c r="E200" s="62"/>
      <c r="F200" s="62"/>
      <c r="J200" s="62"/>
    </row>
    <row r="201">
      <c r="D201" s="62"/>
      <c r="E201" s="62"/>
      <c r="F201" s="62"/>
      <c r="J201" s="62"/>
    </row>
    <row r="202">
      <c r="D202" s="62"/>
      <c r="E202" s="62"/>
      <c r="F202" s="62"/>
      <c r="J202" s="62"/>
    </row>
    <row r="203">
      <c r="D203" s="62"/>
      <c r="E203" s="62"/>
      <c r="F203" s="62"/>
      <c r="J203" s="62"/>
    </row>
    <row r="204">
      <c r="D204" s="62"/>
      <c r="E204" s="62"/>
      <c r="F204" s="62"/>
      <c r="J204" s="62"/>
    </row>
    <row r="205">
      <c r="D205" s="62"/>
      <c r="E205" s="62"/>
      <c r="F205" s="62"/>
      <c r="J205" s="62"/>
    </row>
    <row r="206">
      <c r="D206" s="62"/>
      <c r="E206" s="62"/>
      <c r="F206" s="62"/>
      <c r="J206" s="62"/>
    </row>
    <row r="207">
      <c r="D207" s="62"/>
      <c r="E207" s="62"/>
      <c r="F207" s="62"/>
      <c r="J207" s="62"/>
    </row>
    <row r="208">
      <c r="D208" s="62"/>
      <c r="E208" s="62"/>
      <c r="F208" s="62"/>
      <c r="J208" s="62"/>
    </row>
    <row r="209">
      <c r="D209" s="62"/>
      <c r="E209" s="62"/>
      <c r="F209" s="62"/>
      <c r="J209" s="62"/>
    </row>
    <row r="210">
      <c r="D210" s="62"/>
      <c r="E210" s="62"/>
      <c r="F210" s="62"/>
      <c r="J210" s="62"/>
    </row>
    <row r="211">
      <c r="D211" s="62"/>
      <c r="E211" s="62"/>
      <c r="F211" s="62"/>
      <c r="J211" s="62"/>
    </row>
    <row r="212">
      <c r="D212" s="62"/>
      <c r="E212" s="62"/>
      <c r="F212" s="62"/>
      <c r="J212" s="62"/>
    </row>
    <row r="213">
      <c r="D213" s="62"/>
      <c r="E213" s="62"/>
      <c r="F213" s="62"/>
      <c r="J213" s="62"/>
    </row>
    <row r="214">
      <c r="D214" s="62"/>
      <c r="E214" s="62"/>
      <c r="F214" s="62"/>
      <c r="J214" s="62"/>
    </row>
    <row r="215">
      <c r="D215" s="62"/>
      <c r="E215" s="62"/>
      <c r="F215" s="62"/>
      <c r="J215" s="62"/>
    </row>
    <row r="216">
      <c r="D216" s="62"/>
      <c r="E216" s="62"/>
      <c r="F216" s="62"/>
      <c r="J216" s="62"/>
    </row>
    <row r="217">
      <c r="D217" s="62"/>
      <c r="E217" s="62"/>
      <c r="F217" s="62"/>
      <c r="J217" s="62"/>
    </row>
    <row r="218">
      <c r="D218" s="62"/>
      <c r="E218" s="62"/>
      <c r="F218" s="62"/>
      <c r="J218" s="62"/>
    </row>
    <row r="219">
      <c r="D219" s="62"/>
      <c r="E219" s="62"/>
      <c r="F219" s="62"/>
      <c r="J219" s="62"/>
    </row>
    <row r="220">
      <c r="D220" s="62"/>
      <c r="E220" s="62"/>
      <c r="F220" s="62"/>
      <c r="J220" s="62"/>
    </row>
    <row r="221">
      <c r="D221" s="62"/>
      <c r="E221" s="62"/>
      <c r="F221" s="62"/>
      <c r="J221" s="62"/>
    </row>
    <row r="222">
      <c r="D222" s="62"/>
      <c r="E222" s="62"/>
      <c r="F222" s="62"/>
      <c r="J222" s="62"/>
    </row>
    <row r="223">
      <c r="D223" s="62"/>
      <c r="E223" s="62"/>
      <c r="F223" s="62"/>
      <c r="J223" s="62"/>
    </row>
    <row r="224">
      <c r="D224" s="62"/>
      <c r="E224" s="62"/>
      <c r="F224" s="62"/>
      <c r="J224" s="62"/>
    </row>
    <row r="225">
      <c r="D225" s="62"/>
      <c r="E225" s="62"/>
      <c r="F225" s="62"/>
      <c r="J225" s="62"/>
    </row>
    <row r="226">
      <c r="D226" s="62"/>
      <c r="E226" s="62"/>
      <c r="F226" s="62"/>
      <c r="J226" s="62"/>
    </row>
    <row r="227">
      <c r="D227" s="62"/>
      <c r="E227" s="62"/>
      <c r="F227" s="62"/>
      <c r="J227" s="62"/>
    </row>
    <row r="228">
      <c r="D228" s="62"/>
      <c r="E228" s="62"/>
      <c r="F228" s="62"/>
      <c r="J228" s="62"/>
    </row>
    <row r="229">
      <c r="D229" s="62"/>
      <c r="E229" s="62"/>
      <c r="F229" s="62"/>
      <c r="J229" s="62"/>
    </row>
    <row r="230">
      <c r="D230" s="62"/>
      <c r="E230" s="62"/>
      <c r="F230" s="62"/>
      <c r="J230" s="62"/>
    </row>
    <row r="231">
      <c r="D231" s="62"/>
      <c r="E231" s="62"/>
      <c r="F231" s="62"/>
      <c r="J231" s="62"/>
    </row>
    <row r="232">
      <c r="D232" s="62"/>
      <c r="E232" s="62"/>
      <c r="F232" s="62"/>
      <c r="J232" s="62"/>
    </row>
    <row r="233">
      <c r="D233" s="62"/>
      <c r="E233" s="62"/>
      <c r="F233" s="62"/>
      <c r="J233" s="62"/>
    </row>
    <row r="234">
      <c r="D234" s="62"/>
      <c r="E234" s="62"/>
      <c r="F234" s="62"/>
      <c r="J234" s="62"/>
    </row>
    <row r="235">
      <c r="D235" s="62"/>
      <c r="E235" s="62"/>
      <c r="F235" s="62"/>
      <c r="J235" s="62"/>
    </row>
    <row r="236">
      <c r="D236" s="62"/>
      <c r="E236" s="62"/>
      <c r="F236" s="62"/>
      <c r="J236" s="62"/>
    </row>
    <row r="237">
      <c r="D237" s="62"/>
      <c r="E237" s="62"/>
      <c r="F237" s="62"/>
      <c r="J237" s="62"/>
    </row>
    <row r="238">
      <c r="D238" s="62"/>
      <c r="E238" s="62"/>
      <c r="F238" s="62"/>
      <c r="J238" s="62"/>
    </row>
    <row r="239">
      <c r="D239" s="62"/>
      <c r="E239" s="62"/>
      <c r="F239" s="62"/>
      <c r="J239" s="62"/>
    </row>
    <row r="240">
      <c r="D240" s="62"/>
      <c r="E240" s="62"/>
      <c r="F240" s="62"/>
      <c r="J240" s="62"/>
    </row>
    <row r="241">
      <c r="D241" s="62"/>
      <c r="E241" s="62"/>
      <c r="F241" s="62"/>
      <c r="J241" s="62"/>
    </row>
    <row r="242">
      <c r="D242" s="62"/>
      <c r="E242" s="62"/>
      <c r="F242" s="62"/>
      <c r="J242" s="62"/>
    </row>
    <row r="243">
      <c r="D243" s="62"/>
      <c r="E243" s="62"/>
      <c r="F243" s="62"/>
      <c r="J243" s="62"/>
    </row>
    <row r="244">
      <c r="D244" s="62"/>
      <c r="E244" s="62"/>
      <c r="F244" s="62"/>
      <c r="J244" s="62"/>
    </row>
    <row r="245">
      <c r="D245" s="62"/>
      <c r="E245" s="62"/>
      <c r="F245" s="62"/>
      <c r="J245" s="62"/>
    </row>
    <row r="246">
      <c r="D246" s="62"/>
      <c r="E246" s="62"/>
      <c r="F246" s="62"/>
      <c r="J246" s="62"/>
    </row>
    <row r="247">
      <c r="D247" s="62"/>
      <c r="E247" s="62"/>
      <c r="F247" s="62"/>
      <c r="J247" s="62"/>
    </row>
    <row r="248">
      <c r="D248" s="62"/>
      <c r="E248" s="62"/>
      <c r="F248" s="62"/>
      <c r="J248" s="62"/>
    </row>
    <row r="249">
      <c r="D249" s="62"/>
      <c r="E249" s="62"/>
      <c r="F249" s="62"/>
      <c r="J249" s="62"/>
    </row>
    <row r="250">
      <c r="D250" s="62"/>
      <c r="E250" s="62"/>
      <c r="F250" s="62"/>
      <c r="J250" s="62"/>
    </row>
    <row r="251">
      <c r="D251" s="62"/>
      <c r="E251" s="62"/>
      <c r="F251" s="62"/>
      <c r="J251" s="62"/>
    </row>
    <row r="252">
      <c r="D252" s="62"/>
      <c r="E252" s="62"/>
      <c r="F252" s="62"/>
      <c r="J252" s="62"/>
    </row>
    <row r="253">
      <c r="D253" s="62"/>
      <c r="E253" s="62"/>
      <c r="F253" s="62"/>
      <c r="J253" s="62"/>
    </row>
    <row r="254">
      <c r="D254" s="62"/>
      <c r="E254" s="62"/>
      <c r="F254" s="62"/>
      <c r="J254" s="62"/>
    </row>
    <row r="255">
      <c r="D255" s="62"/>
      <c r="E255" s="62"/>
      <c r="F255" s="62"/>
      <c r="J255" s="62"/>
    </row>
    <row r="256">
      <c r="D256" s="62"/>
      <c r="E256" s="62"/>
      <c r="F256" s="62"/>
      <c r="J256" s="62"/>
    </row>
    <row r="257">
      <c r="D257" s="62"/>
      <c r="E257" s="62"/>
      <c r="F257" s="62"/>
      <c r="J257" s="62"/>
    </row>
    <row r="258">
      <c r="D258" s="62"/>
      <c r="E258" s="62"/>
      <c r="F258" s="62"/>
      <c r="J258" s="62"/>
    </row>
    <row r="259">
      <c r="D259" s="62"/>
      <c r="E259" s="62"/>
      <c r="F259" s="62"/>
      <c r="J259" s="62"/>
    </row>
    <row r="260">
      <c r="D260" s="62"/>
      <c r="E260" s="62"/>
      <c r="F260" s="62"/>
      <c r="J260" s="62"/>
    </row>
    <row r="261">
      <c r="D261" s="62"/>
      <c r="E261" s="62"/>
      <c r="F261" s="62"/>
      <c r="J261" s="62"/>
    </row>
    <row r="262">
      <c r="D262" s="62"/>
      <c r="E262" s="62"/>
      <c r="F262" s="62"/>
      <c r="J262" s="62"/>
    </row>
    <row r="263">
      <c r="D263" s="62"/>
      <c r="E263" s="62"/>
      <c r="F263" s="62"/>
      <c r="J263" s="62"/>
    </row>
    <row r="264">
      <c r="D264" s="62"/>
      <c r="E264" s="62"/>
      <c r="F264" s="62"/>
      <c r="J264" s="62"/>
    </row>
    <row r="265">
      <c r="D265" s="62"/>
      <c r="E265" s="62"/>
      <c r="F265" s="62"/>
      <c r="J265" s="62"/>
    </row>
    <row r="266">
      <c r="D266" s="62"/>
      <c r="E266" s="62"/>
      <c r="F266" s="62"/>
      <c r="J266" s="62"/>
    </row>
    <row r="267">
      <c r="D267" s="62"/>
      <c r="E267" s="62"/>
      <c r="F267" s="62"/>
      <c r="J267" s="62"/>
    </row>
    <row r="268">
      <c r="D268" s="62"/>
      <c r="E268" s="62"/>
      <c r="F268" s="62"/>
      <c r="J268" s="62"/>
    </row>
    <row r="269">
      <c r="D269" s="62"/>
      <c r="E269" s="62"/>
      <c r="F269" s="62"/>
      <c r="J269" s="62"/>
    </row>
    <row r="270">
      <c r="D270" s="62"/>
      <c r="E270" s="62"/>
      <c r="F270" s="62"/>
      <c r="J270" s="62"/>
    </row>
    <row r="271">
      <c r="D271" s="62"/>
      <c r="E271" s="62"/>
      <c r="F271" s="62"/>
      <c r="J271" s="62"/>
    </row>
    <row r="272">
      <c r="D272" s="62"/>
      <c r="E272" s="62"/>
      <c r="F272" s="62"/>
      <c r="J272" s="62"/>
    </row>
    <row r="273">
      <c r="D273" s="62"/>
      <c r="E273" s="62"/>
      <c r="F273" s="62"/>
      <c r="J273" s="62"/>
    </row>
    <row r="274">
      <c r="D274" s="62"/>
      <c r="E274" s="62"/>
      <c r="F274" s="62"/>
      <c r="J274" s="62"/>
    </row>
    <row r="275">
      <c r="D275" s="62"/>
      <c r="E275" s="62"/>
      <c r="F275" s="62"/>
      <c r="J275" s="62"/>
    </row>
    <row r="276">
      <c r="D276" s="62"/>
      <c r="E276" s="62"/>
      <c r="F276" s="62"/>
      <c r="J276" s="62"/>
    </row>
    <row r="277">
      <c r="D277" s="62"/>
      <c r="E277" s="62"/>
      <c r="F277" s="62"/>
      <c r="J277" s="62"/>
    </row>
    <row r="278">
      <c r="D278" s="62"/>
      <c r="E278" s="62"/>
      <c r="F278" s="62"/>
      <c r="J278" s="62"/>
    </row>
    <row r="279">
      <c r="D279" s="62"/>
      <c r="E279" s="62"/>
      <c r="F279" s="62"/>
      <c r="J279" s="62"/>
    </row>
    <row r="280">
      <c r="D280" s="62"/>
      <c r="E280" s="62"/>
      <c r="F280" s="62"/>
      <c r="J280" s="62"/>
    </row>
    <row r="281">
      <c r="D281" s="62"/>
      <c r="E281" s="62"/>
      <c r="F281" s="62"/>
      <c r="J281" s="62"/>
    </row>
    <row r="282">
      <c r="D282" s="62"/>
      <c r="E282" s="62"/>
      <c r="F282" s="62"/>
      <c r="J282" s="62"/>
    </row>
    <row r="283">
      <c r="D283" s="62"/>
      <c r="E283" s="62"/>
      <c r="F283" s="62"/>
      <c r="J283" s="62"/>
    </row>
    <row r="284">
      <c r="D284" s="62"/>
      <c r="E284" s="62"/>
      <c r="F284" s="62"/>
      <c r="J284" s="62"/>
    </row>
    <row r="285">
      <c r="D285" s="62"/>
      <c r="E285" s="62"/>
      <c r="F285" s="62"/>
      <c r="J285" s="62"/>
    </row>
    <row r="286">
      <c r="D286" s="62"/>
      <c r="E286" s="62"/>
      <c r="F286" s="62"/>
      <c r="J286" s="62"/>
    </row>
    <row r="287">
      <c r="D287" s="62"/>
      <c r="E287" s="62"/>
      <c r="F287" s="62"/>
      <c r="J287" s="62"/>
    </row>
    <row r="288">
      <c r="D288" s="62"/>
      <c r="E288" s="62"/>
      <c r="F288" s="62"/>
      <c r="J288" s="62"/>
    </row>
    <row r="289">
      <c r="D289" s="62"/>
      <c r="E289" s="62"/>
      <c r="F289" s="62"/>
      <c r="J289" s="62"/>
    </row>
    <row r="290">
      <c r="D290" s="62"/>
      <c r="E290" s="62"/>
      <c r="F290" s="62"/>
      <c r="J290" s="62"/>
    </row>
    <row r="291">
      <c r="D291" s="62"/>
      <c r="E291" s="62"/>
      <c r="F291" s="62"/>
      <c r="J291" s="62"/>
    </row>
    <row r="292">
      <c r="D292" s="62"/>
      <c r="E292" s="62"/>
      <c r="F292" s="62"/>
      <c r="J292" s="62"/>
    </row>
    <row r="293">
      <c r="D293" s="62"/>
      <c r="E293" s="62"/>
      <c r="F293" s="62"/>
      <c r="J293" s="62"/>
    </row>
    <row r="294">
      <c r="D294" s="62"/>
      <c r="E294" s="62"/>
      <c r="F294" s="62"/>
      <c r="J294" s="62"/>
    </row>
    <row r="295">
      <c r="D295" s="62"/>
      <c r="E295" s="62"/>
      <c r="F295" s="62"/>
      <c r="J295" s="62"/>
    </row>
    <row r="296">
      <c r="D296" s="62"/>
      <c r="E296" s="62"/>
      <c r="F296" s="62"/>
      <c r="J296" s="62"/>
    </row>
    <row r="297">
      <c r="D297" s="62"/>
      <c r="E297" s="62"/>
      <c r="F297" s="62"/>
      <c r="J297" s="62"/>
    </row>
    <row r="298">
      <c r="D298" s="62"/>
      <c r="E298" s="62"/>
      <c r="F298" s="62"/>
      <c r="J298" s="62"/>
    </row>
    <row r="299">
      <c r="D299" s="62"/>
      <c r="E299" s="62"/>
      <c r="F299" s="62"/>
      <c r="J299" s="62"/>
    </row>
    <row r="300">
      <c r="D300" s="62"/>
      <c r="E300" s="62"/>
      <c r="F300" s="62"/>
      <c r="J300" s="62"/>
    </row>
    <row r="301">
      <c r="D301" s="62"/>
      <c r="E301" s="62"/>
      <c r="F301" s="62"/>
      <c r="J301" s="62"/>
    </row>
    <row r="302">
      <c r="D302" s="62"/>
      <c r="E302" s="62"/>
      <c r="F302" s="62"/>
      <c r="J302" s="62"/>
    </row>
    <row r="303">
      <c r="D303" s="62"/>
      <c r="E303" s="62"/>
      <c r="F303" s="62"/>
      <c r="J303" s="62"/>
    </row>
    <row r="304">
      <c r="D304" s="62"/>
      <c r="E304" s="62"/>
      <c r="F304" s="62"/>
      <c r="J304" s="62"/>
    </row>
    <row r="305">
      <c r="D305" s="62"/>
      <c r="E305" s="62"/>
      <c r="F305" s="62"/>
      <c r="J305" s="62"/>
    </row>
    <row r="306">
      <c r="D306" s="62"/>
      <c r="E306" s="62"/>
      <c r="F306" s="62"/>
      <c r="J306" s="62"/>
    </row>
    <row r="307">
      <c r="D307" s="62"/>
      <c r="E307" s="62"/>
      <c r="F307" s="62"/>
      <c r="J307" s="62"/>
    </row>
    <row r="308">
      <c r="D308" s="62"/>
      <c r="E308" s="62"/>
      <c r="F308" s="62"/>
      <c r="J308" s="62"/>
    </row>
    <row r="309">
      <c r="D309" s="62"/>
      <c r="E309" s="62"/>
      <c r="F309" s="62"/>
      <c r="J309" s="62"/>
    </row>
    <row r="310">
      <c r="D310" s="62"/>
      <c r="E310" s="62"/>
      <c r="F310" s="62"/>
      <c r="J310" s="62"/>
    </row>
    <row r="311">
      <c r="D311" s="62"/>
      <c r="E311" s="62"/>
      <c r="F311" s="62"/>
      <c r="J311" s="62"/>
    </row>
    <row r="312">
      <c r="D312" s="62"/>
      <c r="E312" s="62"/>
      <c r="F312" s="62"/>
      <c r="J312" s="62"/>
    </row>
    <row r="313">
      <c r="D313" s="62"/>
      <c r="E313" s="62"/>
      <c r="F313" s="62"/>
      <c r="J313" s="62"/>
    </row>
    <row r="314">
      <c r="D314" s="62"/>
      <c r="E314" s="62"/>
      <c r="F314" s="62"/>
      <c r="J314" s="62"/>
    </row>
    <row r="315">
      <c r="D315" s="62"/>
      <c r="E315" s="62"/>
      <c r="F315" s="62"/>
      <c r="J315" s="62"/>
    </row>
    <row r="316">
      <c r="D316" s="62"/>
      <c r="E316" s="62"/>
      <c r="F316" s="62"/>
      <c r="J316" s="62"/>
    </row>
    <row r="317">
      <c r="D317" s="62"/>
      <c r="E317" s="62"/>
      <c r="F317" s="62"/>
      <c r="J317" s="62"/>
    </row>
    <row r="318">
      <c r="D318" s="62"/>
      <c r="E318" s="62"/>
      <c r="F318" s="62"/>
      <c r="J318" s="62"/>
    </row>
    <row r="319">
      <c r="D319" s="62"/>
      <c r="E319" s="62"/>
      <c r="F319" s="62"/>
      <c r="J319" s="62"/>
    </row>
    <row r="320">
      <c r="D320" s="62"/>
      <c r="E320" s="62"/>
      <c r="F320" s="62"/>
      <c r="J320" s="62"/>
    </row>
    <row r="321">
      <c r="D321" s="62"/>
      <c r="E321" s="62"/>
      <c r="F321" s="62"/>
      <c r="J321" s="62"/>
    </row>
    <row r="322">
      <c r="D322" s="62"/>
      <c r="E322" s="62"/>
      <c r="F322" s="62"/>
      <c r="J322" s="62"/>
    </row>
    <row r="323">
      <c r="D323" s="62"/>
      <c r="E323" s="62"/>
      <c r="F323" s="62"/>
      <c r="J323" s="62"/>
    </row>
    <row r="324">
      <c r="D324" s="62"/>
      <c r="E324" s="62"/>
      <c r="F324" s="62"/>
      <c r="J324" s="62"/>
    </row>
    <row r="325">
      <c r="D325" s="62"/>
      <c r="E325" s="62"/>
      <c r="F325" s="62"/>
      <c r="J325" s="62"/>
    </row>
    <row r="326">
      <c r="D326" s="62"/>
      <c r="E326" s="62"/>
      <c r="F326" s="62"/>
      <c r="J326" s="62"/>
    </row>
    <row r="327">
      <c r="D327" s="62"/>
      <c r="E327" s="62"/>
      <c r="F327" s="62"/>
      <c r="J327" s="62"/>
    </row>
    <row r="328">
      <c r="D328" s="62"/>
      <c r="E328" s="62"/>
      <c r="F328" s="62"/>
      <c r="J328" s="62"/>
    </row>
    <row r="329">
      <c r="D329" s="62"/>
      <c r="E329" s="62"/>
      <c r="F329" s="62"/>
      <c r="J329" s="62"/>
    </row>
    <row r="330">
      <c r="D330" s="62"/>
      <c r="E330" s="62"/>
      <c r="F330" s="62"/>
      <c r="J330" s="62"/>
    </row>
    <row r="331">
      <c r="D331" s="62"/>
      <c r="E331" s="62"/>
      <c r="F331" s="62"/>
      <c r="J331" s="62"/>
    </row>
    <row r="332">
      <c r="D332" s="62"/>
      <c r="E332" s="62"/>
      <c r="F332" s="62"/>
      <c r="J332" s="62"/>
    </row>
    <row r="333">
      <c r="D333" s="62"/>
      <c r="E333" s="62"/>
      <c r="F333" s="62"/>
      <c r="J333" s="62"/>
    </row>
    <row r="334">
      <c r="D334" s="62"/>
      <c r="E334" s="62"/>
      <c r="F334" s="62"/>
      <c r="J334" s="62"/>
    </row>
    <row r="335">
      <c r="D335" s="62"/>
      <c r="E335" s="62"/>
      <c r="F335" s="62"/>
      <c r="J335" s="62"/>
    </row>
    <row r="336">
      <c r="D336" s="62"/>
      <c r="E336" s="62"/>
      <c r="F336" s="62"/>
      <c r="J336" s="62"/>
    </row>
    <row r="337">
      <c r="D337" s="62"/>
      <c r="E337" s="62"/>
      <c r="F337" s="62"/>
      <c r="J337" s="62"/>
    </row>
    <row r="338">
      <c r="D338" s="62"/>
      <c r="E338" s="62"/>
      <c r="F338" s="62"/>
      <c r="J338" s="62"/>
    </row>
    <row r="339">
      <c r="D339" s="62"/>
      <c r="E339" s="62"/>
      <c r="F339" s="62"/>
      <c r="J339" s="62"/>
    </row>
    <row r="340">
      <c r="D340" s="62"/>
      <c r="E340" s="62"/>
      <c r="F340" s="62"/>
      <c r="J340" s="62"/>
    </row>
    <row r="341">
      <c r="D341" s="62"/>
      <c r="E341" s="62"/>
      <c r="F341" s="62"/>
      <c r="J341" s="62"/>
    </row>
    <row r="342">
      <c r="D342" s="62"/>
      <c r="E342" s="62"/>
      <c r="F342" s="62"/>
      <c r="J342" s="62"/>
    </row>
    <row r="343">
      <c r="D343" s="62"/>
      <c r="E343" s="62"/>
      <c r="F343" s="62"/>
      <c r="J343" s="62"/>
    </row>
    <row r="344">
      <c r="D344" s="62"/>
      <c r="E344" s="62"/>
      <c r="F344" s="62"/>
      <c r="J344" s="62"/>
    </row>
    <row r="345">
      <c r="D345" s="62"/>
      <c r="E345" s="62"/>
      <c r="F345" s="62"/>
      <c r="J345" s="62"/>
    </row>
    <row r="346">
      <c r="D346" s="62"/>
      <c r="E346" s="62"/>
      <c r="F346" s="62"/>
      <c r="J346" s="62"/>
    </row>
    <row r="347">
      <c r="D347" s="62"/>
      <c r="E347" s="62"/>
      <c r="F347" s="62"/>
      <c r="J347" s="62"/>
    </row>
    <row r="348">
      <c r="D348" s="62"/>
      <c r="E348" s="62"/>
      <c r="F348" s="62"/>
      <c r="J348" s="62"/>
    </row>
    <row r="349">
      <c r="D349" s="62"/>
      <c r="E349" s="62"/>
      <c r="F349" s="62"/>
      <c r="J349" s="62"/>
    </row>
    <row r="350">
      <c r="D350" s="62"/>
      <c r="E350" s="62"/>
      <c r="F350" s="62"/>
      <c r="J350" s="62"/>
    </row>
    <row r="351">
      <c r="D351" s="62"/>
      <c r="E351" s="62"/>
      <c r="F351" s="62"/>
      <c r="J351" s="62"/>
    </row>
    <row r="352">
      <c r="D352" s="62"/>
      <c r="E352" s="62"/>
      <c r="F352" s="62"/>
      <c r="J352" s="62"/>
    </row>
    <row r="353">
      <c r="D353" s="62"/>
      <c r="E353" s="62"/>
      <c r="F353" s="62"/>
      <c r="J353" s="62"/>
    </row>
    <row r="354">
      <c r="D354" s="62"/>
      <c r="E354" s="62"/>
      <c r="F354" s="62"/>
      <c r="J354" s="62"/>
    </row>
    <row r="355">
      <c r="D355" s="62"/>
      <c r="E355" s="62"/>
      <c r="F355" s="62"/>
      <c r="J355" s="62"/>
    </row>
    <row r="356">
      <c r="D356" s="62"/>
      <c r="E356" s="62"/>
      <c r="F356" s="62"/>
      <c r="J356" s="62"/>
    </row>
    <row r="357">
      <c r="D357" s="62"/>
      <c r="E357" s="62"/>
      <c r="F357" s="62"/>
      <c r="J357" s="62"/>
    </row>
    <row r="358">
      <c r="D358" s="62"/>
      <c r="E358" s="62"/>
      <c r="F358" s="62"/>
      <c r="J358" s="62"/>
    </row>
    <row r="359">
      <c r="D359" s="62"/>
      <c r="E359" s="62"/>
      <c r="F359" s="62"/>
      <c r="J359" s="62"/>
    </row>
    <row r="360">
      <c r="D360" s="62"/>
      <c r="E360" s="62"/>
      <c r="F360" s="62"/>
      <c r="J360" s="62"/>
    </row>
    <row r="361">
      <c r="D361" s="62"/>
      <c r="E361" s="62"/>
      <c r="F361" s="62"/>
      <c r="J361" s="62"/>
    </row>
    <row r="362">
      <c r="D362" s="62"/>
      <c r="E362" s="62"/>
      <c r="F362" s="62"/>
      <c r="J362" s="62"/>
    </row>
    <row r="363">
      <c r="D363" s="62"/>
      <c r="E363" s="62"/>
      <c r="F363" s="62"/>
      <c r="J363" s="62"/>
    </row>
    <row r="364">
      <c r="D364" s="62"/>
      <c r="E364" s="62"/>
      <c r="F364" s="62"/>
      <c r="J364" s="62"/>
    </row>
    <row r="365">
      <c r="D365" s="62"/>
      <c r="E365" s="62"/>
      <c r="F365" s="62"/>
      <c r="J365" s="62"/>
    </row>
    <row r="366">
      <c r="D366" s="62"/>
      <c r="E366" s="62"/>
      <c r="F366" s="62"/>
      <c r="J366" s="62"/>
    </row>
    <row r="367">
      <c r="D367" s="62"/>
      <c r="E367" s="62"/>
      <c r="F367" s="62"/>
      <c r="J367" s="62"/>
    </row>
    <row r="368">
      <c r="D368" s="62"/>
      <c r="E368" s="62"/>
      <c r="F368" s="62"/>
      <c r="J368" s="62"/>
    </row>
    <row r="369">
      <c r="D369" s="62"/>
      <c r="E369" s="62"/>
      <c r="F369" s="62"/>
      <c r="J369" s="62"/>
    </row>
    <row r="370">
      <c r="D370" s="62"/>
      <c r="E370" s="62"/>
      <c r="F370" s="62"/>
      <c r="J370" s="62"/>
    </row>
    <row r="371">
      <c r="D371" s="62"/>
      <c r="E371" s="62"/>
      <c r="F371" s="62"/>
      <c r="J371" s="62"/>
    </row>
    <row r="372">
      <c r="D372" s="62"/>
      <c r="E372" s="62"/>
      <c r="F372" s="62"/>
      <c r="J372" s="62"/>
    </row>
    <row r="373">
      <c r="D373" s="62"/>
      <c r="E373" s="62"/>
      <c r="F373" s="62"/>
      <c r="J373" s="62"/>
    </row>
    <row r="374">
      <c r="D374" s="62"/>
      <c r="E374" s="62"/>
      <c r="F374" s="62"/>
      <c r="J374" s="62"/>
    </row>
    <row r="375">
      <c r="D375" s="62"/>
      <c r="E375" s="62"/>
      <c r="F375" s="62"/>
      <c r="J375" s="62"/>
    </row>
    <row r="376">
      <c r="D376" s="62"/>
      <c r="E376" s="62"/>
      <c r="F376" s="62"/>
      <c r="J376" s="62"/>
    </row>
    <row r="377">
      <c r="D377" s="62"/>
      <c r="E377" s="62"/>
      <c r="F377" s="62"/>
      <c r="J377" s="62"/>
    </row>
    <row r="378">
      <c r="D378" s="62"/>
      <c r="E378" s="62"/>
      <c r="F378" s="62"/>
      <c r="J378" s="62"/>
    </row>
    <row r="379">
      <c r="D379" s="62"/>
      <c r="E379" s="62"/>
      <c r="F379" s="62"/>
      <c r="J379" s="62"/>
    </row>
    <row r="380">
      <c r="D380" s="62"/>
      <c r="E380" s="62"/>
      <c r="F380" s="62"/>
      <c r="J380" s="62"/>
    </row>
    <row r="381">
      <c r="D381" s="62"/>
      <c r="E381" s="62"/>
      <c r="F381" s="62"/>
      <c r="J381" s="62"/>
    </row>
    <row r="382">
      <c r="D382" s="62"/>
      <c r="E382" s="62"/>
      <c r="F382" s="62"/>
      <c r="J382" s="62"/>
    </row>
    <row r="383">
      <c r="D383" s="62"/>
      <c r="E383" s="62"/>
      <c r="F383" s="62"/>
      <c r="J383" s="62"/>
    </row>
    <row r="384">
      <c r="D384" s="62"/>
      <c r="E384" s="62"/>
      <c r="F384" s="62"/>
      <c r="J384" s="62"/>
    </row>
    <row r="385">
      <c r="D385" s="62"/>
      <c r="E385" s="62"/>
      <c r="F385" s="62"/>
      <c r="J385" s="62"/>
    </row>
    <row r="386">
      <c r="D386" s="62"/>
      <c r="E386" s="62"/>
      <c r="F386" s="62"/>
      <c r="J386" s="62"/>
    </row>
    <row r="387">
      <c r="D387" s="62"/>
      <c r="E387" s="62"/>
      <c r="F387" s="62"/>
      <c r="J387" s="62"/>
    </row>
    <row r="388">
      <c r="D388" s="62"/>
      <c r="E388" s="62"/>
      <c r="F388" s="62"/>
      <c r="J388" s="62"/>
    </row>
    <row r="389">
      <c r="D389" s="62"/>
      <c r="E389" s="62"/>
      <c r="F389" s="62"/>
      <c r="J389" s="62"/>
    </row>
    <row r="390">
      <c r="D390" s="62"/>
      <c r="E390" s="62"/>
      <c r="F390" s="62"/>
      <c r="J390" s="62"/>
    </row>
    <row r="391">
      <c r="D391" s="62"/>
      <c r="E391" s="62"/>
      <c r="F391" s="62"/>
      <c r="J391" s="62"/>
    </row>
    <row r="392">
      <c r="D392" s="62"/>
      <c r="E392" s="62"/>
      <c r="F392" s="62"/>
      <c r="J392" s="62"/>
    </row>
    <row r="393">
      <c r="D393" s="62"/>
      <c r="E393" s="62"/>
      <c r="F393" s="62"/>
      <c r="J393" s="62"/>
    </row>
    <row r="394">
      <c r="D394" s="62"/>
      <c r="E394" s="62"/>
      <c r="F394" s="62"/>
      <c r="J394" s="62"/>
    </row>
    <row r="395">
      <c r="D395" s="62"/>
      <c r="E395" s="62"/>
      <c r="F395" s="62"/>
      <c r="J395" s="62"/>
    </row>
    <row r="396">
      <c r="D396" s="62"/>
      <c r="E396" s="62"/>
      <c r="F396" s="62"/>
      <c r="J396" s="62"/>
    </row>
    <row r="397">
      <c r="D397" s="62"/>
      <c r="E397" s="62"/>
      <c r="F397" s="62"/>
      <c r="J397" s="62"/>
    </row>
    <row r="398">
      <c r="D398" s="62"/>
      <c r="E398" s="62"/>
      <c r="F398" s="62"/>
      <c r="J398" s="62"/>
    </row>
    <row r="399">
      <c r="D399" s="62"/>
      <c r="E399" s="62"/>
      <c r="F399" s="62"/>
      <c r="J399" s="62"/>
    </row>
    <row r="400">
      <c r="D400" s="62"/>
      <c r="E400" s="62"/>
      <c r="F400" s="62"/>
      <c r="J400" s="62"/>
    </row>
    <row r="401">
      <c r="D401" s="62"/>
      <c r="E401" s="62"/>
      <c r="F401" s="62"/>
      <c r="J401" s="62"/>
    </row>
    <row r="402">
      <c r="D402" s="62"/>
      <c r="E402" s="62"/>
      <c r="F402" s="62"/>
      <c r="J402" s="62"/>
    </row>
    <row r="403">
      <c r="D403" s="62"/>
      <c r="E403" s="62"/>
      <c r="F403" s="62"/>
      <c r="J403" s="62"/>
    </row>
    <row r="404">
      <c r="D404" s="62"/>
      <c r="E404" s="62"/>
      <c r="F404" s="62"/>
      <c r="J404" s="62"/>
    </row>
    <row r="405">
      <c r="D405" s="62"/>
      <c r="E405" s="62"/>
      <c r="F405" s="62"/>
      <c r="J405" s="62"/>
    </row>
    <row r="406">
      <c r="D406" s="62"/>
      <c r="E406" s="62"/>
      <c r="F406" s="62"/>
      <c r="J406" s="62"/>
    </row>
    <row r="407">
      <c r="D407" s="62"/>
      <c r="E407" s="62"/>
      <c r="F407" s="62"/>
      <c r="J407" s="62"/>
    </row>
    <row r="408">
      <c r="D408" s="62"/>
      <c r="E408" s="62"/>
      <c r="F408" s="62"/>
      <c r="J408" s="62"/>
    </row>
    <row r="409">
      <c r="D409" s="62"/>
      <c r="E409" s="62"/>
      <c r="F409" s="62"/>
      <c r="J409" s="62"/>
    </row>
    <row r="410">
      <c r="D410" s="62"/>
      <c r="E410" s="62"/>
      <c r="F410" s="62"/>
      <c r="J410" s="62"/>
    </row>
    <row r="411">
      <c r="D411" s="62"/>
      <c r="E411" s="62"/>
      <c r="F411" s="62"/>
      <c r="J411" s="62"/>
    </row>
    <row r="412">
      <c r="D412" s="62"/>
      <c r="E412" s="62"/>
      <c r="F412" s="62"/>
      <c r="J412" s="62"/>
    </row>
    <row r="413">
      <c r="D413" s="62"/>
      <c r="E413" s="62"/>
      <c r="F413" s="62"/>
      <c r="J413" s="62"/>
    </row>
    <row r="414">
      <c r="D414" s="62"/>
      <c r="E414" s="62"/>
      <c r="F414" s="62"/>
      <c r="J414" s="62"/>
    </row>
    <row r="415">
      <c r="D415" s="62"/>
      <c r="E415" s="62"/>
      <c r="F415" s="62"/>
      <c r="J415" s="62"/>
    </row>
    <row r="416">
      <c r="D416" s="62"/>
      <c r="E416" s="62"/>
      <c r="F416" s="62"/>
      <c r="J416" s="62"/>
    </row>
    <row r="417">
      <c r="D417" s="62"/>
      <c r="E417" s="62"/>
      <c r="F417" s="62"/>
      <c r="J417" s="62"/>
    </row>
    <row r="418">
      <c r="D418" s="62"/>
      <c r="E418" s="62"/>
      <c r="F418" s="62"/>
      <c r="J418" s="62"/>
    </row>
    <row r="419">
      <c r="D419" s="62"/>
      <c r="E419" s="62"/>
      <c r="F419" s="62"/>
      <c r="J419" s="62"/>
    </row>
    <row r="420">
      <c r="D420" s="62"/>
      <c r="E420" s="62"/>
      <c r="F420" s="62"/>
      <c r="J420" s="62"/>
    </row>
    <row r="421">
      <c r="D421" s="62"/>
      <c r="E421" s="62"/>
      <c r="F421" s="62"/>
      <c r="J421" s="62"/>
    </row>
    <row r="422">
      <c r="D422" s="62"/>
      <c r="E422" s="62"/>
      <c r="F422" s="62"/>
      <c r="J422" s="62"/>
    </row>
    <row r="423">
      <c r="D423" s="62"/>
      <c r="E423" s="62"/>
      <c r="F423" s="62"/>
      <c r="J423" s="62"/>
    </row>
    <row r="424">
      <c r="D424" s="62"/>
      <c r="E424" s="62"/>
      <c r="F424" s="62"/>
      <c r="J424" s="62"/>
    </row>
    <row r="425">
      <c r="D425" s="62"/>
      <c r="E425" s="62"/>
      <c r="F425" s="62"/>
      <c r="J425" s="62"/>
    </row>
    <row r="426">
      <c r="D426" s="62"/>
      <c r="E426" s="62"/>
      <c r="F426" s="62"/>
      <c r="J426" s="62"/>
    </row>
    <row r="427">
      <c r="D427" s="62"/>
      <c r="E427" s="62"/>
      <c r="F427" s="62"/>
      <c r="J427" s="62"/>
    </row>
    <row r="428">
      <c r="D428" s="62"/>
      <c r="E428" s="62"/>
      <c r="F428" s="62"/>
      <c r="J428" s="62"/>
    </row>
    <row r="429">
      <c r="D429" s="62"/>
      <c r="E429" s="62"/>
      <c r="F429" s="62"/>
      <c r="J429" s="62"/>
    </row>
    <row r="430">
      <c r="D430" s="62"/>
      <c r="E430" s="62"/>
      <c r="F430" s="62"/>
      <c r="J430" s="62"/>
    </row>
    <row r="431">
      <c r="D431" s="62"/>
      <c r="E431" s="62"/>
      <c r="F431" s="62"/>
      <c r="J431" s="62"/>
    </row>
    <row r="432">
      <c r="D432" s="62"/>
      <c r="E432" s="62"/>
      <c r="F432" s="62"/>
      <c r="J432" s="62"/>
    </row>
    <row r="433">
      <c r="D433" s="62"/>
      <c r="E433" s="62"/>
      <c r="F433" s="62"/>
      <c r="J433" s="62"/>
    </row>
    <row r="434">
      <c r="D434" s="62"/>
      <c r="E434" s="62"/>
      <c r="F434" s="62"/>
      <c r="J434" s="62"/>
    </row>
    <row r="435">
      <c r="D435" s="62"/>
      <c r="E435" s="62"/>
      <c r="F435" s="62"/>
      <c r="J435" s="62"/>
    </row>
    <row r="436">
      <c r="D436" s="62"/>
      <c r="E436" s="62"/>
      <c r="F436" s="62"/>
      <c r="J436" s="62"/>
    </row>
    <row r="437">
      <c r="D437" s="62"/>
      <c r="E437" s="62"/>
      <c r="F437" s="62"/>
      <c r="J437" s="62"/>
    </row>
    <row r="438">
      <c r="D438" s="62"/>
      <c r="E438" s="62"/>
      <c r="F438" s="62"/>
      <c r="J438" s="62"/>
    </row>
    <row r="439">
      <c r="D439" s="62"/>
      <c r="E439" s="62"/>
      <c r="F439" s="62"/>
      <c r="J439" s="62"/>
    </row>
    <row r="440">
      <c r="D440" s="62"/>
      <c r="E440" s="62"/>
      <c r="F440" s="62"/>
      <c r="J440" s="62"/>
    </row>
    <row r="441">
      <c r="D441" s="62"/>
      <c r="E441" s="62"/>
      <c r="F441" s="62"/>
      <c r="J441" s="62"/>
    </row>
    <row r="442">
      <c r="D442" s="62"/>
      <c r="E442" s="62"/>
      <c r="F442" s="62"/>
      <c r="J442" s="62"/>
    </row>
    <row r="443">
      <c r="D443" s="62"/>
      <c r="E443" s="62"/>
      <c r="F443" s="62"/>
      <c r="J443" s="62"/>
    </row>
    <row r="444">
      <c r="D444" s="62"/>
      <c r="E444" s="62"/>
      <c r="F444" s="62"/>
      <c r="J444" s="62"/>
    </row>
    <row r="445">
      <c r="D445" s="62"/>
      <c r="E445" s="62"/>
      <c r="F445" s="62"/>
      <c r="J445" s="62"/>
    </row>
    <row r="446">
      <c r="D446" s="62"/>
      <c r="E446" s="62"/>
      <c r="F446" s="62"/>
      <c r="J446" s="62"/>
    </row>
    <row r="447">
      <c r="D447" s="62"/>
      <c r="E447" s="62"/>
      <c r="F447" s="62"/>
      <c r="J447" s="62"/>
    </row>
    <row r="448">
      <c r="D448" s="62"/>
      <c r="E448" s="62"/>
      <c r="F448" s="62"/>
      <c r="J448" s="62"/>
    </row>
    <row r="449">
      <c r="D449" s="62"/>
      <c r="E449" s="62"/>
      <c r="F449" s="62"/>
      <c r="J449" s="62"/>
    </row>
    <row r="450">
      <c r="D450" s="62"/>
      <c r="E450" s="62"/>
      <c r="F450" s="62"/>
      <c r="J450" s="62"/>
    </row>
    <row r="451">
      <c r="D451" s="62"/>
      <c r="E451" s="62"/>
      <c r="F451" s="62"/>
      <c r="J451" s="62"/>
    </row>
    <row r="452">
      <c r="D452" s="62"/>
      <c r="E452" s="62"/>
      <c r="F452" s="62"/>
      <c r="J452" s="62"/>
    </row>
    <row r="453">
      <c r="D453" s="62"/>
      <c r="E453" s="62"/>
      <c r="F453" s="62"/>
      <c r="J453" s="62"/>
    </row>
    <row r="454">
      <c r="D454" s="62"/>
      <c r="E454" s="62"/>
      <c r="F454" s="62"/>
      <c r="J454" s="62"/>
    </row>
    <row r="455">
      <c r="D455" s="62"/>
      <c r="E455" s="62"/>
      <c r="F455" s="62"/>
      <c r="J455" s="62"/>
    </row>
    <row r="456">
      <c r="D456" s="62"/>
      <c r="E456" s="62"/>
      <c r="F456" s="62"/>
      <c r="J456" s="62"/>
    </row>
    <row r="457">
      <c r="D457" s="62"/>
      <c r="E457" s="62"/>
      <c r="F457" s="62"/>
      <c r="J457" s="62"/>
    </row>
    <row r="458">
      <c r="D458" s="62"/>
      <c r="E458" s="62"/>
      <c r="F458" s="62"/>
      <c r="J458" s="62"/>
    </row>
    <row r="459">
      <c r="D459" s="62"/>
      <c r="E459" s="62"/>
      <c r="F459" s="62"/>
      <c r="J459" s="62"/>
    </row>
    <row r="460">
      <c r="D460" s="62"/>
      <c r="E460" s="62"/>
      <c r="F460" s="62"/>
      <c r="J460" s="62"/>
    </row>
    <row r="461">
      <c r="D461" s="62"/>
      <c r="E461" s="62"/>
      <c r="F461" s="62"/>
      <c r="J461" s="62"/>
    </row>
    <row r="462">
      <c r="D462" s="62"/>
      <c r="E462" s="62"/>
      <c r="F462" s="62"/>
      <c r="J462" s="62"/>
    </row>
    <row r="463">
      <c r="D463" s="62"/>
      <c r="E463" s="62"/>
      <c r="F463" s="62"/>
      <c r="J463" s="62"/>
    </row>
    <row r="464">
      <c r="D464" s="62"/>
      <c r="E464" s="62"/>
      <c r="F464" s="62"/>
      <c r="J464" s="62"/>
    </row>
    <row r="465">
      <c r="D465" s="62"/>
      <c r="E465" s="62"/>
      <c r="F465" s="62"/>
      <c r="J465" s="62"/>
    </row>
    <row r="466">
      <c r="D466" s="62"/>
      <c r="E466" s="62"/>
      <c r="F466" s="62"/>
      <c r="J466" s="62"/>
    </row>
    <row r="467">
      <c r="D467" s="62"/>
      <c r="E467" s="62"/>
      <c r="F467" s="62"/>
      <c r="J467" s="62"/>
    </row>
    <row r="468">
      <c r="D468" s="62"/>
      <c r="E468" s="62"/>
      <c r="F468" s="62"/>
      <c r="J468" s="62"/>
    </row>
    <row r="469">
      <c r="D469" s="62"/>
      <c r="E469" s="62"/>
      <c r="F469" s="62"/>
      <c r="J469" s="62"/>
    </row>
    <row r="470">
      <c r="D470" s="62"/>
      <c r="E470" s="62"/>
      <c r="F470" s="62"/>
      <c r="J470" s="62"/>
    </row>
    <row r="471">
      <c r="D471" s="62"/>
      <c r="E471" s="62"/>
      <c r="F471" s="62"/>
      <c r="J471" s="62"/>
    </row>
    <row r="472">
      <c r="D472" s="62"/>
      <c r="E472" s="62"/>
      <c r="F472" s="62"/>
      <c r="J472" s="62"/>
    </row>
    <row r="473">
      <c r="D473" s="62"/>
      <c r="E473" s="62"/>
      <c r="F473" s="62"/>
      <c r="J473" s="62"/>
    </row>
    <row r="474">
      <c r="D474" s="62"/>
      <c r="E474" s="62"/>
      <c r="F474" s="62"/>
      <c r="J474" s="62"/>
    </row>
    <row r="475">
      <c r="D475" s="62"/>
      <c r="E475" s="62"/>
      <c r="F475" s="62"/>
      <c r="J475" s="62"/>
    </row>
    <row r="476">
      <c r="D476" s="62"/>
      <c r="E476" s="62"/>
      <c r="F476" s="62"/>
      <c r="J476" s="62"/>
    </row>
    <row r="477">
      <c r="D477" s="62"/>
      <c r="E477" s="62"/>
      <c r="F477" s="62"/>
      <c r="J477" s="62"/>
    </row>
    <row r="478">
      <c r="D478" s="62"/>
      <c r="E478" s="62"/>
      <c r="F478" s="62"/>
      <c r="J478" s="62"/>
    </row>
    <row r="479">
      <c r="D479" s="62"/>
      <c r="E479" s="62"/>
      <c r="F479" s="62"/>
      <c r="J479" s="62"/>
    </row>
    <row r="480">
      <c r="D480" s="62"/>
      <c r="E480" s="62"/>
      <c r="F480" s="62"/>
      <c r="J480" s="62"/>
    </row>
    <row r="481">
      <c r="D481" s="62"/>
      <c r="E481" s="62"/>
      <c r="F481" s="62"/>
      <c r="J481" s="62"/>
    </row>
    <row r="482">
      <c r="D482" s="62"/>
      <c r="E482" s="62"/>
      <c r="F482" s="62"/>
      <c r="J482" s="62"/>
    </row>
    <row r="483">
      <c r="D483" s="62"/>
      <c r="E483" s="62"/>
      <c r="F483" s="62"/>
      <c r="J483" s="62"/>
    </row>
    <row r="484">
      <c r="D484" s="62"/>
      <c r="E484" s="62"/>
      <c r="F484" s="62"/>
      <c r="J484" s="62"/>
    </row>
    <row r="485">
      <c r="D485" s="62"/>
      <c r="E485" s="62"/>
      <c r="F485" s="62"/>
      <c r="J485" s="62"/>
    </row>
    <row r="486">
      <c r="D486" s="62"/>
      <c r="E486" s="62"/>
      <c r="F486" s="62"/>
      <c r="J486" s="62"/>
    </row>
    <row r="487">
      <c r="D487" s="62"/>
      <c r="E487" s="62"/>
      <c r="F487" s="62"/>
      <c r="J487" s="62"/>
    </row>
    <row r="488">
      <c r="D488" s="62"/>
      <c r="E488" s="62"/>
      <c r="F488" s="62"/>
      <c r="J488" s="62"/>
    </row>
    <row r="489">
      <c r="D489" s="62"/>
      <c r="E489" s="62"/>
      <c r="F489" s="62"/>
      <c r="J489" s="62"/>
    </row>
    <row r="490">
      <c r="D490" s="62"/>
      <c r="E490" s="62"/>
      <c r="F490" s="62"/>
      <c r="J490" s="62"/>
    </row>
    <row r="491">
      <c r="D491" s="62"/>
      <c r="E491" s="62"/>
      <c r="F491" s="62"/>
      <c r="J491" s="62"/>
    </row>
    <row r="492">
      <c r="D492" s="62"/>
      <c r="E492" s="62"/>
      <c r="F492" s="62"/>
      <c r="J492" s="62"/>
    </row>
    <row r="493">
      <c r="D493" s="62"/>
      <c r="E493" s="62"/>
      <c r="F493" s="62"/>
      <c r="J493" s="62"/>
    </row>
    <row r="494">
      <c r="D494" s="62"/>
      <c r="E494" s="62"/>
      <c r="F494" s="62"/>
      <c r="J494" s="62"/>
    </row>
    <row r="495">
      <c r="D495" s="62"/>
      <c r="E495" s="62"/>
      <c r="F495" s="62"/>
      <c r="J495" s="62"/>
    </row>
    <row r="496">
      <c r="D496" s="62"/>
      <c r="E496" s="62"/>
      <c r="F496" s="62"/>
      <c r="J496" s="62"/>
    </row>
    <row r="497">
      <c r="D497" s="62"/>
      <c r="E497" s="62"/>
      <c r="F497" s="62"/>
      <c r="J497" s="62"/>
    </row>
    <row r="498">
      <c r="D498" s="62"/>
      <c r="E498" s="62"/>
      <c r="F498" s="62"/>
      <c r="J498" s="62"/>
    </row>
    <row r="499">
      <c r="D499" s="62"/>
      <c r="E499" s="62"/>
      <c r="F499" s="62"/>
      <c r="J499" s="62"/>
    </row>
    <row r="500">
      <c r="D500" s="62"/>
      <c r="E500" s="62"/>
      <c r="F500" s="62"/>
      <c r="J500" s="62"/>
    </row>
    <row r="501">
      <c r="D501" s="62"/>
      <c r="E501" s="62"/>
      <c r="F501" s="62"/>
      <c r="J501" s="62"/>
    </row>
    <row r="502">
      <c r="D502" s="62"/>
      <c r="E502" s="62"/>
      <c r="F502" s="62"/>
      <c r="J502" s="62"/>
    </row>
    <row r="503">
      <c r="D503" s="62"/>
      <c r="E503" s="62"/>
      <c r="F503" s="62"/>
      <c r="J503" s="62"/>
    </row>
    <row r="504">
      <c r="D504" s="62"/>
      <c r="E504" s="62"/>
      <c r="F504" s="62"/>
      <c r="J504" s="62"/>
    </row>
    <row r="505">
      <c r="D505" s="62"/>
      <c r="E505" s="62"/>
      <c r="F505" s="62"/>
      <c r="J505" s="62"/>
    </row>
    <row r="506">
      <c r="D506" s="62"/>
      <c r="E506" s="62"/>
      <c r="F506" s="62"/>
      <c r="J506" s="62"/>
    </row>
    <row r="507">
      <c r="D507" s="62"/>
      <c r="E507" s="62"/>
      <c r="F507" s="62"/>
      <c r="J507" s="62"/>
    </row>
    <row r="508">
      <c r="D508" s="62"/>
      <c r="E508" s="62"/>
      <c r="F508" s="62"/>
      <c r="J508" s="62"/>
    </row>
    <row r="509">
      <c r="D509" s="62"/>
      <c r="E509" s="62"/>
      <c r="F509" s="62"/>
      <c r="J509" s="62"/>
    </row>
    <row r="510">
      <c r="D510" s="62"/>
      <c r="E510" s="62"/>
      <c r="F510" s="62"/>
      <c r="J510" s="62"/>
    </row>
    <row r="511">
      <c r="D511" s="62"/>
      <c r="E511" s="62"/>
      <c r="F511" s="62"/>
      <c r="J511" s="62"/>
    </row>
    <row r="512">
      <c r="D512" s="62"/>
      <c r="E512" s="62"/>
      <c r="F512" s="62"/>
      <c r="J512" s="62"/>
    </row>
    <row r="513">
      <c r="D513" s="62"/>
      <c r="E513" s="62"/>
      <c r="F513" s="62"/>
      <c r="J513" s="62"/>
    </row>
    <row r="514">
      <c r="D514" s="62"/>
      <c r="E514" s="62"/>
      <c r="F514" s="62"/>
      <c r="J514" s="62"/>
    </row>
    <row r="515">
      <c r="D515" s="62"/>
      <c r="E515" s="62"/>
      <c r="F515" s="62"/>
      <c r="J515" s="62"/>
    </row>
    <row r="516">
      <c r="D516" s="62"/>
      <c r="E516" s="62"/>
      <c r="F516" s="62"/>
      <c r="J516" s="62"/>
    </row>
    <row r="517">
      <c r="D517" s="62"/>
      <c r="E517" s="62"/>
      <c r="F517" s="62"/>
      <c r="J517" s="62"/>
    </row>
    <row r="518">
      <c r="D518" s="62"/>
      <c r="E518" s="62"/>
      <c r="F518" s="62"/>
      <c r="J518" s="62"/>
    </row>
    <row r="519">
      <c r="D519" s="62"/>
      <c r="E519" s="62"/>
      <c r="F519" s="62"/>
      <c r="J519" s="62"/>
    </row>
    <row r="520">
      <c r="D520" s="62"/>
      <c r="E520" s="62"/>
      <c r="F520" s="62"/>
      <c r="J520" s="62"/>
    </row>
    <row r="521">
      <c r="D521" s="62"/>
      <c r="E521" s="62"/>
      <c r="F521" s="62"/>
      <c r="J521" s="62"/>
    </row>
    <row r="522">
      <c r="D522" s="62"/>
      <c r="E522" s="62"/>
      <c r="F522" s="62"/>
      <c r="J522" s="62"/>
    </row>
    <row r="523">
      <c r="D523" s="62"/>
      <c r="E523" s="62"/>
      <c r="F523" s="62"/>
      <c r="J523" s="62"/>
    </row>
    <row r="524">
      <c r="D524" s="62"/>
      <c r="E524" s="62"/>
      <c r="F524" s="62"/>
      <c r="J524" s="62"/>
    </row>
    <row r="525">
      <c r="D525" s="62"/>
      <c r="E525" s="62"/>
      <c r="F525" s="62"/>
      <c r="J525" s="62"/>
    </row>
    <row r="526">
      <c r="D526" s="62"/>
      <c r="E526" s="62"/>
      <c r="F526" s="62"/>
      <c r="J526" s="62"/>
    </row>
    <row r="527">
      <c r="D527" s="62"/>
      <c r="E527" s="62"/>
      <c r="F527" s="62"/>
      <c r="J527" s="62"/>
    </row>
    <row r="528">
      <c r="D528" s="62"/>
      <c r="E528" s="62"/>
      <c r="F528" s="62"/>
      <c r="J528" s="62"/>
    </row>
    <row r="529">
      <c r="D529" s="62"/>
      <c r="E529" s="62"/>
      <c r="F529" s="62"/>
      <c r="J529" s="62"/>
    </row>
    <row r="530">
      <c r="D530" s="62"/>
      <c r="E530" s="62"/>
      <c r="F530" s="62"/>
      <c r="J530" s="62"/>
    </row>
    <row r="531">
      <c r="D531" s="62"/>
      <c r="E531" s="62"/>
      <c r="F531" s="62"/>
      <c r="J531" s="62"/>
    </row>
    <row r="532">
      <c r="D532" s="62"/>
      <c r="E532" s="62"/>
      <c r="F532" s="62"/>
      <c r="J532" s="62"/>
    </row>
    <row r="533">
      <c r="D533" s="62"/>
      <c r="E533" s="62"/>
      <c r="F533" s="62"/>
      <c r="J533" s="62"/>
    </row>
    <row r="534">
      <c r="D534" s="62"/>
      <c r="E534" s="62"/>
      <c r="F534" s="62"/>
      <c r="J534" s="62"/>
    </row>
    <row r="535">
      <c r="D535" s="62"/>
      <c r="E535" s="62"/>
      <c r="F535" s="62"/>
      <c r="J535" s="62"/>
    </row>
    <row r="536">
      <c r="D536" s="62"/>
      <c r="E536" s="62"/>
      <c r="F536" s="62"/>
      <c r="J536" s="62"/>
    </row>
    <row r="537">
      <c r="D537" s="62"/>
      <c r="E537" s="62"/>
      <c r="F537" s="62"/>
      <c r="J537" s="62"/>
    </row>
    <row r="538">
      <c r="D538" s="62"/>
      <c r="E538" s="62"/>
      <c r="F538" s="62"/>
      <c r="J538" s="62"/>
    </row>
    <row r="539">
      <c r="D539" s="62"/>
      <c r="E539" s="62"/>
      <c r="F539" s="62"/>
      <c r="J539" s="62"/>
    </row>
    <row r="540">
      <c r="D540" s="62"/>
      <c r="E540" s="62"/>
      <c r="F540" s="62"/>
      <c r="J540" s="62"/>
    </row>
    <row r="541">
      <c r="D541" s="62"/>
      <c r="E541" s="62"/>
      <c r="F541" s="62"/>
      <c r="J541" s="62"/>
    </row>
    <row r="542">
      <c r="D542" s="62"/>
      <c r="E542" s="62"/>
      <c r="F542" s="62"/>
      <c r="J542" s="62"/>
    </row>
    <row r="543">
      <c r="D543" s="62"/>
      <c r="E543" s="62"/>
      <c r="F543" s="62"/>
      <c r="J543" s="62"/>
    </row>
    <row r="544">
      <c r="D544" s="62"/>
      <c r="E544" s="62"/>
      <c r="F544" s="62"/>
      <c r="J544" s="62"/>
    </row>
    <row r="545">
      <c r="D545" s="62"/>
      <c r="E545" s="62"/>
      <c r="F545" s="62"/>
      <c r="J545" s="62"/>
    </row>
    <row r="546">
      <c r="D546" s="62"/>
      <c r="E546" s="62"/>
      <c r="F546" s="62"/>
      <c r="J546" s="62"/>
    </row>
    <row r="547">
      <c r="D547" s="62"/>
      <c r="E547" s="62"/>
      <c r="F547" s="62"/>
      <c r="J547" s="62"/>
    </row>
    <row r="548">
      <c r="D548" s="62"/>
      <c r="E548" s="62"/>
      <c r="F548" s="62"/>
      <c r="J548" s="62"/>
    </row>
    <row r="549">
      <c r="D549" s="62"/>
      <c r="E549" s="62"/>
      <c r="F549" s="62"/>
      <c r="J549" s="62"/>
    </row>
    <row r="550">
      <c r="D550" s="62"/>
      <c r="E550" s="62"/>
      <c r="F550" s="62"/>
      <c r="J550" s="62"/>
    </row>
    <row r="551">
      <c r="D551" s="62"/>
      <c r="E551" s="62"/>
      <c r="F551" s="62"/>
      <c r="J551" s="62"/>
    </row>
    <row r="552">
      <c r="D552" s="62"/>
      <c r="E552" s="62"/>
      <c r="F552" s="62"/>
      <c r="J552" s="62"/>
    </row>
    <row r="553">
      <c r="D553" s="62"/>
      <c r="E553" s="62"/>
      <c r="F553" s="62"/>
      <c r="J553" s="62"/>
    </row>
    <row r="554">
      <c r="D554" s="62"/>
      <c r="E554" s="62"/>
      <c r="F554" s="62"/>
      <c r="J554" s="62"/>
    </row>
    <row r="555">
      <c r="D555" s="62"/>
      <c r="E555" s="62"/>
      <c r="F555" s="62"/>
      <c r="J555" s="62"/>
    </row>
    <row r="556">
      <c r="D556" s="62"/>
      <c r="E556" s="62"/>
      <c r="F556" s="62"/>
      <c r="J556" s="62"/>
    </row>
    <row r="557">
      <c r="D557" s="62"/>
      <c r="E557" s="62"/>
      <c r="F557" s="62"/>
      <c r="J557" s="62"/>
    </row>
    <row r="558">
      <c r="D558" s="62"/>
      <c r="E558" s="62"/>
      <c r="F558" s="62"/>
      <c r="J558" s="62"/>
    </row>
    <row r="559">
      <c r="D559" s="62"/>
      <c r="E559" s="62"/>
      <c r="F559" s="62"/>
      <c r="J559" s="62"/>
    </row>
    <row r="560">
      <c r="D560" s="62"/>
      <c r="E560" s="62"/>
      <c r="F560" s="62"/>
      <c r="J560" s="62"/>
    </row>
    <row r="561">
      <c r="D561" s="62"/>
      <c r="E561" s="62"/>
      <c r="F561" s="62"/>
      <c r="J561" s="62"/>
    </row>
    <row r="562">
      <c r="D562" s="62"/>
      <c r="E562" s="62"/>
      <c r="F562" s="62"/>
      <c r="J562" s="62"/>
    </row>
    <row r="563">
      <c r="D563" s="62"/>
      <c r="E563" s="62"/>
      <c r="F563" s="62"/>
      <c r="J563" s="62"/>
    </row>
    <row r="564">
      <c r="D564" s="62"/>
      <c r="E564" s="62"/>
      <c r="F564" s="62"/>
      <c r="J564" s="62"/>
    </row>
    <row r="565">
      <c r="D565" s="62"/>
      <c r="E565" s="62"/>
      <c r="F565" s="62"/>
      <c r="J565" s="62"/>
    </row>
    <row r="566">
      <c r="D566" s="62"/>
      <c r="E566" s="62"/>
      <c r="F566" s="62"/>
      <c r="J566" s="62"/>
    </row>
    <row r="567">
      <c r="D567" s="62"/>
      <c r="E567" s="62"/>
      <c r="F567" s="62"/>
      <c r="J567" s="62"/>
    </row>
    <row r="568">
      <c r="D568" s="62"/>
      <c r="E568" s="62"/>
      <c r="F568" s="62"/>
      <c r="J568" s="62"/>
    </row>
    <row r="569">
      <c r="D569" s="62"/>
      <c r="E569" s="62"/>
      <c r="F569" s="62"/>
      <c r="J569" s="62"/>
    </row>
    <row r="570">
      <c r="D570" s="62"/>
      <c r="E570" s="62"/>
      <c r="F570" s="62"/>
      <c r="J570" s="62"/>
    </row>
    <row r="571">
      <c r="D571" s="62"/>
      <c r="E571" s="62"/>
      <c r="F571" s="62"/>
      <c r="J571" s="62"/>
    </row>
    <row r="572">
      <c r="D572" s="62"/>
      <c r="E572" s="62"/>
      <c r="F572" s="62"/>
      <c r="J572" s="62"/>
    </row>
    <row r="573">
      <c r="D573" s="62"/>
      <c r="E573" s="62"/>
      <c r="F573" s="62"/>
      <c r="J573" s="62"/>
    </row>
    <row r="574">
      <c r="D574" s="62"/>
      <c r="E574" s="62"/>
      <c r="F574" s="62"/>
      <c r="J574" s="62"/>
    </row>
    <row r="575">
      <c r="D575" s="62"/>
      <c r="E575" s="62"/>
      <c r="F575" s="62"/>
      <c r="J575" s="62"/>
    </row>
    <row r="576">
      <c r="D576" s="62"/>
      <c r="E576" s="62"/>
      <c r="F576" s="62"/>
      <c r="J576" s="62"/>
    </row>
    <row r="577">
      <c r="D577" s="62"/>
      <c r="E577" s="62"/>
      <c r="F577" s="62"/>
      <c r="J577" s="62"/>
    </row>
    <row r="578">
      <c r="D578" s="62"/>
      <c r="E578" s="62"/>
      <c r="F578" s="62"/>
      <c r="J578" s="62"/>
    </row>
    <row r="579">
      <c r="D579" s="62"/>
      <c r="E579" s="62"/>
      <c r="F579" s="62"/>
      <c r="J579" s="62"/>
    </row>
    <row r="580">
      <c r="D580" s="62"/>
      <c r="E580" s="62"/>
      <c r="F580" s="62"/>
      <c r="J580" s="62"/>
    </row>
    <row r="581">
      <c r="D581" s="62"/>
      <c r="E581" s="62"/>
      <c r="F581" s="62"/>
      <c r="J581" s="62"/>
    </row>
    <row r="582">
      <c r="D582" s="62"/>
      <c r="E582" s="62"/>
      <c r="F582" s="62"/>
      <c r="J582" s="62"/>
    </row>
    <row r="583">
      <c r="D583" s="62"/>
      <c r="E583" s="62"/>
      <c r="F583" s="62"/>
      <c r="J583" s="62"/>
    </row>
    <row r="584">
      <c r="D584" s="62"/>
      <c r="E584" s="62"/>
      <c r="F584" s="62"/>
      <c r="J584" s="62"/>
    </row>
    <row r="585">
      <c r="D585" s="62"/>
      <c r="E585" s="62"/>
      <c r="F585" s="62"/>
      <c r="J585" s="62"/>
    </row>
    <row r="586">
      <c r="D586" s="62"/>
      <c r="E586" s="62"/>
      <c r="F586" s="62"/>
      <c r="J586" s="62"/>
    </row>
    <row r="587">
      <c r="D587" s="62"/>
      <c r="E587" s="62"/>
      <c r="F587" s="62"/>
      <c r="J587" s="62"/>
    </row>
    <row r="588">
      <c r="D588" s="62"/>
      <c r="E588" s="62"/>
      <c r="F588" s="62"/>
      <c r="J588" s="62"/>
    </row>
    <row r="589">
      <c r="D589" s="62"/>
      <c r="E589" s="62"/>
      <c r="F589" s="62"/>
      <c r="J589" s="62"/>
    </row>
    <row r="590">
      <c r="D590" s="62"/>
      <c r="E590" s="62"/>
      <c r="F590" s="62"/>
      <c r="J590" s="62"/>
    </row>
    <row r="591">
      <c r="D591" s="62"/>
      <c r="E591" s="62"/>
      <c r="F591" s="62"/>
      <c r="J591" s="62"/>
    </row>
    <row r="592">
      <c r="D592" s="62"/>
      <c r="E592" s="62"/>
      <c r="F592" s="62"/>
      <c r="J592" s="62"/>
    </row>
    <row r="593">
      <c r="D593" s="62"/>
      <c r="E593" s="62"/>
      <c r="F593" s="62"/>
      <c r="J593" s="62"/>
    </row>
    <row r="594">
      <c r="D594" s="62"/>
      <c r="E594" s="62"/>
      <c r="F594" s="62"/>
      <c r="J594" s="62"/>
    </row>
    <row r="595">
      <c r="D595" s="62"/>
      <c r="E595" s="62"/>
      <c r="F595" s="62"/>
      <c r="J595" s="62"/>
    </row>
    <row r="596">
      <c r="D596" s="62"/>
      <c r="E596" s="62"/>
      <c r="F596" s="62"/>
      <c r="J596" s="62"/>
    </row>
    <row r="597">
      <c r="D597" s="62"/>
      <c r="E597" s="62"/>
      <c r="F597" s="62"/>
      <c r="J597" s="62"/>
    </row>
    <row r="598">
      <c r="D598" s="62"/>
      <c r="E598" s="62"/>
      <c r="F598" s="62"/>
      <c r="J598" s="62"/>
    </row>
    <row r="599">
      <c r="D599" s="62"/>
      <c r="E599" s="62"/>
      <c r="F599" s="62"/>
      <c r="J599" s="62"/>
    </row>
    <row r="600">
      <c r="D600" s="62"/>
      <c r="E600" s="62"/>
      <c r="F600" s="62"/>
      <c r="J600" s="62"/>
    </row>
    <row r="601">
      <c r="D601" s="62"/>
      <c r="E601" s="62"/>
      <c r="F601" s="62"/>
      <c r="J601" s="62"/>
    </row>
    <row r="602">
      <c r="D602" s="62"/>
      <c r="E602" s="62"/>
      <c r="F602" s="62"/>
      <c r="J602" s="62"/>
    </row>
    <row r="603">
      <c r="D603" s="62"/>
      <c r="E603" s="62"/>
      <c r="F603" s="62"/>
      <c r="J603" s="62"/>
    </row>
    <row r="604">
      <c r="D604" s="62"/>
      <c r="E604" s="62"/>
      <c r="F604" s="62"/>
      <c r="J604" s="62"/>
    </row>
    <row r="605">
      <c r="D605" s="62"/>
      <c r="E605" s="62"/>
      <c r="F605" s="62"/>
      <c r="J605" s="62"/>
    </row>
    <row r="606">
      <c r="D606" s="62"/>
      <c r="E606" s="62"/>
      <c r="F606" s="62"/>
      <c r="J606" s="62"/>
    </row>
    <row r="607">
      <c r="D607" s="62"/>
      <c r="E607" s="62"/>
      <c r="F607" s="62"/>
      <c r="J607" s="62"/>
    </row>
    <row r="608">
      <c r="D608" s="62"/>
      <c r="E608" s="62"/>
      <c r="F608" s="62"/>
      <c r="J608" s="62"/>
    </row>
    <row r="609">
      <c r="D609" s="62"/>
      <c r="E609" s="62"/>
      <c r="F609" s="62"/>
      <c r="J609" s="62"/>
    </row>
    <row r="610">
      <c r="D610" s="62"/>
      <c r="E610" s="62"/>
      <c r="F610" s="62"/>
      <c r="J610" s="62"/>
    </row>
    <row r="611">
      <c r="D611" s="62"/>
      <c r="E611" s="62"/>
      <c r="F611" s="62"/>
      <c r="J611" s="62"/>
    </row>
    <row r="612">
      <c r="D612" s="62"/>
      <c r="E612" s="62"/>
      <c r="F612" s="62"/>
      <c r="J612" s="62"/>
    </row>
    <row r="613">
      <c r="D613" s="62"/>
      <c r="E613" s="62"/>
      <c r="F613" s="62"/>
      <c r="J613" s="62"/>
    </row>
    <row r="614">
      <c r="D614" s="62"/>
      <c r="E614" s="62"/>
      <c r="F614" s="62"/>
      <c r="J614" s="62"/>
    </row>
    <row r="615">
      <c r="D615" s="62"/>
      <c r="E615" s="62"/>
      <c r="F615" s="62"/>
      <c r="J615" s="62"/>
    </row>
    <row r="616">
      <c r="D616" s="62"/>
      <c r="E616" s="62"/>
      <c r="F616" s="62"/>
      <c r="J616" s="62"/>
    </row>
    <row r="617">
      <c r="D617" s="62"/>
      <c r="E617" s="62"/>
      <c r="F617" s="62"/>
      <c r="J617" s="62"/>
    </row>
    <row r="618">
      <c r="D618" s="62"/>
      <c r="E618" s="62"/>
      <c r="F618" s="62"/>
      <c r="J618" s="62"/>
    </row>
    <row r="619">
      <c r="D619" s="62"/>
      <c r="E619" s="62"/>
      <c r="F619" s="62"/>
      <c r="J619" s="62"/>
    </row>
    <row r="620">
      <c r="D620" s="62"/>
      <c r="E620" s="62"/>
      <c r="F620" s="62"/>
      <c r="J620" s="62"/>
    </row>
    <row r="621">
      <c r="D621" s="62"/>
      <c r="E621" s="62"/>
      <c r="F621" s="62"/>
      <c r="J621" s="62"/>
    </row>
    <row r="622">
      <c r="D622" s="62"/>
      <c r="E622" s="62"/>
      <c r="F622" s="62"/>
      <c r="J622" s="62"/>
    </row>
    <row r="623">
      <c r="D623" s="62"/>
      <c r="E623" s="62"/>
      <c r="F623" s="62"/>
      <c r="J623" s="62"/>
    </row>
    <row r="624">
      <c r="D624" s="62"/>
      <c r="E624" s="62"/>
      <c r="F624" s="62"/>
      <c r="J624" s="62"/>
    </row>
    <row r="625">
      <c r="D625" s="62"/>
      <c r="E625" s="62"/>
      <c r="F625" s="62"/>
      <c r="J625" s="62"/>
    </row>
    <row r="626">
      <c r="D626" s="62"/>
      <c r="E626" s="62"/>
      <c r="F626" s="62"/>
      <c r="J626" s="62"/>
    </row>
    <row r="627">
      <c r="D627" s="62"/>
      <c r="E627" s="62"/>
      <c r="F627" s="62"/>
      <c r="J627" s="62"/>
    </row>
    <row r="628">
      <c r="D628" s="62"/>
      <c r="E628" s="62"/>
      <c r="F628" s="62"/>
      <c r="J628" s="62"/>
    </row>
    <row r="629">
      <c r="D629" s="62"/>
      <c r="E629" s="62"/>
      <c r="F629" s="62"/>
      <c r="J629" s="62"/>
    </row>
    <row r="630">
      <c r="D630" s="62"/>
      <c r="E630" s="62"/>
      <c r="F630" s="62"/>
      <c r="J630" s="62"/>
    </row>
    <row r="631">
      <c r="D631" s="62"/>
      <c r="E631" s="62"/>
      <c r="F631" s="62"/>
      <c r="J631" s="62"/>
    </row>
    <row r="632">
      <c r="D632" s="62"/>
      <c r="E632" s="62"/>
      <c r="F632" s="62"/>
      <c r="J632" s="62"/>
    </row>
    <row r="633">
      <c r="D633" s="62"/>
      <c r="E633" s="62"/>
      <c r="F633" s="62"/>
      <c r="J633" s="62"/>
    </row>
    <row r="634">
      <c r="D634" s="62"/>
      <c r="E634" s="62"/>
      <c r="F634" s="62"/>
      <c r="J634" s="62"/>
    </row>
    <row r="635">
      <c r="D635" s="62"/>
      <c r="E635" s="62"/>
      <c r="F635" s="62"/>
      <c r="J635" s="62"/>
    </row>
    <row r="636">
      <c r="D636" s="62"/>
      <c r="E636" s="62"/>
      <c r="F636" s="62"/>
      <c r="J636" s="62"/>
    </row>
    <row r="637">
      <c r="D637" s="62"/>
      <c r="E637" s="62"/>
      <c r="F637" s="62"/>
      <c r="J637" s="62"/>
    </row>
    <row r="638">
      <c r="D638" s="62"/>
      <c r="E638" s="62"/>
      <c r="F638" s="62"/>
      <c r="J638" s="62"/>
    </row>
    <row r="639">
      <c r="D639" s="62"/>
      <c r="E639" s="62"/>
      <c r="F639" s="62"/>
      <c r="J639" s="62"/>
    </row>
    <row r="640">
      <c r="D640" s="62"/>
      <c r="E640" s="62"/>
      <c r="F640" s="62"/>
      <c r="J640" s="62"/>
    </row>
    <row r="641">
      <c r="D641" s="62"/>
      <c r="E641" s="62"/>
      <c r="F641" s="62"/>
      <c r="J641" s="62"/>
    </row>
    <row r="642">
      <c r="D642" s="62"/>
      <c r="E642" s="62"/>
      <c r="F642" s="62"/>
      <c r="J642" s="62"/>
    </row>
    <row r="643">
      <c r="D643" s="62"/>
      <c r="E643" s="62"/>
      <c r="F643" s="62"/>
      <c r="J643" s="62"/>
    </row>
    <row r="644">
      <c r="D644" s="62"/>
      <c r="E644" s="62"/>
      <c r="F644" s="62"/>
      <c r="J644" s="62"/>
    </row>
    <row r="645">
      <c r="D645" s="62"/>
      <c r="E645" s="62"/>
      <c r="F645" s="62"/>
      <c r="J645" s="62"/>
    </row>
    <row r="646">
      <c r="D646" s="62"/>
      <c r="E646" s="62"/>
      <c r="F646" s="62"/>
      <c r="J646" s="62"/>
    </row>
    <row r="647">
      <c r="D647" s="62"/>
      <c r="E647" s="62"/>
      <c r="F647" s="62"/>
      <c r="J647" s="62"/>
    </row>
    <row r="648">
      <c r="D648" s="62"/>
      <c r="E648" s="62"/>
      <c r="F648" s="62"/>
      <c r="J648" s="62"/>
    </row>
    <row r="649">
      <c r="D649" s="62"/>
      <c r="E649" s="62"/>
      <c r="F649" s="62"/>
      <c r="J649" s="62"/>
    </row>
    <row r="650">
      <c r="D650" s="62"/>
      <c r="E650" s="62"/>
      <c r="F650" s="62"/>
      <c r="J650" s="62"/>
    </row>
    <row r="651">
      <c r="D651" s="62"/>
      <c r="E651" s="62"/>
      <c r="F651" s="62"/>
      <c r="J651" s="62"/>
    </row>
    <row r="652">
      <c r="D652" s="62"/>
      <c r="E652" s="62"/>
      <c r="F652" s="62"/>
      <c r="J652" s="62"/>
    </row>
    <row r="653">
      <c r="D653" s="62"/>
      <c r="E653" s="62"/>
      <c r="F653" s="62"/>
      <c r="J653" s="62"/>
    </row>
    <row r="654">
      <c r="D654" s="62"/>
      <c r="E654" s="62"/>
      <c r="F654" s="62"/>
      <c r="J654" s="62"/>
    </row>
    <row r="655">
      <c r="D655" s="62"/>
      <c r="E655" s="62"/>
      <c r="F655" s="62"/>
      <c r="J655" s="62"/>
    </row>
    <row r="656">
      <c r="D656" s="62"/>
      <c r="E656" s="62"/>
      <c r="F656" s="62"/>
      <c r="J656" s="62"/>
    </row>
    <row r="657">
      <c r="D657" s="62"/>
      <c r="E657" s="62"/>
      <c r="F657" s="62"/>
      <c r="J657" s="62"/>
    </row>
    <row r="658">
      <c r="D658" s="62"/>
      <c r="E658" s="62"/>
      <c r="F658" s="62"/>
      <c r="J658" s="62"/>
    </row>
    <row r="659">
      <c r="D659" s="62"/>
      <c r="E659" s="62"/>
      <c r="F659" s="62"/>
      <c r="J659" s="62"/>
    </row>
    <row r="660">
      <c r="D660" s="62"/>
      <c r="E660" s="62"/>
      <c r="F660" s="62"/>
      <c r="J660" s="62"/>
    </row>
    <row r="661">
      <c r="D661" s="62"/>
      <c r="E661" s="62"/>
      <c r="F661" s="62"/>
      <c r="J661" s="62"/>
    </row>
    <row r="662">
      <c r="D662" s="62"/>
      <c r="E662" s="62"/>
      <c r="F662" s="62"/>
      <c r="J662" s="62"/>
    </row>
    <row r="663">
      <c r="D663" s="62"/>
      <c r="E663" s="62"/>
      <c r="F663" s="62"/>
      <c r="J663" s="62"/>
    </row>
    <row r="664">
      <c r="D664" s="62"/>
      <c r="E664" s="62"/>
      <c r="F664" s="62"/>
      <c r="J664" s="62"/>
    </row>
    <row r="665">
      <c r="D665" s="62"/>
      <c r="E665" s="62"/>
      <c r="F665" s="62"/>
      <c r="J665" s="62"/>
    </row>
    <row r="666">
      <c r="D666" s="62"/>
      <c r="E666" s="62"/>
      <c r="F666" s="62"/>
      <c r="J666" s="62"/>
    </row>
    <row r="667">
      <c r="D667" s="62"/>
      <c r="E667" s="62"/>
      <c r="F667" s="62"/>
      <c r="J667" s="62"/>
    </row>
    <row r="668">
      <c r="D668" s="62"/>
      <c r="E668" s="62"/>
      <c r="F668" s="62"/>
      <c r="J668" s="62"/>
    </row>
    <row r="669">
      <c r="D669" s="62"/>
      <c r="E669" s="62"/>
      <c r="F669" s="62"/>
      <c r="J669" s="62"/>
    </row>
    <row r="670">
      <c r="D670" s="62"/>
      <c r="E670" s="62"/>
      <c r="F670" s="62"/>
      <c r="J670" s="62"/>
    </row>
    <row r="671">
      <c r="D671" s="62"/>
      <c r="E671" s="62"/>
      <c r="F671" s="62"/>
      <c r="J671" s="62"/>
    </row>
    <row r="672">
      <c r="D672" s="62"/>
      <c r="E672" s="62"/>
      <c r="F672" s="62"/>
      <c r="J672" s="62"/>
    </row>
    <row r="673">
      <c r="D673" s="62"/>
      <c r="E673" s="62"/>
      <c r="F673" s="62"/>
      <c r="J673" s="62"/>
    </row>
    <row r="674">
      <c r="D674" s="62"/>
      <c r="E674" s="62"/>
      <c r="F674" s="62"/>
      <c r="J674" s="62"/>
    </row>
    <row r="675">
      <c r="D675" s="62"/>
      <c r="E675" s="62"/>
      <c r="F675" s="62"/>
      <c r="J675" s="62"/>
    </row>
    <row r="676">
      <c r="D676" s="62"/>
      <c r="E676" s="62"/>
      <c r="F676" s="62"/>
      <c r="J676" s="62"/>
    </row>
    <row r="677">
      <c r="D677" s="62"/>
      <c r="E677" s="62"/>
      <c r="F677" s="62"/>
      <c r="J677" s="62"/>
    </row>
    <row r="678">
      <c r="D678" s="62"/>
      <c r="E678" s="62"/>
      <c r="F678" s="62"/>
      <c r="J678" s="62"/>
    </row>
    <row r="679">
      <c r="D679" s="62"/>
      <c r="E679" s="62"/>
      <c r="F679" s="62"/>
      <c r="J679" s="62"/>
    </row>
    <row r="680">
      <c r="D680" s="62"/>
      <c r="E680" s="62"/>
      <c r="F680" s="62"/>
      <c r="J680" s="62"/>
    </row>
    <row r="681">
      <c r="D681" s="62"/>
      <c r="E681" s="62"/>
      <c r="F681" s="62"/>
      <c r="J681" s="62"/>
    </row>
    <row r="682">
      <c r="D682" s="62"/>
      <c r="E682" s="62"/>
      <c r="F682" s="62"/>
      <c r="J682" s="62"/>
    </row>
    <row r="683">
      <c r="D683" s="62"/>
      <c r="E683" s="62"/>
      <c r="F683" s="62"/>
      <c r="J683" s="62"/>
    </row>
    <row r="684">
      <c r="D684" s="62"/>
      <c r="E684" s="62"/>
      <c r="F684" s="62"/>
      <c r="J684" s="62"/>
    </row>
    <row r="685">
      <c r="D685" s="62"/>
      <c r="E685" s="62"/>
      <c r="F685" s="62"/>
      <c r="J685" s="62"/>
    </row>
    <row r="686">
      <c r="D686" s="62"/>
      <c r="E686" s="62"/>
      <c r="F686" s="62"/>
      <c r="J686" s="62"/>
    </row>
    <row r="687">
      <c r="D687" s="62"/>
      <c r="E687" s="62"/>
      <c r="F687" s="62"/>
      <c r="J687" s="62"/>
    </row>
    <row r="688">
      <c r="D688" s="62"/>
      <c r="E688" s="62"/>
      <c r="F688" s="62"/>
      <c r="J688" s="62"/>
    </row>
    <row r="689">
      <c r="D689" s="62"/>
      <c r="E689" s="62"/>
      <c r="F689" s="62"/>
      <c r="J689" s="62"/>
    </row>
    <row r="690">
      <c r="D690" s="62"/>
      <c r="E690" s="62"/>
      <c r="F690" s="62"/>
      <c r="J690" s="62"/>
    </row>
    <row r="691">
      <c r="D691" s="62"/>
      <c r="E691" s="62"/>
      <c r="F691" s="62"/>
      <c r="J691" s="62"/>
    </row>
    <row r="692">
      <c r="D692" s="62"/>
      <c r="E692" s="62"/>
      <c r="F692" s="62"/>
      <c r="J692" s="62"/>
    </row>
    <row r="693">
      <c r="D693" s="62"/>
      <c r="E693" s="62"/>
      <c r="F693" s="62"/>
      <c r="J693" s="62"/>
    </row>
    <row r="694">
      <c r="D694" s="62"/>
      <c r="E694" s="62"/>
      <c r="F694" s="62"/>
      <c r="J694" s="62"/>
    </row>
    <row r="695">
      <c r="D695" s="62"/>
      <c r="E695" s="62"/>
      <c r="F695" s="62"/>
      <c r="J695" s="62"/>
    </row>
    <row r="696">
      <c r="D696" s="62"/>
      <c r="E696" s="62"/>
      <c r="F696" s="62"/>
      <c r="J696" s="62"/>
    </row>
    <row r="697">
      <c r="D697" s="62"/>
      <c r="E697" s="62"/>
      <c r="F697" s="62"/>
      <c r="J697" s="62"/>
    </row>
    <row r="698">
      <c r="D698" s="62"/>
      <c r="E698" s="62"/>
      <c r="F698" s="62"/>
      <c r="J698" s="62"/>
    </row>
    <row r="699">
      <c r="D699" s="62"/>
      <c r="E699" s="62"/>
      <c r="F699" s="62"/>
      <c r="J699" s="62"/>
    </row>
    <row r="700">
      <c r="D700" s="62"/>
      <c r="E700" s="62"/>
      <c r="F700" s="62"/>
      <c r="J700" s="62"/>
    </row>
    <row r="701">
      <c r="D701" s="62"/>
      <c r="E701" s="62"/>
      <c r="F701" s="62"/>
      <c r="J701" s="62"/>
    </row>
    <row r="702">
      <c r="D702" s="62"/>
      <c r="E702" s="62"/>
      <c r="F702" s="62"/>
      <c r="J702" s="62"/>
    </row>
    <row r="703">
      <c r="D703" s="62"/>
      <c r="E703" s="62"/>
      <c r="F703" s="62"/>
      <c r="J703" s="62"/>
    </row>
    <row r="704">
      <c r="D704" s="62"/>
      <c r="E704" s="62"/>
      <c r="F704" s="62"/>
      <c r="J704" s="62"/>
    </row>
    <row r="705">
      <c r="D705" s="62"/>
      <c r="E705" s="62"/>
      <c r="F705" s="62"/>
      <c r="J705" s="62"/>
    </row>
    <row r="706">
      <c r="D706" s="62"/>
      <c r="E706" s="62"/>
      <c r="F706" s="62"/>
      <c r="J706" s="62"/>
    </row>
    <row r="707">
      <c r="D707" s="62"/>
      <c r="E707" s="62"/>
      <c r="F707" s="62"/>
      <c r="J707" s="62"/>
    </row>
    <row r="708">
      <c r="D708" s="62"/>
      <c r="E708" s="62"/>
      <c r="F708" s="62"/>
      <c r="J708" s="62"/>
    </row>
    <row r="709">
      <c r="D709" s="62"/>
      <c r="E709" s="62"/>
      <c r="F709" s="62"/>
      <c r="J709" s="62"/>
    </row>
    <row r="710">
      <c r="D710" s="62"/>
      <c r="E710" s="62"/>
      <c r="F710" s="62"/>
      <c r="J710" s="62"/>
    </row>
    <row r="711">
      <c r="D711" s="62"/>
      <c r="E711" s="62"/>
      <c r="F711" s="62"/>
      <c r="J711" s="62"/>
    </row>
    <row r="712">
      <c r="D712" s="62"/>
      <c r="E712" s="62"/>
      <c r="F712" s="62"/>
      <c r="J712" s="62"/>
    </row>
    <row r="713">
      <c r="D713" s="62"/>
      <c r="E713" s="62"/>
      <c r="F713" s="62"/>
      <c r="J713" s="62"/>
    </row>
    <row r="714">
      <c r="D714" s="62"/>
      <c r="E714" s="62"/>
      <c r="F714" s="62"/>
      <c r="J714" s="62"/>
    </row>
    <row r="715">
      <c r="D715" s="62"/>
      <c r="E715" s="62"/>
      <c r="F715" s="62"/>
      <c r="J715" s="62"/>
    </row>
    <row r="716">
      <c r="D716" s="62"/>
      <c r="E716" s="62"/>
      <c r="F716" s="62"/>
      <c r="J716" s="62"/>
    </row>
    <row r="717">
      <c r="D717" s="62"/>
      <c r="E717" s="62"/>
      <c r="F717" s="62"/>
      <c r="J717" s="62"/>
    </row>
    <row r="718">
      <c r="D718" s="62"/>
      <c r="E718" s="62"/>
      <c r="F718" s="62"/>
      <c r="J718" s="62"/>
    </row>
    <row r="719">
      <c r="D719" s="62"/>
      <c r="E719" s="62"/>
      <c r="F719" s="62"/>
      <c r="J719" s="62"/>
    </row>
    <row r="720">
      <c r="D720" s="62"/>
      <c r="E720" s="62"/>
      <c r="F720" s="62"/>
      <c r="J720" s="62"/>
    </row>
    <row r="721">
      <c r="D721" s="62"/>
      <c r="E721" s="62"/>
      <c r="F721" s="62"/>
      <c r="J721" s="62"/>
    </row>
    <row r="722">
      <c r="D722" s="62"/>
      <c r="E722" s="62"/>
      <c r="F722" s="62"/>
      <c r="J722" s="62"/>
    </row>
    <row r="723">
      <c r="D723" s="62"/>
      <c r="E723" s="62"/>
      <c r="F723" s="62"/>
      <c r="J723" s="62"/>
    </row>
    <row r="724">
      <c r="D724" s="62"/>
      <c r="E724" s="62"/>
      <c r="F724" s="62"/>
      <c r="J724" s="62"/>
    </row>
    <row r="725">
      <c r="D725" s="62"/>
      <c r="E725" s="62"/>
      <c r="F725" s="62"/>
      <c r="J725" s="62"/>
    </row>
    <row r="726">
      <c r="D726" s="62"/>
      <c r="E726" s="62"/>
      <c r="F726" s="62"/>
      <c r="J726" s="62"/>
    </row>
    <row r="727">
      <c r="D727" s="62"/>
      <c r="E727" s="62"/>
      <c r="F727" s="62"/>
      <c r="J727" s="62"/>
    </row>
    <row r="728">
      <c r="D728" s="62"/>
      <c r="E728" s="62"/>
      <c r="F728" s="62"/>
      <c r="J728" s="62"/>
    </row>
    <row r="729">
      <c r="D729" s="62"/>
      <c r="E729" s="62"/>
      <c r="F729" s="62"/>
      <c r="J729" s="62"/>
    </row>
    <row r="730">
      <c r="D730" s="62"/>
      <c r="E730" s="62"/>
      <c r="F730" s="62"/>
      <c r="J730" s="62"/>
    </row>
    <row r="731">
      <c r="D731" s="62"/>
      <c r="E731" s="62"/>
      <c r="F731" s="62"/>
      <c r="J731" s="62"/>
    </row>
    <row r="732">
      <c r="D732" s="62"/>
      <c r="E732" s="62"/>
      <c r="F732" s="62"/>
      <c r="J732" s="62"/>
    </row>
    <row r="733">
      <c r="D733" s="62"/>
      <c r="E733" s="62"/>
      <c r="F733" s="62"/>
      <c r="J733" s="62"/>
    </row>
    <row r="734">
      <c r="D734" s="62"/>
      <c r="E734" s="62"/>
      <c r="F734" s="62"/>
      <c r="J734" s="62"/>
    </row>
    <row r="735">
      <c r="D735" s="62"/>
      <c r="E735" s="62"/>
      <c r="F735" s="62"/>
      <c r="J735" s="62"/>
    </row>
    <row r="736">
      <c r="D736" s="62"/>
      <c r="E736" s="62"/>
      <c r="F736" s="62"/>
      <c r="J736" s="62"/>
    </row>
    <row r="737">
      <c r="D737" s="62"/>
      <c r="E737" s="62"/>
      <c r="F737" s="62"/>
      <c r="J737" s="62"/>
    </row>
    <row r="738">
      <c r="D738" s="62"/>
      <c r="E738" s="62"/>
      <c r="F738" s="62"/>
      <c r="J738" s="62"/>
    </row>
    <row r="739">
      <c r="D739" s="62"/>
      <c r="E739" s="62"/>
      <c r="F739" s="62"/>
      <c r="J739" s="62"/>
    </row>
    <row r="740">
      <c r="D740" s="62"/>
      <c r="E740" s="62"/>
      <c r="F740" s="62"/>
      <c r="J740" s="62"/>
    </row>
    <row r="741">
      <c r="D741" s="62"/>
      <c r="E741" s="62"/>
      <c r="F741" s="62"/>
      <c r="J741" s="62"/>
    </row>
    <row r="742">
      <c r="D742" s="62"/>
      <c r="E742" s="62"/>
      <c r="F742" s="62"/>
      <c r="J742" s="62"/>
    </row>
    <row r="743">
      <c r="D743" s="62"/>
      <c r="E743" s="62"/>
      <c r="F743" s="62"/>
      <c r="J743" s="62"/>
    </row>
    <row r="744">
      <c r="D744" s="62"/>
      <c r="E744" s="62"/>
      <c r="F744" s="62"/>
      <c r="J744" s="62"/>
    </row>
    <row r="745">
      <c r="D745" s="62"/>
      <c r="E745" s="62"/>
      <c r="F745" s="62"/>
      <c r="J745" s="62"/>
    </row>
    <row r="746">
      <c r="D746" s="62"/>
      <c r="E746" s="62"/>
      <c r="F746" s="62"/>
      <c r="J746" s="62"/>
    </row>
    <row r="747">
      <c r="D747" s="62"/>
      <c r="E747" s="62"/>
      <c r="F747" s="62"/>
      <c r="J747" s="62"/>
    </row>
    <row r="748">
      <c r="D748" s="62"/>
      <c r="E748" s="62"/>
      <c r="F748" s="62"/>
      <c r="J748" s="62"/>
    </row>
    <row r="749">
      <c r="D749" s="62"/>
      <c r="E749" s="62"/>
      <c r="F749" s="62"/>
      <c r="J749" s="62"/>
    </row>
    <row r="750">
      <c r="D750" s="62"/>
      <c r="E750" s="62"/>
      <c r="F750" s="62"/>
      <c r="J750" s="62"/>
    </row>
    <row r="751">
      <c r="D751" s="62"/>
      <c r="E751" s="62"/>
      <c r="F751" s="62"/>
      <c r="J751" s="62"/>
    </row>
    <row r="752">
      <c r="D752" s="62"/>
      <c r="E752" s="62"/>
      <c r="F752" s="62"/>
      <c r="J752" s="62"/>
    </row>
    <row r="753">
      <c r="D753" s="62"/>
      <c r="E753" s="62"/>
      <c r="F753" s="62"/>
      <c r="J753" s="62"/>
    </row>
    <row r="754">
      <c r="D754" s="62"/>
      <c r="E754" s="62"/>
      <c r="F754" s="62"/>
      <c r="J754" s="62"/>
    </row>
    <row r="755">
      <c r="D755" s="62"/>
      <c r="E755" s="62"/>
      <c r="F755" s="62"/>
      <c r="J755" s="62"/>
    </row>
    <row r="756">
      <c r="D756" s="62"/>
      <c r="E756" s="62"/>
      <c r="F756" s="62"/>
      <c r="J756" s="62"/>
    </row>
    <row r="757">
      <c r="D757" s="62"/>
      <c r="E757" s="62"/>
      <c r="F757" s="62"/>
      <c r="J757" s="62"/>
    </row>
    <row r="758">
      <c r="D758" s="62"/>
      <c r="E758" s="62"/>
      <c r="F758" s="62"/>
      <c r="J758" s="62"/>
    </row>
    <row r="759">
      <c r="D759" s="62"/>
      <c r="E759" s="62"/>
      <c r="F759" s="62"/>
      <c r="J759" s="62"/>
    </row>
    <row r="760">
      <c r="D760" s="62"/>
      <c r="E760" s="62"/>
      <c r="F760" s="62"/>
      <c r="J760" s="62"/>
    </row>
    <row r="761">
      <c r="D761" s="62"/>
      <c r="E761" s="62"/>
      <c r="F761" s="62"/>
      <c r="J761" s="62"/>
    </row>
    <row r="762">
      <c r="D762" s="62"/>
      <c r="E762" s="62"/>
      <c r="F762" s="62"/>
      <c r="J762" s="62"/>
    </row>
    <row r="763">
      <c r="D763" s="62"/>
      <c r="E763" s="62"/>
      <c r="F763" s="62"/>
      <c r="J763" s="62"/>
    </row>
    <row r="764">
      <c r="D764" s="62"/>
      <c r="E764" s="62"/>
      <c r="F764" s="62"/>
      <c r="J764" s="62"/>
    </row>
    <row r="765">
      <c r="D765" s="62"/>
      <c r="E765" s="62"/>
      <c r="F765" s="62"/>
      <c r="J765" s="62"/>
    </row>
    <row r="766">
      <c r="D766" s="62"/>
      <c r="E766" s="62"/>
      <c r="F766" s="62"/>
      <c r="J766" s="62"/>
    </row>
    <row r="767">
      <c r="D767" s="62"/>
      <c r="E767" s="62"/>
      <c r="F767" s="62"/>
      <c r="J767" s="62"/>
    </row>
    <row r="768">
      <c r="D768" s="62"/>
      <c r="E768" s="62"/>
      <c r="F768" s="62"/>
      <c r="J768" s="62"/>
    </row>
    <row r="769">
      <c r="D769" s="62"/>
      <c r="E769" s="62"/>
      <c r="F769" s="62"/>
      <c r="J769" s="62"/>
    </row>
    <row r="770">
      <c r="D770" s="62"/>
      <c r="E770" s="62"/>
      <c r="F770" s="62"/>
      <c r="J770" s="62"/>
    </row>
    <row r="771">
      <c r="D771" s="62"/>
      <c r="E771" s="62"/>
      <c r="F771" s="62"/>
      <c r="J771" s="62"/>
    </row>
    <row r="772">
      <c r="D772" s="62"/>
      <c r="E772" s="62"/>
      <c r="F772" s="62"/>
      <c r="J772" s="62"/>
    </row>
    <row r="773">
      <c r="D773" s="62"/>
      <c r="E773" s="62"/>
      <c r="F773" s="62"/>
      <c r="J773" s="62"/>
    </row>
    <row r="774">
      <c r="D774" s="62"/>
      <c r="E774" s="62"/>
      <c r="F774" s="62"/>
      <c r="J774" s="62"/>
    </row>
    <row r="775">
      <c r="D775" s="62"/>
      <c r="E775" s="62"/>
      <c r="F775" s="62"/>
      <c r="J775" s="62"/>
    </row>
    <row r="776">
      <c r="D776" s="62"/>
      <c r="E776" s="62"/>
      <c r="F776" s="62"/>
      <c r="J776" s="62"/>
    </row>
    <row r="777">
      <c r="D777" s="62"/>
      <c r="E777" s="62"/>
      <c r="F777" s="62"/>
      <c r="J777" s="62"/>
    </row>
    <row r="778">
      <c r="D778" s="62"/>
      <c r="E778" s="62"/>
      <c r="F778" s="62"/>
      <c r="J778" s="62"/>
    </row>
    <row r="779">
      <c r="D779" s="62"/>
      <c r="E779" s="62"/>
      <c r="F779" s="62"/>
      <c r="J779" s="62"/>
    </row>
    <row r="780">
      <c r="D780" s="62"/>
      <c r="E780" s="62"/>
      <c r="F780" s="62"/>
      <c r="J780" s="62"/>
    </row>
    <row r="781">
      <c r="D781" s="62"/>
      <c r="E781" s="62"/>
      <c r="F781" s="62"/>
      <c r="J781" s="62"/>
    </row>
    <row r="782">
      <c r="D782" s="62"/>
      <c r="E782" s="62"/>
      <c r="F782" s="62"/>
      <c r="J782" s="62"/>
    </row>
    <row r="783">
      <c r="D783" s="62"/>
      <c r="E783" s="62"/>
      <c r="F783" s="62"/>
      <c r="J783" s="62"/>
    </row>
    <row r="784">
      <c r="D784" s="62"/>
      <c r="E784" s="62"/>
      <c r="F784" s="62"/>
      <c r="J784" s="62"/>
    </row>
    <row r="785">
      <c r="D785" s="62"/>
      <c r="E785" s="62"/>
      <c r="F785" s="62"/>
      <c r="J785" s="62"/>
    </row>
    <row r="786">
      <c r="D786" s="62"/>
      <c r="E786" s="62"/>
      <c r="F786" s="62"/>
      <c r="J786" s="62"/>
    </row>
    <row r="787">
      <c r="D787" s="62"/>
      <c r="E787" s="62"/>
      <c r="F787" s="62"/>
      <c r="J787" s="62"/>
    </row>
    <row r="788">
      <c r="D788" s="62"/>
      <c r="E788" s="62"/>
      <c r="F788" s="62"/>
      <c r="J788" s="62"/>
    </row>
    <row r="789">
      <c r="D789" s="62"/>
      <c r="E789" s="62"/>
      <c r="F789" s="62"/>
      <c r="J789" s="62"/>
    </row>
    <row r="790">
      <c r="D790" s="62"/>
      <c r="E790" s="62"/>
      <c r="F790" s="62"/>
      <c r="J790" s="62"/>
    </row>
    <row r="791">
      <c r="D791" s="62"/>
      <c r="E791" s="62"/>
      <c r="F791" s="62"/>
      <c r="J791" s="62"/>
    </row>
    <row r="792">
      <c r="D792" s="62"/>
      <c r="E792" s="62"/>
      <c r="F792" s="62"/>
      <c r="J792" s="62"/>
    </row>
    <row r="793">
      <c r="D793" s="62"/>
      <c r="E793" s="62"/>
      <c r="F793" s="62"/>
      <c r="J793" s="62"/>
    </row>
    <row r="794">
      <c r="D794" s="62"/>
      <c r="E794" s="62"/>
      <c r="F794" s="62"/>
      <c r="J794" s="62"/>
    </row>
    <row r="795">
      <c r="D795" s="62"/>
      <c r="E795" s="62"/>
      <c r="F795" s="62"/>
      <c r="J795" s="62"/>
    </row>
    <row r="796">
      <c r="D796" s="62"/>
      <c r="E796" s="62"/>
      <c r="F796" s="62"/>
      <c r="J796" s="62"/>
    </row>
    <row r="797">
      <c r="D797" s="62"/>
      <c r="E797" s="62"/>
      <c r="F797" s="62"/>
      <c r="J797" s="62"/>
    </row>
    <row r="798">
      <c r="D798" s="62"/>
      <c r="E798" s="62"/>
      <c r="F798" s="62"/>
      <c r="J798" s="62"/>
    </row>
    <row r="799">
      <c r="D799" s="62"/>
      <c r="E799" s="62"/>
      <c r="F799" s="62"/>
      <c r="J799" s="62"/>
    </row>
    <row r="800">
      <c r="D800" s="62"/>
      <c r="E800" s="62"/>
      <c r="F800" s="62"/>
      <c r="J800" s="62"/>
    </row>
    <row r="801">
      <c r="D801" s="62"/>
      <c r="E801" s="62"/>
      <c r="F801" s="62"/>
      <c r="J801" s="62"/>
    </row>
    <row r="802">
      <c r="D802" s="62"/>
      <c r="E802" s="62"/>
      <c r="F802" s="62"/>
      <c r="J802" s="62"/>
    </row>
    <row r="803">
      <c r="D803" s="62"/>
      <c r="E803" s="62"/>
      <c r="F803" s="62"/>
      <c r="J803" s="62"/>
    </row>
    <row r="804">
      <c r="D804" s="62"/>
      <c r="E804" s="62"/>
      <c r="F804" s="62"/>
      <c r="J804" s="62"/>
    </row>
    <row r="805">
      <c r="D805" s="62"/>
      <c r="E805" s="62"/>
      <c r="F805" s="62"/>
      <c r="J805" s="62"/>
    </row>
    <row r="806">
      <c r="D806" s="62"/>
      <c r="E806" s="62"/>
      <c r="F806" s="62"/>
      <c r="J806" s="62"/>
    </row>
    <row r="807">
      <c r="D807" s="62"/>
      <c r="E807" s="62"/>
      <c r="F807" s="62"/>
      <c r="J807" s="62"/>
    </row>
    <row r="808">
      <c r="D808" s="62"/>
      <c r="E808" s="62"/>
      <c r="F808" s="62"/>
      <c r="J808" s="62"/>
    </row>
    <row r="809">
      <c r="D809" s="62"/>
      <c r="E809" s="62"/>
      <c r="F809" s="62"/>
      <c r="J809" s="62"/>
    </row>
    <row r="810">
      <c r="D810" s="62"/>
      <c r="E810" s="62"/>
      <c r="F810" s="62"/>
      <c r="J810" s="62"/>
    </row>
    <row r="811">
      <c r="D811" s="62"/>
      <c r="E811" s="62"/>
      <c r="F811" s="62"/>
      <c r="J811" s="62"/>
    </row>
    <row r="812">
      <c r="D812" s="62"/>
      <c r="E812" s="62"/>
      <c r="F812" s="62"/>
      <c r="J812" s="62"/>
    </row>
    <row r="813">
      <c r="D813" s="62"/>
      <c r="E813" s="62"/>
      <c r="F813" s="62"/>
      <c r="J813" s="62"/>
    </row>
    <row r="814">
      <c r="D814" s="62"/>
      <c r="E814" s="62"/>
      <c r="F814" s="62"/>
      <c r="J814" s="62"/>
    </row>
    <row r="815">
      <c r="D815" s="62"/>
      <c r="E815" s="62"/>
      <c r="F815" s="62"/>
      <c r="J815" s="62"/>
    </row>
    <row r="816">
      <c r="D816" s="62"/>
      <c r="E816" s="62"/>
      <c r="F816" s="62"/>
      <c r="J816" s="62"/>
    </row>
    <row r="817">
      <c r="D817" s="62"/>
      <c r="E817" s="62"/>
      <c r="F817" s="62"/>
      <c r="J817" s="62"/>
    </row>
    <row r="818">
      <c r="D818" s="62"/>
      <c r="E818" s="62"/>
      <c r="F818" s="62"/>
      <c r="J818" s="62"/>
    </row>
    <row r="819">
      <c r="D819" s="62"/>
      <c r="E819" s="62"/>
      <c r="F819" s="62"/>
      <c r="J819" s="62"/>
    </row>
    <row r="820">
      <c r="D820" s="62"/>
      <c r="E820" s="62"/>
      <c r="F820" s="62"/>
      <c r="J820" s="62"/>
    </row>
    <row r="821">
      <c r="D821" s="62"/>
      <c r="E821" s="62"/>
      <c r="F821" s="62"/>
      <c r="J821" s="62"/>
    </row>
    <row r="822">
      <c r="D822" s="62"/>
      <c r="E822" s="62"/>
      <c r="F822" s="62"/>
      <c r="J822" s="62"/>
    </row>
    <row r="823">
      <c r="D823" s="62"/>
      <c r="E823" s="62"/>
      <c r="F823" s="62"/>
      <c r="J823" s="62"/>
    </row>
    <row r="824">
      <c r="D824" s="62"/>
      <c r="E824" s="62"/>
      <c r="F824" s="62"/>
      <c r="J824" s="62"/>
    </row>
    <row r="825">
      <c r="D825" s="62"/>
      <c r="E825" s="62"/>
      <c r="F825" s="62"/>
      <c r="J825" s="62"/>
    </row>
    <row r="826">
      <c r="D826" s="62"/>
      <c r="E826" s="62"/>
      <c r="F826" s="62"/>
      <c r="J826" s="62"/>
    </row>
    <row r="827">
      <c r="D827" s="62"/>
      <c r="E827" s="62"/>
      <c r="F827" s="62"/>
      <c r="J827" s="62"/>
    </row>
    <row r="828">
      <c r="D828" s="62"/>
      <c r="E828" s="62"/>
      <c r="F828" s="62"/>
      <c r="J828" s="62"/>
    </row>
    <row r="829">
      <c r="D829" s="62"/>
      <c r="E829" s="62"/>
      <c r="F829" s="62"/>
      <c r="J829" s="62"/>
    </row>
    <row r="830">
      <c r="D830" s="62"/>
      <c r="E830" s="62"/>
      <c r="F830" s="62"/>
      <c r="J830" s="62"/>
    </row>
    <row r="831">
      <c r="D831" s="62"/>
      <c r="E831" s="62"/>
      <c r="F831" s="62"/>
      <c r="J831" s="62"/>
    </row>
    <row r="832">
      <c r="D832" s="62"/>
      <c r="E832" s="62"/>
      <c r="F832" s="62"/>
      <c r="J832" s="62"/>
    </row>
    <row r="833">
      <c r="D833" s="62"/>
      <c r="E833" s="62"/>
      <c r="F833" s="62"/>
      <c r="J833" s="62"/>
    </row>
    <row r="834">
      <c r="D834" s="62"/>
      <c r="E834" s="62"/>
      <c r="F834" s="62"/>
      <c r="J834" s="62"/>
    </row>
    <row r="835">
      <c r="D835" s="62"/>
      <c r="E835" s="62"/>
      <c r="F835" s="62"/>
      <c r="J835" s="62"/>
    </row>
    <row r="836">
      <c r="D836" s="62"/>
      <c r="E836" s="62"/>
      <c r="F836" s="62"/>
      <c r="J836" s="62"/>
    </row>
    <row r="837">
      <c r="D837" s="62"/>
      <c r="E837" s="62"/>
      <c r="F837" s="62"/>
      <c r="J837" s="62"/>
    </row>
    <row r="838">
      <c r="D838" s="62"/>
      <c r="E838" s="62"/>
      <c r="F838" s="62"/>
      <c r="J838" s="62"/>
    </row>
    <row r="839">
      <c r="D839" s="62"/>
      <c r="E839" s="62"/>
      <c r="F839" s="62"/>
      <c r="J839" s="62"/>
    </row>
    <row r="840">
      <c r="D840" s="62"/>
      <c r="E840" s="62"/>
      <c r="F840" s="62"/>
      <c r="J840" s="62"/>
    </row>
    <row r="841">
      <c r="D841" s="62"/>
      <c r="E841" s="62"/>
      <c r="F841" s="62"/>
      <c r="J841" s="62"/>
    </row>
    <row r="842">
      <c r="D842" s="62"/>
      <c r="E842" s="62"/>
      <c r="F842" s="62"/>
      <c r="J842" s="62"/>
    </row>
    <row r="843">
      <c r="D843" s="62"/>
      <c r="E843" s="62"/>
      <c r="F843" s="62"/>
      <c r="J843" s="62"/>
    </row>
    <row r="844">
      <c r="D844" s="62"/>
      <c r="E844" s="62"/>
      <c r="F844" s="62"/>
      <c r="J844" s="62"/>
    </row>
    <row r="845">
      <c r="D845" s="62"/>
      <c r="E845" s="62"/>
      <c r="F845" s="62"/>
      <c r="J845" s="62"/>
    </row>
    <row r="846">
      <c r="D846" s="62"/>
      <c r="E846" s="62"/>
      <c r="F846" s="62"/>
      <c r="J846" s="62"/>
    </row>
    <row r="847">
      <c r="D847" s="62"/>
      <c r="E847" s="62"/>
      <c r="F847" s="62"/>
      <c r="J847" s="62"/>
    </row>
    <row r="848">
      <c r="D848" s="62"/>
      <c r="E848" s="62"/>
      <c r="F848" s="62"/>
      <c r="J848" s="62"/>
    </row>
    <row r="849">
      <c r="D849" s="62"/>
      <c r="E849" s="62"/>
      <c r="F849" s="62"/>
      <c r="J849" s="62"/>
    </row>
    <row r="850">
      <c r="D850" s="62"/>
      <c r="E850" s="62"/>
      <c r="F850" s="62"/>
      <c r="J850" s="62"/>
    </row>
    <row r="851">
      <c r="D851" s="62"/>
      <c r="E851" s="62"/>
      <c r="F851" s="62"/>
      <c r="J851" s="62"/>
    </row>
    <row r="852">
      <c r="D852" s="62"/>
      <c r="E852" s="62"/>
      <c r="F852" s="62"/>
      <c r="J852" s="62"/>
    </row>
    <row r="853">
      <c r="D853" s="62"/>
      <c r="E853" s="62"/>
      <c r="F853" s="62"/>
      <c r="J853" s="62"/>
    </row>
    <row r="854">
      <c r="D854" s="62"/>
      <c r="E854" s="62"/>
      <c r="F854" s="62"/>
      <c r="J854" s="62"/>
    </row>
    <row r="855">
      <c r="D855" s="62"/>
      <c r="E855" s="62"/>
      <c r="F855" s="62"/>
      <c r="J855" s="62"/>
    </row>
    <row r="856">
      <c r="D856" s="62"/>
      <c r="E856" s="62"/>
      <c r="F856" s="62"/>
      <c r="J856" s="62"/>
    </row>
    <row r="857">
      <c r="D857" s="62"/>
      <c r="E857" s="62"/>
      <c r="F857" s="62"/>
      <c r="J857" s="62"/>
    </row>
    <row r="858">
      <c r="D858" s="62"/>
      <c r="E858" s="62"/>
      <c r="F858" s="62"/>
      <c r="J858" s="62"/>
    </row>
    <row r="859">
      <c r="D859" s="62"/>
      <c r="E859" s="62"/>
      <c r="F859" s="62"/>
      <c r="J859" s="62"/>
    </row>
    <row r="860">
      <c r="D860" s="62"/>
      <c r="E860" s="62"/>
      <c r="F860" s="62"/>
      <c r="J860" s="62"/>
    </row>
    <row r="861">
      <c r="D861" s="62"/>
      <c r="E861" s="62"/>
      <c r="F861" s="62"/>
      <c r="J861" s="62"/>
    </row>
    <row r="862">
      <c r="D862" s="62"/>
      <c r="E862" s="62"/>
      <c r="F862" s="62"/>
      <c r="J862" s="62"/>
    </row>
    <row r="863">
      <c r="D863" s="62"/>
      <c r="E863" s="62"/>
      <c r="F863" s="62"/>
      <c r="J863" s="62"/>
    </row>
    <row r="864">
      <c r="D864" s="62"/>
      <c r="E864" s="62"/>
      <c r="F864" s="62"/>
      <c r="J864" s="62"/>
    </row>
    <row r="865">
      <c r="D865" s="62"/>
      <c r="E865" s="62"/>
      <c r="F865" s="62"/>
      <c r="J865" s="62"/>
    </row>
    <row r="866">
      <c r="D866" s="62"/>
      <c r="E866" s="62"/>
      <c r="F866" s="62"/>
      <c r="J866" s="62"/>
    </row>
    <row r="867">
      <c r="D867" s="62"/>
      <c r="E867" s="62"/>
      <c r="F867" s="62"/>
      <c r="J867" s="62"/>
    </row>
    <row r="868">
      <c r="D868" s="62"/>
      <c r="E868" s="62"/>
      <c r="F868" s="62"/>
      <c r="J868" s="62"/>
    </row>
    <row r="869">
      <c r="D869" s="62"/>
      <c r="E869" s="62"/>
      <c r="F869" s="62"/>
      <c r="J869" s="62"/>
    </row>
    <row r="870">
      <c r="D870" s="62"/>
      <c r="E870" s="62"/>
      <c r="F870" s="62"/>
      <c r="J870" s="62"/>
    </row>
    <row r="871">
      <c r="D871" s="62"/>
      <c r="E871" s="62"/>
      <c r="F871" s="62"/>
      <c r="J871" s="62"/>
    </row>
    <row r="872">
      <c r="D872" s="62"/>
      <c r="E872" s="62"/>
      <c r="F872" s="62"/>
      <c r="J872" s="62"/>
    </row>
    <row r="873">
      <c r="D873" s="62"/>
      <c r="E873" s="62"/>
      <c r="F873" s="62"/>
      <c r="J873" s="62"/>
    </row>
    <row r="874">
      <c r="D874" s="62"/>
      <c r="E874" s="62"/>
      <c r="F874" s="62"/>
      <c r="J874" s="62"/>
    </row>
    <row r="875">
      <c r="D875" s="62"/>
      <c r="E875" s="62"/>
      <c r="F875" s="62"/>
      <c r="J875" s="62"/>
    </row>
    <row r="876">
      <c r="D876" s="62"/>
      <c r="E876" s="62"/>
      <c r="F876" s="62"/>
      <c r="J876" s="62"/>
    </row>
    <row r="877">
      <c r="D877" s="62"/>
      <c r="E877" s="62"/>
      <c r="F877" s="62"/>
      <c r="J877" s="62"/>
    </row>
    <row r="878">
      <c r="D878" s="62"/>
      <c r="E878" s="62"/>
      <c r="F878" s="62"/>
      <c r="J878" s="62"/>
    </row>
    <row r="879">
      <c r="D879" s="62"/>
      <c r="E879" s="62"/>
      <c r="F879" s="62"/>
      <c r="J879" s="62"/>
    </row>
    <row r="880">
      <c r="D880" s="62"/>
      <c r="E880" s="62"/>
      <c r="F880" s="62"/>
      <c r="J880" s="62"/>
    </row>
    <row r="881">
      <c r="D881" s="62"/>
      <c r="E881" s="62"/>
      <c r="F881" s="62"/>
      <c r="J881" s="62"/>
    </row>
    <row r="882">
      <c r="D882" s="62"/>
      <c r="E882" s="62"/>
      <c r="F882" s="62"/>
      <c r="J882" s="62"/>
    </row>
    <row r="883">
      <c r="D883" s="62"/>
      <c r="E883" s="62"/>
      <c r="F883" s="62"/>
      <c r="J883" s="62"/>
    </row>
    <row r="884">
      <c r="D884" s="62"/>
      <c r="E884" s="62"/>
      <c r="F884" s="62"/>
      <c r="J884" s="62"/>
    </row>
    <row r="885">
      <c r="D885" s="62"/>
      <c r="E885" s="62"/>
      <c r="F885" s="62"/>
      <c r="J885" s="62"/>
    </row>
    <row r="886">
      <c r="D886" s="62"/>
      <c r="E886" s="62"/>
      <c r="F886" s="62"/>
      <c r="J886" s="62"/>
    </row>
    <row r="887">
      <c r="D887" s="62"/>
      <c r="E887" s="62"/>
      <c r="F887" s="62"/>
      <c r="J887" s="62"/>
    </row>
    <row r="888">
      <c r="D888" s="62"/>
      <c r="E888" s="62"/>
      <c r="F888" s="62"/>
      <c r="J888" s="62"/>
    </row>
    <row r="889">
      <c r="D889" s="62"/>
      <c r="E889" s="62"/>
      <c r="F889" s="62"/>
      <c r="J889" s="62"/>
    </row>
    <row r="890">
      <c r="D890" s="62"/>
      <c r="E890" s="62"/>
      <c r="F890" s="62"/>
      <c r="J890" s="62"/>
    </row>
    <row r="891">
      <c r="D891" s="62"/>
      <c r="E891" s="62"/>
      <c r="F891" s="62"/>
      <c r="J891" s="62"/>
    </row>
    <row r="892">
      <c r="D892" s="62"/>
      <c r="E892" s="62"/>
      <c r="F892" s="62"/>
      <c r="J892" s="62"/>
    </row>
    <row r="893">
      <c r="D893" s="62"/>
      <c r="E893" s="62"/>
      <c r="F893" s="62"/>
      <c r="J893" s="62"/>
    </row>
    <row r="894">
      <c r="D894" s="62"/>
      <c r="E894" s="62"/>
      <c r="F894" s="62"/>
      <c r="J894" s="62"/>
    </row>
    <row r="895">
      <c r="D895" s="62"/>
      <c r="E895" s="62"/>
      <c r="F895" s="62"/>
      <c r="J895" s="62"/>
    </row>
    <row r="896">
      <c r="D896" s="62"/>
      <c r="E896" s="62"/>
      <c r="F896" s="62"/>
      <c r="J896" s="62"/>
    </row>
    <row r="897">
      <c r="D897" s="62"/>
      <c r="E897" s="62"/>
      <c r="F897" s="62"/>
      <c r="J897" s="62"/>
    </row>
    <row r="898">
      <c r="D898" s="62"/>
      <c r="E898" s="62"/>
      <c r="F898" s="62"/>
      <c r="J898" s="62"/>
    </row>
    <row r="899">
      <c r="D899" s="62"/>
      <c r="E899" s="62"/>
      <c r="F899" s="62"/>
      <c r="J899" s="62"/>
    </row>
    <row r="900">
      <c r="D900" s="62"/>
      <c r="E900" s="62"/>
      <c r="F900" s="62"/>
      <c r="J900" s="62"/>
    </row>
    <row r="901">
      <c r="D901" s="62"/>
      <c r="E901" s="62"/>
      <c r="F901" s="62"/>
      <c r="J901" s="62"/>
    </row>
    <row r="902">
      <c r="D902" s="62"/>
      <c r="E902" s="62"/>
      <c r="F902" s="62"/>
      <c r="J902" s="62"/>
    </row>
    <row r="903">
      <c r="D903" s="62"/>
      <c r="E903" s="62"/>
      <c r="F903" s="62"/>
      <c r="J903" s="62"/>
    </row>
    <row r="904">
      <c r="D904" s="62"/>
      <c r="E904" s="62"/>
      <c r="F904" s="62"/>
      <c r="J904" s="62"/>
    </row>
    <row r="905">
      <c r="D905" s="62"/>
      <c r="E905" s="62"/>
      <c r="F905" s="62"/>
      <c r="J905" s="62"/>
    </row>
    <row r="906">
      <c r="D906" s="62"/>
      <c r="E906" s="62"/>
      <c r="F906" s="62"/>
      <c r="J906" s="62"/>
    </row>
    <row r="907">
      <c r="D907" s="62"/>
      <c r="E907" s="62"/>
      <c r="F907" s="62"/>
      <c r="J907" s="62"/>
    </row>
    <row r="908">
      <c r="D908" s="62"/>
      <c r="E908" s="62"/>
      <c r="F908" s="62"/>
      <c r="J908" s="62"/>
    </row>
    <row r="909">
      <c r="D909" s="62"/>
      <c r="E909" s="62"/>
      <c r="F909" s="62"/>
      <c r="J909" s="62"/>
    </row>
    <row r="910">
      <c r="D910" s="62"/>
      <c r="E910" s="62"/>
      <c r="F910" s="62"/>
      <c r="J910" s="62"/>
    </row>
    <row r="911">
      <c r="D911" s="62"/>
      <c r="E911" s="62"/>
      <c r="F911" s="62"/>
      <c r="J911" s="62"/>
    </row>
    <row r="912">
      <c r="D912" s="62"/>
      <c r="E912" s="62"/>
      <c r="F912" s="62"/>
      <c r="J912" s="62"/>
    </row>
    <row r="913">
      <c r="D913" s="62"/>
      <c r="E913" s="62"/>
      <c r="F913" s="62"/>
      <c r="J913" s="62"/>
    </row>
    <row r="914">
      <c r="D914" s="62"/>
      <c r="E914" s="62"/>
      <c r="F914" s="62"/>
      <c r="J914" s="62"/>
    </row>
    <row r="915">
      <c r="D915" s="62"/>
      <c r="E915" s="62"/>
      <c r="F915" s="62"/>
      <c r="J915" s="62"/>
    </row>
    <row r="916">
      <c r="D916" s="62"/>
      <c r="E916" s="62"/>
      <c r="F916" s="62"/>
      <c r="J916" s="62"/>
    </row>
    <row r="917">
      <c r="D917" s="62"/>
      <c r="E917" s="62"/>
      <c r="F917" s="62"/>
      <c r="J917" s="62"/>
    </row>
    <row r="918">
      <c r="D918" s="62"/>
      <c r="E918" s="62"/>
      <c r="F918" s="62"/>
      <c r="J918" s="62"/>
    </row>
    <row r="919">
      <c r="D919" s="62"/>
      <c r="E919" s="62"/>
      <c r="F919" s="62"/>
      <c r="J919" s="62"/>
    </row>
    <row r="920">
      <c r="D920" s="62"/>
      <c r="E920" s="62"/>
      <c r="F920" s="62"/>
      <c r="J920" s="62"/>
    </row>
    <row r="921">
      <c r="D921" s="62"/>
      <c r="E921" s="62"/>
      <c r="F921" s="62"/>
      <c r="J921" s="62"/>
    </row>
    <row r="922">
      <c r="D922" s="62"/>
      <c r="E922" s="62"/>
      <c r="F922" s="62"/>
      <c r="J922" s="62"/>
    </row>
    <row r="923">
      <c r="D923" s="62"/>
      <c r="E923" s="62"/>
      <c r="F923" s="62"/>
      <c r="J923" s="62"/>
    </row>
    <row r="924">
      <c r="D924" s="62"/>
      <c r="E924" s="62"/>
      <c r="F924" s="62"/>
      <c r="J924" s="62"/>
    </row>
    <row r="925">
      <c r="D925" s="62"/>
      <c r="E925" s="62"/>
      <c r="F925" s="62"/>
      <c r="J925" s="62"/>
    </row>
    <row r="926">
      <c r="D926" s="62"/>
      <c r="E926" s="62"/>
      <c r="F926" s="62"/>
      <c r="J926" s="62"/>
    </row>
    <row r="927">
      <c r="D927" s="62"/>
      <c r="E927" s="62"/>
      <c r="F927" s="62"/>
      <c r="J927" s="62"/>
    </row>
    <row r="928">
      <c r="D928" s="62"/>
      <c r="E928" s="62"/>
      <c r="F928" s="62"/>
      <c r="J928" s="62"/>
    </row>
    <row r="929">
      <c r="D929" s="62"/>
      <c r="E929" s="62"/>
      <c r="F929" s="62"/>
      <c r="J929" s="62"/>
    </row>
    <row r="930">
      <c r="D930" s="62"/>
      <c r="E930" s="62"/>
      <c r="F930" s="62"/>
      <c r="J930" s="62"/>
    </row>
    <row r="931">
      <c r="D931" s="62"/>
      <c r="E931" s="62"/>
      <c r="F931" s="62"/>
      <c r="J931" s="62"/>
    </row>
    <row r="932">
      <c r="D932" s="62"/>
      <c r="E932" s="62"/>
      <c r="F932" s="62"/>
      <c r="J932" s="62"/>
    </row>
    <row r="933">
      <c r="D933" s="62"/>
      <c r="E933" s="62"/>
      <c r="F933" s="62"/>
      <c r="J933" s="62"/>
    </row>
    <row r="934">
      <c r="D934" s="62"/>
      <c r="E934" s="62"/>
      <c r="F934" s="62"/>
      <c r="J934" s="62"/>
    </row>
    <row r="935">
      <c r="D935" s="62"/>
      <c r="E935" s="62"/>
      <c r="F935" s="62"/>
      <c r="J935" s="62"/>
    </row>
    <row r="936">
      <c r="D936" s="62"/>
      <c r="E936" s="62"/>
      <c r="F936" s="62"/>
      <c r="J936" s="62"/>
    </row>
    <row r="937">
      <c r="D937" s="62"/>
      <c r="E937" s="62"/>
      <c r="F937" s="62"/>
      <c r="J937" s="62"/>
    </row>
    <row r="938">
      <c r="D938" s="62"/>
      <c r="E938" s="62"/>
      <c r="F938" s="62"/>
      <c r="J938" s="62"/>
    </row>
    <row r="939">
      <c r="D939" s="62"/>
      <c r="E939" s="62"/>
      <c r="F939" s="62"/>
      <c r="J939" s="62"/>
    </row>
    <row r="940">
      <c r="D940" s="62"/>
      <c r="E940" s="62"/>
      <c r="F940" s="62"/>
      <c r="J940" s="62"/>
    </row>
    <row r="941">
      <c r="D941" s="62"/>
      <c r="E941" s="62"/>
      <c r="F941" s="62"/>
      <c r="J941" s="62"/>
    </row>
    <row r="942">
      <c r="D942" s="62"/>
      <c r="E942" s="62"/>
      <c r="F942" s="62"/>
      <c r="J942" s="62"/>
    </row>
    <row r="943">
      <c r="D943" s="62"/>
      <c r="E943" s="62"/>
      <c r="F943" s="62"/>
      <c r="J943" s="62"/>
    </row>
    <row r="944">
      <c r="D944" s="62"/>
      <c r="E944" s="62"/>
      <c r="F944" s="62"/>
      <c r="J944" s="62"/>
    </row>
    <row r="945">
      <c r="D945" s="62"/>
      <c r="E945" s="62"/>
      <c r="F945" s="62"/>
      <c r="J945" s="62"/>
    </row>
    <row r="946">
      <c r="D946" s="62"/>
      <c r="E946" s="62"/>
      <c r="F946" s="62"/>
      <c r="J946" s="62"/>
    </row>
    <row r="947">
      <c r="D947" s="62"/>
      <c r="E947" s="62"/>
      <c r="F947" s="62"/>
      <c r="J947" s="62"/>
    </row>
    <row r="948">
      <c r="D948" s="62"/>
      <c r="E948" s="62"/>
      <c r="F948" s="62"/>
      <c r="J948" s="62"/>
    </row>
    <row r="949">
      <c r="D949" s="62"/>
      <c r="E949" s="62"/>
      <c r="F949" s="62"/>
      <c r="J949" s="62"/>
    </row>
    <row r="950">
      <c r="D950" s="62"/>
      <c r="E950" s="62"/>
      <c r="F950" s="62"/>
      <c r="J950" s="62"/>
    </row>
    <row r="951">
      <c r="D951" s="62"/>
      <c r="E951" s="62"/>
      <c r="F951" s="62"/>
      <c r="J951" s="62"/>
    </row>
    <row r="952">
      <c r="D952" s="62"/>
      <c r="E952" s="62"/>
      <c r="F952" s="62"/>
      <c r="J952" s="62"/>
    </row>
    <row r="953">
      <c r="D953" s="62"/>
      <c r="E953" s="62"/>
      <c r="F953" s="62"/>
      <c r="J953" s="62"/>
    </row>
    <row r="954">
      <c r="D954" s="62"/>
      <c r="E954" s="62"/>
      <c r="F954" s="62"/>
      <c r="J954" s="62"/>
    </row>
    <row r="955">
      <c r="D955" s="62"/>
      <c r="E955" s="62"/>
      <c r="F955" s="62"/>
      <c r="J955" s="62"/>
    </row>
    <row r="956">
      <c r="D956" s="62"/>
      <c r="E956" s="62"/>
      <c r="F956" s="62"/>
      <c r="J956" s="62"/>
    </row>
    <row r="957">
      <c r="D957" s="62"/>
      <c r="E957" s="62"/>
      <c r="F957" s="62"/>
      <c r="J957" s="62"/>
    </row>
    <row r="958">
      <c r="D958" s="62"/>
      <c r="E958" s="62"/>
      <c r="F958" s="62"/>
      <c r="J958" s="62"/>
    </row>
    <row r="959">
      <c r="D959" s="62"/>
      <c r="E959" s="62"/>
      <c r="F959" s="62"/>
      <c r="J959" s="62"/>
    </row>
    <row r="960">
      <c r="D960" s="62"/>
      <c r="E960" s="62"/>
      <c r="F960" s="62"/>
      <c r="J960" s="62"/>
    </row>
    <row r="961">
      <c r="D961" s="62"/>
      <c r="E961" s="62"/>
      <c r="F961" s="62"/>
      <c r="J961" s="62"/>
    </row>
    <row r="962">
      <c r="D962" s="62"/>
      <c r="E962" s="62"/>
      <c r="F962" s="62"/>
      <c r="J962" s="62"/>
    </row>
    <row r="963">
      <c r="D963" s="62"/>
      <c r="E963" s="62"/>
      <c r="F963" s="62"/>
      <c r="J963" s="62"/>
    </row>
    <row r="964">
      <c r="D964" s="62"/>
      <c r="E964" s="62"/>
      <c r="F964" s="62"/>
      <c r="J964" s="62"/>
    </row>
    <row r="965">
      <c r="D965" s="62"/>
      <c r="E965" s="62"/>
      <c r="F965" s="62"/>
      <c r="J965" s="62"/>
    </row>
    <row r="966">
      <c r="D966" s="62"/>
      <c r="E966" s="62"/>
      <c r="F966" s="62"/>
      <c r="J966" s="62"/>
    </row>
    <row r="967">
      <c r="D967" s="62"/>
      <c r="E967" s="62"/>
      <c r="F967" s="62"/>
      <c r="J967" s="62"/>
    </row>
    <row r="968">
      <c r="D968" s="62"/>
      <c r="E968" s="62"/>
      <c r="F968" s="62"/>
      <c r="J968" s="62"/>
    </row>
    <row r="969">
      <c r="D969" s="62"/>
      <c r="E969" s="62"/>
      <c r="F969" s="62"/>
      <c r="J969" s="62"/>
    </row>
    <row r="970">
      <c r="D970" s="62"/>
      <c r="E970" s="62"/>
      <c r="F970" s="62"/>
      <c r="J970" s="62"/>
    </row>
    <row r="971">
      <c r="D971" s="62"/>
      <c r="E971" s="62"/>
      <c r="F971" s="62"/>
      <c r="J971" s="62"/>
    </row>
    <row r="972">
      <c r="D972" s="62"/>
      <c r="E972" s="62"/>
      <c r="F972" s="62"/>
      <c r="J972" s="62"/>
    </row>
    <row r="973">
      <c r="D973" s="62"/>
      <c r="E973" s="62"/>
      <c r="F973" s="62"/>
      <c r="J973" s="62"/>
    </row>
    <row r="974">
      <c r="D974" s="62"/>
      <c r="E974" s="62"/>
      <c r="F974" s="62"/>
      <c r="J974" s="62"/>
    </row>
    <row r="975">
      <c r="D975" s="62"/>
      <c r="E975" s="62"/>
      <c r="F975" s="62"/>
      <c r="J975" s="62"/>
    </row>
    <row r="976">
      <c r="D976" s="62"/>
      <c r="E976" s="62"/>
      <c r="F976" s="62"/>
      <c r="J976" s="62"/>
    </row>
    <row r="977">
      <c r="D977" s="62"/>
      <c r="E977" s="62"/>
      <c r="F977" s="62"/>
      <c r="J977" s="62"/>
    </row>
    <row r="978">
      <c r="D978" s="62"/>
      <c r="E978" s="62"/>
      <c r="F978" s="62"/>
      <c r="J978" s="62"/>
    </row>
    <row r="979">
      <c r="D979" s="62"/>
      <c r="E979" s="62"/>
      <c r="F979" s="62"/>
      <c r="J979" s="62"/>
    </row>
    <row r="980">
      <c r="D980" s="62"/>
      <c r="E980" s="62"/>
      <c r="F980" s="62"/>
      <c r="J980" s="62"/>
    </row>
    <row r="981">
      <c r="D981" s="62"/>
      <c r="E981" s="62"/>
      <c r="F981" s="62"/>
      <c r="J981" s="62"/>
    </row>
    <row r="982">
      <c r="D982" s="62"/>
      <c r="E982" s="62"/>
      <c r="F982" s="62"/>
      <c r="J982" s="62"/>
    </row>
    <row r="983">
      <c r="D983" s="62"/>
      <c r="E983" s="62"/>
      <c r="F983" s="62"/>
      <c r="J983" s="62"/>
    </row>
    <row r="984">
      <c r="D984" s="62"/>
      <c r="E984" s="62"/>
      <c r="F984" s="62"/>
      <c r="J984" s="62"/>
    </row>
    <row r="985">
      <c r="D985" s="62"/>
      <c r="E985" s="62"/>
      <c r="F985" s="62"/>
      <c r="J985" s="62"/>
    </row>
    <row r="986">
      <c r="D986" s="62"/>
      <c r="E986" s="62"/>
      <c r="F986" s="62"/>
      <c r="J986" s="62"/>
    </row>
    <row r="987">
      <c r="D987" s="62"/>
      <c r="E987" s="62"/>
      <c r="F987" s="62"/>
      <c r="J987" s="62"/>
    </row>
    <row r="988">
      <c r="D988" s="62"/>
      <c r="E988" s="62"/>
      <c r="F988" s="62"/>
      <c r="J988" s="62"/>
    </row>
    <row r="989">
      <c r="D989" s="62"/>
      <c r="E989" s="62"/>
      <c r="F989" s="62"/>
      <c r="J989" s="62"/>
    </row>
    <row r="990">
      <c r="D990" s="62"/>
      <c r="E990" s="62"/>
      <c r="F990" s="62"/>
      <c r="J990" s="62"/>
    </row>
    <row r="991">
      <c r="D991" s="62"/>
      <c r="E991" s="62"/>
      <c r="F991" s="62"/>
      <c r="J991" s="62"/>
    </row>
    <row r="992">
      <c r="D992" s="62"/>
      <c r="E992" s="62"/>
      <c r="F992" s="62"/>
      <c r="J992" s="62"/>
    </row>
    <row r="993">
      <c r="D993" s="62"/>
      <c r="E993" s="62"/>
      <c r="F993" s="62"/>
      <c r="J993" s="62"/>
    </row>
    <row r="994">
      <c r="D994" s="62"/>
      <c r="E994" s="62"/>
      <c r="F994" s="62"/>
      <c r="J994" s="62"/>
    </row>
    <row r="995">
      <c r="D995" s="62"/>
      <c r="E995" s="62"/>
      <c r="F995" s="62"/>
      <c r="J995" s="62"/>
    </row>
    <row r="996">
      <c r="D996" s="62"/>
      <c r="E996" s="62"/>
      <c r="F996" s="62"/>
      <c r="J996" s="62"/>
    </row>
    <row r="997">
      <c r="D997" s="62"/>
      <c r="E997" s="62"/>
      <c r="F997" s="62"/>
      <c r="J997" s="62"/>
    </row>
    <row r="998">
      <c r="D998" s="62"/>
      <c r="E998" s="62"/>
      <c r="F998" s="62"/>
      <c r="J998" s="62"/>
    </row>
    <row r="999">
      <c r="D999" s="62"/>
      <c r="E999" s="62"/>
      <c r="F999" s="62"/>
      <c r="J999" s="62"/>
    </row>
    <row r="1000">
      <c r="D1000" s="62"/>
      <c r="E1000" s="62"/>
      <c r="F1000" s="62"/>
      <c r="J1000" s="62"/>
    </row>
  </sheetData>
  <mergeCells count="2">
    <mergeCell ref="A1:G1"/>
    <mergeCell ref="H1:K1"/>
  </mergeCells>
  <conditionalFormatting sqref="A1:A1000">
    <cfRule type="containsText" dxfId="0" priority="1" operator="containsText" text="Unassigned">
      <formula>NOT(ISERROR(SEARCH(("Unassigned"),(A1))))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2" max="2" width="15.29"/>
    <col customWidth="1" min="3" max="3" width="17.71"/>
    <col customWidth="1" min="4" max="4" width="18.0"/>
    <col customWidth="1" min="5" max="5" width="19.57"/>
    <col customWidth="1" min="6" max="6" width="28.71"/>
    <col customWidth="1" min="7" max="7" width="15.43"/>
    <col customWidth="1" min="8" max="8" width="22.0"/>
    <col customWidth="1" min="9" max="9" width="32.43"/>
    <col customWidth="1" min="10" max="10" width="30.86"/>
    <col customWidth="1" min="11" max="11" width="34.86"/>
    <col customWidth="1" min="12" max="12" width="28.86"/>
  </cols>
  <sheetData>
    <row r="1">
      <c r="A1" s="8" t="s">
        <v>12</v>
      </c>
      <c r="B1" s="9"/>
      <c r="C1" s="9"/>
      <c r="D1" s="9"/>
      <c r="E1" s="9"/>
      <c r="F1" s="9"/>
      <c r="G1" s="10"/>
      <c r="H1" s="107" t="s">
        <v>25</v>
      </c>
    </row>
    <row r="2">
      <c r="A2" s="108" t="s">
        <v>0</v>
      </c>
      <c r="B2" s="109" t="s">
        <v>73</v>
      </c>
      <c r="C2" s="109" t="s">
        <v>74</v>
      </c>
      <c r="D2" s="110" t="s">
        <v>75</v>
      </c>
      <c r="E2" s="110" t="s">
        <v>329</v>
      </c>
      <c r="F2" s="110" t="s">
        <v>330</v>
      </c>
      <c r="G2" s="109" t="s">
        <v>199</v>
      </c>
      <c r="H2" s="111" t="s">
        <v>331</v>
      </c>
      <c r="I2" s="112" t="s">
        <v>332</v>
      </c>
      <c r="J2" s="112" t="s">
        <v>333</v>
      </c>
      <c r="K2" s="113" t="s">
        <v>334</v>
      </c>
      <c r="L2" s="118" t="s">
        <v>348</v>
      </c>
    </row>
    <row r="3">
      <c r="A3" t="str">
        <f>IFERROR(__xludf.DUMMYFUNCTION("filter(Assignments!B3:B1000,Assignments!P3:P1000=""Gene-Disease Validity"",Assignments!O3:O1000=""Comprehensive"")"),"Contacted")</f>
        <v>Contacted</v>
      </c>
      <c r="B3" t="str">
        <f>IFERROR(__xludf.DUMMYFUNCTION("filter(Assignments!C3:C1000,Assignments!P3:P1000=""Gene-Disease Validity"",Assignments!O3:O1000=""Comprehensive"")"),"")</f>
        <v/>
      </c>
      <c r="C3" s="119">
        <f>IFERROR(__xludf.DUMMYFUNCTION("filter(Assignments!D3:D1000,Assignments!P3:P1000=""Gene-Disease Validity"",Assignments!O3:O1000=""Comprehensive"")"),43570.0)</f>
        <v>43570</v>
      </c>
      <c r="D3" s="67" t="str">
        <f>IFERROR(__xludf.DUMMYFUNCTION("filter(Assignments!E3:E1000,Assignments!P3:P1000=""Gene-Disease Validity"",Assignments!O3:O1000=""Comprehensive"")"),"Yes")</f>
        <v>Yes</v>
      </c>
      <c r="E3" s="67" t="str">
        <f>IFERROR(__xludf.DUMMYFUNCTION("filter(Assignments!F3:F1000,Assignments!P3:P1000=""Gene-Disease Validity"",Assignments!O3:O1000=""Comprehensive"")"),"Yes")</f>
        <v>Yes</v>
      </c>
      <c r="F3" s="62" t="str">
        <f>IFERROR(__xludf.DUMMYFUNCTION("filter(Assignments!G3:G1000,Assignments!P3:P1000=""Gene-Disease Validity"",Assignments!O3:O1000=""Comprehensive"")"),"Gene Disease Validity")</f>
        <v>Gene Disease Validity</v>
      </c>
      <c r="G3" t="str">
        <f>IFERROR(__xludf.DUMMYFUNCTION("filter(Assignments!H3:H1000,Assignments!P3:P1000=""Gene-Disease Validity"",Assignments!O3:O1000=""Comprehensive"")"),"Epilepsy")</f>
        <v>Epilepsy</v>
      </c>
      <c r="H3" t="str">
        <f>IFERROR(__xludf.DUMMYFUNCTION("filter(Assignments!L3:L1000,Assignments!P3:P1000=""Gene-Disease Validity"",Assignments!O3:O1000=""Comprehensive"")"),"Xiaodong Wang")</f>
        <v>Xiaodong Wang</v>
      </c>
      <c r="I3" t="str">
        <f>IFERROR(__xludf.DUMMYFUNCTION("filter(Assignments!M3:M1000,Assignments!P3:P1000=""Gene-Disease Validity"",Assignments!O3:O1000=""Comprehensive"")"),"xdwang@ciphergene.com")</f>
        <v>xdwang@ciphergene.com</v>
      </c>
      <c r="J3" s="62" t="str">
        <f>IFERROR(__xludf.DUMMYFUNCTION("filter(Assignments!O3:O1000,Assignments!P3:P1000=""Gene-Disease Validity"",Assignments!O3:O1000=""Comprehensive"")"),"Comprehensive")</f>
        <v>Comprehensive</v>
      </c>
      <c r="K3" t="str">
        <f>IFERROR(__xludf.DUMMYFUNCTION("filter(Assignments!W3:W1000,Assignments!P3:P1000=""Gene-Disease Validity"",Assignments!O3:O1000=""Comprehensive"")"),"Epilepsy group")</f>
        <v>Epilepsy group</v>
      </c>
    </row>
    <row r="4">
      <c r="A4" t="str">
        <f>IFERROR(__xludf.DUMMYFUNCTION("""COMPUTED_VALUE"""),"Declined")</f>
        <v>Declined</v>
      </c>
      <c r="B4" s="116">
        <f>IFERROR(__xludf.DUMMYFUNCTION("""COMPUTED_VALUE"""),43437.0)</f>
        <v>43437</v>
      </c>
      <c r="C4" s="116">
        <f>IFERROR(__xludf.DUMMYFUNCTION("""COMPUTED_VALUE"""),43446.0)</f>
        <v>43446</v>
      </c>
      <c r="D4" s="62" t="str">
        <f>IFERROR(__xludf.DUMMYFUNCTION("""COMPUTED_VALUE"""),"Yes")</f>
        <v>Yes</v>
      </c>
      <c r="E4" s="62" t="str">
        <f>IFERROR(__xludf.DUMMYFUNCTION("""COMPUTED_VALUE"""),"Yes")</f>
        <v>Yes</v>
      </c>
      <c r="F4" s="62" t="str">
        <f>IFERROR(__xludf.DUMMYFUNCTION("""COMPUTED_VALUE"""),"Gene Disease Validity")</f>
        <v>Gene Disease Validity</v>
      </c>
      <c r="G4" t="str">
        <f>IFERROR(__xludf.DUMMYFUNCTION("""COMPUTED_VALUE"""),"ID Autism")</f>
        <v>ID Autism</v>
      </c>
      <c r="H4" t="str">
        <f>IFERROR(__xludf.DUMMYFUNCTION("""COMPUTED_VALUE"""),"Jennifer Howe")</f>
        <v>Jennifer Howe</v>
      </c>
      <c r="I4" t="str">
        <f>IFERROR(__xludf.DUMMYFUNCTION("""COMPUTED_VALUE"""),"jhowe@sickkids.ca")</f>
        <v>jhowe@sickkids.ca</v>
      </c>
      <c r="J4" s="62" t="str">
        <f>IFERROR(__xludf.DUMMYFUNCTION("""COMPUTED_VALUE"""),"Comprehensive")</f>
        <v>Comprehensive</v>
      </c>
      <c r="K4" t="str">
        <f>IFERROR(__xludf.DUMMYFUNCTION("""COMPUTED_VALUE"""),"Autism and Intellectual Disability")</f>
        <v>Autism and Intellectual Disability</v>
      </c>
    </row>
    <row r="5">
      <c r="A5" t="str">
        <f>IFERROR(__xludf.DUMMYFUNCTION("""COMPUTED_VALUE"""),"Declined")</f>
        <v>Declined</v>
      </c>
      <c r="B5" s="116">
        <f>IFERROR(__xludf.DUMMYFUNCTION("""COMPUTED_VALUE"""),43411.0)</f>
        <v>43411</v>
      </c>
      <c r="C5" s="116">
        <f>IFERROR(__xludf.DUMMYFUNCTION("""COMPUTED_VALUE"""),43446.0)</f>
        <v>43446</v>
      </c>
      <c r="D5" s="62" t="str">
        <f>IFERROR(__xludf.DUMMYFUNCTION("""COMPUTED_VALUE"""),"Yes")</f>
        <v>Yes</v>
      </c>
      <c r="E5" s="62" t="str">
        <f>IFERROR(__xludf.DUMMYFUNCTION("""COMPUTED_VALUE"""),"Yes")</f>
        <v>Yes</v>
      </c>
      <c r="F5" s="62" t="str">
        <f>IFERROR(__xludf.DUMMYFUNCTION("""COMPUTED_VALUE"""),"Gene Disease Validity")</f>
        <v>Gene Disease Validity</v>
      </c>
      <c r="G5" t="str">
        <f>IFERROR(__xludf.DUMMYFUNCTION("""COMPUTED_VALUE"""),"Hereditary Cancer")</f>
        <v>Hereditary Cancer</v>
      </c>
      <c r="H5" t="str">
        <f>IFERROR(__xludf.DUMMYFUNCTION("""COMPUTED_VALUE"""),"Kalpana Panneerselvam")</f>
        <v>Kalpana Panneerselvam</v>
      </c>
      <c r="I5" t="str">
        <f>IFERROR(__xludf.DUMMYFUNCTION("""COMPUTED_VALUE"""),"kalpanarpanneerselvam@gmail.com")</f>
        <v>kalpanarpanneerselvam@gmail.com</v>
      </c>
      <c r="J5" s="62" t="str">
        <f>IFERROR(__xludf.DUMMYFUNCTION("""COMPUTED_VALUE"""),"Comprehensive")</f>
        <v>Comprehensive</v>
      </c>
      <c r="K5" t="str">
        <f>IFERROR(__xludf.DUMMYFUNCTION("""COMPUTED_VALUE"""),"Mitochondrial diseases ")</f>
        <v>Mitochondrial diseases </v>
      </c>
    </row>
    <row r="6">
      <c r="A6" t="str">
        <f>IFERROR(__xludf.DUMMYFUNCTION("""COMPUTED_VALUE"""),"Contacted")</f>
        <v>Contacted</v>
      </c>
      <c r="B6" t="str">
        <f>IFERROR(__xludf.DUMMYFUNCTION("""COMPUTED_VALUE"""),"")</f>
        <v/>
      </c>
      <c r="C6" s="114">
        <f>IFERROR(__xludf.DUMMYFUNCTION("""COMPUTED_VALUE"""),43570.0)</f>
        <v>43570</v>
      </c>
      <c r="D6" s="62" t="str">
        <f>IFERROR(__xludf.DUMMYFUNCTION("""COMPUTED_VALUE"""),"Yes")</f>
        <v>Yes</v>
      </c>
      <c r="E6" s="62" t="str">
        <f>IFERROR(__xludf.DUMMYFUNCTION("""COMPUTED_VALUE"""),"Yes")</f>
        <v>Yes</v>
      </c>
      <c r="F6" s="62" t="str">
        <f>IFERROR(__xludf.DUMMYFUNCTION("""COMPUTED_VALUE"""),"Gene Disease Validity")</f>
        <v>Gene Disease Validity</v>
      </c>
      <c r="G6" t="str">
        <f>IFERROR(__xludf.DUMMYFUNCTION("""COMPUTED_VALUE"""),"Dilated Cardiomyopathy")</f>
        <v>Dilated Cardiomyopathy</v>
      </c>
      <c r="H6" t="str">
        <f>IFERROR(__xludf.DUMMYFUNCTION("""COMPUTED_VALUE"""),"Tomohiko Ai")</f>
        <v>Tomohiko Ai</v>
      </c>
      <c r="I6" t="str">
        <f>IFERROR(__xludf.DUMMYFUNCTION("""COMPUTED_VALUE"""),"Tomohiko.Ai@osumc.edu")</f>
        <v>Tomohiko.Ai@osumc.edu</v>
      </c>
      <c r="J6" s="62" t="str">
        <f>IFERROR(__xludf.DUMMYFUNCTION("""COMPUTED_VALUE"""),"Comprehensive")</f>
        <v>Comprehensive</v>
      </c>
      <c r="K6" t="str">
        <f>IFERROR(__xludf.DUMMYFUNCTION("""COMPUTED_VALUE"""),"Cardiovascular")</f>
        <v>Cardiovascular</v>
      </c>
    </row>
    <row r="7">
      <c r="A7" t="str">
        <f>IFERROR(__xludf.DUMMYFUNCTION("""COMPUTED_VALUE"""),"Declined")</f>
        <v>Declined</v>
      </c>
      <c r="B7" t="str">
        <f>IFERROR(__xludf.DUMMYFUNCTION("""COMPUTED_VALUE"""),"")</f>
        <v/>
      </c>
      <c r="C7" s="116">
        <f>IFERROR(__xludf.DUMMYFUNCTION("""COMPUTED_VALUE"""),43585.0)</f>
        <v>43585</v>
      </c>
      <c r="D7" s="62" t="str">
        <f>IFERROR(__xludf.DUMMYFUNCTION("""COMPUTED_VALUE"""),"Yes")</f>
        <v>Yes</v>
      </c>
      <c r="E7" s="62" t="str">
        <f>IFERROR(__xludf.DUMMYFUNCTION("""COMPUTED_VALUE"""),"Yes")</f>
        <v>Yes</v>
      </c>
      <c r="F7" s="62" t="str">
        <f>IFERROR(__xludf.DUMMYFUNCTION("""COMPUTED_VALUE"""),"Gene Disease Validity")</f>
        <v>Gene Disease Validity</v>
      </c>
      <c r="G7" t="str">
        <f>IFERROR(__xludf.DUMMYFUNCTION("""COMPUTED_VALUE"""),"ID/Autism")</f>
        <v>ID/Autism</v>
      </c>
      <c r="H7" t="str">
        <f>IFERROR(__xludf.DUMMYFUNCTION("""COMPUTED_VALUE"""),"Caitlin Hale")</f>
        <v>Caitlin Hale</v>
      </c>
      <c r="I7" t="str">
        <f>IFERROR(__xludf.DUMMYFUNCTION("""COMPUTED_VALUE"""),"CHale@stanfordchildrens.org")</f>
        <v>CHale@stanfordchildrens.org</v>
      </c>
      <c r="J7" s="62" t="str">
        <f>IFERROR(__xludf.DUMMYFUNCTION("""COMPUTED_VALUE"""),"Comprehensive")</f>
        <v>Comprehensive</v>
      </c>
      <c r="K7" t="str">
        <f>IFERROR(__xludf.DUMMYFUNCTION("""COMPUTED_VALUE"""),"I would be most interested in areas related to pediatric medical genetics (autism, ID, neurodevelopmental disorders), but I am open to  any group that is accepting volunteers.")</f>
        <v>I would be most interested in areas related to pediatric medical genetics (autism, ID, neurodevelopmental disorders), but I am open to  any group that is accepting volunteers.</v>
      </c>
    </row>
    <row r="8">
      <c r="A8" t="str">
        <f>IFERROR(__xludf.DUMMYFUNCTION("""COMPUTED_VALUE"""),"Contacted")</f>
        <v>Contacted</v>
      </c>
      <c r="B8" t="str">
        <f>IFERROR(__xludf.DUMMYFUNCTION("""COMPUTED_VALUE"""),"")</f>
        <v/>
      </c>
      <c r="C8" s="114">
        <f>IFERROR(__xludf.DUMMYFUNCTION("""COMPUTED_VALUE"""),43585.0)</f>
        <v>43585</v>
      </c>
      <c r="D8" s="62" t="str">
        <f>IFERROR(__xludf.DUMMYFUNCTION("""COMPUTED_VALUE"""),"Yes")</f>
        <v>Yes</v>
      </c>
      <c r="E8" s="62" t="str">
        <f>IFERROR(__xludf.DUMMYFUNCTION("""COMPUTED_VALUE"""),"Yes")</f>
        <v>Yes</v>
      </c>
      <c r="F8" s="62" t="str">
        <f>IFERROR(__xludf.DUMMYFUNCTION("""COMPUTED_VALUE"""),"Gene Disease Validity")</f>
        <v>Gene Disease Validity</v>
      </c>
      <c r="G8" t="str">
        <f>IFERROR(__xludf.DUMMYFUNCTION("""COMPUTED_VALUE"""),"Hemo/Thrombo")</f>
        <v>Hemo/Thrombo</v>
      </c>
      <c r="H8" t="str">
        <f>IFERROR(__xludf.DUMMYFUNCTION("""COMPUTED_VALUE"""),"Ana León")</f>
        <v>Ana León</v>
      </c>
      <c r="I8" t="str">
        <f>IFERROR(__xludf.DUMMYFUNCTION("""COMPUTED_VALUE"""),"aleon@pros.upv.es")</f>
        <v>aleon@pros.upv.es</v>
      </c>
      <c r="J8" s="62" t="str">
        <f>IFERROR(__xludf.DUMMYFUNCTION("""COMPUTED_VALUE"""),"Comprehensive")</f>
        <v>Comprehensive</v>
      </c>
      <c r="K8" t="str">
        <f>IFERROR(__xludf.DUMMYFUNCTION("""COMPUTED_VALUE"""),"")</f>
        <v/>
      </c>
    </row>
    <row r="9">
      <c r="A9" t="str">
        <f>IFERROR(__xludf.DUMMYFUNCTION("""COMPUTED_VALUE"""),"Assigned")</f>
        <v>Assigned</v>
      </c>
      <c r="B9" s="116">
        <f>IFERROR(__xludf.DUMMYFUNCTION("""COMPUTED_VALUE"""),43437.0)</f>
        <v>43437</v>
      </c>
      <c r="C9" s="116">
        <f>IFERROR(__xludf.DUMMYFUNCTION("""COMPUTED_VALUE"""),43446.0)</f>
        <v>43446</v>
      </c>
      <c r="D9" s="62" t="str">
        <f>IFERROR(__xludf.DUMMYFUNCTION("""COMPUTED_VALUE"""),"Yes")</f>
        <v>Yes</v>
      </c>
      <c r="E9" s="62" t="str">
        <f>IFERROR(__xludf.DUMMYFUNCTION("""COMPUTED_VALUE"""),"Yes")</f>
        <v>Yes</v>
      </c>
      <c r="F9" s="62" t="str">
        <f>IFERROR(__xludf.DUMMYFUNCTION("""COMPUTED_VALUE"""),"Gene Disease Validity")</f>
        <v>Gene Disease Validity</v>
      </c>
      <c r="G9" t="str">
        <f>IFERROR(__xludf.DUMMYFUNCTION("""COMPUTED_VALUE"""),"ID Autism")</f>
        <v>ID Autism</v>
      </c>
      <c r="H9" t="str">
        <f>IFERROR(__xludf.DUMMYFUNCTION("""COMPUTED_VALUE"""),"Catalina Betancur")</f>
        <v>Catalina Betancur</v>
      </c>
      <c r="I9" t="str">
        <f>IFERROR(__xludf.DUMMYFUNCTION("""COMPUTED_VALUE"""),"Catalina.Betancur@inserm.fr")</f>
        <v>Catalina.Betancur@inserm.fr</v>
      </c>
      <c r="J9" s="62" t="str">
        <f>IFERROR(__xludf.DUMMYFUNCTION("""COMPUTED_VALUE"""),"Comprehensive")</f>
        <v>Comprehensive</v>
      </c>
      <c r="K9" t="str">
        <f>IFERROR(__xludf.DUMMYFUNCTION("""COMPUTED_VALUE"""),"ID Autism")</f>
        <v>ID Autism</v>
      </c>
    </row>
    <row r="10">
      <c r="A10" t="str">
        <f>IFERROR(__xludf.DUMMYFUNCTION("""COMPUTED_VALUE"""),"Assigned")</f>
        <v>Assigned</v>
      </c>
      <c r="B10" s="116">
        <f>IFERROR(__xludf.DUMMYFUNCTION("""COMPUTED_VALUE"""),43446.0)</f>
        <v>43446</v>
      </c>
      <c r="C10" s="116">
        <f>IFERROR(__xludf.DUMMYFUNCTION("""COMPUTED_VALUE"""),43446.0)</f>
        <v>43446</v>
      </c>
      <c r="D10" s="62" t="str">
        <f>IFERROR(__xludf.DUMMYFUNCTION("""COMPUTED_VALUE"""),"Yes")</f>
        <v>Yes</v>
      </c>
      <c r="E10" s="62" t="str">
        <f>IFERROR(__xludf.DUMMYFUNCTION("""COMPUTED_VALUE"""),"Yes")</f>
        <v>Yes</v>
      </c>
      <c r="F10" s="62" t="str">
        <f>IFERROR(__xludf.DUMMYFUNCTION("""COMPUTED_VALUE"""),"Gene Disease Validity")</f>
        <v>Gene Disease Validity</v>
      </c>
      <c r="G10" t="str">
        <f>IFERROR(__xludf.DUMMYFUNCTION("""COMPUTED_VALUE"""),"Hereditary Cancer")</f>
        <v>Hereditary Cancer</v>
      </c>
      <c r="H10" t="str">
        <f>IFERROR(__xludf.DUMMYFUNCTION("""COMPUTED_VALUE"""),"Volkan Okur")</f>
        <v>Volkan Okur</v>
      </c>
      <c r="I10" t="str">
        <f>IFERROR(__xludf.DUMMYFUNCTION("""COMPUTED_VALUE"""),"vokur@bcm.edu")</f>
        <v>vokur@bcm.edu</v>
      </c>
      <c r="J10" s="62" t="str">
        <f>IFERROR(__xludf.DUMMYFUNCTION("""COMPUTED_VALUE"""),"Comprehensive")</f>
        <v>Comprehensive</v>
      </c>
      <c r="K10" t="str">
        <f>IFERROR(__xludf.DUMMYFUNCTION("""COMPUTED_VALUE"""),"any expert panel of hereditary cancer and/or inborn errors of metabolism domains. ClinVar experts can decide where I would be of the most help.")</f>
        <v>any expert panel of hereditary cancer and/or inborn errors of metabolism domains. ClinVar experts can decide where I would be of the most help.</v>
      </c>
    </row>
    <row r="11">
      <c r="A11" t="str">
        <f>IFERROR(__xludf.DUMMYFUNCTION("""COMPUTED_VALUE"""),"Assigned")</f>
        <v>Assigned</v>
      </c>
      <c r="B11" s="116">
        <f>IFERROR(__xludf.DUMMYFUNCTION("""COMPUTED_VALUE"""),43411.0)</f>
        <v>43411</v>
      </c>
      <c r="C11" s="116">
        <f>IFERROR(__xludf.DUMMYFUNCTION("""COMPUTED_VALUE"""),43446.0)</f>
        <v>43446</v>
      </c>
      <c r="D11" s="62" t="str">
        <f>IFERROR(__xludf.DUMMYFUNCTION("""COMPUTED_VALUE"""),"Yes")</f>
        <v>Yes</v>
      </c>
      <c r="E11" s="62" t="str">
        <f>IFERROR(__xludf.DUMMYFUNCTION("""COMPUTED_VALUE"""),"Yes")</f>
        <v>Yes</v>
      </c>
      <c r="F11" s="62" t="str">
        <f>IFERROR(__xludf.DUMMYFUNCTION("""COMPUTED_VALUE"""),"Gene Disease Validity")</f>
        <v>Gene Disease Validity</v>
      </c>
      <c r="G11" t="str">
        <f>IFERROR(__xludf.DUMMYFUNCTION("""COMPUTED_VALUE"""),"ID/Autism")</f>
        <v>ID/Autism</v>
      </c>
      <c r="H11" t="str">
        <f>IFERROR(__xludf.DUMMYFUNCTION("""COMPUTED_VALUE"""),"Mythily Ganapathi")</f>
        <v>Mythily Ganapathi</v>
      </c>
      <c r="I11" t="str">
        <f>IFERROR(__xludf.DUMMYFUNCTION("""COMPUTED_VALUE"""),"mg3560@cumc.columbia.edu")</f>
        <v>mg3560@cumc.columbia.edu</v>
      </c>
      <c r="J11" s="62" t="str">
        <f>IFERROR(__xludf.DUMMYFUNCTION("""COMPUTED_VALUE"""),"Comprehensive")</f>
        <v>Comprehensive</v>
      </c>
      <c r="K11" t="str">
        <f>IFERROR(__xludf.DUMMYFUNCTION("""COMPUTED_VALUE"""),"Cardiovascular Dilated Cardiomyopathy Gene Curation Expert Panel (In progress) Cardiovascular Familial Hypercholesterolemia Variant Curation Expert Panel (In progress) Cardiovascular KCNQ1 Variant Curation Expert Panel (In progress) Cardiovascular LQTS Ge"&amp;"ne Curation Expert Panel (In progress) Cardiovascular KCNQ1 Variant Curation Expert Panel")</f>
        <v>Cardiovascular Dilated Cardiomyopathy Gene Curation Expert Panel (In progress) Cardiovascular Familial Hypercholesterolemia Variant Curation Expert Panel (In progress) Cardiovascular KCNQ1 Variant Curation Expert Panel (In progress) Cardiovascular LQTS Gene Curation Expert Panel (In progress) Cardiovascular KCNQ1 Variant Curation Expert Panel</v>
      </c>
    </row>
    <row r="12">
      <c r="A12" t="str">
        <f>IFERROR(__xludf.DUMMYFUNCTION("""COMPUTED_VALUE"""),"Unresponsive")</f>
        <v>Unresponsive</v>
      </c>
      <c r="B12" s="115" t="str">
        <f>IFERROR(__xludf.DUMMYFUNCTION("""COMPUTED_VALUE"""),"")</f>
        <v/>
      </c>
      <c r="C12" s="114">
        <f>IFERROR(__xludf.DUMMYFUNCTION("""COMPUTED_VALUE"""),43585.0)</f>
        <v>43585</v>
      </c>
      <c r="D12" s="62" t="str">
        <f>IFERROR(__xludf.DUMMYFUNCTION("""COMPUTED_VALUE"""),"Yes")</f>
        <v>Yes</v>
      </c>
      <c r="E12" s="62" t="str">
        <f>IFERROR(__xludf.DUMMYFUNCTION("""COMPUTED_VALUE"""),"No")</f>
        <v>No</v>
      </c>
      <c r="F12" s="62" t="str">
        <f>IFERROR(__xludf.DUMMYFUNCTION("""COMPUTED_VALUE"""),"Gene Disease Validity")</f>
        <v>Gene Disease Validity</v>
      </c>
      <c r="G12" t="str">
        <f>IFERROR(__xludf.DUMMYFUNCTION("""COMPUTED_VALUE"""),"")</f>
        <v/>
      </c>
      <c r="H12" t="str">
        <f>IFERROR(__xludf.DUMMYFUNCTION("""COMPUTED_VALUE"""),"Leslie Oldfield")</f>
        <v>Leslie Oldfield</v>
      </c>
      <c r="I12" t="str">
        <f>IFERROR(__xludf.DUMMYFUNCTION("""COMPUTED_VALUE"""),"leslie.oldfield@gmail.com")</f>
        <v>leslie.oldfield@gmail.com</v>
      </c>
      <c r="J12" s="62" t="str">
        <f>IFERROR(__xludf.DUMMYFUNCTION("""COMPUTED_VALUE"""),"Comprehensive")</f>
        <v>Comprehensive</v>
      </c>
      <c r="K12" t="str">
        <f>IFERROR(__xludf.DUMMYFUNCTION("""COMPUTED_VALUE"""),"Breast and Ovarian Cancer Gene Curation Expert Panel, Colon Cancer and Polyposis Gene Curation Expert Panel, and the Hereditary Cancer Gene Curation Expert Pane")</f>
        <v>Breast and Ovarian Cancer Gene Curation Expert Panel, Colon Cancer and Polyposis Gene Curation Expert Panel, and the Hereditary Cancer Gene Curation Expert Pane</v>
      </c>
    </row>
    <row r="13">
      <c r="A13" t="str">
        <f>IFERROR(__xludf.DUMMYFUNCTION("""COMPUTED_VALUE"""),"Assigned")</f>
        <v>Assigned</v>
      </c>
      <c r="B13" s="115">
        <f>IFERROR(__xludf.DUMMYFUNCTION("""COMPUTED_VALUE"""),43411.0)</f>
        <v>43411</v>
      </c>
      <c r="C13" s="116">
        <f>IFERROR(__xludf.DUMMYFUNCTION("""COMPUTED_VALUE"""),43446.0)</f>
        <v>43446</v>
      </c>
      <c r="D13" s="62" t="str">
        <f>IFERROR(__xludf.DUMMYFUNCTION("""COMPUTED_VALUE"""),"Yes")</f>
        <v>Yes</v>
      </c>
      <c r="E13" s="62" t="str">
        <f>IFERROR(__xludf.DUMMYFUNCTION("""COMPUTED_VALUE"""),"Yes")</f>
        <v>Yes</v>
      </c>
      <c r="F13" s="62" t="str">
        <f>IFERROR(__xludf.DUMMYFUNCTION("""COMPUTED_VALUE"""),"Gene Disease Validity")</f>
        <v>Gene Disease Validity</v>
      </c>
      <c r="G13" t="str">
        <f>IFERROR(__xludf.DUMMYFUNCTION("""COMPUTED_VALUE"""),"Mitochondrial GCEP")</f>
        <v>Mitochondrial GCEP</v>
      </c>
      <c r="H13" t="str">
        <f>IFERROR(__xludf.DUMMYFUNCTION("""COMPUTED_VALUE"""),"John Shoffner")</f>
        <v>John Shoffner</v>
      </c>
      <c r="I13" t="str">
        <f>IFERROR(__xludf.DUMMYFUNCTION("""COMPUTED_VALUE"""),"jmsiv9903@icloud.com")</f>
        <v>jmsiv9903@icloud.com</v>
      </c>
      <c r="J13" s="62" t="str">
        <f>IFERROR(__xludf.DUMMYFUNCTION("""COMPUTED_VALUE"""),"Comprehensive")</f>
        <v>Comprehensive</v>
      </c>
      <c r="K13" t="str">
        <f>IFERROR(__xludf.DUMMYFUNCTION("""COMPUTED_VALUE"""),"Mitochondrial disease gene and variant expert curation panel; Dilated cardiomyopathy; Fatty acid oxidation; Neuromuscular disease")</f>
        <v>Mitochondrial disease gene and variant expert curation panel; Dilated cardiomyopathy; Fatty acid oxidation; Neuromuscular disease</v>
      </c>
      <c r="L13" s="118" t="s">
        <v>349</v>
      </c>
    </row>
    <row r="14">
      <c r="A14" t="str">
        <f>IFERROR(__xludf.DUMMYFUNCTION("""COMPUTED_VALUE"""),"Assigned")</f>
        <v>Assigned</v>
      </c>
      <c r="B14" s="115">
        <f>IFERROR(__xludf.DUMMYFUNCTION("""COMPUTED_VALUE"""),43411.0)</f>
        <v>43411</v>
      </c>
      <c r="C14" s="116">
        <f>IFERROR(__xludf.DUMMYFUNCTION("""COMPUTED_VALUE"""),43446.0)</f>
        <v>43446</v>
      </c>
      <c r="D14" s="62" t="str">
        <f>IFERROR(__xludf.DUMMYFUNCTION("""COMPUTED_VALUE"""),"Yes")</f>
        <v>Yes</v>
      </c>
      <c r="E14" s="62" t="str">
        <f>IFERROR(__xludf.DUMMYFUNCTION("""COMPUTED_VALUE"""),"Yes")</f>
        <v>Yes</v>
      </c>
      <c r="F14" s="62" t="str">
        <f>IFERROR(__xludf.DUMMYFUNCTION("""COMPUTED_VALUE"""),"Gene Disease Validity")</f>
        <v>Gene Disease Validity</v>
      </c>
      <c r="G14" t="str">
        <f>IFERROR(__xludf.DUMMYFUNCTION("""COMPUTED_VALUE"""),"Mitochondrial GCEP")</f>
        <v>Mitochondrial GCEP</v>
      </c>
      <c r="H14" t="str">
        <f>IFERROR(__xludf.DUMMYFUNCTION("""COMPUTED_VALUE"""),"Isabelle Thiffault")</f>
        <v>Isabelle Thiffault</v>
      </c>
      <c r="I14" t="str">
        <f>IFERROR(__xludf.DUMMYFUNCTION("""COMPUTED_VALUE"""),"ithiffault@cmh.edu")</f>
        <v>ithiffault@cmh.edu</v>
      </c>
      <c r="J14" s="62" t="str">
        <f>IFERROR(__xludf.DUMMYFUNCTION("""COMPUTED_VALUE"""),"Comprehensive")</f>
        <v>Comprehensive</v>
      </c>
      <c r="K14" t="str">
        <f>IFERROR(__xludf.DUMMYFUNCTION("""COMPUTED_VALUE"""),"Mitochondrial or ASD/ID")</f>
        <v>Mitochondrial or ASD/ID</v>
      </c>
    </row>
    <row r="15">
      <c r="A15" t="str">
        <f>IFERROR(__xludf.DUMMYFUNCTION("""COMPUTED_VALUE"""),"Assigned")</f>
        <v>Assigned</v>
      </c>
      <c r="B15" t="str">
        <f>IFERROR(__xludf.DUMMYFUNCTION("""COMPUTED_VALUE"""),"unknown")</f>
        <v>unknown</v>
      </c>
      <c r="C15" t="str">
        <f>IFERROR(__xludf.DUMMYFUNCTION("""COMPUTED_VALUE"""),"Trained before C3")</f>
        <v>Trained before C3</v>
      </c>
      <c r="D15" s="62" t="str">
        <f>IFERROR(__xludf.DUMMYFUNCTION("""COMPUTED_VALUE"""),"No")</f>
        <v>No</v>
      </c>
      <c r="E15" s="62" t="str">
        <f>IFERROR(__xludf.DUMMYFUNCTION("""COMPUTED_VALUE"""),"No")</f>
        <v>No</v>
      </c>
      <c r="F15" s="62" t="str">
        <f>IFERROR(__xludf.DUMMYFUNCTION("""COMPUTED_VALUE"""),"Gene Disease Validity")</f>
        <v>Gene Disease Validity</v>
      </c>
      <c r="G15" t="str">
        <f>IFERROR(__xludf.DUMMYFUNCTION("""COMPUTED_VALUE"""),"Hereditary Cancer")</f>
        <v>Hereditary Cancer</v>
      </c>
      <c r="H15" t="str">
        <f>IFERROR(__xludf.DUMMYFUNCTION("""COMPUTED_VALUE"""),"Ye Cao")</f>
        <v>Ye Cao</v>
      </c>
      <c r="I15" t="str">
        <f>IFERROR(__xludf.DUMMYFUNCTION("""COMPUTED_VALUE"""),"ye.cao@bcm.edu")</f>
        <v>ye.cao@bcm.edu</v>
      </c>
      <c r="J15" s="62" t="str">
        <f>IFERROR(__xludf.DUMMYFUNCTION("""COMPUTED_VALUE"""),"Comprehensive")</f>
        <v>Comprehensive</v>
      </c>
      <c r="K15" t="str">
        <f>IFERROR(__xludf.DUMMYFUNCTION("""COMPUTED_VALUE"""),"Hereditary Cancer Gene Curation Expert Panel")</f>
        <v>Hereditary Cancer Gene Curation Expert Panel</v>
      </c>
    </row>
    <row r="16">
      <c r="A16" t="str">
        <f>IFERROR(__xludf.DUMMYFUNCTION("""COMPUTED_VALUE"""),"Unresponsive")</f>
        <v>Unresponsive</v>
      </c>
      <c r="B16" s="115">
        <f>IFERROR(__xludf.DUMMYFUNCTION("""COMPUTED_VALUE"""),43411.0)</f>
        <v>43411</v>
      </c>
      <c r="C16" s="116">
        <f>IFERROR(__xludf.DUMMYFUNCTION("""COMPUTED_VALUE"""),43446.0)</f>
        <v>43446</v>
      </c>
      <c r="D16" s="62" t="str">
        <f>IFERROR(__xludf.DUMMYFUNCTION("""COMPUTED_VALUE"""),"No")</f>
        <v>No</v>
      </c>
      <c r="E16" s="62" t="str">
        <f>IFERROR(__xludf.DUMMYFUNCTION("""COMPUTED_VALUE"""),"No")</f>
        <v>No</v>
      </c>
      <c r="F16" s="62" t="str">
        <f>IFERROR(__xludf.DUMMYFUNCTION("""COMPUTED_VALUE"""),"Gene Disease Validity")</f>
        <v>Gene Disease Validity</v>
      </c>
      <c r="G16" t="str">
        <f>IFERROR(__xludf.DUMMYFUNCTION("""COMPUTED_VALUE"""),"")</f>
        <v/>
      </c>
      <c r="H16" t="str">
        <f>IFERROR(__xludf.DUMMYFUNCTION("""COMPUTED_VALUE"""),"Samar Khalefa")</f>
        <v>Samar Khalefa</v>
      </c>
      <c r="I16" t="str">
        <f>IFERROR(__xludf.DUMMYFUNCTION("""COMPUTED_VALUE"""),"samarkhalifa@hotmail.com")</f>
        <v>samarkhalifa@hotmail.com</v>
      </c>
      <c r="J16" s="62" t="str">
        <f>IFERROR(__xludf.DUMMYFUNCTION("""COMPUTED_VALUE"""),"Comprehensive")</f>
        <v>Comprehensive</v>
      </c>
      <c r="K16" t="str">
        <f>IFERROR(__xludf.DUMMYFUNCTION("""COMPUTED_VALUE"""),"Autism and Intellectual Disability Gene Curation Expert Panel. I hope to involve in all Expert Panels/Working Groups related to brain genome.")</f>
        <v>Autism and Intellectual Disability Gene Curation Expert Panel. I hope to involve in all Expert Panels/Working Groups related to brain genome.</v>
      </c>
    </row>
    <row r="17">
      <c r="A17" t="str">
        <f>IFERROR(__xludf.DUMMYFUNCTION("""COMPUTED_VALUE"""),"Assigned")</f>
        <v>Assigned</v>
      </c>
      <c r="B17" s="115">
        <f>IFERROR(__xludf.DUMMYFUNCTION("""COMPUTED_VALUE"""),43350.0)</f>
        <v>43350</v>
      </c>
      <c r="C17" s="116">
        <f>IFERROR(__xludf.DUMMYFUNCTION("""COMPUTED_VALUE"""),43446.0)</f>
        <v>43446</v>
      </c>
      <c r="D17" s="62" t="str">
        <f>IFERROR(__xludf.DUMMYFUNCTION("""COMPUTED_VALUE"""),"Yes")</f>
        <v>Yes</v>
      </c>
      <c r="E17" s="62" t="str">
        <f>IFERROR(__xludf.DUMMYFUNCTION("""COMPUTED_VALUE"""),"Yes")</f>
        <v>Yes</v>
      </c>
      <c r="F17" s="62" t="str">
        <f>IFERROR(__xludf.DUMMYFUNCTION("""COMPUTED_VALUE"""),"Gene Disease Validity")</f>
        <v>Gene Disease Validity</v>
      </c>
      <c r="G17" t="str">
        <f>IFERROR(__xludf.DUMMYFUNCTION("""COMPUTED_VALUE"""),"Epilepsy GCEP")</f>
        <v>Epilepsy GCEP</v>
      </c>
      <c r="H17" t="str">
        <f>IFERROR(__xludf.DUMMYFUNCTION("""COMPUTED_VALUE"""),"Colin Ellis")</f>
        <v>Colin Ellis</v>
      </c>
      <c r="I17" t="str">
        <f>IFERROR(__xludf.DUMMYFUNCTION("""COMPUTED_VALUE"""),"colin.ellis@uphs.upenn.edu")</f>
        <v>colin.ellis@uphs.upenn.edu</v>
      </c>
      <c r="J17" s="62" t="str">
        <f>IFERROR(__xludf.DUMMYFUNCTION("""COMPUTED_VALUE"""),"Comprehensive")</f>
        <v>Comprehensive</v>
      </c>
      <c r="K17" t="str">
        <f>IFERROR(__xludf.DUMMYFUNCTION("""COMPUTED_VALUE"""),"Epilepsy WG")</f>
        <v>Epilepsy WG</v>
      </c>
    </row>
    <row r="18">
      <c r="A18" t="str">
        <f>IFERROR(__xludf.DUMMYFUNCTION("""COMPUTED_VALUE"""),"Declined")</f>
        <v>Declined</v>
      </c>
      <c r="B18" s="115">
        <f>IFERROR(__xludf.DUMMYFUNCTION("""COMPUTED_VALUE"""),43411.0)</f>
        <v>43411</v>
      </c>
      <c r="C18" s="116">
        <f>IFERROR(__xludf.DUMMYFUNCTION("""COMPUTED_VALUE"""),43446.0)</f>
        <v>43446</v>
      </c>
      <c r="D18" s="62" t="str">
        <f>IFERROR(__xludf.DUMMYFUNCTION("""COMPUTED_VALUE"""),"Yes")</f>
        <v>Yes</v>
      </c>
      <c r="E18" s="62" t="str">
        <f>IFERROR(__xludf.DUMMYFUNCTION("""COMPUTED_VALUE"""),"Yes")</f>
        <v>Yes</v>
      </c>
      <c r="F18" s="62" t="str">
        <f>IFERROR(__xludf.DUMMYFUNCTION("""COMPUTED_VALUE"""),"Gene Disease Validity")</f>
        <v>Gene Disease Validity</v>
      </c>
      <c r="G18" t="str">
        <f>IFERROR(__xludf.DUMMYFUNCTION("""COMPUTED_VALUE"""),"Hereditary Cancer")</f>
        <v>Hereditary Cancer</v>
      </c>
      <c r="H18" t="str">
        <f>IFERROR(__xludf.DUMMYFUNCTION("""COMPUTED_VALUE"""),"Mansour Zamanpoor")</f>
        <v>Mansour Zamanpoor</v>
      </c>
      <c r="I18" t="str">
        <f>IFERROR(__xludf.DUMMYFUNCTION("""COMPUTED_VALUE"""),"mansour.zamanpoor@ccdhb.org.nz")</f>
        <v>mansour.zamanpoor@ccdhb.org.nz</v>
      </c>
      <c r="J18" s="62" t="str">
        <f>IFERROR(__xludf.DUMMYFUNCTION("""COMPUTED_VALUE"""),"Comprehensive")</f>
        <v>Comprehensive</v>
      </c>
      <c r="K18" t="str">
        <f>IFERROR(__xludf.DUMMYFUNCTION("""COMPUTED_VALUE"""),"Hereditary cancer and neuro-developmental disorders")</f>
        <v>Hereditary cancer and neuro-developmental disorders</v>
      </c>
    </row>
    <row r="19">
      <c r="A19" t="str">
        <f>IFERROR(__xludf.DUMMYFUNCTION("""COMPUTED_VALUE"""),"Assigned")</f>
        <v>Assigned</v>
      </c>
      <c r="B19" s="115">
        <f>IFERROR(__xludf.DUMMYFUNCTION("""COMPUTED_VALUE"""),43411.0)</f>
        <v>43411</v>
      </c>
      <c r="C19" s="116">
        <f>IFERROR(__xludf.DUMMYFUNCTION("""COMPUTED_VALUE"""),43446.0)</f>
        <v>43446</v>
      </c>
      <c r="D19" s="62" t="str">
        <f>IFERROR(__xludf.DUMMYFUNCTION("""COMPUTED_VALUE"""),"Yes")</f>
        <v>Yes</v>
      </c>
      <c r="E19" s="62" t="str">
        <f>IFERROR(__xludf.DUMMYFUNCTION("""COMPUTED_VALUE"""),"Yes")</f>
        <v>Yes</v>
      </c>
      <c r="F19" s="62" t="str">
        <f>IFERROR(__xludf.DUMMYFUNCTION("""COMPUTED_VALUE"""),"Gene Disease Validity")</f>
        <v>Gene Disease Validity</v>
      </c>
      <c r="G19" t="str">
        <f>IFERROR(__xludf.DUMMYFUNCTION("""COMPUTED_VALUE"""),"Epilepsy ")</f>
        <v>Epilepsy </v>
      </c>
      <c r="H19" t="str">
        <f>IFERROR(__xludf.DUMMYFUNCTION("""COMPUTED_VALUE"""),"Benjamin Kang")</f>
        <v>Benjamin Kang</v>
      </c>
      <c r="I19" t="str">
        <f>IFERROR(__xludf.DUMMYFUNCTION("""COMPUTED_VALUE"""),"bekang@emory.edu")</f>
        <v>bekang@emory.edu</v>
      </c>
      <c r="J19" s="62" t="str">
        <f>IFERROR(__xludf.DUMMYFUNCTION("""COMPUTED_VALUE"""),"Comprehensive")</f>
        <v>Comprehensive</v>
      </c>
      <c r="K19" t="str">
        <f>IFERROR(__xludf.DUMMYFUNCTION("""COMPUTED_VALUE"""),"I am interested in a couple of ClinGen Expert Panel/Working Group, 1)Cardiovascular Dilated Cardiomyopathy Gene Curation Expert Panel, 2) Rett Angelman Variant Curation Expert Panel. However, if there is any other expert panel/working group needs my help,"&amp;" I am more than happy to participate in it.")</f>
        <v>I am interested in a couple of ClinGen Expert Panel/Working Group, 1)Cardiovascular Dilated Cardiomyopathy Gene Curation Expert Panel, 2) Rett Angelman Variant Curation Expert Panel. However, if there is any other expert panel/working group needs my help, I am more than happy to participate in it.</v>
      </c>
    </row>
    <row r="20">
      <c r="A20" t="str">
        <f>IFERROR(__xludf.DUMMYFUNCTION("""COMPUTED_VALUE"""),"Contacted")</f>
        <v>Contacted</v>
      </c>
      <c r="B20" t="str">
        <f>IFERROR(__xludf.DUMMYFUNCTION("""COMPUTED_VALUE"""),"")</f>
        <v/>
      </c>
      <c r="C20" s="116">
        <f>IFERROR(__xludf.DUMMYFUNCTION("""COMPUTED_VALUE"""),43585.0)</f>
        <v>43585</v>
      </c>
      <c r="D20" s="62" t="str">
        <f>IFERROR(__xludf.DUMMYFUNCTION("""COMPUTED_VALUE"""),"Yes")</f>
        <v>Yes</v>
      </c>
      <c r="E20" s="62" t="str">
        <f>IFERROR(__xludf.DUMMYFUNCTION("""COMPUTED_VALUE"""),"Yes")</f>
        <v>Yes</v>
      </c>
      <c r="F20" s="62" t="str">
        <f>IFERROR(__xludf.DUMMYFUNCTION("""COMPUTED_VALUE"""),"Gene Disease Validity")</f>
        <v>Gene Disease Validity</v>
      </c>
      <c r="G20" t="str">
        <f>IFERROR(__xludf.DUMMYFUNCTION("""COMPUTED_VALUE"""),"Aminoacidopathy")</f>
        <v>Aminoacidopathy</v>
      </c>
      <c r="H20" t="str">
        <f>IFERROR(__xludf.DUMMYFUNCTION("""COMPUTED_VALUE"""),"Ljubica Caldovic")</f>
        <v>Ljubica Caldovic</v>
      </c>
      <c r="I20" t="str">
        <f>IFERROR(__xludf.DUMMYFUNCTION("""COMPUTED_VALUE"""),"lcaldovic@childrensnational.org")</f>
        <v>lcaldovic@childrensnational.org</v>
      </c>
      <c r="J20" s="62" t="str">
        <f>IFERROR(__xludf.DUMMYFUNCTION("""COMPUTED_VALUE"""),"Comprehensive")</f>
        <v>Comprehensive</v>
      </c>
      <c r="K20" t="str">
        <f>IFERROR(__xludf.DUMMYFUNCTION("""COMPUTED_VALUE"""),"Aminoacidopathy working group/expert panel; Metabolism expert panel")</f>
        <v>Aminoacidopathy working group/expert panel; Metabolism expert panel</v>
      </c>
    </row>
    <row r="21">
      <c r="A21" t="str">
        <f>IFERROR(__xludf.DUMMYFUNCTION("""COMPUTED_VALUE"""),"Assigned")</f>
        <v>Assigned</v>
      </c>
      <c r="B21" s="115">
        <f>IFERROR(__xludf.DUMMYFUNCTION("""COMPUTED_VALUE"""),43347.0)</f>
        <v>43347</v>
      </c>
      <c r="C21" s="116">
        <f>IFERROR(__xludf.DUMMYFUNCTION("""COMPUTED_VALUE"""),43446.0)</f>
        <v>43446</v>
      </c>
      <c r="D21" s="62" t="str">
        <f>IFERROR(__xludf.DUMMYFUNCTION("""COMPUTED_VALUE"""),"No")</f>
        <v>No</v>
      </c>
      <c r="E21" s="62" t="str">
        <f>IFERROR(__xludf.DUMMYFUNCTION("""COMPUTED_VALUE"""),"No")</f>
        <v>No</v>
      </c>
      <c r="F21" s="62" t="str">
        <f>IFERROR(__xludf.DUMMYFUNCTION("""COMPUTED_VALUE"""),"Gene Disease Validity")</f>
        <v>Gene Disease Validity</v>
      </c>
      <c r="G21" t="str">
        <f>IFERROR(__xludf.DUMMYFUNCTION("""COMPUTED_VALUE"""),"Epilepsy ")</f>
        <v>Epilepsy </v>
      </c>
      <c r="H21" t="str">
        <f>IFERROR(__xludf.DUMMYFUNCTION("""COMPUTED_VALUE"""),"John Millichap")</f>
        <v>John Millichap</v>
      </c>
      <c r="I21" t="str">
        <f>IFERROR(__xludf.DUMMYFUNCTION("""COMPUTED_VALUE"""),"jmillichap@luriechildrens.org")</f>
        <v>jmillichap@luriechildrens.org</v>
      </c>
      <c r="J21" s="62" t="str">
        <f>IFERROR(__xludf.DUMMYFUNCTION("""COMPUTED_VALUE"""),"Comprehensive")</f>
        <v>Comprehensive</v>
      </c>
      <c r="K21" t="str">
        <f>IFERROR(__xludf.DUMMYFUNCTION("""COMPUTED_VALUE"""),"Epilepsy WG/EP")</f>
        <v>Epilepsy WG/EP</v>
      </c>
    </row>
    <row r="22" ht="21.0" customHeight="1">
      <c r="A22" t="str">
        <f>IFERROR(__xludf.DUMMYFUNCTION("""COMPUTED_VALUE"""),"Contacted")</f>
        <v>Contacted</v>
      </c>
      <c r="B22" s="115">
        <f>IFERROR(__xludf.DUMMYFUNCTION("""COMPUTED_VALUE"""),43411.0)</f>
        <v>43411</v>
      </c>
      <c r="C22" s="116">
        <f>IFERROR(__xludf.DUMMYFUNCTION("""COMPUTED_VALUE"""),43446.0)</f>
        <v>43446</v>
      </c>
      <c r="D22" s="62" t="str">
        <f>IFERROR(__xludf.DUMMYFUNCTION("""COMPUTED_VALUE"""),"No")</f>
        <v>No</v>
      </c>
      <c r="E22" s="62" t="str">
        <f>IFERROR(__xludf.DUMMYFUNCTION("""COMPUTED_VALUE"""),"No")</f>
        <v>No</v>
      </c>
      <c r="F22" s="62" t="str">
        <f>IFERROR(__xludf.DUMMYFUNCTION("""COMPUTED_VALUE"""),"NA")</f>
        <v>NA</v>
      </c>
      <c r="G22" t="str">
        <f>IFERROR(__xludf.DUMMYFUNCTION("""COMPUTED_VALUE"""),"")</f>
        <v/>
      </c>
      <c r="H22" t="str">
        <f>IFERROR(__xludf.DUMMYFUNCTION("""COMPUTED_VALUE"""),"Vladimir Lialine")</f>
        <v>Vladimir Lialine</v>
      </c>
      <c r="I22" t="str">
        <f>IFERROR(__xludf.DUMMYFUNCTION("""COMPUTED_VALUE"""),"vlad@twixsoft.com")</f>
        <v>vlad@twixsoft.com</v>
      </c>
      <c r="J22" s="62" t="str">
        <f>IFERROR(__xludf.DUMMYFUNCTION("""COMPUTED_VALUE"""),"Comprehensive")</f>
        <v>Comprehensive</v>
      </c>
      <c r="K22" t="str">
        <f>IFERROR(__xludf.DUMMYFUNCTION("""COMPUTED_VALUE"""),"No")</f>
        <v>No</v>
      </c>
    </row>
    <row r="23">
      <c r="A23" t="str">
        <f>IFERROR(__xludf.DUMMYFUNCTION("""COMPUTED_VALUE"""),"Contacted")</f>
        <v>Contacted</v>
      </c>
      <c r="B23" s="116">
        <f>IFERROR(__xludf.DUMMYFUNCTION("""COMPUTED_VALUE"""),43430.0)</f>
        <v>43430</v>
      </c>
      <c r="C23" s="116">
        <f>IFERROR(__xludf.DUMMYFUNCTION("""COMPUTED_VALUE"""),43446.0)</f>
        <v>43446</v>
      </c>
      <c r="D23" s="62" t="str">
        <f>IFERROR(__xludf.DUMMYFUNCTION("""COMPUTED_VALUE"""),"Yes")</f>
        <v>Yes</v>
      </c>
      <c r="E23" s="62" t="str">
        <f>IFERROR(__xludf.DUMMYFUNCTION("""COMPUTED_VALUE"""),"No")</f>
        <v>No</v>
      </c>
      <c r="F23" s="62" t="str">
        <f>IFERROR(__xludf.DUMMYFUNCTION("""COMPUTED_VALUE"""),"Gene Disease Validity")</f>
        <v>Gene Disease Validity</v>
      </c>
      <c r="G23" t="str">
        <f>IFERROR(__xludf.DUMMYFUNCTION("""COMPUTED_VALUE"""),"")</f>
        <v/>
      </c>
      <c r="H23" t="str">
        <f>IFERROR(__xludf.DUMMYFUNCTION("""COMPUTED_VALUE"""),"Vaidehi Jobanputra")</f>
        <v>Vaidehi Jobanputra</v>
      </c>
      <c r="I23" t="str">
        <f>IFERROR(__xludf.DUMMYFUNCTION("""COMPUTED_VALUE"""),"vjobanputra@nygenome.org")</f>
        <v>vjobanputra@nygenome.org</v>
      </c>
      <c r="J23" s="62" t="str">
        <f>IFERROR(__xludf.DUMMYFUNCTION("""COMPUTED_VALUE"""),"Comprehensive")</f>
        <v>Comprehensive</v>
      </c>
      <c r="K23" t="str">
        <f>IFERROR(__xludf.DUMMYFUNCTION("""COMPUTED_VALUE"""),"No")</f>
        <v>No</v>
      </c>
    </row>
    <row r="24">
      <c r="A24" t="str">
        <f>IFERROR(__xludf.DUMMYFUNCTION("""COMPUTED_VALUE"""),"Contacted")</f>
        <v>Contacted</v>
      </c>
      <c r="B24" t="str">
        <f>IFERROR(__xludf.DUMMYFUNCTION("""COMPUTED_VALUE"""),"11/07/18
REcontacted June 2019 and responsive, changed status")</f>
        <v>11/07/18
REcontacted June 2019 and responsive, changed status</v>
      </c>
      <c r="C24" s="116">
        <f>IFERROR(__xludf.DUMMYFUNCTION("""COMPUTED_VALUE"""),43446.0)</f>
        <v>43446</v>
      </c>
      <c r="D24" s="62" t="str">
        <f>IFERROR(__xludf.DUMMYFUNCTION("""COMPUTED_VALUE"""),"No")</f>
        <v>No</v>
      </c>
      <c r="E24" s="62" t="str">
        <f>IFERROR(__xludf.DUMMYFUNCTION("""COMPUTED_VALUE"""),"No")</f>
        <v>No</v>
      </c>
      <c r="F24" s="62" t="str">
        <f>IFERROR(__xludf.DUMMYFUNCTION("""COMPUTED_VALUE"""),"Gene Disease Validity")</f>
        <v>Gene Disease Validity</v>
      </c>
      <c r="G24" t="str">
        <f>IFERROR(__xludf.DUMMYFUNCTION("""COMPUTED_VALUE"""),"")</f>
        <v/>
      </c>
      <c r="H24" t="str">
        <f>IFERROR(__xludf.DUMMYFUNCTION("""COMPUTED_VALUE"""),"Khushnooda Ramzan")</f>
        <v>Khushnooda Ramzan</v>
      </c>
      <c r="I24" t="str">
        <f>IFERROR(__xludf.DUMMYFUNCTION("""COMPUTED_VALUE"""),"khushnooda@gmail.com")</f>
        <v>khushnooda@gmail.com</v>
      </c>
      <c r="J24" s="62" t="str">
        <f>IFERROR(__xludf.DUMMYFUNCTION("""COMPUTED_VALUE"""),"Comprehensive")</f>
        <v>Comprehensive</v>
      </c>
      <c r="K24" t="str">
        <f>IFERROR(__xludf.DUMMYFUNCTION("""COMPUTED_VALUE"""),"Experience with Mendelian disorders, not noted for curation. Hearing Loss (most experience with pubs), Cardiovascular KCNQ1 Variant
Storage Diseases Variant Curation Expert Panel")</f>
        <v>Experience with Mendelian disorders, not noted for curation. Hearing Loss (most experience with pubs), Cardiovascular KCNQ1 Variant
Storage Diseases Variant Curation Expert Panel</v>
      </c>
    </row>
    <row r="25">
      <c r="A25" t="str">
        <f>IFERROR(__xludf.DUMMYFUNCTION("""COMPUTED_VALUE"""),"Contacted")</f>
        <v>Contacted</v>
      </c>
      <c r="B25" s="116" t="str">
        <f>IFERROR(__xludf.DUMMYFUNCTION("""COMPUTED_VALUE"""),"")</f>
        <v/>
      </c>
      <c r="C25" s="114">
        <f>IFERROR(__xludf.DUMMYFUNCTION("""COMPUTED_VALUE"""),43585.0)</f>
        <v>43585</v>
      </c>
      <c r="D25" s="62" t="str">
        <f>IFERROR(__xludf.DUMMYFUNCTION("""COMPUTED_VALUE"""),"Yes")</f>
        <v>Yes</v>
      </c>
      <c r="E25" s="62" t="str">
        <f>IFERROR(__xludf.DUMMYFUNCTION("""COMPUTED_VALUE"""),"No")</f>
        <v>No</v>
      </c>
      <c r="F25" s="62" t="str">
        <f>IFERROR(__xludf.DUMMYFUNCTION("""COMPUTED_VALUE"""),"Gene Disease Validity")</f>
        <v>Gene Disease Validity</v>
      </c>
      <c r="G25" t="str">
        <f>IFERROR(__xludf.DUMMYFUNCTION("""COMPUTED_VALUE"""),"Epilepsy")</f>
        <v>Epilepsy</v>
      </c>
      <c r="H25" t="str">
        <f>IFERROR(__xludf.DUMMYFUNCTION("""COMPUTED_VALUE"""),"Erik Thorland")</f>
        <v>Erik Thorland</v>
      </c>
      <c r="I25" t="str">
        <f>IFERROR(__xludf.DUMMYFUNCTION("""COMPUTED_VALUE"""),"thorland.erik@mayo.edu")</f>
        <v>thorland.erik@mayo.edu</v>
      </c>
      <c r="J25" s="62" t="str">
        <f>IFERROR(__xludf.DUMMYFUNCTION("""COMPUTED_VALUE"""),"Comprehensive")</f>
        <v>Comprehensive</v>
      </c>
      <c r="K25" t="str">
        <f>IFERROR(__xludf.DUMMYFUNCTION("""COMPUTED_VALUE"""),"I'm specifically interested in the epilespy gene curation group.  I'm already involved in the dosage sensitivity working group.")</f>
        <v>I'm specifically interested in the epilespy gene curation group.  I'm already involved in the dosage sensitivity working group.</v>
      </c>
    </row>
    <row r="26">
      <c r="A26" t="str">
        <f>IFERROR(__xludf.DUMMYFUNCTION("""COMPUTED_VALUE"""),"Assigned")</f>
        <v>Assigned</v>
      </c>
      <c r="B26" s="115">
        <f>IFERROR(__xludf.DUMMYFUNCTION("""COMPUTED_VALUE"""),43437.0)</f>
        <v>43437</v>
      </c>
      <c r="C26" s="116">
        <f>IFERROR(__xludf.DUMMYFUNCTION("""COMPUTED_VALUE"""),43446.0)</f>
        <v>43446</v>
      </c>
      <c r="D26" s="62" t="str">
        <f>IFERROR(__xludf.DUMMYFUNCTION("""COMPUTED_VALUE"""),"Yes")</f>
        <v>Yes</v>
      </c>
      <c r="E26" s="62" t="str">
        <f>IFERROR(__xludf.DUMMYFUNCTION("""COMPUTED_VALUE"""),"Yes")</f>
        <v>Yes</v>
      </c>
      <c r="F26" s="62" t="str">
        <f>IFERROR(__xludf.DUMMYFUNCTION("""COMPUTED_VALUE"""),"Gene Disease Validity")</f>
        <v>Gene Disease Validity</v>
      </c>
      <c r="G26" t="str">
        <f>IFERROR(__xludf.DUMMYFUNCTION("""COMPUTED_VALUE"""),"ID Autism")</f>
        <v>ID Autism</v>
      </c>
      <c r="H26" t="str">
        <f>IFERROR(__xludf.DUMMYFUNCTION("""COMPUTED_VALUE"""),"Olivia Rennie")</f>
        <v>Olivia Rennie</v>
      </c>
      <c r="I26" t="str">
        <f>IFERROR(__xludf.DUMMYFUNCTION("""COMPUTED_VALUE"""),"olivia.rennie@sickkids.ca")</f>
        <v>olivia.rennie@sickkids.ca</v>
      </c>
      <c r="J26" s="62" t="str">
        <f>IFERROR(__xludf.DUMMYFUNCTION("""COMPUTED_VALUE"""),"Comprehensive")</f>
        <v>Comprehensive</v>
      </c>
      <c r="K26" t="str">
        <f>IFERROR(__xludf.DUMMYFUNCTION("""COMPUTED_VALUE"""),"ID/Autism Gene Curation Expert Panel")</f>
        <v>ID/Autism Gene Curation Expert Panel</v>
      </c>
    </row>
    <row r="27">
      <c r="A27" t="str">
        <f>IFERROR(__xludf.DUMMYFUNCTION("""COMPUTED_VALUE"""),"Declined")</f>
        <v>Declined</v>
      </c>
      <c r="B27" s="115">
        <f>IFERROR(__xludf.DUMMYFUNCTION("""COMPUTED_VALUE"""),43437.0)</f>
        <v>43437</v>
      </c>
      <c r="C27" s="116">
        <f>IFERROR(__xludf.DUMMYFUNCTION("""COMPUTED_VALUE"""),43446.0)</f>
        <v>43446</v>
      </c>
      <c r="D27" s="62" t="str">
        <f>IFERROR(__xludf.DUMMYFUNCTION("""COMPUTED_VALUE"""),"Yes")</f>
        <v>Yes</v>
      </c>
      <c r="E27" s="62" t="str">
        <f>IFERROR(__xludf.DUMMYFUNCTION("""COMPUTED_VALUE"""),"Yes")</f>
        <v>Yes</v>
      </c>
      <c r="F27" s="62" t="str">
        <f>IFERROR(__xludf.DUMMYFUNCTION("""COMPUTED_VALUE"""),"Gene Disease Validity")</f>
        <v>Gene Disease Validity</v>
      </c>
      <c r="G27" t="str">
        <f>IFERROR(__xludf.DUMMYFUNCTION("""COMPUTED_VALUE"""),"ID Autism")</f>
        <v>ID Autism</v>
      </c>
      <c r="H27" t="str">
        <f>IFERROR(__xludf.DUMMYFUNCTION("""COMPUTED_VALUE"""),"Kira Dies")</f>
        <v>Kira Dies</v>
      </c>
      <c r="I27" t="str">
        <f>IFERROR(__xludf.DUMMYFUNCTION("""COMPUTED_VALUE"""),"Kira.Dies@childrens.harvard.edu")</f>
        <v>Kira.Dies@childrens.harvard.edu</v>
      </c>
      <c r="J27" s="62" t="str">
        <f>IFERROR(__xludf.DUMMYFUNCTION("""COMPUTED_VALUE"""),"Comprehensive")</f>
        <v>Comprehensive</v>
      </c>
      <c r="K27" t="str">
        <f>IFERROR(__xludf.DUMMYFUNCTION("""COMPUTED_VALUE"""),"ASD/NDD")</f>
        <v>ASD/NDD</v>
      </c>
    </row>
    <row r="28">
      <c r="A28" t="str">
        <f>IFERROR(__xludf.DUMMYFUNCTION("""COMPUTED_VALUE"""),"Assigned")</f>
        <v>Assigned</v>
      </c>
      <c r="B28" s="115">
        <f>IFERROR(__xludf.DUMMYFUNCTION("""COMPUTED_VALUE"""),43341.0)</f>
        <v>43341</v>
      </c>
      <c r="C28" s="115">
        <f>IFERROR(__xludf.DUMMYFUNCTION("""COMPUTED_VALUE"""),43341.0)</f>
        <v>43341</v>
      </c>
      <c r="D28" s="62" t="str">
        <f>IFERROR(__xludf.DUMMYFUNCTION("""COMPUTED_VALUE"""),"Yes")</f>
        <v>Yes</v>
      </c>
      <c r="E28" s="62" t="str">
        <f>IFERROR(__xludf.DUMMYFUNCTION("""COMPUTED_VALUE"""),"Yes")</f>
        <v>Yes</v>
      </c>
      <c r="F28" s="62" t="str">
        <f>IFERROR(__xludf.DUMMYFUNCTION("""COMPUTED_VALUE"""),"Gene Disease Validity")</f>
        <v>Gene Disease Validity</v>
      </c>
      <c r="G28" t="str">
        <f>IFERROR(__xludf.DUMMYFUNCTION("""COMPUTED_VALUE"""),"Hereditary Cancer")</f>
        <v>Hereditary Cancer</v>
      </c>
      <c r="H28" t="str">
        <f>IFERROR(__xludf.DUMMYFUNCTION("""COMPUTED_VALUE"""),"Sainan Wei")</f>
        <v>Sainan Wei</v>
      </c>
      <c r="I28" t="str">
        <f>IFERROR(__xludf.DUMMYFUNCTION("""COMPUTED_VALUE"""),"sainan.wei@uky.edu ")</f>
        <v>sainan.wei@uky.edu </v>
      </c>
      <c r="J28" s="62" t="str">
        <f>IFERROR(__xludf.DUMMYFUNCTION("""COMPUTED_VALUE"""),"Comprehensive")</f>
        <v>Comprehensive</v>
      </c>
      <c r="K28" t="str">
        <f>IFERROR(__xludf.DUMMYFUNCTION("""COMPUTED_VALUE"""),"Hereditary cancer gene Aminoacidopathy gene fatty acid oxidation gene")</f>
        <v>Hereditary cancer gene Aminoacidopathy gene fatty acid oxidation gene</v>
      </c>
    </row>
    <row r="29">
      <c r="A29" t="str">
        <f>IFERROR(__xludf.DUMMYFUNCTION("""COMPUTED_VALUE"""),"Contacted")</f>
        <v>Contacted</v>
      </c>
      <c r="B29" s="115">
        <f>IFERROR(__xludf.DUMMYFUNCTION("""COMPUTED_VALUE"""),43439.0)</f>
        <v>43439</v>
      </c>
      <c r="C29" s="116">
        <f>IFERROR(__xludf.DUMMYFUNCTION("""COMPUTED_VALUE"""),43446.0)</f>
        <v>43446</v>
      </c>
      <c r="D29" s="62" t="str">
        <f>IFERROR(__xludf.DUMMYFUNCTION("""COMPUTED_VALUE"""),"Yes")</f>
        <v>Yes</v>
      </c>
      <c r="E29" s="62" t="str">
        <f>IFERROR(__xludf.DUMMYFUNCTION("""COMPUTED_VALUE"""),"No")</f>
        <v>No</v>
      </c>
      <c r="F29" s="62" t="str">
        <f>IFERROR(__xludf.DUMMYFUNCTION("""COMPUTED_VALUE"""),"Gene Disease Validity")</f>
        <v>Gene Disease Validity</v>
      </c>
      <c r="G29" t="str">
        <f>IFERROR(__xludf.DUMMYFUNCTION("""COMPUTED_VALUE"""),"")</f>
        <v/>
      </c>
      <c r="H29" t="str">
        <f>IFERROR(__xludf.DUMMYFUNCTION("""COMPUTED_VALUE"""),"Elaine Spector ")</f>
        <v>Elaine Spector </v>
      </c>
      <c r="I29" t="str">
        <f>IFERROR(__xludf.DUMMYFUNCTION("""COMPUTED_VALUE"""),"elaine.spector@childrenscolorado.org")</f>
        <v>elaine.spector@childrenscolorado.org</v>
      </c>
      <c r="J29" s="62" t="str">
        <f>IFERROR(__xludf.DUMMYFUNCTION("""COMPUTED_VALUE"""),"Comprehensive")</f>
        <v>Comprehensive</v>
      </c>
      <c r="K29" t="str">
        <f>IFERROR(__xludf.DUMMYFUNCTION("""COMPUTED_VALUE"""),"Inborn Errors of Metabolism Clinical Domain Working Group . Amino Acid and Fatty Acid Working Groups.")</f>
        <v>Inborn Errors of Metabolism Clinical Domain Working Group . Amino Acid and Fatty Acid Working Groups.</v>
      </c>
    </row>
    <row r="30">
      <c r="A30" t="str">
        <f>IFERROR(__xludf.DUMMYFUNCTION("""COMPUTED_VALUE"""),"Declined")</f>
        <v>Declined</v>
      </c>
      <c r="B30" s="115">
        <f>IFERROR(__xludf.DUMMYFUNCTION("""COMPUTED_VALUE"""),43437.0)</f>
        <v>43437</v>
      </c>
      <c r="C30" s="116">
        <f>IFERROR(__xludf.DUMMYFUNCTION("""COMPUTED_VALUE"""),43446.0)</f>
        <v>43446</v>
      </c>
      <c r="D30" s="62" t="str">
        <f>IFERROR(__xludf.DUMMYFUNCTION("""COMPUTED_VALUE"""),"Yes")</f>
        <v>Yes</v>
      </c>
      <c r="E30" s="62" t="str">
        <f>IFERROR(__xludf.DUMMYFUNCTION("""COMPUTED_VALUE"""),"Yes")</f>
        <v>Yes</v>
      </c>
      <c r="F30" s="62" t="str">
        <f>IFERROR(__xludf.DUMMYFUNCTION("""COMPUTED_VALUE"""),"Gene Disease Validity")</f>
        <v>Gene Disease Validity</v>
      </c>
      <c r="G30" t="str">
        <f>IFERROR(__xludf.DUMMYFUNCTION("""COMPUTED_VALUE"""),"ID Autism")</f>
        <v>ID Autism</v>
      </c>
      <c r="H30" t="str">
        <f>IFERROR(__xludf.DUMMYFUNCTION("""COMPUTED_VALUE"""),"Ny Hoang")</f>
        <v>Ny Hoang</v>
      </c>
      <c r="I30" t="str">
        <f>IFERROR(__xludf.DUMMYFUNCTION("""COMPUTED_VALUE"""),"ny.hoang@sickkids.ca")</f>
        <v>ny.hoang@sickkids.ca</v>
      </c>
      <c r="J30" s="62" t="str">
        <f>IFERROR(__xludf.DUMMYFUNCTION("""COMPUTED_VALUE"""),"Comprehensive")</f>
        <v>Comprehensive</v>
      </c>
      <c r="K30" t="str">
        <f>IFERROR(__xludf.DUMMYFUNCTION("""COMPUTED_VALUE"""),"Autism and ID working group")</f>
        <v>Autism and ID working group</v>
      </c>
    </row>
    <row r="31">
      <c r="A31" t="str">
        <f>IFERROR(__xludf.DUMMYFUNCTION("""COMPUTED_VALUE"""),"Assigned")</f>
        <v>Assigned</v>
      </c>
      <c r="B31" s="115">
        <f>IFERROR(__xludf.DUMMYFUNCTION("""COMPUTED_VALUE"""),43437.0)</f>
        <v>43437</v>
      </c>
      <c r="C31" s="116">
        <f>IFERROR(__xludf.DUMMYFUNCTION("""COMPUTED_VALUE"""),43446.0)</f>
        <v>43446</v>
      </c>
      <c r="D31" s="62" t="str">
        <f>IFERROR(__xludf.DUMMYFUNCTION("""COMPUTED_VALUE"""),"No")</f>
        <v>No</v>
      </c>
      <c r="E31" s="62" t="str">
        <f>IFERROR(__xludf.DUMMYFUNCTION("""COMPUTED_VALUE"""),"No")</f>
        <v>No</v>
      </c>
      <c r="F31" s="62" t="str">
        <f>IFERROR(__xludf.DUMMYFUNCTION("""COMPUTED_VALUE"""),"Gene Disease Validity")</f>
        <v>Gene Disease Validity</v>
      </c>
      <c r="G31" t="str">
        <f>IFERROR(__xludf.DUMMYFUNCTION("""COMPUTED_VALUE"""),"ID Autism")</f>
        <v>ID Autism</v>
      </c>
      <c r="H31" t="str">
        <f>IFERROR(__xludf.DUMMYFUNCTION("""COMPUTED_VALUE"""),"Jacob Vorstman")</f>
        <v>Jacob Vorstman</v>
      </c>
      <c r="I31" t="str">
        <f>IFERROR(__xludf.DUMMYFUNCTION("""COMPUTED_VALUE"""),"jacob.vorstman@sickkids.ca")</f>
        <v>jacob.vorstman@sickkids.ca</v>
      </c>
      <c r="J31" s="62" t="str">
        <f>IFERROR(__xludf.DUMMYFUNCTION("""COMPUTED_VALUE"""),"Comprehensive")</f>
        <v>Comprehensive</v>
      </c>
      <c r="K31" t="str">
        <f>IFERROR(__xludf.DUMMYFUNCTION("""COMPUTED_VALUE"""),"Autism Spectrum Disorder - see previous and ongoing discussions following the Toronto ASD gene list meeting this fall")</f>
        <v>Autism Spectrum Disorder - see previous and ongoing discussions following the Toronto ASD gene list meeting this fall</v>
      </c>
    </row>
    <row r="32">
      <c r="A32" t="str">
        <f>IFERROR(__xludf.DUMMYFUNCTION("""COMPUTED_VALUE"""),"Contacted")</f>
        <v>Contacted</v>
      </c>
      <c r="B32" t="str">
        <f>IFERROR(__xludf.DUMMYFUNCTION("""COMPUTED_VALUE"""),"")</f>
        <v/>
      </c>
      <c r="C32" s="114">
        <f>IFERROR(__xludf.DUMMYFUNCTION("""COMPUTED_VALUE"""),43692.0)</f>
        <v>43692</v>
      </c>
      <c r="D32" s="62" t="str">
        <f>IFERROR(__xludf.DUMMYFUNCTION("""COMPUTED_VALUE"""),"Yes")</f>
        <v>Yes</v>
      </c>
      <c r="E32" s="62" t="str">
        <f>IFERROR(__xludf.DUMMYFUNCTION("""COMPUTED_VALUE"""),"No")</f>
        <v>No</v>
      </c>
      <c r="F32" s="62" t="str">
        <f>IFERROR(__xludf.DUMMYFUNCTION("""COMPUTED_VALUE"""),"Gene Disease Validity")</f>
        <v>Gene Disease Validity</v>
      </c>
      <c r="G32" t="str">
        <f>IFERROR(__xludf.DUMMYFUNCTION("""COMPUTED_VALUE"""),"")</f>
        <v/>
      </c>
      <c r="H32" t="str">
        <f>IFERROR(__xludf.DUMMYFUNCTION("""COMPUTED_VALUE"""),"Szabolcs Szelinger")</f>
        <v>Szabolcs Szelinger</v>
      </c>
      <c r="I32" t="str">
        <f>IFERROR(__xludf.DUMMYFUNCTION("""COMPUTED_VALUE"""),"sszelinger@tgen.org")</f>
        <v>sszelinger@tgen.org</v>
      </c>
      <c r="J32" s="62" t="str">
        <f>IFERROR(__xludf.DUMMYFUNCTION("""COMPUTED_VALUE"""),"Comprehensive")</f>
        <v>Comprehensive</v>
      </c>
      <c r="K32" t="str">
        <f>IFERROR(__xludf.DUMMYFUNCTION("""COMPUTED_VALUE"""),"There are many interesting groups such as the mitochondrial disease, inherited cardiomyopathy, Epilepsy and Somatic TP53 group.")</f>
        <v>There are many interesting groups such as the mitochondrial disease, inherited cardiomyopathy, Epilepsy and Somatic TP53 group.</v>
      </c>
    </row>
    <row r="33">
      <c r="A33" t="str">
        <f>IFERROR(__xludf.DUMMYFUNCTION("""COMPUTED_VALUE"""),"Contacted")</f>
        <v>Contacted</v>
      </c>
      <c r="B33" t="str">
        <f>IFERROR(__xludf.DUMMYFUNCTION("""COMPUTED_VALUE"""),"")</f>
        <v/>
      </c>
      <c r="C33" s="114">
        <f>IFERROR(__xludf.DUMMYFUNCTION("""COMPUTED_VALUE"""),43696.0)</f>
        <v>43696</v>
      </c>
      <c r="D33" s="62" t="str">
        <f>IFERROR(__xludf.DUMMYFUNCTION("""COMPUTED_VALUE"""),"Yes")</f>
        <v>Yes</v>
      </c>
      <c r="E33" s="62" t="str">
        <f>IFERROR(__xludf.DUMMYFUNCTION("""COMPUTED_VALUE"""),"No")</f>
        <v>No</v>
      </c>
      <c r="F33" s="62" t="str">
        <f>IFERROR(__xludf.DUMMYFUNCTION("""COMPUTED_VALUE"""),"Gene Disease Validity")</f>
        <v>Gene Disease Validity</v>
      </c>
      <c r="G33" t="str">
        <f>IFERROR(__xludf.DUMMYFUNCTION("""COMPUTED_VALUE"""),"")</f>
        <v/>
      </c>
      <c r="H33" t="str">
        <f>IFERROR(__xludf.DUMMYFUNCTION("""COMPUTED_VALUE"""),"Brooke H. Miller")</f>
        <v>Brooke H. Miller</v>
      </c>
      <c r="I33" t="str">
        <f>IFERROR(__xludf.DUMMYFUNCTION("""COMPUTED_VALUE"""),"brooke.h.miller@gmail.com")</f>
        <v>brooke.h.miller@gmail.com</v>
      </c>
      <c r="J33" s="62" t="str">
        <f>IFERROR(__xludf.DUMMYFUNCTION("""COMPUTED_VALUE"""),"Comprehensive")</f>
        <v>Comprehensive</v>
      </c>
      <c r="K33" t="str">
        <f>IFERROR(__xludf.DUMMYFUNCTION("""COMPUTED_VALUE"""),"Not at the moment, but wouldn't rule out future involvement")</f>
        <v>Not at the moment, but wouldn't rule out future involvement</v>
      </c>
    </row>
    <row r="34">
      <c r="A34" t="str">
        <f>IFERROR(__xludf.DUMMYFUNCTION("""COMPUTED_VALUE"""),"Contacted")</f>
        <v>Contacted</v>
      </c>
      <c r="B34" t="str">
        <f>IFERROR(__xludf.DUMMYFUNCTION("""COMPUTED_VALUE"""),"")</f>
        <v/>
      </c>
      <c r="C34" s="120">
        <f>IFERROR(__xludf.DUMMYFUNCTION("""COMPUTED_VALUE"""),43570.0)</f>
        <v>43570</v>
      </c>
      <c r="D34" s="62" t="str">
        <f>IFERROR(__xludf.DUMMYFUNCTION("""COMPUTED_VALUE"""),"Yes")</f>
        <v>Yes</v>
      </c>
      <c r="E34" s="62" t="str">
        <f>IFERROR(__xludf.DUMMYFUNCTION("""COMPUTED_VALUE"""),"Yes")</f>
        <v>Yes</v>
      </c>
      <c r="F34" s="62" t="str">
        <f>IFERROR(__xludf.DUMMYFUNCTION("""COMPUTED_VALUE"""),"Gene Disease Validity")</f>
        <v>Gene Disease Validity</v>
      </c>
      <c r="G34" t="str">
        <f>IFERROR(__xludf.DUMMYFUNCTION("""COMPUTED_VALUE"""),"Aminoacidopathy")</f>
        <v>Aminoacidopathy</v>
      </c>
      <c r="H34" t="str">
        <f>IFERROR(__xludf.DUMMYFUNCTION("""COMPUTED_VALUE"""),"Nilufar Inamdar")</f>
        <v>Nilufar Inamdar</v>
      </c>
      <c r="I34" t="str">
        <f>IFERROR(__xludf.DUMMYFUNCTION("""COMPUTED_VALUE"""),"inamdar555@yahoo.com")</f>
        <v>inamdar555@yahoo.com</v>
      </c>
      <c r="J34" s="62" t="str">
        <f>IFERROR(__xludf.DUMMYFUNCTION("""COMPUTED_VALUE"""),"Comprehensive")</f>
        <v>Comprehensive</v>
      </c>
      <c r="K34" t="str">
        <f>IFERROR(__xludf.DUMMYFUNCTION("""COMPUTED_VALUE"""),"Mitochondrial or Aminoaciopathy")</f>
        <v>Mitochondrial or Aminoaciopathy</v>
      </c>
    </row>
    <row r="35">
      <c r="A35" t="str">
        <f>IFERROR(__xludf.DUMMYFUNCTION("""COMPUTED_VALUE"""),"Unresponsive")</f>
        <v>Unresponsive</v>
      </c>
      <c r="B35" t="str">
        <f>IFERROR(__xludf.DUMMYFUNCTION("""COMPUTED_VALUE"""),"")</f>
        <v/>
      </c>
      <c r="C35" t="str">
        <f>IFERROR(__xludf.DUMMYFUNCTION("""COMPUTED_VALUE"""),"")</f>
        <v/>
      </c>
      <c r="D35" s="62" t="str">
        <f>IFERROR(__xludf.DUMMYFUNCTION("""COMPUTED_VALUE"""),"No")</f>
        <v>No</v>
      </c>
      <c r="E35" s="62" t="str">
        <f>IFERROR(__xludf.DUMMYFUNCTION("""COMPUTED_VALUE"""),"No")</f>
        <v>No</v>
      </c>
      <c r="F35" s="62" t="str">
        <f>IFERROR(__xludf.DUMMYFUNCTION("""COMPUTED_VALUE"""),"Gene Disease Validity")</f>
        <v>Gene Disease Validity</v>
      </c>
      <c r="G35" t="str">
        <f>IFERROR(__xludf.DUMMYFUNCTION("""COMPUTED_VALUE"""),"")</f>
        <v/>
      </c>
      <c r="H35" t="str">
        <f>IFERROR(__xludf.DUMMYFUNCTION("""COMPUTED_VALUE"""),"Anand Narayanan")</f>
        <v>Anand Narayanan</v>
      </c>
      <c r="I35" t="str">
        <f>IFERROR(__xludf.DUMMYFUNCTION("""COMPUTED_VALUE"""),"anandnpillai@gmail.com")</f>
        <v>anandnpillai@gmail.com</v>
      </c>
      <c r="J35" s="62" t="str">
        <f>IFERROR(__xludf.DUMMYFUNCTION("""COMPUTED_VALUE"""),"Comprehensive")</f>
        <v>Comprehensive</v>
      </c>
      <c r="K35" t="str">
        <f>IFERROR(__xludf.DUMMYFUNCTION("""COMPUTED_VALUE"""),"No")</f>
        <v>No</v>
      </c>
    </row>
    <row r="36">
      <c r="A36" t="str">
        <f>IFERROR(__xludf.DUMMYFUNCTION("""COMPUTED_VALUE"""),"Contacted")</f>
        <v>Contacted</v>
      </c>
      <c r="B36" t="str">
        <f>IFERROR(__xludf.DUMMYFUNCTION("""COMPUTED_VALUE"""),"")</f>
        <v/>
      </c>
      <c r="C36" s="114">
        <f>IFERROR(__xludf.DUMMYFUNCTION("""COMPUTED_VALUE"""),43585.0)</f>
        <v>43585</v>
      </c>
      <c r="D36" s="62" t="str">
        <f>IFERROR(__xludf.DUMMYFUNCTION("""COMPUTED_VALUE"""),"Yes")</f>
        <v>Yes</v>
      </c>
      <c r="E36" s="62" t="str">
        <f>IFERROR(__xludf.DUMMYFUNCTION("""COMPUTED_VALUE"""),"Yes")</f>
        <v>Yes</v>
      </c>
      <c r="F36" s="62" t="str">
        <f>IFERROR(__xludf.DUMMYFUNCTION("""COMPUTED_VALUE"""),"Gene Disease Validity")</f>
        <v>Gene Disease Validity</v>
      </c>
      <c r="G36" t="str">
        <f>IFERROR(__xludf.DUMMYFUNCTION("""COMPUTED_VALUE"""),"")</f>
        <v/>
      </c>
      <c r="H36" t="str">
        <f>IFERROR(__xludf.DUMMYFUNCTION("""COMPUTED_VALUE"""),"Urjit Patel")</f>
        <v>Urjit Patel</v>
      </c>
      <c r="I36" t="str">
        <f>IFERROR(__xludf.DUMMYFUNCTION("""COMPUTED_VALUE"""),"urjit.x.patel@questdiagnostics.com")</f>
        <v>urjit.x.patel@questdiagnostics.com</v>
      </c>
      <c r="J36" s="62" t="str">
        <f>IFERROR(__xludf.DUMMYFUNCTION("""COMPUTED_VALUE"""),"Comprehensive")</f>
        <v>Comprehensive</v>
      </c>
      <c r="K36" t="str">
        <f>IFERROR(__xludf.DUMMYFUNCTION("""COMPUTED_VALUE"""),"")</f>
        <v/>
      </c>
    </row>
    <row r="37">
      <c r="A37" t="str">
        <f>IFERROR(__xludf.DUMMYFUNCTION("""COMPUTED_VALUE"""),"Contacted")</f>
        <v>Contacted</v>
      </c>
      <c r="B37" t="str">
        <f>IFERROR(__xludf.DUMMYFUNCTION("""COMPUTED_VALUE"""),"")</f>
        <v/>
      </c>
      <c r="C37" s="120">
        <f>IFERROR(__xludf.DUMMYFUNCTION("""COMPUTED_VALUE"""),43570.0)</f>
        <v>43570</v>
      </c>
      <c r="D37" s="62" t="str">
        <f>IFERROR(__xludf.DUMMYFUNCTION("""COMPUTED_VALUE"""),"Yes")</f>
        <v>Yes</v>
      </c>
      <c r="E37" s="62" t="str">
        <f>IFERROR(__xludf.DUMMYFUNCTION("""COMPUTED_VALUE"""),"Yes")</f>
        <v>Yes</v>
      </c>
      <c r="F37" s="62" t="str">
        <f>IFERROR(__xludf.DUMMYFUNCTION("""COMPUTED_VALUE"""),"Gene Disease Validity")</f>
        <v>Gene Disease Validity</v>
      </c>
      <c r="G37" t="str">
        <f>IFERROR(__xludf.DUMMYFUNCTION("""COMPUTED_VALUE"""),"Epilepsy")</f>
        <v>Epilepsy</v>
      </c>
      <c r="H37" t="str">
        <f>IFERROR(__xludf.DUMMYFUNCTION("""COMPUTED_VALUE"""),"Angela Pickart")</f>
        <v>Angela Pickart</v>
      </c>
      <c r="I37" t="str">
        <f>IFERROR(__xludf.DUMMYFUNCTION("""COMPUTED_VALUE"""),"pickart.angela@mayo.edu")</f>
        <v>pickart.angela@mayo.edu</v>
      </c>
      <c r="J37" s="62" t="str">
        <f>IFERROR(__xludf.DUMMYFUNCTION("""COMPUTED_VALUE"""),"Comprehensive")</f>
        <v>Comprehensive</v>
      </c>
      <c r="K37" t="str">
        <f>IFERROR(__xludf.DUMMYFUNCTION("""COMPUTED_VALUE"""),"Epilepsy")</f>
        <v>Epilepsy</v>
      </c>
    </row>
    <row r="38">
      <c r="A38" t="str">
        <f>IFERROR(__xludf.DUMMYFUNCTION("""COMPUTED_VALUE"""),"Contacted")</f>
        <v>Contacted</v>
      </c>
      <c r="B38" t="str">
        <f>IFERROR(__xludf.DUMMYFUNCTION("""COMPUTED_VALUE"""),"8/12/19, 12/20/19")</f>
        <v>8/12/19, 12/20/19</v>
      </c>
      <c r="C38" t="str">
        <f>IFERROR(__xludf.DUMMYFUNCTION("""COMPUTED_VALUE"""),"")</f>
        <v/>
      </c>
      <c r="D38" s="62" t="str">
        <f>IFERROR(__xludf.DUMMYFUNCTION("""COMPUTED_VALUE"""),"No")</f>
        <v>No</v>
      </c>
      <c r="E38" s="62" t="str">
        <f>IFERROR(__xludf.DUMMYFUNCTION("""COMPUTED_VALUE"""),"No")</f>
        <v>No</v>
      </c>
      <c r="F38" s="62" t="str">
        <f>IFERROR(__xludf.DUMMYFUNCTION("""COMPUTED_VALUE"""),"Gene Disease Validity")</f>
        <v>Gene Disease Validity</v>
      </c>
      <c r="G38" t="str">
        <f>IFERROR(__xludf.DUMMYFUNCTION("""COMPUTED_VALUE"""),"")</f>
        <v/>
      </c>
      <c r="H38" t="str">
        <f>IFERROR(__xludf.DUMMYFUNCTION("""COMPUTED_VALUE"""),"GIFTY BHAT")</f>
        <v>GIFTY BHAT</v>
      </c>
      <c r="I38" t="str">
        <f>IFERROR(__xludf.DUMMYFUNCTION("""COMPUTED_VALUE"""),"drgiftybhat@gmail.com")</f>
        <v>drgiftybhat@gmail.com</v>
      </c>
      <c r="J38" s="62" t="str">
        <f>IFERROR(__xludf.DUMMYFUNCTION("""COMPUTED_VALUE"""),"Comprehensive")</f>
        <v>Comprehensive</v>
      </c>
      <c r="K38" t="str">
        <f>IFERROR(__xludf.DUMMYFUNCTION("""COMPUTED_VALUE"""),"Neurodevelopmental/intellectual disability, Rett-Angelman syndrome, PTEN related disorders")</f>
        <v>Neurodevelopmental/intellectual disability, Rett-Angelman syndrome, PTEN related disorders</v>
      </c>
    </row>
    <row r="39">
      <c r="A39" t="str">
        <f>IFERROR(__xludf.DUMMYFUNCTION("""COMPUTED_VALUE"""),"Contacted")</f>
        <v>Contacted</v>
      </c>
      <c r="B39" t="str">
        <f>IFERROR(__xludf.DUMMYFUNCTION("""COMPUTED_VALUE"""),"")</f>
        <v/>
      </c>
      <c r="C39" s="114">
        <f>IFERROR(__xludf.DUMMYFUNCTION("""COMPUTED_VALUE"""),43585.0)</f>
        <v>43585</v>
      </c>
      <c r="D39" s="62" t="str">
        <f>IFERROR(__xludf.DUMMYFUNCTION("""COMPUTED_VALUE"""),"Yes")</f>
        <v>Yes</v>
      </c>
      <c r="E39" s="62" t="str">
        <f>IFERROR(__xludf.DUMMYFUNCTION("""COMPUTED_VALUE"""),"Yes")</f>
        <v>Yes</v>
      </c>
      <c r="F39" s="62" t="str">
        <f>IFERROR(__xludf.DUMMYFUNCTION("""COMPUTED_VALUE"""),"Gene Disease Validity")</f>
        <v>Gene Disease Validity</v>
      </c>
      <c r="G39" t="str">
        <f>IFERROR(__xludf.DUMMYFUNCTION("""COMPUTED_VALUE"""),"Hemo/Thrombo")</f>
        <v>Hemo/Thrombo</v>
      </c>
      <c r="H39" t="str">
        <f>IFERROR(__xludf.DUMMYFUNCTION("""COMPUTED_VALUE"""),"Jing Zhang")</f>
        <v>Jing Zhang</v>
      </c>
      <c r="I39" t="str">
        <f>IFERROR(__xludf.DUMMYFUNCTION("""COMPUTED_VALUE"""),"jzhang@wuxinextcode.com")</f>
        <v>jzhang@wuxinextcode.com</v>
      </c>
      <c r="J39" s="62" t="str">
        <f>IFERROR(__xludf.DUMMYFUNCTION("""COMPUTED_VALUE"""),"Comprehensive")</f>
        <v>Comprehensive</v>
      </c>
      <c r="K39" t="str">
        <f>IFERROR(__xludf.DUMMYFUNCTION("""COMPUTED_VALUE"""),"")</f>
        <v/>
      </c>
    </row>
    <row r="40">
      <c r="A40" t="str">
        <f>IFERROR(__xludf.DUMMYFUNCTION("""COMPUTED_VALUE"""),"Unresponsive")</f>
        <v>Unresponsive</v>
      </c>
      <c r="B40" t="str">
        <f>IFERROR(__xludf.DUMMYFUNCTION("""COMPUTED_VALUE"""),"")</f>
        <v/>
      </c>
      <c r="C40" t="str">
        <f>IFERROR(__xludf.DUMMYFUNCTION("""COMPUTED_VALUE"""),"")</f>
        <v/>
      </c>
      <c r="D40" s="62" t="str">
        <f>IFERROR(__xludf.DUMMYFUNCTION("""COMPUTED_VALUE"""),"No")</f>
        <v>No</v>
      </c>
      <c r="E40" s="62" t="str">
        <f>IFERROR(__xludf.DUMMYFUNCTION("""COMPUTED_VALUE"""),"No")</f>
        <v>No</v>
      </c>
      <c r="F40" s="62" t="str">
        <f>IFERROR(__xludf.DUMMYFUNCTION("""COMPUTED_VALUE"""),"Gene Disease Validity")</f>
        <v>Gene Disease Validity</v>
      </c>
      <c r="G40" t="str">
        <f>IFERROR(__xludf.DUMMYFUNCTION("""COMPUTED_VALUE"""),"")</f>
        <v/>
      </c>
      <c r="H40" t="str">
        <f>IFERROR(__xludf.DUMMYFUNCTION("""COMPUTED_VALUE"""),"Mary-Alice Abbott")</f>
        <v>Mary-Alice Abbott</v>
      </c>
      <c r="I40" t="str">
        <f>IFERROR(__xludf.DUMMYFUNCTION("""COMPUTED_VALUE"""),"Maryalice.abbott@baystatehealth.org")</f>
        <v>Maryalice.abbott@baystatehealth.org</v>
      </c>
      <c r="J40" s="62" t="str">
        <f>IFERROR(__xludf.DUMMYFUNCTION("""COMPUTED_VALUE"""),"Comprehensive")</f>
        <v>Comprehensive</v>
      </c>
      <c r="K40" t="str">
        <f>IFERROR(__xludf.DUMMYFUNCTION("""COMPUTED_VALUE"""),"LSD, ID, actionability")</f>
        <v>LSD, ID, actionability</v>
      </c>
    </row>
    <row r="41">
      <c r="A41" t="str">
        <f>IFERROR(__xludf.DUMMYFUNCTION("""COMPUTED_VALUE"""),"Declined")</f>
        <v>Declined</v>
      </c>
      <c r="B41" t="str">
        <f>IFERROR(__xludf.DUMMYFUNCTION("""COMPUTED_VALUE"""),"")</f>
        <v/>
      </c>
      <c r="C41" s="120">
        <f>IFERROR(__xludf.DUMMYFUNCTION("""COMPUTED_VALUE"""),43570.0)</f>
        <v>43570</v>
      </c>
      <c r="D41" s="62" t="str">
        <f>IFERROR(__xludf.DUMMYFUNCTION("""COMPUTED_VALUE"""),"Yes")</f>
        <v>Yes</v>
      </c>
      <c r="E41" s="62" t="str">
        <f>IFERROR(__xludf.DUMMYFUNCTION("""COMPUTED_VALUE"""),"Yes")</f>
        <v>Yes</v>
      </c>
      <c r="F41" s="62" t="str">
        <f>IFERROR(__xludf.DUMMYFUNCTION("""COMPUTED_VALUE"""),"Gene Disease Validity")</f>
        <v>Gene Disease Validity</v>
      </c>
      <c r="G41" t="str">
        <f>IFERROR(__xludf.DUMMYFUNCTION("""COMPUTED_VALUE"""),"Hemo/Thrombo")</f>
        <v>Hemo/Thrombo</v>
      </c>
      <c r="H41" t="str">
        <f>IFERROR(__xludf.DUMMYFUNCTION("""COMPUTED_VALUE"""),"Samantha Chill")</f>
        <v>Samantha Chill</v>
      </c>
      <c r="I41" t="str">
        <f>IFERROR(__xludf.DUMMYFUNCTION("""COMPUTED_VALUE"""),"slsevilla@gmail.com")</f>
        <v>slsevilla@gmail.com</v>
      </c>
      <c r="J41" s="62" t="str">
        <f>IFERROR(__xludf.DUMMYFUNCTION("""COMPUTED_VALUE"""),"Comprehensive")</f>
        <v>Comprehensive</v>
      </c>
      <c r="K41" t="str">
        <f>IFERROR(__xludf.DUMMYFUNCTION("""COMPUTED_VALUE"""),"")</f>
        <v/>
      </c>
    </row>
    <row r="42">
      <c r="A42" t="str">
        <f>IFERROR(__xludf.DUMMYFUNCTION("""COMPUTED_VALUE"""),"Contacted")</f>
        <v>Contacted</v>
      </c>
      <c r="B42" t="str">
        <f>IFERROR(__xludf.DUMMYFUNCTION("""COMPUTED_VALUE"""),"")</f>
        <v/>
      </c>
      <c r="C42" s="114">
        <f>IFERROR(__xludf.DUMMYFUNCTION("""COMPUTED_VALUE"""),43585.0)</f>
        <v>43585</v>
      </c>
      <c r="D42" s="62" t="str">
        <f>IFERROR(__xludf.DUMMYFUNCTION("""COMPUTED_VALUE"""),"Yes")</f>
        <v>Yes</v>
      </c>
      <c r="E42" s="62" t="str">
        <f>IFERROR(__xludf.DUMMYFUNCTION("""COMPUTED_VALUE"""),"Yes")</f>
        <v>Yes</v>
      </c>
      <c r="F42" s="62" t="str">
        <f>IFERROR(__xludf.DUMMYFUNCTION("""COMPUTED_VALUE"""),"Gene Disease Validity")</f>
        <v>Gene Disease Validity</v>
      </c>
      <c r="G42" t="str">
        <f>IFERROR(__xludf.DUMMYFUNCTION("""COMPUTED_VALUE"""),"ID/Autism")</f>
        <v>ID/Autism</v>
      </c>
      <c r="H42" t="str">
        <f>IFERROR(__xludf.DUMMYFUNCTION("""COMPUTED_VALUE"""),"HECTOR RODRIGO MENDEZ")</f>
        <v>HECTOR RODRIGO MENDEZ</v>
      </c>
      <c r="I42" t="str">
        <f>IFERROR(__xludf.DUMMYFUNCTION("""COMPUTED_VALUE"""),"rodrigomendezh@gmail.com")</f>
        <v>rodrigomendezh@gmail.com</v>
      </c>
      <c r="J42" s="62" t="str">
        <f>IFERROR(__xludf.DUMMYFUNCTION("""COMPUTED_VALUE"""),"Comprehensive")</f>
        <v>Comprehensive</v>
      </c>
      <c r="K42" t="str">
        <f>IFERROR(__xludf.DUMMYFUNCTION("""COMPUTED_VALUE"""),"Intellectual Disability and Autism, RASopathy")</f>
        <v>Intellectual Disability and Autism, RASopathy</v>
      </c>
    </row>
    <row r="43">
      <c r="A43" t="str">
        <f>IFERROR(__xludf.DUMMYFUNCTION("""COMPUTED_VALUE"""),"Contacted")</f>
        <v>Contacted</v>
      </c>
      <c r="B43" t="str">
        <f>IFERROR(__xludf.DUMMYFUNCTION("""COMPUTED_VALUE"""),"")</f>
        <v/>
      </c>
      <c r="C43" s="114">
        <f>IFERROR(__xludf.DUMMYFUNCTION("""COMPUTED_VALUE"""),43585.0)</f>
        <v>43585</v>
      </c>
      <c r="D43" s="62" t="str">
        <f>IFERROR(__xludf.DUMMYFUNCTION("""COMPUTED_VALUE"""),"Yes")</f>
        <v>Yes</v>
      </c>
      <c r="E43" s="62" t="str">
        <f>IFERROR(__xludf.DUMMYFUNCTION("""COMPUTED_VALUE"""),"Yes")</f>
        <v>Yes</v>
      </c>
      <c r="F43" s="62" t="str">
        <f>IFERROR(__xludf.DUMMYFUNCTION("""COMPUTED_VALUE"""),"Gene Disease Validity")</f>
        <v>Gene Disease Validity</v>
      </c>
      <c r="G43" t="str">
        <f>IFERROR(__xludf.DUMMYFUNCTION("""COMPUTED_VALUE"""),"Epilepsy")</f>
        <v>Epilepsy</v>
      </c>
      <c r="H43" t="str">
        <f>IFERROR(__xludf.DUMMYFUNCTION("""COMPUTED_VALUE"""),"Alexander Ing")</f>
        <v>Alexander Ing</v>
      </c>
      <c r="I43" t="str">
        <f>IFERROR(__xludf.DUMMYFUNCTION("""COMPUTED_VALUE"""),"aing@luriechildrens.org")</f>
        <v>aing@luriechildrens.org</v>
      </c>
      <c r="J43" s="62" t="str">
        <f>IFERROR(__xludf.DUMMYFUNCTION("""COMPUTED_VALUE"""),"Comprehensive")</f>
        <v>Comprehensive</v>
      </c>
      <c r="K43" t="str">
        <f>IFERROR(__xludf.DUMMYFUNCTION("""COMPUTED_VALUE"""),"epilepsy")</f>
        <v>epilepsy</v>
      </c>
    </row>
    <row r="44">
      <c r="A44" t="str">
        <f>IFERROR(__xludf.DUMMYFUNCTION("""COMPUTED_VALUE"""),"Contacted")</f>
        <v>Contacted</v>
      </c>
      <c r="B44" t="str">
        <f>IFERROR(__xludf.DUMMYFUNCTION("""COMPUTED_VALUE"""),"")</f>
        <v/>
      </c>
      <c r="C44" s="114">
        <f>IFERROR(__xludf.DUMMYFUNCTION("""COMPUTED_VALUE"""),43692.0)</f>
        <v>43692</v>
      </c>
      <c r="D44" s="62" t="str">
        <f>IFERROR(__xludf.DUMMYFUNCTION("""COMPUTED_VALUE"""),"Yes")</f>
        <v>Yes</v>
      </c>
      <c r="E44" s="62" t="str">
        <f>IFERROR(__xludf.DUMMYFUNCTION("""COMPUTED_VALUE"""),"No")</f>
        <v>No</v>
      </c>
      <c r="F44" s="62" t="str">
        <f>IFERROR(__xludf.DUMMYFUNCTION("""COMPUTED_VALUE"""),"Gene Disease Validity")</f>
        <v>Gene Disease Validity</v>
      </c>
      <c r="G44" t="str">
        <f>IFERROR(__xludf.DUMMYFUNCTION("""COMPUTED_VALUE"""),"")</f>
        <v/>
      </c>
      <c r="H44" t="str">
        <f>IFERROR(__xludf.DUMMYFUNCTION("""COMPUTED_VALUE"""),"Jun Liao")</f>
        <v>Jun Liao</v>
      </c>
      <c r="I44" t="str">
        <f>IFERROR(__xludf.DUMMYFUNCTION("""COMPUTED_VALUE"""),"jl5098@cumc.columbia.edu")</f>
        <v>jl5098@cumc.columbia.edu</v>
      </c>
      <c r="J44" s="62" t="str">
        <f>IFERROR(__xludf.DUMMYFUNCTION("""COMPUTED_VALUE"""),"Comprehensive")</f>
        <v>Comprehensive</v>
      </c>
      <c r="K44" t="str">
        <f>IFERROR(__xludf.DUMMYFUNCTION("""COMPUTED_VALUE"""),"1. Lysosomal Storage Disorders VCEP; 2. ID/Autism GCEP")</f>
        <v>1. Lysosomal Storage Disorders VCEP; 2. ID/Autism GCEP</v>
      </c>
    </row>
    <row r="45">
      <c r="A45" t="str">
        <f>IFERROR(__xludf.DUMMYFUNCTION("""COMPUTED_VALUE"""),"Contacted")</f>
        <v>Contacted</v>
      </c>
      <c r="B45" t="str">
        <f>IFERROR(__xludf.DUMMYFUNCTION("""COMPUTED_VALUE"""),"")</f>
        <v/>
      </c>
      <c r="C45" s="114">
        <f>IFERROR(__xludf.DUMMYFUNCTION("""COMPUTED_VALUE"""),43585.0)</f>
        <v>43585</v>
      </c>
      <c r="D45" s="62" t="str">
        <f>IFERROR(__xludf.DUMMYFUNCTION("""COMPUTED_VALUE"""),"Yes")</f>
        <v>Yes</v>
      </c>
      <c r="E45" s="62" t="str">
        <f>IFERROR(__xludf.DUMMYFUNCTION("""COMPUTED_VALUE"""),"Yes")</f>
        <v>Yes</v>
      </c>
      <c r="F45" s="62" t="str">
        <f>IFERROR(__xludf.DUMMYFUNCTION("""COMPUTED_VALUE"""),"Gene Disease Validity")</f>
        <v>Gene Disease Validity</v>
      </c>
      <c r="G45" t="str">
        <f>IFERROR(__xludf.DUMMYFUNCTION("""COMPUTED_VALUE"""),"Epilepsy")</f>
        <v>Epilepsy</v>
      </c>
      <c r="H45" t="str">
        <f>IFERROR(__xludf.DUMMYFUNCTION("""COMPUTED_VALUE"""),"Maki Kaneko")</f>
        <v>Maki Kaneko</v>
      </c>
      <c r="I45" t="str">
        <f>IFERROR(__xludf.DUMMYFUNCTION("""COMPUTED_VALUE"""),"mkaneko@chla.usc.edu")</f>
        <v>mkaneko@chla.usc.edu</v>
      </c>
      <c r="J45" s="62" t="str">
        <f>IFERROR(__xludf.DUMMYFUNCTION("""COMPUTED_VALUE"""),"Comprehensive")</f>
        <v>Comprehensive</v>
      </c>
      <c r="K45" t="str">
        <f>IFERROR(__xludf.DUMMYFUNCTION("""COMPUTED_VALUE"""),"Epilepsy")</f>
        <v>Epilepsy</v>
      </c>
    </row>
    <row r="46">
      <c r="A46" t="str">
        <f>IFERROR(__xludf.DUMMYFUNCTION("""COMPUTED_VALUE"""),"Contacted")</f>
        <v>Contacted</v>
      </c>
      <c r="B46" s="116">
        <f>IFERROR(__xludf.DUMMYFUNCTION("""COMPUTED_VALUE"""),43819.0)</f>
        <v>43819</v>
      </c>
      <c r="C46" t="str">
        <f>IFERROR(__xludf.DUMMYFUNCTION("""COMPUTED_VALUE"""),"")</f>
        <v/>
      </c>
      <c r="D46" s="62" t="str">
        <f>IFERROR(__xludf.DUMMYFUNCTION("""COMPUTED_VALUE"""),"No")</f>
        <v>No</v>
      </c>
      <c r="E46" s="62" t="str">
        <f>IFERROR(__xludf.DUMMYFUNCTION("""COMPUTED_VALUE"""),"No")</f>
        <v>No</v>
      </c>
      <c r="F46" s="62" t="str">
        <f>IFERROR(__xludf.DUMMYFUNCTION("""COMPUTED_VALUE"""),"Gene Disease Validity")</f>
        <v>Gene Disease Validity</v>
      </c>
      <c r="G46" t="str">
        <f>IFERROR(__xludf.DUMMYFUNCTION("""COMPUTED_VALUE"""),"")</f>
        <v/>
      </c>
      <c r="H46" t="str">
        <f>IFERROR(__xludf.DUMMYFUNCTION("""COMPUTED_VALUE"""),"Bo Yuan")</f>
        <v>Bo Yuan</v>
      </c>
      <c r="I46" t="str">
        <f>IFERROR(__xludf.DUMMYFUNCTION("""COMPUTED_VALUE"""),"by2@bcm.edu")</f>
        <v>by2@bcm.edu</v>
      </c>
      <c r="J46" s="62" t="str">
        <f>IFERROR(__xludf.DUMMYFUNCTION("""COMPUTED_VALUE"""),"Comprehensive")</f>
        <v>Comprehensive</v>
      </c>
      <c r="K46" t="str">
        <f>IFERROR(__xludf.DUMMYFUNCTION("""COMPUTED_VALUE"""),"")</f>
        <v/>
      </c>
    </row>
    <row r="47">
      <c r="A47" t="str">
        <f>IFERROR(__xludf.DUMMYFUNCTION("""COMPUTED_VALUE"""),"Contacted")</f>
        <v>Contacted</v>
      </c>
      <c r="B47" s="116">
        <f>IFERROR(__xludf.DUMMYFUNCTION("""COMPUTED_VALUE"""),43819.0)</f>
        <v>43819</v>
      </c>
      <c r="C47" t="str">
        <f>IFERROR(__xludf.DUMMYFUNCTION("""COMPUTED_VALUE"""),"")</f>
        <v/>
      </c>
      <c r="D47" s="62" t="str">
        <f>IFERROR(__xludf.DUMMYFUNCTION("""COMPUTED_VALUE"""),"No")</f>
        <v>No</v>
      </c>
      <c r="E47" s="62" t="str">
        <f>IFERROR(__xludf.DUMMYFUNCTION("""COMPUTED_VALUE"""),"No")</f>
        <v>No</v>
      </c>
      <c r="F47" s="62" t="str">
        <f>IFERROR(__xludf.DUMMYFUNCTION("""COMPUTED_VALUE"""),"Gene Disease Validity")</f>
        <v>Gene Disease Validity</v>
      </c>
      <c r="G47" t="str">
        <f>IFERROR(__xludf.DUMMYFUNCTION("""COMPUTED_VALUE"""),"")</f>
        <v/>
      </c>
      <c r="H47" t="str">
        <f>IFERROR(__xludf.DUMMYFUNCTION("""COMPUTED_VALUE"""),"Avinash Dharmadhikari")</f>
        <v>Avinash Dharmadhikari</v>
      </c>
      <c r="I47" t="str">
        <f>IFERROR(__xludf.DUMMYFUNCTION("""COMPUTED_VALUE"""),"avd2129@cumc.columbia.edu")</f>
        <v>avd2129@cumc.columbia.edu</v>
      </c>
      <c r="J47" s="62" t="str">
        <f>IFERROR(__xludf.DUMMYFUNCTION("""COMPUTED_VALUE"""),"Comprehensive")</f>
        <v>Comprehensive</v>
      </c>
      <c r="K47" t="str">
        <f>IFERROR(__xludf.DUMMYFUNCTION("""COMPUTED_VALUE"""),"Hearing Loss VCEP &amp; GCEP or Dosage Sensitivity WG or ID/Autism GCEP")</f>
        <v>Hearing Loss VCEP &amp; GCEP or Dosage Sensitivity WG or ID/Autism GCEP</v>
      </c>
    </row>
    <row r="48">
      <c r="A48" t="str">
        <f>IFERROR(__xludf.DUMMYFUNCTION("""COMPUTED_VALUE"""),"Contacted")</f>
        <v>Contacted</v>
      </c>
      <c r="B48" t="str">
        <f>IFERROR(__xludf.DUMMYFUNCTION("""COMPUTED_VALUE"""),"")</f>
        <v/>
      </c>
      <c r="C48" s="114">
        <f>IFERROR(__xludf.DUMMYFUNCTION("""COMPUTED_VALUE"""),43692.0)</f>
        <v>43692</v>
      </c>
      <c r="D48" s="62" t="str">
        <f>IFERROR(__xludf.DUMMYFUNCTION("""COMPUTED_VALUE"""),"Yes")</f>
        <v>Yes</v>
      </c>
      <c r="E48" s="62" t="str">
        <f>IFERROR(__xludf.DUMMYFUNCTION("""COMPUTED_VALUE"""),"No")</f>
        <v>No</v>
      </c>
      <c r="F48" s="62" t="str">
        <f>IFERROR(__xludf.DUMMYFUNCTION("""COMPUTED_VALUE"""),"Gene Disease Validity")</f>
        <v>Gene Disease Validity</v>
      </c>
      <c r="G48" t="str">
        <f>IFERROR(__xludf.DUMMYFUNCTION("""COMPUTED_VALUE"""),"")</f>
        <v/>
      </c>
      <c r="H48" t="str">
        <f>IFERROR(__xludf.DUMMYFUNCTION("""COMPUTED_VALUE"""),"Alison Bright")</f>
        <v>Alison Bright</v>
      </c>
      <c r="I48" t="str">
        <f>IFERROR(__xludf.DUMMYFUNCTION("""COMPUTED_VALUE"""),"alison.r.bright@questdiagnostics.com")</f>
        <v>alison.r.bright@questdiagnostics.com</v>
      </c>
      <c r="J48" s="62" t="str">
        <f>IFERROR(__xludf.DUMMYFUNCTION("""COMPUTED_VALUE"""),"Comprehensive")</f>
        <v>Comprehensive</v>
      </c>
      <c r="K48" t="str">
        <f>IFERROR(__xludf.DUMMYFUNCTION("""COMPUTED_VALUE"""),"ID/Autism")</f>
        <v>ID/Autism</v>
      </c>
    </row>
    <row r="49">
      <c r="A49" t="str">
        <f>IFERROR(__xludf.DUMMYFUNCTION("""COMPUTED_VALUE"""),"Unresponsive")</f>
        <v>Unresponsive</v>
      </c>
      <c r="B49" t="str">
        <f>IFERROR(__xludf.DUMMYFUNCTION("""COMPUTED_VALUE"""),"")</f>
        <v/>
      </c>
      <c r="C49" s="114">
        <f>IFERROR(__xludf.DUMMYFUNCTION("""COMPUTED_VALUE"""),43570.0)</f>
        <v>43570</v>
      </c>
      <c r="D49" s="62" t="str">
        <f>IFERROR(__xludf.DUMMYFUNCTION("""COMPUTED_VALUE"""),"Yes")</f>
        <v>Yes</v>
      </c>
      <c r="E49" s="62" t="str">
        <f>IFERROR(__xludf.DUMMYFUNCTION("""COMPUTED_VALUE"""),"Yes")</f>
        <v>Yes</v>
      </c>
      <c r="F49" s="62" t="str">
        <f>IFERROR(__xludf.DUMMYFUNCTION("""COMPUTED_VALUE"""),"NA")</f>
        <v>NA</v>
      </c>
      <c r="G49" t="str">
        <f>IFERROR(__xludf.DUMMYFUNCTION("""COMPUTED_VALUE"""),"")</f>
        <v/>
      </c>
      <c r="H49" t="str">
        <f>IFERROR(__xludf.DUMMYFUNCTION("""COMPUTED_VALUE"""),"JIXIA LIU")</f>
        <v>JIXIA LIU</v>
      </c>
      <c r="I49" t="str">
        <f>IFERROR(__xludf.DUMMYFUNCTION("""COMPUTED_VALUE"""),"jixialiu@gmail.com")</f>
        <v>jixialiu@gmail.com</v>
      </c>
      <c r="J49" s="62" t="str">
        <f>IFERROR(__xludf.DUMMYFUNCTION("""COMPUTED_VALUE"""),"Comprehensive")</f>
        <v>Comprehensive</v>
      </c>
      <c r="K49" t="str">
        <f>IFERROR(__xludf.DUMMYFUNCTION("""COMPUTED_VALUE"""),"I am in Variant Curation for Lysosomal Storage Disorders now, and would be interested in any gene curation group as well.")</f>
        <v>I am in Variant Curation for Lysosomal Storage Disorders now, and would be interested in any gene curation group as well.</v>
      </c>
    </row>
    <row r="50">
      <c r="A50" t="str">
        <f>IFERROR(__xludf.DUMMYFUNCTION("""COMPUTED_VALUE"""),"Contacted")</f>
        <v>Contacted</v>
      </c>
      <c r="B50" t="str">
        <f>IFERROR(__xludf.DUMMYFUNCTION("""COMPUTED_VALUE"""),"")</f>
        <v/>
      </c>
      <c r="C50" s="114">
        <f>IFERROR(__xludf.DUMMYFUNCTION("""COMPUTED_VALUE"""),43692.0)</f>
        <v>43692</v>
      </c>
      <c r="D50" s="62" t="str">
        <f>IFERROR(__xludf.DUMMYFUNCTION("""COMPUTED_VALUE"""),"Yes")</f>
        <v>Yes</v>
      </c>
      <c r="E50" s="62" t="str">
        <f>IFERROR(__xludf.DUMMYFUNCTION("""COMPUTED_VALUE"""),"Yes")</f>
        <v>Yes</v>
      </c>
      <c r="F50" s="62" t="str">
        <f>IFERROR(__xludf.DUMMYFUNCTION("""COMPUTED_VALUE"""),"Gene Disease Validity")</f>
        <v>Gene Disease Validity</v>
      </c>
      <c r="G50" t="str">
        <f>IFERROR(__xludf.DUMMYFUNCTION("""COMPUTED_VALUE"""),"")</f>
        <v/>
      </c>
      <c r="H50" t="str">
        <f>IFERROR(__xludf.DUMMYFUNCTION("""COMPUTED_VALUE"""),"FEN GUO")</f>
        <v>FEN GUO</v>
      </c>
      <c r="I50" t="str">
        <f>IFERROR(__xludf.DUMMYFUNCTION("""COMPUTED_VALUE"""),"fguo34@wisc.edu")</f>
        <v>fguo34@wisc.edu</v>
      </c>
      <c r="J50" s="62" t="str">
        <f>IFERROR(__xludf.DUMMYFUNCTION("""COMPUTED_VALUE"""),"Comprehensive")</f>
        <v>Comprehensive</v>
      </c>
      <c r="K50" t="str">
        <f>IFERROR(__xludf.DUMMYFUNCTION("""COMPUTED_VALUE"""),"Gene Curation Expert Panels-Hereditary Cancer")</f>
        <v>Gene Curation Expert Panels-Hereditary Cancer</v>
      </c>
    </row>
    <row r="51">
      <c r="A51" t="str">
        <f>IFERROR(__xludf.DUMMYFUNCTION("""COMPUTED_VALUE"""),"Contacted")</f>
        <v>Contacted</v>
      </c>
      <c r="B51" s="116">
        <f>IFERROR(__xludf.DUMMYFUNCTION("""COMPUTED_VALUE"""),43819.0)</f>
        <v>43819</v>
      </c>
      <c r="C51" t="str">
        <f>IFERROR(__xludf.DUMMYFUNCTION("""COMPUTED_VALUE"""),"")</f>
        <v/>
      </c>
      <c r="D51" s="62" t="str">
        <f>IFERROR(__xludf.DUMMYFUNCTION("""COMPUTED_VALUE"""),"")</f>
        <v/>
      </c>
      <c r="E51" s="62" t="str">
        <f>IFERROR(__xludf.DUMMYFUNCTION("""COMPUTED_VALUE"""),"No")</f>
        <v>No</v>
      </c>
      <c r="F51" s="62" t="str">
        <f>IFERROR(__xludf.DUMMYFUNCTION("""COMPUTED_VALUE"""),"Gene Disease Validity")</f>
        <v>Gene Disease Validity</v>
      </c>
      <c r="G51" t="str">
        <f>IFERROR(__xludf.DUMMYFUNCTION("""COMPUTED_VALUE"""),"")</f>
        <v/>
      </c>
      <c r="H51" t="str">
        <f>IFERROR(__xludf.DUMMYFUNCTION("""COMPUTED_VALUE"""),"Elizabeth Palmer")</f>
        <v>Elizabeth Palmer</v>
      </c>
      <c r="I51" t="str">
        <f>IFERROR(__xludf.DUMMYFUNCTION("""COMPUTED_VALUE"""),"elizabeth.palmer1@health.nsw.gov.au")</f>
        <v>elizabeth.palmer1@health.nsw.gov.au</v>
      </c>
      <c r="J51" s="62" t="str">
        <f>IFERROR(__xludf.DUMMYFUNCTION("""COMPUTED_VALUE"""),"Comprehensive")</f>
        <v>Comprehensive</v>
      </c>
      <c r="K51" t="str">
        <f>IFERROR(__xludf.DUMMYFUNCTION("""COMPUTED_VALUE"""),"epilepsy / ID and autism")</f>
        <v>epilepsy / ID and autism</v>
      </c>
    </row>
    <row r="52">
      <c r="A52" t="str">
        <f>IFERROR(__xludf.DUMMYFUNCTION("""COMPUTED_VALUE"""),"Contacted")</f>
        <v>Contacted</v>
      </c>
      <c r="B52" s="116">
        <f>IFERROR(__xludf.DUMMYFUNCTION("""COMPUTED_VALUE"""),43819.0)</f>
        <v>43819</v>
      </c>
      <c r="C52" t="str">
        <f>IFERROR(__xludf.DUMMYFUNCTION("""COMPUTED_VALUE"""),"")</f>
        <v/>
      </c>
      <c r="D52" s="62" t="str">
        <f>IFERROR(__xludf.DUMMYFUNCTION("""COMPUTED_VALUE"""),"")</f>
        <v/>
      </c>
      <c r="E52" s="62" t="str">
        <f>IFERROR(__xludf.DUMMYFUNCTION("""COMPUTED_VALUE"""),"No")</f>
        <v>No</v>
      </c>
      <c r="F52" s="62" t="str">
        <f>IFERROR(__xludf.DUMMYFUNCTION("""COMPUTED_VALUE"""),"Gene Disease Validity")</f>
        <v>Gene Disease Validity</v>
      </c>
      <c r="G52" t="str">
        <f>IFERROR(__xludf.DUMMYFUNCTION("""COMPUTED_VALUE"""),"")</f>
        <v/>
      </c>
      <c r="H52" t="str">
        <f>IFERROR(__xludf.DUMMYFUNCTION("""COMPUTED_VALUE"""),"Andrea Hallberg")</f>
        <v>Andrea Hallberg</v>
      </c>
      <c r="I52" t="str">
        <f>IFERROR(__xludf.DUMMYFUNCTION("""COMPUTED_VALUE"""),"hallberg.andrea@gmail.com")</f>
        <v>hallberg.andrea@gmail.com</v>
      </c>
      <c r="J52" s="62" t="str">
        <f>IFERROR(__xludf.DUMMYFUNCTION("""COMPUTED_VALUE"""),"Comprehensive")</f>
        <v>Comprehensive</v>
      </c>
      <c r="K52" t="str">
        <f>IFERROR(__xludf.DUMMYFUNCTION("""COMPUTED_VALUE"""),"")</f>
        <v/>
      </c>
    </row>
    <row r="53">
      <c r="A53" t="str">
        <f>IFERROR(__xludf.DUMMYFUNCTION("""COMPUTED_VALUE"""),"Contacted")</f>
        <v>Contacted</v>
      </c>
      <c r="B53" s="116">
        <f>IFERROR(__xludf.DUMMYFUNCTION("""COMPUTED_VALUE"""),43819.0)</f>
        <v>43819</v>
      </c>
      <c r="C53" t="str">
        <f>IFERROR(__xludf.DUMMYFUNCTION("""COMPUTED_VALUE"""),"")</f>
        <v/>
      </c>
      <c r="D53" s="62" t="str">
        <f>IFERROR(__xludf.DUMMYFUNCTION("""COMPUTED_VALUE"""),"")</f>
        <v/>
      </c>
      <c r="E53" s="62" t="str">
        <f>IFERROR(__xludf.DUMMYFUNCTION("""COMPUTED_VALUE"""),"No")</f>
        <v>No</v>
      </c>
      <c r="F53" s="62" t="str">
        <f>IFERROR(__xludf.DUMMYFUNCTION("""COMPUTED_VALUE"""),"Gene Disease Validity")</f>
        <v>Gene Disease Validity</v>
      </c>
      <c r="G53" t="str">
        <f>IFERROR(__xludf.DUMMYFUNCTION("""COMPUTED_VALUE"""),"")</f>
        <v/>
      </c>
      <c r="H53" t="str">
        <f>IFERROR(__xludf.DUMMYFUNCTION("""COMPUTED_VALUE"""),"Ingrid Paine")</f>
        <v>Ingrid Paine</v>
      </c>
      <c r="I53" t="str">
        <f>IFERROR(__xludf.DUMMYFUNCTION("""COMPUTED_VALUE"""),"runquist@alumni.bcm.edu")</f>
        <v>runquist@alumni.bcm.edu</v>
      </c>
      <c r="J53" s="62" t="str">
        <f>IFERROR(__xludf.DUMMYFUNCTION("""COMPUTED_VALUE"""),"Comprehensive")</f>
        <v>Comprehensive</v>
      </c>
      <c r="K53" t="str">
        <f>IFERROR(__xludf.DUMMYFUNCTION("""COMPUTED_VALUE"""),"Epilepsy genes and neurodevelopmental")</f>
        <v>Epilepsy genes and neurodevelopmental</v>
      </c>
    </row>
    <row r="54">
      <c r="A54" t="str">
        <f>IFERROR(__xludf.DUMMYFUNCTION("""COMPUTED_VALUE"""),"Contacted")</f>
        <v>Contacted</v>
      </c>
      <c r="B54" s="116">
        <f>IFERROR(__xludf.DUMMYFUNCTION("""COMPUTED_VALUE"""),43819.0)</f>
        <v>43819</v>
      </c>
      <c r="C54" s="116" t="str">
        <f>IFERROR(__xludf.DUMMYFUNCTION("""COMPUTED_VALUE"""),"")</f>
        <v/>
      </c>
      <c r="D54" s="62" t="str">
        <f>IFERROR(__xludf.DUMMYFUNCTION("""COMPUTED_VALUE"""),"")</f>
        <v/>
      </c>
      <c r="E54" s="62" t="str">
        <f>IFERROR(__xludf.DUMMYFUNCTION("""COMPUTED_VALUE"""),"No")</f>
        <v>No</v>
      </c>
      <c r="F54" s="62" t="str">
        <f>IFERROR(__xludf.DUMMYFUNCTION("""COMPUTED_VALUE"""),"Gene Disease Validity")</f>
        <v>Gene Disease Validity</v>
      </c>
      <c r="G54" t="str">
        <f>IFERROR(__xludf.DUMMYFUNCTION("""COMPUTED_VALUE"""),"")</f>
        <v/>
      </c>
      <c r="H54" t="str">
        <f>IFERROR(__xludf.DUMMYFUNCTION("""COMPUTED_VALUE"""),"Emma Reble")</f>
        <v>Emma Reble</v>
      </c>
      <c r="I54" t="str">
        <f>IFERROR(__xludf.DUMMYFUNCTION("""COMPUTED_VALUE"""),"reblee@smh.ca")</f>
        <v>reblee@smh.ca</v>
      </c>
      <c r="J54" s="62" t="str">
        <f>IFERROR(__xludf.DUMMYFUNCTION("""COMPUTED_VALUE"""),"Comprehensive")</f>
        <v>Comprehensive</v>
      </c>
      <c r="K54" t="str">
        <f>IFERROR(__xludf.DUMMYFUNCTION("""COMPUTED_VALUE"""),"ID/Autism")</f>
        <v>ID/Autism</v>
      </c>
    </row>
    <row r="55">
      <c r="A55" t="str">
        <f>IFERROR(__xludf.DUMMYFUNCTION("""COMPUTED_VALUE"""),"Contacted")</f>
        <v>Contacted</v>
      </c>
      <c r="B55" t="str">
        <f>IFERROR(__xludf.DUMMYFUNCTION("""COMPUTED_VALUE"""),"")</f>
        <v/>
      </c>
      <c r="C55" s="114">
        <f>IFERROR(__xludf.DUMMYFUNCTION("""COMPUTED_VALUE"""),43692.0)</f>
        <v>43692</v>
      </c>
      <c r="D55" s="62" t="str">
        <f>IFERROR(__xludf.DUMMYFUNCTION("""COMPUTED_VALUE"""),"Yes")</f>
        <v>Yes</v>
      </c>
      <c r="E55" s="62" t="str">
        <f>IFERROR(__xludf.DUMMYFUNCTION("""COMPUTED_VALUE"""),"Yes")</f>
        <v>Yes</v>
      </c>
      <c r="F55" s="62" t="str">
        <f>IFERROR(__xludf.DUMMYFUNCTION("""COMPUTED_VALUE"""),"Gene Disease Validity")</f>
        <v>Gene Disease Validity</v>
      </c>
      <c r="G55" t="str">
        <f>IFERROR(__xludf.DUMMYFUNCTION("""COMPUTED_VALUE"""),"")</f>
        <v/>
      </c>
      <c r="H55" t="str">
        <f>IFERROR(__xludf.DUMMYFUNCTION("""COMPUTED_VALUE"""),"Amruta Phatak")</f>
        <v>Amruta Phatak</v>
      </c>
      <c r="I55" t="str">
        <f>IFERROR(__xludf.DUMMYFUNCTION("""COMPUTED_VALUE"""),"arphatak@iu.edu")</f>
        <v>arphatak@iu.edu</v>
      </c>
      <c r="J55" s="62" t="str">
        <f>IFERROR(__xludf.DUMMYFUNCTION("""COMPUTED_VALUE"""),"Comprehensive")</f>
        <v>Comprehensive</v>
      </c>
      <c r="K55" t="str">
        <f>IFERROR(__xludf.DUMMYFUNCTION("""COMPUTED_VALUE"""),"")</f>
        <v/>
      </c>
    </row>
    <row r="56">
      <c r="A56" t="str">
        <f>IFERROR(__xludf.DUMMYFUNCTION("""COMPUTED_VALUE"""),"Contacted")</f>
        <v>Contacted</v>
      </c>
      <c r="B56" s="116">
        <f>IFERROR(__xludf.DUMMYFUNCTION("""COMPUTED_VALUE"""),43819.0)</f>
        <v>43819</v>
      </c>
      <c r="C56" t="str">
        <f>IFERROR(__xludf.DUMMYFUNCTION("""COMPUTED_VALUE"""),"")</f>
        <v/>
      </c>
      <c r="D56" s="62" t="str">
        <f>IFERROR(__xludf.DUMMYFUNCTION("""COMPUTED_VALUE"""),"")</f>
        <v/>
      </c>
      <c r="E56" s="62" t="str">
        <f>IFERROR(__xludf.DUMMYFUNCTION("""COMPUTED_VALUE"""),"No")</f>
        <v>No</v>
      </c>
      <c r="F56" s="62" t="str">
        <f>IFERROR(__xludf.DUMMYFUNCTION("""COMPUTED_VALUE"""),"Gene Disease Validity")</f>
        <v>Gene Disease Validity</v>
      </c>
      <c r="G56" t="str">
        <f>IFERROR(__xludf.DUMMYFUNCTION("""COMPUTED_VALUE"""),"")</f>
        <v/>
      </c>
      <c r="H56" t="str">
        <f>IFERROR(__xludf.DUMMYFUNCTION("""COMPUTED_VALUE"""),"Claudia Gonzaga-Jauregui")</f>
        <v>Claudia Gonzaga-Jauregui</v>
      </c>
      <c r="I56" t="str">
        <f>IFERROR(__xludf.DUMMYFUNCTION("""COMPUTED_VALUE"""),"cgonzagaj@gmail.com")</f>
        <v>cgonzagaj@gmail.com</v>
      </c>
      <c r="J56" s="62" t="str">
        <f>IFERROR(__xludf.DUMMYFUNCTION("""COMPUTED_VALUE"""),"Comprehensive")</f>
        <v>Comprehensive</v>
      </c>
      <c r="K56" t="str">
        <f>IFERROR(__xludf.DUMMYFUNCTION("""COMPUTED_VALUE"""),"Intellectual Disability and Autism, Brain Malformations, Charcot-Marie-Tooth Disease")</f>
        <v>Intellectual Disability and Autism, Brain Malformations, Charcot-Marie-Tooth Disease</v>
      </c>
    </row>
    <row r="57">
      <c r="A57" t="str">
        <f>IFERROR(__xludf.DUMMYFUNCTION("""COMPUTED_VALUE"""),"Contacted")</f>
        <v>Contacted</v>
      </c>
      <c r="B57" t="str">
        <f>IFERROR(__xludf.DUMMYFUNCTION("""COMPUTED_VALUE"""),"")</f>
        <v/>
      </c>
      <c r="C57" s="114">
        <f>IFERROR(__xludf.DUMMYFUNCTION("""COMPUTED_VALUE"""),43692.0)</f>
        <v>43692</v>
      </c>
      <c r="D57" s="62" t="str">
        <f>IFERROR(__xludf.DUMMYFUNCTION("""COMPUTED_VALUE"""),"Yes")</f>
        <v>Yes</v>
      </c>
      <c r="E57" s="62" t="str">
        <f>IFERROR(__xludf.DUMMYFUNCTION("""COMPUTED_VALUE"""),"Yes")</f>
        <v>Yes</v>
      </c>
      <c r="F57" s="62" t="str">
        <f>IFERROR(__xludf.DUMMYFUNCTION("""COMPUTED_VALUE"""),"Gene Disease Validity")</f>
        <v>Gene Disease Validity</v>
      </c>
      <c r="G57" t="str">
        <f>IFERROR(__xludf.DUMMYFUNCTION("""COMPUTED_VALUE"""),"")</f>
        <v/>
      </c>
      <c r="H57" t="str">
        <f>IFERROR(__xludf.DUMMYFUNCTION("""COMPUTED_VALUE"""),"Jean Davidson")</f>
        <v>Jean Davidson</v>
      </c>
      <c r="I57" t="str">
        <f>IFERROR(__xludf.DUMMYFUNCTION("""COMPUTED_VALUE"""),"jdavid06@calpoly.edu")</f>
        <v>jdavid06@calpoly.edu</v>
      </c>
      <c r="J57" s="62" t="str">
        <f>IFERROR(__xludf.DUMMYFUNCTION("""COMPUTED_VALUE"""),"Comprehensive")</f>
        <v>Comprehensive</v>
      </c>
      <c r="K57" t="str">
        <f>IFERROR(__xludf.DUMMYFUNCTION("""COMPUTED_VALUE"""),"mitochondrial diseases, dilated cardiomyopathy, ")</f>
        <v>mitochondrial diseases, dilated cardiomyopathy, </v>
      </c>
    </row>
    <row r="58">
      <c r="A58" t="str">
        <f>IFERROR(__xludf.DUMMYFUNCTION("""COMPUTED_VALUE"""),"Unassigned")</f>
        <v>Unassigned</v>
      </c>
      <c r="B58" t="str">
        <f>IFERROR(__xludf.DUMMYFUNCTION("""COMPUTED_VALUE"""),"")</f>
        <v/>
      </c>
      <c r="C58" t="str">
        <f>IFERROR(__xludf.DUMMYFUNCTION("""COMPUTED_VALUE"""),"")</f>
        <v/>
      </c>
      <c r="D58" s="62" t="str">
        <f>IFERROR(__xludf.DUMMYFUNCTION("""COMPUTED_VALUE"""),"")</f>
        <v/>
      </c>
      <c r="E58" s="62" t="str">
        <f>IFERROR(__xludf.DUMMYFUNCTION("""COMPUTED_VALUE"""),"No")</f>
        <v>No</v>
      </c>
      <c r="F58" s="62" t="str">
        <f>IFERROR(__xludf.DUMMYFUNCTION("""COMPUTED_VALUE"""),"Gene Disease Validity")</f>
        <v>Gene Disease Validity</v>
      </c>
      <c r="G58" t="str">
        <f>IFERROR(__xludf.DUMMYFUNCTION("""COMPUTED_VALUE"""),"")</f>
        <v/>
      </c>
      <c r="H58" t="str">
        <f>IFERROR(__xludf.DUMMYFUNCTION("""COMPUTED_VALUE"""),"Amruta Phatak")</f>
        <v>Amruta Phatak</v>
      </c>
      <c r="I58" t="str">
        <f>IFERROR(__xludf.DUMMYFUNCTION("""COMPUTED_VALUE"""),"arphatak@iu.edu")</f>
        <v>arphatak@iu.edu</v>
      </c>
      <c r="J58" s="62" t="str">
        <f>IFERROR(__xludf.DUMMYFUNCTION("""COMPUTED_VALUE"""),"Comprehensive")</f>
        <v>Comprehensive</v>
      </c>
      <c r="K58" t="str">
        <f>IFERROR(__xludf.DUMMYFUNCTION("""COMPUTED_VALUE"""),"")</f>
        <v/>
      </c>
    </row>
    <row r="59">
      <c r="A59" t="str">
        <f>IFERROR(__xludf.DUMMYFUNCTION("""COMPUTED_VALUE"""),"Contacted")</f>
        <v>Contacted</v>
      </c>
      <c r="B59" t="str">
        <f>IFERROR(__xludf.DUMMYFUNCTION("""COMPUTED_VALUE"""),"")</f>
        <v/>
      </c>
      <c r="C59" s="114">
        <f>IFERROR(__xludf.DUMMYFUNCTION("""COMPUTED_VALUE"""),43692.0)</f>
        <v>43692</v>
      </c>
      <c r="D59" s="62" t="str">
        <f>IFERROR(__xludf.DUMMYFUNCTION("""COMPUTED_VALUE"""),"Yes")</f>
        <v>Yes</v>
      </c>
      <c r="E59" s="62" t="str">
        <f>IFERROR(__xludf.DUMMYFUNCTION("""COMPUTED_VALUE"""),"Yes")</f>
        <v>Yes</v>
      </c>
      <c r="F59" s="62" t="str">
        <f>IFERROR(__xludf.DUMMYFUNCTION("""COMPUTED_VALUE"""),"Gene Disease Validity")</f>
        <v>Gene Disease Validity</v>
      </c>
      <c r="G59" t="str">
        <f>IFERROR(__xludf.DUMMYFUNCTION("""COMPUTED_VALUE"""),"")</f>
        <v/>
      </c>
      <c r="H59" t="str">
        <f>IFERROR(__xludf.DUMMYFUNCTION("""COMPUTED_VALUE"""),"Marc Lataillade")</f>
        <v>Marc Lataillade</v>
      </c>
      <c r="I59" t="str">
        <f>IFERROR(__xludf.DUMMYFUNCTION("""COMPUTED_VALUE"""),"marclataillade258@gmail.com")</f>
        <v>marclataillade258@gmail.com</v>
      </c>
      <c r="J59" s="62" t="str">
        <f>IFERROR(__xludf.DUMMYFUNCTION("""COMPUTED_VALUE"""),"Comprehensive")</f>
        <v>Comprehensive</v>
      </c>
      <c r="K59" t="str">
        <f>IFERROR(__xludf.DUMMYFUNCTION("""COMPUTED_VALUE"""),"Of the panels listed I am interested in the aminoacidopathy and VHL group.")</f>
        <v>Of the panels listed I am interested in the aminoacidopathy and VHL group.</v>
      </c>
    </row>
    <row r="60">
      <c r="A60" t="str">
        <f>IFERROR(__xludf.DUMMYFUNCTION("""COMPUTED_VALUE"""),"Contacted")</f>
        <v>Contacted</v>
      </c>
      <c r="B60" t="str">
        <f>IFERROR(__xludf.DUMMYFUNCTION("""COMPUTED_VALUE"""),"")</f>
        <v/>
      </c>
      <c r="C60" s="114">
        <f>IFERROR(__xludf.DUMMYFUNCTION("""COMPUTED_VALUE"""),43692.0)</f>
        <v>43692</v>
      </c>
      <c r="D60" s="62" t="str">
        <f>IFERROR(__xludf.DUMMYFUNCTION("""COMPUTED_VALUE"""),"Yes")</f>
        <v>Yes</v>
      </c>
      <c r="E60" s="62" t="str">
        <f>IFERROR(__xludf.DUMMYFUNCTION("""COMPUTED_VALUE"""),"Yes")</f>
        <v>Yes</v>
      </c>
      <c r="F60" s="62" t="str">
        <f>IFERROR(__xludf.DUMMYFUNCTION("""COMPUTED_VALUE"""),"Gene Disease Validity")</f>
        <v>Gene Disease Validity</v>
      </c>
      <c r="G60" t="str">
        <f>IFERROR(__xludf.DUMMYFUNCTION("""COMPUTED_VALUE"""),"")</f>
        <v/>
      </c>
      <c r="H60" t="str">
        <f>IFERROR(__xludf.DUMMYFUNCTION("""COMPUTED_VALUE"""),"Mayher Patel")</f>
        <v>Mayher Patel</v>
      </c>
      <c r="I60" t="str">
        <f>IFERROR(__xludf.DUMMYFUNCTION("""COMPUTED_VALUE"""),"mayher@broadinstitute.org")</f>
        <v>mayher@broadinstitute.org</v>
      </c>
      <c r="J60" s="62" t="str">
        <f>IFERROR(__xludf.DUMMYFUNCTION("""COMPUTED_VALUE"""),"Comprehensive")</f>
        <v>Comprehensive</v>
      </c>
      <c r="K60" t="str">
        <f>IFERROR(__xludf.DUMMYFUNCTION("""COMPUTED_VALUE"""),"")</f>
        <v/>
      </c>
    </row>
    <row r="61">
      <c r="A61" t="str">
        <f>IFERROR(__xludf.DUMMYFUNCTION("""COMPUTED_VALUE"""),"Contacted")</f>
        <v>Contacted</v>
      </c>
      <c r="B61" t="str">
        <f>IFERROR(__xludf.DUMMYFUNCTION("""COMPUTED_VALUE"""),"")</f>
        <v/>
      </c>
      <c r="C61" s="114">
        <f>IFERROR(__xludf.DUMMYFUNCTION("""COMPUTED_VALUE"""),43692.0)</f>
        <v>43692</v>
      </c>
      <c r="D61" s="62" t="str">
        <f>IFERROR(__xludf.DUMMYFUNCTION("""COMPUTED_VALUE"""),"Yes")</f>
        <v>Yes</v>
      </c>
      <c r="E61" s="62" t="str">
        <f>IFERROR(__xludf.DUMMYFUNCTION("""COMPUTED_VALUE"""),"Yes")</f>
        <v>Yes</v>
      </c>
      <c r="F61" s="62" t="str">
        <f>IFERROR(__xludf.DUMMYFUNCTION("""COMPUTED_VALUE"""),"Gene Disease Validity")</f>
        <v>Gene Disease Validity</v>
      </c>
      <c r="G61" t="str">
        <f>IFERROR(__xludf.DUMMYFUNCTION("""COMPUTED_VALUE"""),"")</f>
        <v/>
      </c>
      <c r="H61" t="str">
        <f>IFERROR(__xludf.DUMMYFUNCTION("""COMPUTED_VALUE"""),"Hwaida Hannoush")</f>
        <v>Hwaida Hannoush</v>
      </c>
      <c r="I61" t="str">
        <f>IFERROR(__xludf.DUMMYFUNCTION("""COMPUTED_VALUE"""),"hhannoush@acmg.net")</f>
        <v>hhannoush@acmg.net</v>
      </c>
      <c r="J61" s="62" t="str">
        <f>IFERROR(__xludf.DUMMYFUNCTION("""COMPUTED_VALUE"""),"Comprehensive")</f>
        <v>Comprehensive</v>
      </c>
      <c r="K61" t="str">
        <f>IFERROR(__xludf.DUMMYFUNCTION("""COMPUTED_VALUE"""),"Cardiomyopathy, Familial Hypercholesterolemia")</f>
        <v>Cardiomyopathy, Familial Hypercholesterolemia</v>
      </c>
    </row>
    <row r="62">
      <c r="A62" t="str">
        <f>IFERROR(__xludf.DUMMYFUNCTION("""COMPUTED_VALUE"""),"Contacted")</f>
        <v>Contacted</v>
      </c>
      <c r="B62" s="116">
        <f>IFERROR(__xludf.DUMMYFUNCTION("""COMPUTED_VALUE"""),43819.0)</f>
        <v>43819</v>
      </c>
      <c r="C62" t="str">
        <f>IFERROR(__xludf.DUMMYFUNCTION("""COMPUTED_VALUE"""),"")</f>
        <v/>
      </c>
      <c r="D62" s="62" t="str">
        <f>IFERROR(__xludf.DUMMYFUNCTION("""COMPUTED_VALUE"""),"")</f>
        <v/>
      </c>
      <c r="E62" s="62" t="str">
        <f>IFERROR(__xludf.DUMMYFUNCTION("""COMPUTED_VALUE"""),"No")</f>
        <v>No</v>
      </c>
      <c r="F62" s="62" t="str">
        <f>IFERROR(__xludf.DUMMYFUNCTION("""COMPUTED_VALUE"""),"Gene Disease Validity")</f>
        <v>Gene Disease Validity</v>
      </c>
      <c r="G62" t="str">
        <f>IFERROR(__xludf.DUMMYFUNCTION("""COMPUTED_VALUE"""),"")</f>
        <v/>
      </c>
      <c r="H62" t="str">
        <f>IFERROR(__xludf.DUMMYFUNCTION("""COMPUTED_VALUE"""),"Jennifer Hull")</f>
        <v>Jennifer Hull</v>
      </c>
      <c r="I62" t="str">
        <f>IFERROR(__xludf.DUMMYFUNCTION("""COMPUTED_VALUE"""),"jhull86@gmail.com")</f>
        <v>jhull86@gmail.com</v>
      </c>
      <c r="J62" s="62" t="str">
        <f>IFERROR(__xludf.DUMMYFUNCTION("""COMPUTED_VALUE"""),"comprehensive")</f>
        <v>comprehensive</v>
      </c>
      <c r="K62" t="str">
        <f>IFERROR(__xludf.DUMMYFUNCTION("""COMPUTED_VALUE"""),"Phenylketonuria Variant Curation Expert Panel, epilepsy, CMT, hypercholesterolemia, colorectal cancer")</f>
        <v>Phenylketonuria Variant Curation Expert Panel, epilepsy, CMT, hypercholesterolemia, colorectal cancer</v>
      </c>
    </row>
    <row r="63">
      <c r="A63" t="str">
        <f>IFERROR(__xludf.DUMMYFUNCTION("""COMPUTED_VALUE"""),"Contacted")</f>
        <v>Contacted</v>
      </c>
      <c r="B63" s="116">
        <f>IFERROR(__xludf.DUMMYFUNCTION("""COMPUTED_VALUE"""),43819.0)</f>
        <v>43819</v>
      </c>
      <c r="C63" t="str">
        <f>IFERROR(__xludf.DUMMYFUNCTION("""COMPUTED_VALUE"""),"")</f>
        <v/>
      </c>
      <c r="D63" s="62" t="str">
        <f>IFERROR(__xludf.DUMMYFUNCTION("""COMPUTED_VALUE"""),"")</f>
        <v/>
      </c>
      <c r="E63" s="62" t="str">
        <f>IFERROR(__xludf.DUMMYFUNCTION("""COMPUTED_VALUE"""),"No")</f>
        <v>No</v>
      </c>
      <c r="F63" s="62" t="str">
        <f>IFERROR(__xludf.DUMMYFUNCTION("""COMPUTED_VALUE"""),"Gene Disease Validity")</f>
        <v>Gene Disease Validity</v>
      </c>
      <c r="G63" t="str">
        <f>IFERROR(__xludf.DUMMYFUNCTION("""COMPUTED_VALUE"""),"")</f>
        <v/>
      </c>
      <c r="H63" t="str">
        <f>IFERROR(__xludf.DUMMYFUNCTION("""COMPUTED_VALUE"""),"MEGHA DANI")</f>
        <v>MEGHA DANI</v>
      </c>
      <c r="I63" t="str">
        <f>IFERROR(__xludf.DUMMYFUNCTION("""COMPUTED_VALUE"""),"meghamdani@gmail.com")</f>
        <v>meghamdani@gmail.com</v>
      </c>
      <c r="J63" s="62" t="str">
        <f>IFERROR(__xludf.DUMMYFUNCTION("""COMPUTED_VALUE"""),"Comprehensive")</f>
        <v>Comprehensive</v>
      </c>
      <c r="K63" t="str">
        <f>IFERROR(__xludf.DUMMYFUNCTION("""COMPUTED_VALUE"""),"Yes")</f>
        <v>Yes</v>
      </c>
    </row>
    <row r="64">
      <c r="A64" t="str">
        <f>IFERROR(__xludf.DUMMYFUNCTION("""COMPUTED_VALUE"""),"Contacted")</f>
        <v>Contacted</v>
      </c>
      <c r="B64" t="str">
        <f>IFERROR(__xludf.DUMMYFUNCTION("""COMPUTED_VALUE"""),"")</f>
        <v/>
      </c>
      <c r="C64" s="114">
        <f>IFERROR(__xludf.DUMMYFUNCTION("""COMPUTED_VALUE"""),43692.0)</f>
        <v>43692</v>
      </c>
      <c r="D64" s="62" t="str">
        <f>IFERROR(__xludf.DUMMYFUNCTION("""COMPUTED_VALUE"""),"Yes")</f>
        <v>Yes</v>
      </c>
      <c r="E64" s="62" t="str">
        <f>IFERROR(__xludf.DUMMYFUNCTION("""COMPUTED_VALUE"""),"No")</f>
        <v>No</v>
      </c>
      <c r="F64" s="62" t="str">
        <f>IFERROR(__xludf.DUMMYFUNCTION("""COMPUTED_VALUE"""),"Gene Disease Validity")</f>
        <v>Gene Disease Validity</v>
      </c>
      <c r="G64" t="str">
        <f>IFERROR(__xludf.DUMMYFUNCTION("""COMPUTED_VALUE"""),"")</f>
        <v/>
      </c>
      <c r="H64" t="str">
        <f>IFERROR(__xludf.DUMMYFUNCTION("""COMPUTED_VALUE"""),"SAILATHA RAVI")</f>
        <v>SAILATHA RAVI</v>
      </c>
      <c r="I64" t="str">
        <f>IFERROR(__xludf.DUMMYFUNCTION("""COMPUTED_VALUE"""),"sailatha.ravi@gmail.com")</f>
        <v>sailatha.ravi@gmail.com</v>
      </c>
      <c r="J64" s="62" t="str">
        <f>IFERROR(__xludf.DUMMYFUNCTION("""COMPUTED_VALUE"""),"Comprehensive")</f>
        <v>Comprehensive</v>
      </c>
      <c r="K64" t="str">
        <f>IFERROR(__xludf.DUMMYFUNCTION("""COMPUTED_VALUE"""),"")</f>
        <v/>
      </c>
    </row>
    <row r="65">
      <c r="A65" t="str">
        <f>IFERROR(__xludf.DUMMYFUNCTION("""COMPUTED_VALUE"""),"Contacted")</f>
        <v>Contacted</v>
      </c>
      <c r="B65" s="116">
        <f>IFERROR(__xludf.DUMMYFUNCTION("""COMPUTED_VALUE"""),43819.0)</f>
        <v>43819</v>
      </c>
      <c r="C65" t="str">
        <f>IFERROR(__xludf.DUMMYFUNCTION("""COMPUTED_VALUE"""),"")</f>
        <v/>
      </c>
      <c r="D65" s="62" t="str">
        <f>IFERROR(__xludf.DUMMYFUNCTION("""COMPUTED_VALUE"""),"")</f>
        <v/>
      </c>
      <c r="E65" s="62" t="str">
        <f>IFERROR(__xludf.DUMMYFUNCTION("""COMPUTED_VALUE"""),"No")</f>
        <v>No</v>
      </c>
      <c r="F65" s="62" t="str">
        <f>IFERROR(__xludf.DUMMYFUNCTION("""COMPUTED_VALUE"""),"Gene Disease Validity")</f>
        <v>Gene Disease Validity</v>
      </c>
      <c r="G65" t="str">
        <f>IFERROR(__xludf.DUMMYFUNCTION("""COMPUTED_VALUE"""),"")</f>
        <v/>
      </c>
      <c r="H65" t="str">
        <f>IFERROR(__xludf.DUMMYFUNCTION("""COMPUTED_VALUE"""),"Yasser Sullcahuaman Allende")</f>
        <v>Yasser Sullcahuaman Allende</v>
      </c>
      <c r="I65" t="str">
        <f>IFERROR(__xludf.DUMMYFUNCTION("""COMPUTED_VALUE"""),"ysullcahuaman@hotmail.com")</f>
        <v>ysullcahuaman@hotmail.com</v>
      </c>
      <c r="J65" s="62" t="str">
        <f>IFERROR(__xludf.DUMMYFUNCTION("""COMPUTED_VALUE"""),"Comprehensive")</f>
        <v>Comprehensive</v>
      </c>
      <c r="K65" t="str">
        <f>IFERROR(__xludf.DUMMYFUNCTION("""COMPUTED_VALUE"""),"Hereditary cancer")</f>
        <v>Hereditary cancer</v>
      </c>
    </row>
    <row r="66">
      <c r="A66" t="str">
        <f>IFERROR(__xludf.DUMMYFUNCTION("""COMPUTED_VALUE"""),"Contacted")</f>
        <v>Contacted</v>
      </c>
      <c r="B66" s="116">
        <f>IFERROR(__xludf.DUMMYFUNCTION("""COMPUTED_VALUE"""),43819.0)</f>
        <v>43819</v>
      </c>
      <c r="C66" t="str">
        <f>IFERROR(__xludf.DUMMYFUNCTION("""COMPUTED_VALUE"""),"")</f>
        <v/>
      </c>
      <c r="D66" s="62" t="str">
        <f>IFERROR(__xludf.DUMMYFUNCTION("""COMPUTED_VALUE"""),"")</f>
        <v/>
      </c>
      <c r="E66" s="62" t="str">
        <f>IFERROR(__xludf.DUMMYFUNCTION("""COMPUTED_VALUE"""),"No")</f>
        <v>No</v>
      </c>
      <c r="F66" s="62" t="str">
        <f>IFERROR(__xludf.DUMMYFUNCTION("""COMPUTED_VALUE"""),"Gene Disease Validity")</f>
        <v>Gene Disease Validity</v>
      </c>
      <c r="G66" t="str">
        <f>IFERROR(__xludf.DUMMYFUNCTION("""COMPUTED_VALUE"""),"")</f>
        <v/>
      </c>
      <c r="H66" t="str">
        <f>IFERROR(__xludf.DUMMYFUNCTION("""COMPUTED_VALUE"""),"Krista Bluske")</f>
        <v>Krista Bluske</v>
      </c>
      <c r="I66" t="str">
        <f>IFERROR(__xludf.DUMMYFUNCTION("""COMPUTED_VALUE"""),"kbluske@illumina.com")</f>
        <v>kbluske@illumina.com</v>
      </c>
      <c r="J66" s="62" t="str">
        <f>IFERROR(__xludf.DUMMYFUNCTION("""COMPUTED_VALUE"""),"Comprehensive")</f>
        <v>Comprehensive</v>
      </c>
      <c r="K66" t="str">
        <f>IFERROR(__xludf.DUMMYFUNCTION("""COMPUTED_VALUE"""),"Mitochondrial Diseases expert panel (already participating), the soon-to-be-formed RUGD expert panel")</f>
        <v>Mitochondrial Diseases expert panel (already participating), the soon-to-be-formed RUGD expert panel</v>
      </c>
    </row>
    <row r="67">
      <c r="A67" t="str">
        <f>IFERROR(__xludf.DUMMYFUNCTION("""COMPUTED_VALUE"""),"Contacted")</f>
        <v>Contacted</v>
      </c>
      <c r="B67" s="116">
        <f>IFERROR(__xludf.DUMMYFUNCTION("""COMPUTED_VALUE"""),43819.0)</f>
        <v>43819</v>
      </c>
      <c r="C67" t="str">
        <f>IFERROR(__xludf.DUMMYFUNCTION("""COMPUTED_VALUE"""),"")</f>
        <v/>
      </c>
      <c r="D67" s="62" t="str">
        <f>IFERROR(__xludf.DUMMYFUNCTION("""COMPUTED_VALUE"""),"")</f>
        <v/>
      </c>
      <c r="E67" s="62" t="str">
        <f>IFERROR(__xludf.DUMMYFUNCTION("""COMPUTED_VALUE"""),"No")</f>
        <v>No</v>
      </c>
      <c r="F67" s="62" t="str">
        <f>IFERROR(__xludf.DUMMYFUNCTION("""COMPUTED_VALUE"""),"Gene Disease Validity")</f>
        <v>Gene Disease Validity</v>
      </c>
      <c r="G67" t="str">
        <f>IFERROR(__xludf.DUMMYFUNCTION("""COMPUTED_VALUE"""),"")</f>
        <v/>
      </c>
      <c r="H67" t="str">
        <f>IFERROR(__xludf.DUMMYFUNCTION("""COMPUTED_VALUE"""),"Amanda Clause")</f>
        <v>Amanda Clause</v>
      </c>
      <c r="I67" t="str">
        <f>IFERROR(__xludf.DUMMYFUNCTION("""COMPUTED_VALUE"""),"aclause@illumina.com")</f>
        <v>aclause@illumina.com</v>
      </c>
      <c r="J67" s="62" t="str">
        <f>IFERROR(__xludf.DUMMYFUNCTION("""COMPUTED_VALUE"""),"Comprehensive")</f>
        <v>Comprehensive</v>
      </c>
      <c r="K67" t="str">
        <f>IFERROR(__xludf.DUMMYFUNCTION("""COMPUTED_VALUE"""),"mitochondrial diseases, rare disease")</f>
        <v>mitochondrial diseases, rare disease</v>
      </c>
    </row>
    <row r="68">
      <c r="A68" t="str">
        <f>IFERROR(__xludf.DUMMYFUNCTION("""COMPUTED_VALUE"""),"Contacted")</f>
        <v>Contacted</v>
      </c>
      <c r="B68" s="116">
        <f>IFERROR(__xludf.DUMMYFUNCTION("""COMPUTED_VALUE"""),43819.0)</f>
        <v>43819</v>
      </c>
      <c r="C68" t="str">
        <f>IFERROR(__xludf.DUMMYFUNCTION("""COMPUTED_VALUE"""),"")</f>
        <v/>
      </c>
      <c r="D68" s="62" t="str">
        <f>IFERROR(__xludf.DUMMYFUNCTION("""COMPUTED_VALUE"""),"")</f>
        <v/>
      </c>
      <c r="E68" s="62" t="str">
        <f>IFERROR(__xludf.DUMMYFUNCTION("""COMPUTED_VALUE"""),"No")</f>
        <v>No</v>
      </c>
      <c r="F68" s="62" t="str">
        <f>IFERROR(__xludf.DUMMYFUNCTION("""COMPUTED_VALUE"""),"Gene Disease Validity")</f>
        <v>Gene Disease Validity</v>
      </c>
      <c r="G68" t="str">
        <f>IFERROR(__xludf.DUMMYFUNCTION("""COMPUTED_VALUE"""),"")</f>
        <v/>
      </c>
      <c r="H68" t="str">
        <f>IFERROR(__xludf.DUMMYFUNCTION("""COMPUTED_VALUE"""),"Julie P Taylor")</f>
        <v>Julie P Taylor</v>
      </c>
      <c r="I68" t="str">
        <f>IFERROR(__xludf.DUMMYFUNCTION("""COMPUTED_VALUE"""),"jtaylor1@illumina.com")</f>
        <v>jtaylor1@illumina.com</v>
      </c>
      <c r="J68" s="62" t="str">
        <f>IFERROR(__xludf.DUMMYFUNCTION("""COMPUTED_VALUE"""),"Comprehensive")</f>
        <v>Comprehensive</v>
      </c>
      <c r="K68" t="str">
        <f>IFERROR(__xludf.DUMMYFUNCTION("""COMPUTED_VALUE"""),"")</f>
        <v/>
      </c>
    </row>
    <row r="69">
      <c r="A69" t="str">
        <f>IFERROR(__xludf.DUMMYFUNCTION("""COMPUTED_VALUE"""),"Contacted")</f>
        <v>Contacted</v>
      </c>
      <c r="B69" s="116">
        <f>IFERROR(__xludf.DUMMYFUNCTION("""COMPUTED_VALUE"""),43840.0)</f>
        <v>43840</v>
      </c>
      <c r="C69" t="str">
        <f>IFERROR(__xludf.DUMMYFUNCTION("""COMPUTED_VALUE"""),"")</f>
        <v/>
      </c>
      <c r="D69" s="62" t="str">
        <f>IFERROR(__xludf.DUMMYFUNCTION("""COMPUTED_VALUE"""),"")</f>
        <v/>
      </c>
      <c r="E69" s="62" t="str">
        <f>IFERROR(__xludf.DUMMYFUNCTION("""COMPUTED_VALUE"""),"No")</f>
        <v>No</v>
      </c>
      <c r="F69" s="62" t="str">
        <f>IFERROR(__xludf.DUMMYFUNCTION("""COMPUTED_VALUE"""),"Gene Disease Validity")</f>
        <v>Gene Disease Validity</v>
      </c>
      <c r="G69" t="str">
        <f>IFERROR(__xludf.DUMMYFUNCTION("""COMPUTED_VALUE"""),"")</f>
        <v/>
      </c>
      <c r="H69" t="str">
        <f>IFERROR(__xludf.DUMMYFUNCTION("""COMPUTED_VALUE"""),"Charlene Preys")</f>
        <v>Charlene Preys</v>
      </c>
      <c r="I69" t="str">
        <f>IFERROR(__xludf.DUMMYFUNCTION("""COMPUTED_VALUE"""),"clpreys@bwh.harvard.edu")</f>
        <v>clpreys@bwh.harvard.edu</v>
      </c>
      <c r="J69" s="62" t="str">
        <f>IFERROR(__xludf.DUMMYFUNCTION("""COMPUTED_VALUE"""),"Comprehensive")</f>
        <v>Comprehensive</v>
      </c>
      <c r="K69" t="str">
        <f>IFERROR(__xludf.DUMMYFUNCTION("""COMPUTED_VALUE"""),"TP53 or Mitochondrial (will gladly help any panel/working group) - Hereditary cancer, Hemostasis or Congenital Myopathy")</f>
        <v>TP53 or Mitochondrial (will gladly help any panel/working group) - Hereditary cancer, Hemostasis or Congenital Myopathy</v>
      </c>
    </row>
    <row r="70">
      <c r="A70" t="str">
        <f>IFERROR(__xludf.DUMMYFUNCTION("""COMPUTED_VALUE"""),"Contacted")</f>
        <v>Contacted</v>
      </c>
      <c r="B70" s="116">
        <f>IFERROR(__xludf.DUMMYFUNCTION("""COMPUTED_VALUE"""),43819.0)</f>
        <v>43819</v>
      </c>
      <c r="C70" t="str">
        <f>IFERROR(__xludf.DUMMYFUNCTION("""COMPUTED_VALUE"""),"")</f>
        <v/>
      </c>
      <c r="D70" s="62" t="str">
        <f>IFERROR(__xludf.DUMMYFUNCTION("""COMPUTED_VALUE"""),"")</f>
        <v/>
      </c>
      <c r="E70" s="62" t="str">
        <f>IFERROR(__xludf.DUMMYFUNCTION("""COMPUTED_VALUE"""),"No")</f>
        <v>No</v>
      </c>
      <c r="F70" s="62" t="str">
        <f>IFERROR(__xludf.DUMMYFUNCTION("""COMPUTED_VALUE"""),"Gene Disease Validity")</f>
        <v>Gene Disease Validity</v>
      </c>
      <c r="G70" t="str">
        <f>IFERROR(__xludf.DUMMYFUNCTION("""COMPUTED_VALUE"""),"")</f>
        <v/>
      </c>
      <c r="H70" t="str">
        <f>IFERROR(__xludf.DUMMYFUNCTION("""COMPUTED_VALUE"""),"Laura Roht")</f>
        <v>Laura Roht</v>
      </c>
      <c r="I70" t="str">
        <f>IFERROR(__xludf.DUMMYFUNCTION("""COMPUTED_VALUE"""),"laura.roht@kliinikum.ee")</f>
        <v>laura.roht@kliinikum.ee</v>
      </c>
      <c r="J70" s="62" t="str">
        <f>IFERROR(__xludf.DUMMYFUNCTION("""COMPUTED_VALUE"""),"Comprehensive")</f>
        <v>Comprehensive</v>
      </c>
      <c r="K70" t="str">
        <f>IFERROR(__xludf.DUMMYFUNCTION("""COMPUTED_VALUE"""),"Hereditary Cancer")</f>
        <v>Hereditary Cancer</v>
      </c>
    </row>
    <row r="71">
      <c r="A71" t="str">
        <f>IFERROR(__xludf.DUMMYFUNCTION("""COMPUTED_VALUE"""),"Contacted")</f>
        <v>Contacted</v>
      </c>
      <c r="B71" t="str">
        <f>IFERROR(__xludf.DUMMYFUNCTION("""COMPUTED_VALUE"""),"")</f>
        <v/>
      </c>
      <c r="C71" s="121">
        <f>IFERROR(__xludf.DUMMYFUNCTION("""COMPUTED_VALUE"""),43585.0)</f>
        <v>43585</v>
      </c>
      <c r="D71" s="62" t="str">
        <f>IFERROR(__xludf.DUMMYFUNCTION("""COMPUTED_VALUE"""),"Yes")</f>
        <v>Yes</v>
      </c>
      <c r="E71" s="62" t="str">
        <f>IFERROR(__xludf.DUMMYFUNCTION("""COMPUTED_VALUE"""),"No")</f>
        <v>No</v>
      </c>
      <c r="F71" s="62" t="str">
        <f>IFERROR(__xludf.DUMMYFUNCTION("""COMPUTED_VALUE"""),"Gene Disease Validity")</f>
        <v>Gene Disease Validity</v>
      </c>
      <c r="G71" t="str">
        <f>IFERROR(__xludf.DUMMYFUNCTION("""COMPUTED_VALUE"""),"")</f>
        <v/>
      </c>
      <c r="H71" t="str">
        <f>IFERROR(__xludf.DUMMYFUNCTION("""COMPUTED_VALUE"""),"Coumarane Mani")</f>
        <v>Coumarane Mani</v>
      </c>
      <c r="I71" t="str">
        <f>IFERROR(__xludf.DUMMYFUNCTION("""COMPUTED_VALUE"""),"coumarane.mani@aruplab.com")</f>
        <v>coumarane.mani@aruplab.com</v>
      </c>
      <c r="J71" s="62" t="str">
        <f>IFERROR(__xludf.DUMMYFUNCTION("""COMPUTED_VALUE"""),"Comprehensive")</f>
        <v>Comprehensive</v>
      </c>
      <c r="K71" t="str">
        <f>IFERROR(__xludf.DUMMYFUNCTION("""COMPUTED_VALUE"""),"")</f>
        <v/>
      </c>
    </row>
    <row r="72">
      <c r="A72" t="str">
        <f>IFERROR(__xludf.DUMMYFUNCTION("""COMPUTED_VALUE"""),"Contacted")</f>
        <v>Contacted</v>
      </c>
      <c r="B72" s="116">
        <f>IFERROR(__xludf.DUMMYFUNCTION("""COMPUTED_VALUE"""),43819.0)</f>
        <v>43819</v>
      </c>
      <c r="C72" s="115">
        <f>IFERROR(__xludf.DUMMYFUNCTION("""COMPUTED_VALUE"""),43846.0)</f>
        <v>43846</v>
      </c>
      <c r="D72" s="62" t="str">
        <f>IFERROR(__xludf.DUMMYFUNCTION("""COMPUTED_VALUE"""),"Yes")</f>
        <v>Yes</v>
      </c>
      <c r="E72" s="62" t="str">
        <f>IFERROR(__xludf.DUMMYFUNCTION("""COMPUTED_VALUE"""),"No")</f>
        <v>No</v>
      </c>
      <c r="F72" s="62" t="str">
        <f>IFERROR(__xludf.DUMMYFUNCTION("""COMPUTED_VALUE"""),"Gene Disease Validity")</f>
        <v>Gene Disease Validity</v>
      </c>
      <c r="G72" t="str">
        <f>IFERROR(__xludf.DUMMYFUNCTION("""COMPUTED_VALUE"""),"")</f>
        <v/>
      </c>
      <c r="H72" t="str">
        <f>IFERROR(__xludf.DUMMYFUNCTION("""COMPUTED_VALUE"""),"Xiaoting Ma")</f>
        <v>Xiaoting Ma</v>
      </c>
      <c r="I72" t="str">
        <f>IFERROR(__xludf.DUMMYFUNCTION("""COMPUTED_VALUE"""),"Xiaoting.Ma@childrens.harvard.edu")</f>
        <v>Xiaoting.Ma@childrens.harvard.edu</v>
      </c>
      <c r="J72" s="62" t="str">
        <f>IFERROR(__xludf.DUMMYFUNCTION("""COMPUTED_VALUE"""),"Comprehensive")</f>
        <v>Comprehensive</v>
      </c>
      <c r="K72" t="str">
        <f>IFERROR(__xludf.DUMMYFUNCTION("""COMPUTED_VALUE"""),"I am open to any opportunities")</f>
        <v>I am open to any opportunities</v>
      </c>
    </row>
    <row r="73">
      <c r="A73" t="str">
        <f>IFERROR(__xludf.DUMMYFUNCTION("""COMPUTED_VALUE"""),"Contacted")</f>
        <v>Contacted</v>
      </c>
      <c r="B73" s="116">
        <f>IFERROR(__xludf.DUMMYFUNCTION("""COMPUTED_VALUE"""),43819.0)</f>
        <v>43819</v>
      </c>
      <c r="C73" t="str">
        <f>IFERROR(__xludf.DUMMYFUNCTION("""COMPUTED_VALUE"""),"")</f>
        <v/>
      </c>
      <c r="D73" s="62" t="str">
        <f>IFERROR(__xludf.DUMMYFUNCTION("""COMPUTED_VALUE"""),"")</f>
        <v/>
      </c>
      <c r="E73" s="62" t="str">
        <f>IFERROR(__xludf.DUMMYFUNCTION("""COMPUTED_VALUE"""),"No")</f>
        <v>No</v>
      </c>
      <c r="F73" s="62" t="str">
        <f>IFERROR(__xludf.DUMMYFUNCTION("""COMPUTED_VALUE"""),"Gene Disease Validity")</f>
        <v>Gene Disease Validity</v>
      </c>
      <c r="G73" t="str">
        <f>IFERROR(__xludf.DUMMYFUNCTION("""COMPUTED_VALUE"""),"")</f>
        <v/>
      </c>
      <c r="H73" t="str">
        <f>IFERROR(__xludf.DUMMYFUNCTION("""COMPUTED_VALUE"""),"Sali Farhan")</f>
        <v>Sali Farhan</v>
      </c>
      <c r="I73" t="str">
        <f>IFERROR(__xludf.DUMMYFUNCTION("""COMPUTED_VALUE"""),"sfarhan@broadinstitute.org")</f>
        <v>sfarhan@broadinstitute.org</v>
      </c>
      <c r="J73" s="62" t="str">
        <f>IFERROR(__xludf.DUMMYFUNCTION("""COMPUTED_VALUE"""),"Comprehensive")</f>
        <v>Comprehensive</v>
      </c>
      <c r="K73" t="str">
        <f>IFERROR(__xludf.DUMMYFUNCTION("""COMPUTED_VALUE"""),"")</f>
        <v/>
      </c>
    </row>
    <row r="74">
      <c r="A74" t="str">
        <f>IFERROR(__xludf.DUMMYFUNCTION("""COMPUTED_VALUE"""),"Contacted")</f>
        <v>Contacted</v>
      </c>
      <c r="B74" t="str">
        <f>IFERROR(__xludf.DUMMYFUNCTION("""COMPUTED_VALUE"""),"")</f>
        <v/>
      </c>
      <c r="C74" s="115">
        <f>IFERROR(__xludf.DUMMYFUNCTION("""COMPUTED_VALUE"""),43846.0)</f>
        <v>43846</v>
      </c>
      <c r="D74" s="62" t="str">
        <f>IFERROR(__xludf.DUMMYFUNCTION("""COMPUTED_VALUE"""),"Yes")</f>
        <v>Yes</v>
      </c>
      <c r="E74" s="62" t="str">
        <f>IFERROR(__xludf.DUMMYFUNCTION("""COMPUTED_VALUE"""),"Yes")</f>
        <v>Yes</v>
      </c>
      <c r="F74" s="62" t="str">
        <f>IFERROR(__xludf.DUMMYFUNCTION("""COMPUTED_VALUE"""),"Gene Disease Validity")</f>
        <v>Gene Disease Validity</v>
      </c>
      <c r="G74" t="str">
        <f>IFERROR(__xludf.DUMMYFUNCTION("""COMPUTED_VALUE"""),"")</f>
        <v/>
      </c>
      <c r="H74" t="str">
        <f>IFERROR(__xludf.DUMMYFUNCTION("""COMPUTED_VALUE"""),"Julie Kim ")</f>
        <v>Julie Kim </v>
      </c>
      <c r="I74" t="str">
        <f>IFERROR(__xludf.DUMMYFUNCTION("""COMPUTED_VALUE"""),"serin.kim@nih.gov")</f>
        <v>serin.kim@nih.gov</v>
      </c>
      <c r="J74" s="62" t="str">
        <f>IFERROR(__xludf.DUMMYFUNCTION("""COMPUTED_VALUE"""),"Comprehensive")</f>
        <v>Comprehensive</v>
      </c>
      <c r="K74" t="str">
        <f>IFERROR(__xludf.DUMMYFUNCTION("""COMPUTED_VALUE"""),"Cardiomyopathy, Brain Malformations, hearing loss")</f>
        <v>Cardiomyopathy, Brain Malformations, hearing loss</v>
      </c>
    </row>
    <row r="75">
      <c r="A75" t="str">
        <f>IFERROR(__xludf.DUMMYFUNCTION("""COMPUTED_VALUE"""),"Contacted")</f>
        <v>Contacted</v>
      </c>
      <c r="B75" s="116">
        <f>IFERROR(__xludf.DUMMYFUNCTION("""COMPUTED_VALUE"""),43819.0)</f>
        <v>43819</v>
      </c>
      <c r="C75" s="115">
        <f>IFERROR(__xludf.DUMMYFUNCTION("""COMPUTED_VALUE"""),43846.0)</f>
        <v>43846</v>
      </c>
      <c r="D75" s="62" t="str">
        <f>IFERROR(__xludf.DUMMYFUNCTION("""COMPUTED_VALUE"""),"Yes")</f>
        <v>Yes</v>
      </c>
      <c r="E75" s="62" t="str">
        <f>IFERROR(__xludf.DUMMYFUNCTION("""COMPUTED_VALUE"""),"No")</f>
        <v>No</v>
      </c>
      <c r="F75" s="62" t="str">
        <f>IFERROR(__xludf.DUMMYFUNCTION("""COMPUTED_VALUE"""),"Gene Disease Validity")</f>
        <v>Gene Disease Validity</v>
      </c>
      <c r="G75" t="str">
        <f>IFERROR(__xludf.DUMMYFUNCTION("""COMPUTED_VALUE"""),"")</f>
        <v/>
      </c>
      <c r="H75" t="str">
        <f>IFERROR(__xludf.DUMMYFUNCTION("""COMPUTED_VALUE"""),"Ikeoluwa Osei-Owusu")</f>
        <v>Ikeoluwa Osei-Owusu</v>
      </c>
      <c r="I75" t="str">
        <f>IFERROR(__xludf.DUMMYFUNCTION("""COMPUTED_VALUE"""),"ikeoluwa@jhmi.edu")</f>
        <v>ikeoluwa@jhmi.edu</v>
      </c>
      <c r="J75" s="62" t="str">
        <f>IFERROR(__xludf.DUMMYFUNCTION("""COMPUTED_VALUE"""),"Comprehensive")</f>
        <v>Comprehensive</v>
      </c>
      <c r="K75" t="str">
        <f>IFERROR(__xludf.DUMMYFUNCTION("""COMPUTED_VALUE"""),"Neurodevelopmental Dosage Sensitivity Working Group; Brain Malformations Gene Curation Expert Panel; Brain Malformations Variant Curation Expert Panel; Pediatric Actionability Working Group")</f>
        <v>Neurodevelopmental Dosage Sensitivity Working Group; Brain Malformations Gene Curation Expert Panel; Brain Malformations Variant Curation Expert Panel; Pediatric Actionability Working Group</v>
      </c>
    </row>
    <row r="76">
      <c r="A76" t="str">
        <f>IFERROR(__xludf.DUMMYFUNCTION("""COMPUTED_VALUE"""),"Contacted")</f>
        <v>Contacted</v>
      </c>
      <c r="B76" s="116">
        <f>IFERROR(__xludf.DUMMYFUNCTION("""COMPUTED_VALUE"""),43819.0)</f>
        <v>43819</v>
      </c>
      <c r="C76" s="115">
        <f>IFERROR(__xludf.DUMMYFUNCTION("""COMPUTED_VALUE"""),43846.0)</f>
        <v>43846</v>
      </c>
      <c r="D76" s="62" t="str">
        <f>IFERROR(__xludf.DUMMYFUNCTION("""COMPUTED_VALUE"""),"Yes")</f>
        <v>Yes</v>
      </c>
      <c r="E76" s="62" t="str">
        <f>IFERROR(__xludf.DUMMYFUNCTION("""COMPUTED_VALUE"""),"No")</f>
        <v>No</v>
      </c>
      <c r="F76" s="62" t="str">
        <f>IFERROR(__xludf.DUMMYFUNCTION("""COMPUTED_VALUE"""),"Gene Disease Validity")</f>
        <v>Gene Disease Validity</v>
      </c>
      <c r="G76" t="str">
        <f>IFERROR(__xludf.DUMMYFUNCTION("""COMPUTED_VALUE"""),"")</f>
        <v/>
      </c>
      <c r="H76" t="str">
        <f>IFERROR(__xludf.DUMMYFUNCTION("""COMPUTED_VALUE"""),"Beth Stronach")</f>
        <v>Beth Stronach</v>
      </c>
      <c r="I76" t="str">
        <f>IFERROR(__xludf.DUMMYFUNCTION("""COMPUTED_VALUE"""),"stronach@pitt.edu")</f>
        <v>stronach@pitt.edu</v>
      </c>
      <c r="J76" s="62" t="str">
        <f>IFERROR(__xludf.DUMMYFUNCTION("""COMPUTED_VALUE"""),"Comprehensive")</f>
        <v>Comprehensive</v>
      </c>
      <c r="K76" t="str">
        <f>IFERROR(__xludf.DUMMYFUNCTION("""COMPUTED_VALUE"""),"RASopathy, neurodevelopmental, or myopathy groups")</f>
        <v>RASopathy, neurodevelopmental, or myopathy groups</v>
      </c>
    </row>
    <row r="77">
      <c r="A77" t="str">
        <f>IFERROR(__xludf.DUMMYFUNCTION("""COMPUTED_VALUE"""),"Contacted")</f>
        <v>Contacted</v>
      </c>
      <c r="B77" s="116">
        <f>IFERROR(__xludf.DUMMYFUNCTION("""COMPUTED_VALUE"""),43819.0)</f>
        <v>43819</v>
      </c>
      <c r="C77" t="str">
        <f>IFERROR(__xludf.DUMMYFUNCTION("""COMPUTED_VALUE"""),"")</f>
        <v/>
      </c>
      <c r="D77" s="62" t="str">
        <f>IFERROR(__xludf.DUMMYFUNCTION("""COMPUTED_VALUE"""),"")</f>
        <v/>
      </c>
      <c r="E77" s="62" t="str">
        <f>IFERROR(__xludf.DUMMYFUNCTION("""COMPUTED_VALUE"""),"No")</f>
        <v>No</v>
      </c>
      <c r="F77" s="62" t="str">
        <f>IFERROR(__xludf.DUMMYFUNCTION("""COMPUTED_VALUE"""),"Gene Disease Validity")</f>
        <v>Gene Disease Validity</v>
      </c>
      <c r="G77" t="str">
        <f>IFERROR(__xludf.DUMMYFUNCTION("""COMPUTED_VALUE"""),"")</f>
        <v/>
      </c>
      <c r="H77" t="str">
        <f>IFERROR(__xludf.DUMMYFUNCTION("""COMPUTED_VALUE"""),"Vasiliki Rahimzadeh")</f>
        <v>Vasiliki Rahimzadeh</v>
      </c>
      <c r="I77" t="str">
        <f>IFERROR(__xludf.DUMMYFUNCTION("""COMPUTED_VALUE"""),"vrahim@stanford.edu")</f>
        <v>vrahim@stanford.edu</v>
      </c>
      <c r="J77" s="62" t="str">
        <f>IFERROR(__xludf.DUMMYFUNCTION("""COMPUTED_VALUE"""),"Comprehensive")</f>
        <v>Comprehensive</v>
      </c>
      <c r="K77" t="str">
        <f>IFERROR(__xludf.DUMMYFUNCTION("""COMPUTED_VALUE"""),"Yes, pediatric cancer or rare genetic disease ")</f>
        <v>Yes, pediatric cancer or rare genetic disease </v>
      </c>
    </row>
    <row r="78">
      <c r="A78" t="str">
        <f>IFERROR(__xludf.DUMMYFUNCTION("""COMPUTED_VALUE"""),"Contacted")</f>
        <v>Contacted</v>
      </c>
      <c r="B78" s="116">
        <f>IFERROR(__xludf.DUMMYFUNCTION("""COMPUTED_VALUE"""),43819.0)</f>
        <v>43819</v>
      </c>
      <c r="C78" t="str">
        <f>IFERROR(__xludf.DUMMYFUNCTION("""COMPUTED_VALUE"""),"")</f>
        <v/>
      </c>
      <c r="D78" s="62" t="str">
        <f>IFERROR(__xludf.DUMMYFUNCTION("""COMPUTED_VALUE"""),"")</f>
        <v/>
      </c>
      <c r="E78" s="62" t="str">
        <f>IFERROR(__xludf.DUMMYFUNCTION("""COMPUTED_VALUE"""),"No")</f>
        <v>No</v>
      </c>
      <c r="F78" s="62" t="str">
        <f>IFERROR(__xludf.DUMMYFUNCTION("""COMPUTED_VALUE"""),"Gene Disease Validity")</f>
        <v>Gene Disease Validity</v>
      </c>
      <c r="G78" t="str">
        <f>IFERROR(__xludf.DUMMYFUNCTION("""COMPUTED_VALUE"""),"")</f>
        <v/>
      </c>
      <c r="H78" t="str">
        <f>IFERROR(__xludf.DUMMYFUNCTION("""COMPUTED_VALUE"""),"Sha Tang")</f>
        <v>Sha Tang</v>
      </c>
      <c r="I78" t="str">
        <f>IFERROR(__xludf.DUMMYFUNCTION("""COMPUTED_VALUE"""),"stang@wuxinextcode.cm")</f>
        <v>stang@wuxinextcode.cm</v>
      </c>
      <c r="J78" s="62" t="str">
        <f>IFERROR(__xludf.DUMMYFUNCTION("""COMPUTED_VALUE"""),"Comprehensive")</f>
        <v>Comprehensive</v>
      </c>
      <c r="K78" t="str">
        <f>IFERROR(__xludf.DUMMYFUNCTION("""COMPUTED_VALUE"""),"Intellectual Disability and Autism, Mitochondrial Diseases")</f>
        <v>Intellectual Disability and Autism, Mitochondrial Diseases</v>
      </c>
    </row>
    <row r="79">
      <c r="A79" t="str">
        <f>IFERROR(__xludf.DUMMYFUNCTION("""COMPUTED_VALUE"""),"Contacted")</f>
        <v>Contacted</v>
      </c>
      <c r="B79" s="116">
        <f>IFERROR(__xludf.DUMMYFUNCTION("""COMPUTED_VALUE"""),43819.0)</f>
        <v>43819</v>
      </c>
      <c r="C79" t="str">
        <f>IFERROR(__xludf.DUMMYFUNCTION("""COMPUTED_VALUE"""),"")</f>
        <v/>
      </c>
      <c r="D79" s="62" t="str">
        <f>IFERROR(__xludf.DUMMYFUNCTION("""COMPUTED_VALUE"""),"")</f>
        <v/>
      </c>
      <c r="E79" s="62" t="str">
        <f>IFERROR(__xludf.DUMMYFUNCTION("""COMPUTED_VALUE"""),"No")</f>
        <v>No</v>
      </c>
      <c r="F79" s="62" t="str">
        <f>IFERROR(__xludf.DUMMYFUNCTION("""COMPUTED_VALUE"""),"Gene Disease Validity")</f>
        <v>Gene Disease Validity</v>
      </c>
      <c r="G79" t="str">
        <f>IFERROR(__xludf.DUMMYFUNCTION("""COMPUTED_VALUE"""),"")</f>
        <v/>
      </c>
      <c r="H79" t="str">
        <f>IFERROR(__xludf.DUMMYFUNCTION("""COMPUTED_VALUE"""),"Steve Waring")</f>
        <v>Steve Waring</v>
      </c>
      <c r="I79" t="str">
        <f>IFERROR(__xludf.DUMMYFUNCTION("""COMPUTED_VALUE"""),"stephen.waring@essentiahealth.org")</f>
        <v>stephen.waring@essentiahealth.org</v>
      </c>
      <c r="J79" s="62" t="str">
        <f>IFERROR(__xludf.DUMMYFUNCTION("""COMPUTED_VALUE"""),"Comprehensive")</f>
        <v>Comprehensive</v>
      </c>
      <c r="K79" t="str">
        <f>IFERROR(__xludf.DUMMYFUNCTION("""COMPUTED_VALUE"""),"Open to assignment based on greatest need")</f>
        <v>Open to assignment based on greatest need</v>
      </c>
    </row>
    <row r="80">
      <c r="A80" t="str">
        <f>IFERROR(__xludf.DUMMYFUNCTION("""COMPUTED_VALUE"""),"Contacted")</f>
        <v>Contacted</v>
      </c>
      <c r="B80" s="116">
        <f>IFERROR(__xludf.DUMMYFUNCTION("""COMPUTED_VALUE"""),43819.0)</f>
        <v>43819</v>
      </c>
      <c r="C80" t="str">
        <f>IFERROR(__xludf.DUMMYFUNCTION("""COMPUTED_VALUE"""),"")</f>
        <v/>
      </c>
      <c r="D80" s="62" t="str">
        <f>IFERROR(__xludf.DUMMYFUNCTION("""COMPUTED_VALUE"""),"")</f>
        <v/>
      </c>
      <c r="E80" s="62" t="str">
        <f>IFERROR(__xludf.DUMMYFUNCTION("""COMPUTED_VALUE"""),"No")</f>
        <v>No</v>
      </c>
      <c r="F80" s="62" t="str">
        <f>IFERROR(__xludf.DUMMYFUNCTION("""COMPUTED_VALUE"""),"Gene Disease Validity")</f>
        <v>Gene Disease Validity</v>
      </c>
      <c r="G80" t="str">
        <f>IFERROR(__xludf.DUMMYFUNCTION("""COMPUTED_VALUE"""),"")</f>
        <v/>
      </c>
      <c r="H80" t="str">
        <f>IFERROR(__xludf.DUMMYFUNCTION("""COMPUTED_VALUE"""),"Mansour Zamanpoor")</f>
        <v>Mansour Zamanpoor</v>
      </c>
      <c r="I80" t="str">
        <f>IFERROR(__xludf.DUMMYFUNCTION("""COMPUTED_VALUE"""),"mansour.zamanpoor@ccdhb.org.nz")</f>
        <v>mansour.zamanpoor@ccdhb.org.nz</v>
      </c>
      <c r="J80" s="62" t="str">
        <f>IFERROR(__xludf.DUMMYFUNCTION("""COMPUTED_VALUE"""),"Comprehensive")</f>
        <v>Comprehensive</v>
      </c>
      <c r="K80" t="str">
        <f>IFERROR(__xludf.DUMMYFUNCTION("""COMPUTED_VALUE"""),"")</f>
        <v/>
      </c>
    </row>
    <row r="81">
      <c r="A81" t="str">
        <f>IFERROR(__xludf.DUMMYFUNCTION("""COMPUTED_VALUE"""),"Contacted")</f>
        <v>Contacted</v>
      </c>
      <c r="B81" s="116">
        <f>IFERROR(__xludf.DUMMYFUNCTION("""COMPUTED_VALUE"""),43819.0)</f>
        <v>43819</v>
      </c>
      <c r="C81" s="115">
        <f>IFERROR(__xludf.DUMMYFUNCTION("""COMPUTED_VALUE"""),43846.0)</f>
        <v>43846</v>
      </c>
      <c r="D81" s="62" t="str">
        <f>IFERROR(__xludf.DUMMYFUNCTION("""COMPUTED_VALUE"""),"Yes")</f>
        <v>Yes</v>
      </c>
      <c r="E81" s="62" t="str">
        <f>IFERROR(__xludf.DUMMYFUNCTION("""COMPUTED_VALUE"""),"Yes")</f>
        <v>Yes</v>
      </c>
      <c r="F81" s="62" t="str">
        <f>IFERROR(__xludf.DUMMYFUNCTION("""COMPUTED_VALUE"""),"Gene Disease Validity")</f>
        <v>Gene Disease Validity</v>
      </c>
      <c r="G81" t="str">
        <f>IFERROR(__xludf.DUMMYFUNCTION("""COMPUTED_VALUE"""),"")</f>
        <v/>
      </c>
      <c r="H81" t="str">
        <f>IFERROR(__xludf.DUMMYFUNCTION("""COMPUTED_VALUE"""),"Marie-Luise Brennan")</f>
        <v>Marie-Luise Brennan</v>
      </c>
      <c r="I81" t="str">
        <f>IFERROR(__xludf.DUMMYFUNCTION("""COMPUTED_VALUE"""),"mbrennan@acmg.net")</f>
        <v>mbrennan@acmg.net</v>
      </c>
      <c r="J81" s="62" t="str">
        <f>IFERROR(__xludf.DUMMYFUNCTION("""COMPUTED_VALUE"""),"Comprehensive")</f>
        <v>Comprehensive</v>
      </c>
      <c r="K81" t="str">
        <f>IFERROR(__xludf.DUMMYFUNCTION("""COMPUTED_VALUE"""),"Low penetrance/risk alleles; gene curation (monogenic diabetes; any); dosage sens (neurodev or recurrent regions). Preferences listed, happy to join where needed.")</f>
        <v>Low penetrance/risk alleles; gene curation (monogenic diabetes; any); dosage sens (neurodev or recurrent regions). Preferences listed, happy to join where needed.</v>
      </c>
    </row>
    <row r="82">
      <c r="A82" t="str">
        <f>IFERROR(__xludf.DUMMYFUNCTION("""COMPUTED_VALUE"""),"Contacted")</f>
        <v>Contacted</v>
      </c>
      <c r="B82" s="116">
        <f>IFERROR(__xludf.DUMMYFUNCTION("""COMPUTED_VALUE"""),43819.0)</f>
        <v>43819</v>
      </c>
      <c r="C82" s="115">
        <f>IFERROR(__xludf.DUMMYFUNCTION("""COMPUTED_VALUE"""),43846.0)</f>
        <v>43846</v>
      </c>
      <c r="D82" s="62" t="str">
        <f>IFERROR(__xludf.DUMMYFUNCTION("""COMPUTED_VALUE"""),"Yes")</f>
        <v>Yes</v>
      </c>
      <c r="E82" s="62" t="str">
        <f>IFERROR(__xludf.DUMMYFUNCTION("""COMPUTED_VALUE"""),"No")</f>
        <v>No</v>
      </c>
      <c r="F82" s="62" t="str">
        <f>IFERROR(__xludf.DUMMYFUNCTION("""COMPUTED_VALUE"""),"Gene Disease Validity")</f>
        <v>Gene Disease Validity</v>
      </c>
      <c r="G82" t="str">
        <f>IFERROR(__xludf.DUMMYFUNCTION("""COMPUTED_VALUE"""),"")</f>
        <v/>
      </c>
      <c r="H82" t="str">
        <f>IFERROR(__xludf.DUMMYFUNCTION("""COMPUTED_VALUE"""),"Adriana Bastos Carvalho")</f>
        <v>Adriana Bastos Carvalho</v>
      </c>
      <c r="I82" t="str">
        <f>IFERROR(__xludf.DUMMYFUNCTION("""COMPUTED_VALUE"""),"carvalhoab@biof.ufrj.br")</f>
        <v>carvalhoab@biof.ufrj.br</v>
      </c>
      <c r="J82" s="62" t="str">
        <f>IFERROR(__xludf.DUMMYFUNCTION("""COMPUTED_VALUE"""),"Comprehensive")</f>
        <v>Comprehensive</v>
      </c>
      <c r="K82" t="str">
        <f>IFERROR(__xludf.DUMMYFUNCTION("""COMPUTED_VALUE"""),"Cardiomyopathy Variant Curation Expert Panel")</f>
        <v>Cardiomyopathy Variant Curation Expert Panel</v>
      </c>
    </row>
    <row r="83">
      <c r="A83" t="str">
        <f>IFERROR(__xludf.DUMMYFUNCTION("""COMPUTED_VALUE"""),"Contacted")</f>
        <v>Contacted</v>
      </c>
      <c r="B83" s="116">
        <f>IFERROR(__xludf.DUMMYFUNCTION("""COMPUTED_VALUE"""),43819.0)</f>
        <v>43819</v>
      </c>
      <c r="C83" t="str">
        <f>IFERROR(__xludf.DUMMYFUNCTION("""COMPUTED_VALUE"""),"")</f>
        <v/>
      </c>
      <c r="D83" s="62" t="str">
        <f>IFERROR(__xludf.DUMMYFUNCTION("""COMPUTED_VALUE"""),"")</f>
        <v/>
      </c>
      <c r="E83" s="62" t="str">
        <f>IFERROR(__xludf.DUMMYFUNCTION("""COMPUTED_VALUE"""),"No")</f>
        <v>No</v>
      </c>
      <c r="F83" s="62" t="str">
        <f>IFERROR(__xludf.DUMMYFUNCTION("""COMPUTED_VALUE"""),"Gene Disease Validity")</f>
        <v>Gene Disease Validity</v>
      </c>
      <c r="G83" t="str">
        <f>IFERROR(__xludf.DUMMYFUNCTION("""COMPUTED_VALUE"""),"")</f>
        <v/>
      </c>
      <c r="H83" t="str">
        <f>IFERROR(__xludf.DUMMYFUNCTION("""COMPUTED_VALUE"""),"Megan Puckelwartz")</f>
        <v>Megan Puckelwartz</v>
      </c>
      <c r="I83" t="str">
        <f>IFERROR(__xludf.DUMMYFUNCTION("""COMPUTED_VALUE"""),"m.puckelwartz@northwestern.edu")</f>
        <v>m.puckelwartz@northwestern.edu</v>
      </c>
      <c r="J83" s="62" t="str">
        <f>IFERROR(__xludf.DUMMYFUNCTION("""COMPUTED_VALUE"""),"Comprehensive")</f>
        <v>Comprehensive</v>
      </c>
      <c r="K83" t="str">
        <f>IFERROR(__xludf.DUMMYFUNCTION("""COMPUTED_VALUE"""),"cardiomyopathy")</f>
        <v>cardiomyopathy</v>
      </c>
    </row>
    <row r="84">
      <c r="A84" t="str">
        <f>IFERROR(__xludf.DUMMYFUNCTION("""COMPUTED_VALUE"""),"Contacted")</f>
        <v>Contacted</v>
      </c>
      <c r="B84" s="116">
        <f>IFERROR(__xludf.DUMMYFUNCTION("""COMPUTED_VALUE"""),43819.0)</f>
        <v>43819</v>
      </c>
      <c r="C84" s="115">
        <f>IFERROR(__xludf.DUMMYFUNCTION("""COMPUTED_VALUE"""),43846.0)</f>
        <v>43846</v>
      </c>
      <c r="D84" s="62" t="str">
        <f>IFERROR(__xludf.DUMMYFUNCTION("""COMPUTED_VALUE"""),"Yes")</f>
        <v>Yes</v>
      </c>
      <c r="E84" s="62" t="str">
        <f>IFERROR(__xludf.DUMMYFUNCTION("""COMPUTED_VALUE"""),"No")</f>
        <v>No</v>
      </c>
      <c r="F84" s="62" t="str">
        <f>IFERROR(__xludf.DUMMYFUNCTION("""COMPUTED_VALUE"""),"Gene Disease Validity")</f>
        <v>Gene Disease Validity</v>
      </c>
      <c r="G84" t="str">
        <f>IFERROR(__xludf.DUMMYFUNCTION("""COMPUTED_VALUE"""),"")</f>
        <v/>
      </c>
      <c r="H84" t="str">
        <f>IFERROR(__xludf.DUMMYFUNCTION("""COMPUTED_VALUE"""),"Tess Levy")</f>
        <v>Tess Levy</v>
      </c>
      <c r="I84" t="str">
        <f>IFERROR(__xludf.DUMMYFUNCTION("""COMPUTED_VALUE"""),"tess.levy@mssm.edu")</f>
        <v>tess.levy@mssm.edu</v>
      </c>
      <c r="J84" s="62" t="str">
        <f>IFERROR(__xludf.DUMMYFUNCTION("""COMPUTED_VALUE"""),"Comprehensive")</f>
        <v>Comprehensive</v>
      </c>
      <c r="K84" t="str">
        <f>IFERROR(__xludf.DUMMYFUNCTION("""COMPUTED_VALUE"""),"ASD/ID")</f>
        <v>ASD/ID</v>
      </c>
    </row>
    <row r="85">
      <c r="A85" t="str">
        <f>IFERROR(__xludf.DUMMYFUNCTION("""COMPUTED_VALUE"""),"Contacted")</f>
        <v>Contacted</v>
      </c>
      <c r="B85" s="116">
        <f>IFERROR(__xludf.DUMMYFUNCTION("""COMPUTED_VALUE"""),43819.0)</f>
        <v>43819</v>
      </c>
      <c r="C85" s="115">
        <f>IFERROR(__xludf.DUMMYFUNCTION("""COMPUTED_VALUE"""),43846.0)</f>
        <v>43846</v>
      </c>
      <c r="D85" s="62" t="str">
        <f>IFERROR(__xludf.DUMMYFUNCTION("""COMPUTED_VALUE"""),"Yes")</f>
        <v>Yes</v>
      </c>
      <c r="E85" s="62" t="str">
        <f>IFERROR(__xludf.DUMMYFUNCTION("""COMPUTED_VALUE"""),"Yes")</f>
        <v>Yes</v>
      </c>
      <c r="F85" s="62" t="str">
        <f>IFERROR(__xludf.DUMMYFUNCTION("""COMPUTED_VALUE"""),"Gene Disease Validity")</f>
        <v>Gene Disease Validity</v>
      </c>
      <c r="G85" t="str">
        <f>IFERROR(__xludf.DUMMYFUNCTION("""COMPUTED_VALUE"""),"")</f>
        <v/>
      </c>
      <c r="H85" t="str">
        <f>IFERROR(__xludf.DUMMYFUNCTION("""COMPUTED_VALUE"""),"Xiaoyan Guo ")</f>
        <v>Xiaoyan Guo </v>
      </c>
      <c r="I85" t="str">
        <f>IFERROR(__xludf.DUMMYFUNCTION("""COMPUTED_VALUE"""),"540842557@qq.com")</f>
        <v>540842557@qq.com</v>
      </c>
      <c r="J85" s="62" t="str">
        <f>IFERROR(__xludf.DUMMYFUNCTION("""COMPUTED_VALUE"""),"Comprehensive")</f>
        <v>Comprehensive</v>
      </c>
      <c r="K85" t="str">
        <f>IFERROR(__xludf.DUMMYFUNCTION("""COMPUTED_VALUE"""),"")</f>
        <v/>
      </c>
    </row>
    <row r="86">
      <c r="A86" t="str">
        <f>IFERROR(__xludf.DUMMYFUNCTION("""COMPUTED_VALUE"""),"Contacted")</f>
        <v>Contacted</v>
      </c>
      <c r="B86" s="116">
        <f>IFERROR(__xludf.DUMMYFUNCTION("""COMPUTED_VALUE"""),43819.0)</f>
        <v>43819</v>
      </c>
      <c r="C86" t="str">
        <f>IFERROR(__xludf.DUMMYFUNCTION("""COMPUTED_VALUE"""),"")</f>
        <v/>
      </c>
      <c r="D86" s="62" t="str">
        <f>IFERROR(__xludf.DUMMYFUNCTION("""COMPUTED_VALUE"""),"")</f>
        <v/>
      </c>
      <c r="E86" s="62" t="str">
        <f>IFERROR(__xludf.DUMMYFUNCTION("""COMPUTED_VALUE"""),"No")</f>
        <v>No</v>
      </c>
      <c r="F86" s="62" t="str">
        <f>IFERROR(__xludf.DUMMYFUNCTION("""COMPUTED_VALUE"""),"Gene Disease Validity")</f>
        <v>Gene Disease Validity</v>
      </c>
      <c r="G86" t="str">
        <f>IFERROR(__xludf.DUMMYFUNCTION("""COMPUTED_VALUE"""),"")</f>
        <v/>
      </c>
      <c r="H86" t="str">
        <f>IFERROR(__xludf.DUMMYFUNCTION("""COMPUTED_VALUE"""),"Marco Leung")</f>
        <v>Marco Leung</v>
      </c>
      <c r="I86" t="str">
        <f>IFERROR(__xludf.DUMMYFUNCTION("""COMPUTED_VALUE"""),"marcoleung@me.com")</f>
        <v>marcoleung@me.com</v>
      </c>
      <c r="J86" s="62" t="str">
        <f>IFERROR(__xludf.DUMMYFUNCTION("""COMPUTED_VALUE"""),"Comprehensive")</f>
        <v>Comprehensive</v>
      </c>
      <c r="K86" t="str">
        <f>IFERROR(__xludf.DUMMYFUNCTION("""COMPUTED_VALUE"""),"")</f>
        <v/>
      </c>
    </row>
    <row r="87">
      <c r="A87" t="str">
        <f>IFERROR(__xludf.DUMMYFUNCTION("""COMPUTED_VALUE"""),"Contacted")</f>
        <v>Contacted</v>
      </c>
      <c r="B87" s="116">
        <f>IFERROR(__xludf.DUMMYFUNCTION("""COMPUTED_VALUE"""),43819.0)</f>
        <v>43819</v>
      </c>
      <c r="C87" s="115">
        <f>IFERROR(__xludf.DUMMYFUNCTION("""COMPUTED_VALUE"""),43846.0)</f>
        <v>43846</v>
      </c>
      <c r="D87" s="62" t="str">
        <f>IFERROR(__xludf.DUMMYFUNCTION("""COMPUTED_VALUE"""),"Yes")</f>
        <v>Yes</v>
      </c>
      <c r="E87" s="62" t="str">
        <f>IFERROR(__xludf.DUMMYFUNCTION("""COMPUTED_VALUE"""),"Yes")</f>
        <v>Yes</v>
      </c>
      <c r="F87" s="62" t="str">
        <f>IFERROR(__xludf.DUMMYFUNCTION("""COMPUTED_VALUE"""),"Gene Disease Validity")</f>
        <v>Gene Disease Validity</v>
      </c>
      <c r="G87" t="str">
        <f>IFERROR(__xludf.DUMMYFUNCTION("""COMPUTED_VALUE"""),"")</f>
        <v/>
      </c>
      <c r="H87" t="str">
        <f>IFERROR(__xludf.DUMMYFUNCTION("""COMPUTED_VALUE"""),"Thanuja Selvanayagam")</f>
        <v>Thanuja Selvanayagam</v>
      </c>
      <c r="I87" t="str">
        <f>IFERROR(__xludf.DUMMYFUNCTION("""COMPUTED_VALUE"""),"tselvanayagam@cheo.on.ca")</f>
        <v>tselvanayagam@cheo.on.ca</v>
      </c>
      <c r="J87" s="62" t="str">
        <f>IFERROR(__xludf.DUMMYFUNCTION("""COMPUTED_VALUE"""),"Comprehensive")</f>
        <v>Comprehensive</v>
      </c>
      <c r="K87" t="str">
        <f>IFERROR(__xludf.DUMMYFUNCTION("""COMPUTED_VALUE"""),"Cardiomyopathy ")</f>
        <v>Cardiomyopathy </v>
      </c>
    </row>
    <row r="88">
      <c r="A88" t="str">
        <f>IFERROR(__xludf.DUMMYFUNCTION("""COMPUTED_VALUE"""),"Contacted")</f>
        <v>Contacted</v>
      </c>
      <c r="B88" s="116">
        <f>IFERROR(__xludf.DUMMYFUNCTION("""COMPUTED_VALUE"""),43838.0)</f>
        <v>43838</v>
      </c>
      <c r="C88" t="str">
        <f>IFERROR(__xludf.DUMMYFUNCTION("""COMPUTED_VALUE"""),"")</f>
        <v/>
      </c>
      <c r="D88" s="62" t="str">
        <f>IFERROR(__xludf.DUMMYFUNCTION("""COMPUTED_VALUE"""),"")</f>
        <v/>
      </c>
      <c r="E88" s="62" t="str">
        <f>IFERROR(__xludf.DUMMYFUNCTION("""COMPUTED_VALUE"""),"No")</f>
        <v>No</v>
      </c>
      <c r="F88" s="62" t="str">
        <f>IFERROR(__xludf.DUMMYFUNCTION("""COMPUTED_VALUE"""),"Gene Disease Validity")</f>
        <v>Gene Disease Validity</v>
      </c>
      <c r="G88" t="str">
        <f>IFERROR(__xludf.DUMMYFUNCTION("""COMPUTED_VALUE"""),"")</f>
        <v/>
      </c>
      <c r="H88" t="str">
        <f>IFERROR(__xludf.DUMMYFUNCTION("""COMPUTED_VALUE"""),"JACQUELINE BATANIAN")</f>
        <v>JACQUELINE BATANIAN</v>
      </c>
      <c r="I88" t="str">
        <f>IFERROR(__xludf.DUMMYFUNCTION("""COMPUTED_VALUE"""),"JACQUELINE.BATANIAN@HEALTH.SLU.EDU")</f>
        <v>JACQUELINE.BATANIAN@HEALTH.SLU.EDU</v>
      </c>
      <c r="J88" s="62" t="str">
        <f>IFERROR(__xludf.DUMMYFUNCTION("""COMPUTED_VALUE"""),"Comprehensive")</f>
        <v>Comprehensive</v>
      </c>
      <c r="K88" t="str">
        <f>IFERROR(__xludf.DUMMYFUNCTION("""COMPUTED_VALUE"""),"Cardiovascular diseases and Pediatric cancer")</f>
        <v>Cardiovascular diseases and Pediatric cancer</v>
      </c>
    </row>
    <row r="89">
      <c r="A89" t="str">
        <f>IFERROR(__xludf.DUMMYFUNCTION("""COMPUTED_VALUE"""),"Unassigned")</f>
        <v>Unassigned</v>
      </c>
      <c r="B89" t="str">
        <f>IFERROR(__xludf.DUMMYFUNCTION("""COMPUTED_VALUE"""),"")</f>
        <v/>
      </c>
      <c r="C89" t="str">
        <f>IFERROR(__xludf.DUMMYFUNCTION("""COMPUTED_VALUE"""),"")</f>
        <v/>
      </c>
      <c r="D89" s="62" t="str">
        <f>IFERROR(__xludf.DUMMYFUNCTION("""COMPUTED_VALUE"""),"")</f>
        <v/>
      </c>
      <c r="E89" s="62" t="str">
        <f>IFERROR(__xludf.DUMMYFUNCTION("""COMPUTED_VALUE"""),"No")</f>
        <v>No</v>
      </c>
      <c r="F89" s="62" t="str">
        <f>IFERROR(__xludf.DUMMYFUNCTION("""COMPUTED_VALUE"""),"NA")</f>
        <v>NA</v>
      </c>
      <c r="G89" t="str">
        <f>IFERROR(__xludf.DUMMYFUNCTION("""COMPUTED_VALUE"""),"")</f>
        <v/>
      </c>
      <c r="H89" t="str">
        <f>IFERROR(__xludf.DUMMYFUNCTION("""COMPUTED_VALUE"""),"Indu Raja")</f>
        <v>Indu Raja</v>
      </c>
      <c r="I89" t="str">
        <f>IFERROR(__xludf.DUMMYFUNCTION("""COMPUTED_VALUE"""),"indudraja@gmail.com")</f>
        <v>indudraja@gmail.com</v>
      </c>
      <c r="J89" s="62" t="str">
        <f>IFERROR(__xludf.DUMMYFUNCTION("""COMPUTED_VALUE"""),"Comprehensive")</f>
        <v>Comprehensive</v>
      </c>
      <c r="K89" t="str">
        <f>IFERROR(__xludf.DUMMYFUNCTION("""COMPUTED_VALUE"""),"Gene curation (Intellectual disability &amp; Autism), Dosage Sensitivity &amp; Clinical Actionability")</f>
        <v>Gene curation (Intellectual disability &amp; Autism), Dosage Sensitivity &amp; Clinical Actionability</v>
      </c>
    </row>
    <row r="90">
      <c r="A90" t="str">
        <f>IFERROR(__xludf.DUMMYFUNCTION("""COMPUTED_VALUE"""),"Unassigned")</f>
        <v>Unassigned</v>
      </c>
      <c r="B90" t="str">
        <f>IFERROR(__xludf.DUMMYFUNCTION("""COMPUTED_VALUE"""),"")</f>
        <v/>
      </c>
      <c r="C90" t="str">
        <f>IFERROR(__xludf.DUMMYFUNCTION("""COMPUTED_VALUE"""),"")</f>
        <v/>
      </c>
      <c r="D90" s="62" t="str">
        <f>IFERROR(__xludf.DUMMYFUNCTION("""COMPUTED_VALUE"""),"")</f>
        <v/>
      </c>
      <c r="E90" s="62" t="str">
        <f>IFERROR(__xludf.DUMMYFUNCTION("""COMPUTED_VALUE"""),"No")</f>
        <v>No</v>
      </c>
      <c r="F90" s="62" t="str">
        <f>IFERROR(__xludf.DUMMYFUNCTION("""COMPUTED_VALUE"""),"NA")</f>
        <v>NA</v>
      </c>
      <c r="G90" t="str">
        <f>IFERROR(__xludf.DUMMYFUNCTION("""COMPUTED_VALUE"""),"")</f>
        <v/>
      </c>
      <c r="H90" t="str">
        <f>IFERROR(__xludf.DUMMYFUNCTION("""COMPUTED_VALUE"""),"Joanne Adelberg")</f>
        <v>Joanne Adelberg</v>
      </c>
      <c r="I90" t="str">
        <f>IFERROR(__xludf.DUMMYFUNCTION("""COMPUTED_VALUE"""),"joanneadelberg@gmail.com")</f>
        <v>joanneadelberg@gmail.com</v>
      </c>
      <c r="J90" s="62" t="str">
        <f>IFERROR(__xludf.DUMMYFUNCTION("""COMPUTED_VALUE"""),"Comprehensive")</f>
        <v>Comprehensive</v>
      </c>
      <c r="K90" t="str">
        <f>IFERROR(__xludf.DUMMYFUNCTION("""COMPUTED_VALUE"""),"Will work on groups with the most need-excited for the learning opportunity")</f>
        <v>Will work on groups with the most need-excited for the learning opportunity</v>
      </c>
    </row>
    <row r="91">
      <c r="A91" t="str">
        <f>IFERROR(__xludf.DUMMYFUNCTION("""COMPUTED_VALUE"""),"Contacted")</f>
        <v>Contacted</v>
      </c>
      <c r="B91" t="str">
        <f>IFERROR(__xludf.DUMMYFUNCTION("""COMPUTED_VALUE"""),"")</f>
        <v/>
      </c>
      <c r="C91" s="115">
        <f>IFERROR(__xludf.DUMMYFUNCTION("""COMPUTED_VALUE"""),43846.0)</f>
        <v>43846</v>
      </c>
      <c r="D91" s="62" t="str">
        <f>IFERROR(__xludf.DUMMYFUNCTION("""COMPUTED_VALUE"""),"Yes")</f>
        <v>Yes</v>
      </c>
      <c r="E91" s="62" t="str">
        <f>IFERROR(__xludf.DUMMYFUNCTION("""COMPUTED_VALUE"""),"Yes")</f>
        <v>Yes</v>
      </c>
      <c r="F91" s="62" t="str">
        <f>IFERROR(__xludf.DUMMYFUNCTION("""COMPUTED_VALUE"""),"Gene Disease Validity")</f>
        <v>Gene Disease Validity</v>
      </c>
      <c r="G91" t="str">
        <f>IFERROR(__xludf.DUMMYFUNCTION("""COMPUTED_VALUE"""),"")</f>
        <v/>
      </c>
      <c r="H91" t="str">
        <f>IFERROR(__xludf.DUMMYFUNCTION("""COMPUTED_VALUE"""),"Julie Hathaway")</f>
        <v>Julie Hathaway</v>
      </c>
      <c r="I91" t="str">
        <f>IFERROR(__xludf.DUMMYFUNCTION("""COMPUTED_VALUE"""),"julie.hathaway@blueprintgenetics.com")</f>
        <v>julie.hathaway@blueprintgenetics.com</v>
      </c>
      <c r="J91" s="62" t="str">
        <f>IFERROR(__xludf.DUMMYFUNCTION("""COMPUTED_VALUE"""),"Comprehensive")</f>
        <v>Comprehensive</v>
      </c>
      <c r="K91" t="str">
        <f>IFERROR(__xludf.DUMMYFUNCTION("""COMPUTED_VALUE"""),"Cardiomyopathy")</f>
        <v>Cardiomyopathy</v>
      </c>
    </row>
    <row r="92">
      <c r="A92" t="str">
        <f>IFERROR(__xludf.DUMMYFUNCTION("""COMPUTED_VALUE"""),"Contacted")</f>
        <v>Contacted</v>
      </c>
      <c r="B92" t="str">
        <f>IFERROR(__xludf.DUMMYFUNCTION("""COMPUTED_VALUE"""),"")</f>
        <v/>
      </c>
      <c r="C92" s="115">
        <f>IFERROR(__xludf.DUMMYFUNCTION("""COMPUTED_VALUE"""),43846.0)</f>
        <v>43846</v>
      </c>
      <c r="D92" s="62" t="str">
        <f>IFERROR(__xludf.DUMMYFUNCTION("""COMPUTED_VALUE"""),"Yes")</f>
        <v>Yes</v>
      </c>
      <c r="E92" s="62" t="str">
        <f>IFERROR(__xludf.DUMMYFUNCTION("""COMPUTED_VALUE"""),"No")</f>
        <v>No</v>
      </c>
      <c r="F92" s="62" t="str">
        <f>IFERROR(__xludf.DUMMYFUNCTION("""COMPUTED_VALUE"""),"Gene Disease Validity")</f>
        <v>Gene Disease Validity</v>
      </c>
      <c r="G92" t="str">
        <f>IFERROR(__xludf.DUMMYFUNCTION("""COMPUTED_VALUE"""),"")</f>
        <v/>
      </c>
      <c r="H92" t="str">
        <f>IFERROR(__xludf.DUMMYFUNCTION("""COMPUTED_VALUE"""),"Devon Thrush")</f>
        <v>Devon Thrush</v>
      </c>
      <c r="I92" t="str">
        <f>IFERROR(__xludf.DUMMYFUNCTION("""COMPUTED_VALUE"""),"dthrush@ambrygen.com")</f>
        <v>dthrush@ambrygen.com</v>
      </c>
      <c r="J92" s="62" t="str">
        <f>IFERROR(__xludf.DUMMYFUNCTION("""COMPUTED_VALUE"""),"Comprehensive")</f>
        <v>Comprehensive</v>
      </c>
      <c r="K92" t="str">
        <f>IFERROR(__xludf.DUMMYFUNCTION("""COMPUTED_VALUE"""),"")</f>
        <v/>
      </c>
    </row>
    <row r="93">
      <c r="A93" t="str">
        <f>IFERROR(__xludf.DUMMYFUNCTION("""COMPUTED_VALUE"""),"Contacted")</f>
        <v>Contacted</v>
      </c>
      <c r="B93" t="str">
        <f>IFERROR(__xludf.DUMMYFUNCTION("""COMPUTED_VALUE"""),"")</f>
        <v/>
      </c>
      <c r="C93" s="115">
        <f>IFERROR(__xludf.DUMMYFUNCTION("""COMPUTED_VALUE"""),43846.0)</f>
        <v>43846</v>
      </c>
      <c r="D93" s="62" t="str">
        <f>IFERROR(__xludf.DUMMYFUNCTION("""COMPUTED_VALUE"""),"Yes")</f>
        <v>Yes</v>
      </c>
      <c r="E93" s="62" t="str">
        <f>IFERROR(__xludf.DUMMYFUNCTION("""COMPUTED_VALUE"""),"Yes")</f>
        <v>Yes</v>
      </c>
      <c r="F93" s="62" t="str">
        <f>IFERROR(__xludf.DUMMYFUNCTION("""COMPUTED_VALUE"""),"Gene Disease Validity")</f>
        <v>Gene Disease Validity</v>
      </c>
      <c r="G93" t="str">
        <f>IFERROR(__xludf.DUMMYFUNCTION("""COMPUTED_VALUE"""),"")</f>
        <v/>
      </c>
      <c r="H93" t="str">
        <f>IFERROR(__xludf.DUMMYFUNCTION("""COMPUTED_VALUE"""),"Shiloh Martin")</f>
        <v>Shiloh Martin</v>
      </c>
      <c r="I93" t="str">
        <f>IFERROR(__xludf.DUMMYFUNCTION("""COMPUTED_VALUE"""),"shiloh.martin@invitae.com")</f>
        <v>shiloh.martin@invitae.com</v>
      </c>
      <c r="J93" s="62" t="str">
        <f>IFERROR(__xludf.DUMMYFUNCTION("""COMPUTED_VALUE"""),"Comprehensive")</f>
        <v>Comprehensive</v>
      </c>
      <c r="K93" t="str">
        <f>IFERROR(__xludf.DUMMYFUNCTION("""COMPUTED_VALUE"""),"I am interested in working with an Immunology GCEP.  I don't think such a GCEP exists at this time, but I have been told that one is possibly forming, so I would be interested in joining that group once formed.")</f>
        <v>I am interested in working with an Immunology GCEP.  I don't think such a GCEP exists at this time, but I have been told that one is possibly forming, so I would be interested in joining that group once formed.</v>
      </c>
    </row>
    <row r="94">
      <c r="A94" t="str">
        <f>IFERROR(__xludf.DUMMYFUNCTION("""COMPUTED_VALUE"""),"Unassigned")</f>
        <v>Unassigned</v>
      </c>
      <c r="B94" t="str">
        <f>IFERROR(__xludf.DUMMYFUNCTION("""COMPUTED_VALUE"""),"")</f>
        <v/>
      </c>
      <c r="C94" t="str">
        <f>IFERROR(__xludf.DUMMYFUNCTION("""COMPUTED_VALUE"""),"")</f>
        <v/>
      </c>
      <c r="D94" s="62" t="str">
        <f>IFERROR(__xludf.DUMMYFUNCTION("""COMPUTED_VALUE"""),"")</f>
        <v/>
      </c>
      <c r="E94" s="62" t="str">
        <f>IFERROR(__xludf.DUMMYFUNCTION("""COMPUTED_VALUE"""),"No")</f>
        <v>No</v>
      </c>
      <c r="F94" s="62" t="str">
        <f>IFERROR(__xludf.DUMMYFUNCTION("""COMPUTED_VALUE"""),"NA")</f>
        <v>NA</v>
      </c>
      <c r="G94" t="str">
        <f>IFERROR(__xludf.DUMMYFUNCTION("""COMPUTED_VALUE"""),"")</f>
        <v/>
      </c>
      <c r="H94" t="str">
        <f>IFERROR(__xludf.DUMMYFUNCTION("""COMPUTED_VALUE"""),"Jennifer Holle")</f>
        <v>Jennifer Holle</v>
      </c>
      <c r="I94" t="str">
        <f>IFERROR(__xludf.DUMMYFUNCTION("""COMPUTED_VALUE"""),"jennifer.holle@invitae.com")</f>
        <v>jennifer.holle@invitae.com</v>
      </c>
      <c r="J94" s="62" t="str">
        <f>IFERROR(__xludf.DUMMYFUNCTION("""COMPUTED_VALUE"""),"Comprehensive")</f>
        <v>Comprehensive</v>
      </c>
      <c r="K94" t="str">
        <f>IFERROR(__xludf.DUMMYFUNCTION("""COMPUTED_VALUE"""),"The primary immunodeficiency group - didn't see it on the list, but I know it's upcoming")</f>
        <v>The primary immunodeficiency group - didn't see it on the list, but I know it's upcoming</v>
      </c>
    </row>
    <row r="95">
      <c r="A95" t="str">
        <f>IFERROR(__xludf.DUMMYFUNCTION("""COMPUTED_VALUE"""),"Unassigned")</f>
        <v>Unassigned</v>
      </c>
      <c r="B95" t="str">
        <f>IFERROR(__xludf.DUMMYFUNCTION("""COMPUTED_VALUE"""),"")</f>
        <v/>
      </c>
      <c r="C95" t="str">
        <f>IFERROR(__xludf.DUMMYFUNCTION("""COMPUTED_VALUE"""),"")</f>
        <v/>
      </c>
      <c r="D95" s="62" t="str">
        <f>IFERROR(__xludf.DUMMYFUNCTION("""COMPUTED_VALUE"""),"")</f>
        <v/>
      </c>
      <c r="E95" s="62" t="str">
        <f>IFERROR(__xludf.DUMMYFUNCTION("""COMPUTED_VALUE"""),"No")</f>
        <v>No</v>
      </c>
      <c r="F95" s="62" t="str">
        <f>IFERROR(__xludf.DUMMYFUNCTION("""COMPUTED_VALUE"""),"NA")</f>
        <v>NA</v>
      </c>
      <c r="G95" t="str">
        <f>IFERROR(__xludf.DUMMYFUNCTION("""COMPUTED_VALUE"""),"")</f>
        <v/>
      </c>
      <c r="H95" t="str">
        <f>IFERROR(__xludf.DUMMYFUNCTION("""COMPUTED_VALUE"""),"Chitra Chandrasekaran")</f>
        <v>Chitra Chandrasekaran</v>
      </c>
      <c r="I95" t="str">
        <f>IFERROR(__xludf.DUMMYFUNCTION("""COMPUTED_VALUE"""),"cchandrasekaran@txwes.edu")</f>
        <v>cchandrasekaran@txwes.edu</v>
      </c>
      <c r="J95" s="62" t="str">
        <f>IFERROR(__xludf.DUMMYFUNCTION("""COMPUTED_VALUE"""),"Comprehensive")</f>
        <v>Comprehensive</v>
      </c>
      <c r="K95" t="str">
        <f>IFERROR(__xludf.DUMMYFUNCTION("""COMPUTED_VALUE"""),"")</f>
        <v/>
      </c>
    </row>
    <row r="96">
      <c r="A96" t="str">
        <f>IFERROR(__xludf.DUMMYFUNCTION("""COMPUTED_VALUE"""),"Unassigned")</f>
        <v>Unassigned</v>
      </c>
      <c r="B96" t="str">
        <f>IFERROR(__xludf.DUMMYFUNCTION("""COMPUTED_VALUE"""),"")</f>
        <v/>
      </c>
      <c r="C96" t="str">
        <f>IFERROR(__xludf.DUMMYFUNCTION("""COMPUTED_VALUE"""),"")</f>
        <v/>
      </c>
      <c r="D96" s="62" t="str">
        <f>IFERROR(__xludf.DUMMYFUNCTION("""COMPUTED_VALUE"""),"")</f>
        <v/>
      </c>
      <c r="E96" s="62" t="str">
        <f>IFERROR(__xludf.DUMMYFUNCTION("""COMPUTED_VALUE"""),"No")</f>
        <v>No</v>
      </c>
      <c r="F96" s="62" t="str">
        <f>IFERROR(__xludf.DUMMYFUNCTION("""COMPUTED_VALUE"""),"NA")</f>
        <v>NA</v>
      </c>
      <c r="G96" t="str">
        <f>IFERROR(__xludf.DUMMYFUNCTION("""COMPUTED_VALUE"""),"")</f>
        <v/>
      </c>
      <c r="H96" t="str">
        <f>IFERROR(__xludf.DUMMYFUNCTION("""COMPUTED_VALUE"""),"Silke Waap")</f>
        <v>Silke Waap</v>
      </c>
      <c r="I96" t="str">
        <f>IFERROR(__xludf.DUMMYFUNCTION("""COMPUTED_VALUE"""),"silkewaap@gmail.com")</f>
        <v>silkewaap@gmail.com</v>
      </c>
      <c r="J96" s="62" t="str">
        <f>IFERROR(__xludf.DUMMYFUNCTION("""COMPUTED_VALUE"""),"Comprehensive")</f>
        <v>Comprehensive</v>
      </c>
      <c r="K96" t="str">
        <f>IFERROR(__xludf.DUMMYFUNCTION("""COMPUTED_VALUE"""),"")</f>
        <v/>
      </c>
    </row>
    <row r="97">
      <c r="A97" t="str">
        <f>IFERROR(__xludf.DUMMYFUNCTION("""COMPUTED_VALUE"""),"Unassigned")</f>
        <v>Unassigned</v>
      </c>
      <c r="B97" t="str">
        <f>IFERROR(__xludf.DUMMYFUNCTION("""COMPUTED_VALUE"""),"")</f>
        <v/>
      </c>
      <c r="C97" t="str">
        <f>IFERROR(__xludf.DUMMYFUNCTION("""COMPUTED_VALUE"""),"")</f>
        <v/>
      </c>
      <c r="D97" s="62" t="str">
        <f>IFERROR(__xludf.DUMMYFUNCTION("""COMPUTED_VALUE"""),"")</f>
        <v/>
      </c>
      <c r="E97" s="62" t="str">
        <f>IFERROR(__xludf.DUMMYFUNCTION("""COMPUTED_VALUE"""),"No")</f>
        <v>No</v>
      </c>
      <c r="F97" s="62" t="str">
        <f>IFERROR(__xludf.DUMMYFUNCTION("""COMPUTED_VALUE"""),"NA")</f>
        <v>NA</v>
      </c>
      <c r="G97" t="str">
        <f>IFERROR(__xludf.DUMMYFUNCTION("""COMPUTED_VALUE"""),"")</f>
        <v/>
      </c>
      <c r="H97" t="str">
        <f>IFERROR(__xludf.DUMMYFUNCTION("""COMPUTED_VALUE"""),"Emilie Hulse")</f>
        <v>Emilie Hulse</v>
      </c>
      <c r="I97" t="str">
        <f>IFERROR(__xludf.DUMMYFUNCTION("""COMPUTED_VALUE"""),"ehulse@genedx.com")</f>
        <v>ehulse@genedx.com</v>
      </c>
      <c r="J97" s="62" t="str">
        <f>IFERROR(__xludf.DUMMYFUNCTION("""COMPUTED_VALUE"""),"Comprehensive")</f>
        <v>Comprehensive</v>
      </c>
      <c r="K97" t="str">
        <f>IFERROR(__xludf.DUMMYFUNCTION("""COMPUTED_VALUE"""),"no preference")</f>
        <v>no preference</v>
      </c>
    </row>
    <row r="98">
      <c r="A98" t="str">
        <f>IFERROR(__xludf.DUMMYFUNCTION("""COMPUTED_VALUE"""),"Contacted")</f>
        <v>Contacted</v>
      </c>
      <c r="B98" t="str">
        <f>IFERROR(__xludf.DUMMYFUNCTION("""COMPUTED_VALUE"""),"")</f>
        <v/>
      </c>
      <c r="C98" s="115">
        <f>IFERROR(__xludf.DUMMYFUNCTION("""COMPUTED_VALUE"""),43859.0)</f>
        <v>43859</v>
      </c>
      <c r="D98" s="62" t="str">
        <f>IFERROR(__xludf.DUMMYFUNCTION("""COMPUTED_VALUE"""),"Yes")</f>
        <v>Yes</v>
      </c>
      <c r="E98" s="62" t="str">
        <f>IFERROR(__xludf.DUMMYFUNCTION("""COMPUTED_VALUE"""),"Yes")</f>
        <v>Yes</v>
      </c>
      <c r="F98" s="62" t="str">
        <f>IFERROR(__xludf.DUMMYFUNCTION("""COMPUTED_VALUE"""),"Variant Pathogenicity")</f>
        <v>Variant Pathogenicity</v>
      </c>
      <c r="G98" t="str">
        <f>IFERROR(__xludf.DUMMYFUNCTION("""COMPUTED_VALUE"""),"")</f>
        <v/>
      </c>
      <c r="H98" t="str">
        <f>IFERROR(__xludf.DUMMYFUNCTION("""COMPUTED_VALUE"""),"Saja El Yaacoub")</f>
        <v>Saja El Yaacoub</v>
      </c>
      <c r="I98" t="str">
        <f>IFERROR(__xludf.DUMMYFUNCTION("""COMPUTED_VALUE"""),"saja.alyaacoub@live.com")</f>
        <v>saja.alyaacoub@live.com</v>
      </c>
      <c r="J98" s="62" t="str">
        <f>IFERROR(__xludf.DUMMYFUNCTION("""COMPUTED_VALUE"""),"Comprehensive")</f>
        <v>Comprehensive</v>
      </c>
      <c r="K98" t="str">
        <f>IFERROR(__xludf.DUMMYFUNCTION("""COMPUTED_VALUE"""),"DICER1, Colorectal Cancer, or inhereted retinal diseases")</f>
        <v>DICER1, Colorectal Cancer, or inhereted retinal diseases</v>
      </c>
    </row>
    <row r="99">
      <c r="A99" t="str">
        <f>IFERROR(__xludf.DUMMYFUNCTION("""COMPUTED_VALUE"""),"Unassigned")</f>
        <v>Unassigned</v>
      </c>
      <c r="B99" t="str">
        <f>IFERROR(__xludf.DUMMYFUNCTION("""COMPUTED_VALUE"""),"")</f>
        <v/>
      </c>
      <c r="C99" t="str">
        <f>IFERROR(__xludf.DUMMYFUNCTION("""COMPUTED_VALUE"""),"")</f>
        <v/>
      </c>
      <c r="D99" s="62" t="str">
        <f>IFERROR(__xludf.DUMMYFUNCTION("""COMPUTED_VALUE"""),"")</f>
        <v/>
      </c>
      <c r="E99" s="62" t="str">
        <f>IFERROR(__xludf.DUMMYFUNCTION("""COMPUTED_VALUE"""),"No")</f>
        <v>No</v>
      </c>
      <c r="F99" s="62" t="str">
        <f>IFERROR(__xludf.DUMMYFUNCTION("""COMPUTED_VALUE"""),"NA")</f>
        <v>NA</v>
      </c>
      <c r="G99" t="str">
        <f>IFERROR(__xludf.DUMMYFUNCTION("""COMPUTED_VALUE"""),"")</f>
        <v/>
      </c>
      <c r="H99" t="str">
        <f>IFERROR(__xludf.DUMMYFUNCTION("""COMPUTED_VALUE"""),"Eah Keomanee")</f>
        <v>Eah Keomanee</v>
      </c>
      <c r="I99" t="str">
        <f>IFERROR(__xludf.DUMMYFUNCTION("""COMPUTED_VALUE"""),"ekeomanee19@students.kgi.edu")</f>
        <v>ekeomanee19@students.kgi.edu</v>
      </c>
      <c r="J99" s="62" t="str">
        <f>IFERROR(__xludf.DUMMYFUNCTION("""COMPUTED_VALUE"""),"Comprehensive")</f>
        <v>Comprehensive</v>
      </c>
      <c r="K99" t="str">
        <f>IFERROR(__xludf.DUMMYFUNCTION("""COMPUTED_VALUE"""),"")</f>
        <v/>
      </c>
    </row>
    <row r="100">
      <c r="A100" t="str">
        <f>IFERROR(__xludf.DUMMYFUNCTION("""COMPUTED_VALUE"""),"Unassigned")</f>
        <v>Unassigned</v>
      </c>
      <c r="B100" t="str">
        <f>IFERROR(__xludf.DUMMYFUNCTION("""COMPUTED_VALUE"""),"")</f>
        <v/>
      </c>
      <c r="C100" t="str">
        <f>IFERROR(__xludf.DUMMYFUNCTION("""COMPUTED_VALUE"""),"")</f>
        <v/>
      </c>
      <c r="D100" s="62" t="str">
        <f>IFERROR(__xludf.DUMMYFUNCTION("""COMPUTED_VALUE"""),"")</f>
        <v/>
      </c>
      <c r="E100" s="62" t="str">
        <f>IFERROR(__xludf.DUMMYFUNCTION("""COMPUTED_VALUE"""),"No")</f>
        <v>No</v>
      </c>
      <c r="F100" s="62" t="str">
        <f>IFERROR(__xludf.DUMMYFUNCTION("""COMPUTED_VALUE"""),"NA")</f>
        <v>NA</v>
      </c>
      <c r="G100" t="str">
        <f>IFERROR(__xludf.DUMMYFUNCTION("""COMPUTED_VALUE"""),"")</f>
        <v/>
      </c>
      <c r="H100" t="str">
        <f>IFERROR(__xludf.DUMMYFUNCTION("""COMPUTED_VALUE"""),"Eric Bend")</f>
        <v>Eric Bend</v>
      </c>
      <c r="I100" t="str">
        <f>IFERROR(__xludf.DUMMYFUNCTION("""COMPUTED_VALUE"""),"eric.bend@preventiongenetics.com")</f>
        <v>eric.bend@preventiongenetics.com</v>
      </c>
      <c r="J100" s="62" t="str">
        <f>IFERROR(__xludf.DUMMYFUNCTION("""COMPUTED_VALUE"""),"Comprehensive")</f>
        <v>Comprehensive</v>
      </c>
      <c r="K100" t="str">
        <f>IFERROR(__xludf.DUMMYFUNCTION("""COMPUTED_VALUE"""),"Intellectual Disability and Autism")</f>
        <v>Intellectual Disability and Autism</v>
      </c>
    </row>
    <row r="101">
      <c r="D101" s="62"/>
      <c r="E101" s="62"/>
      <c r="F101" s="62"/>
      <c r="J101" s="62"/>
    </row>
    <row r="102">
      <c r="D102" s="62"/>
      <c r="E102" s="62"/>
      <c r="F102" s="62"/>
      <c r="J102" s="62"/>
    </row>
    <row r="103">
      <c r="D103" s="62"/>
      <c r="E103" s="62"/>
      <c r="F103" s="62"/>
      <c r="J103" s="62"/>
    </row>
    <row r="104">
      <c r="D104" s="62"/>
      <c r="E104" s="62"/>
      <c r="F104" s="62"/>
      <c r="J104" s="62"/>
    </row>
    <row r="105">
      <c r="D105" s="62"/>
      <c r="E105" s="62"/>
      <c r="F105" s="62"/>
      <c r="J105" s="62"/>
    </row>
    <row r="106">
      <c r="D106" s="62"/>
      <c r="E106" s="62"/>
      <c r="F106" s="62"/>
      <c r="J106" s="62"/>
    </row>
    <row r="107">
      <c r="D107" s="62"/>
      <c r="E107" s="62"/>
      <c r="F107" s="62"/>
      <c r="J107" s="62"/>
    </row>
    <row r="108">
      <c r="D108" s="62"/>
      <c r="E108" s="62"/>
      <c r="F108" s="62"/>
      <c r="J108" s="62"/>
    </row>
    <row r="109">
      <c r="D109" s="62"/>
      <c r="E109" s="62"/>
      <c r="F109" s="62"/>
      <c r="J109" s="62"/>
    </row>
    <row r="110">
      <c r="D110" s="62"/>
      <c r="E110" s="62"/>
      <c r="F110" s="62"/>
      <c r="J110" s="62"/>
    </row>
    <row r="111">
      <c r="D111" s="62"/>
      <c r="E111" s="62"/>
      <c r="F111" s="62"/>
      <c r="J111" s="62"/>
    </row>
    <row r="112">
      <c r="D112" s="62"/>
      <c r="E112" s="62"/>
      <c r="F112" s="62"/>
      <c r="J112" s="62"/>
    </row>
    <row r="113">
      <c r="D113" s="62"/>
      <c r="E113" s="62"/>
      <c r="F113" s="62"/>
      <c r="J113" s="62"/>
    </row>
    <row r="114">
      <c r="D114" s="62"/>
      <c r="E114" s="62"/>
      <c r="F114" s="62"/>
      <c r="J114" s="62"/>
    </row>
    <row r="115">
      <c r="D115" s="62"/>
      <c r="E115" s="62"/>
      <c r="F115" s="62"/>
      <c r="J115" s="62"/>
    </row>
    <row r="116">
      <c r="D116" s="62"/>
      <c r="E116" s="62"/>
      <c r="F116" s="62"/>
      <c r="J116" s="62"/>
    </row>
    <row r="117">
      <c r="D117" s="62"/>
      <c r="E117" s="62"/>
      <c r="F117" s="62"/>
      <c r="J117" s="62"/>
    </row>
    <row r="118">
      <c r="D118" s="62"/>
      <c r="E118" s="62"/>
      <c r="F118" s="62"/>
      <c r="J118" s="62"/>
    </row>
    <row r="119">
      <c r="D119" s="62"/>
      <c r="E119" s="62"/>
      <c r="F119" s="62"/>
      <c r="J119" s="62"/>
    </row>
    <row r="120">
      <c r="D120" s="62"/>
      <c r="E120" s="62"/>
      <c r="F120" s="62"/>
      <c r="J120" s="62"/>
    </row>
    <row r="121">
      <c r="D121" s="62"/>
      <c r="E121" s="62"/>
      <c r="F121" s="62"/>
      <c r="J121" s="62"/>
    </row>
    <row r="122">
      <c r="D122" s="62"/>
      <c r="E122" s="62"/>
      <c r="F122" s="62"/>
      <c r="J122" s="62"/>
    </row>
    <row r="123">
      <c r="D123" s="62"/>
      <c r="E123" s="62"/>
      <c r="F123" s="62"/>
      <c r="J123" s="62"/>
    </row>
    <row r="124">
      <c r="D124" s="62"/>
      <c r="E124" s="62"/>
      <c r="F124" s="62"/>
      <c r="J124" s="62"/>
    </row>
    <row r="125">
      <c r="D125" s="62"/>
      <c r="E125" s="62"/>
      <c r="F125" s="62"/>
      <c r="J125" s="62"/>
    </row>
    <row r="126">
      <c r="D126" s="62"/>
      <c r="E126" s="62"/>
      <c r="F126" s="62"/>
      <c r="J126" s="62"/>
    </row>
    <row r="127">
      <c r="D127" s="62"/>
      <c r="E127" s="62"/>
      <c r="F127" s="62"/>
      <c r="J127" s="62"/>
    </row>
    <row r="128">
      <c r="D128" s="62"/>
      <c r="E128" s="62"/>
      <c r="F128" s="62"/>
      <c r="J128" s="62"/>
    </row>
    <row r="129">
      <c r="D129" s="62"/>
      <c r="E129" s="62"/>
      <c r="F129" s="62"/>
      <c r="J129" s="62"/>
    </row>
    <row r="130">
      <c r="D130" s="62"/>
      <c r="E130" s="62"/>
      <c r="F130" s="62"/>
      <c r="J130" s="62"/>
    </row>
    <row r="131">
      <c r="D131" s="62"/>
      <c r="E131" s="62"/>
      <c r="F131" s="62"/>
      <c r="J131" s="62"/>
    </row>
    <row r="132">
      <c r="D132" s="62"/>
      <c r="E132" s="62"/>
      <c r="F132" s="62"/>
      <c r="J132" s="62"/>
    </row>
    <row r="133">
      <c r="D133" s="62"/>
      <c r="E133" s="62"/>
      <c r="F133" s="62"/>
      <c r="J133" s="62"/>
    </row>
    <row r="134">
      <c r="D134" s="62"/>
      <c r="E134" s="62"/>
      <c r="F134" s="62"/>
      <c r="J134" s="62"/>
    </row>
    <row r="135">
      <c r="D135" s="62"/>
      <c r="E135" s="62"/>
      <c r="F135" s="62"/>
      <c r="J135" s="62"/>
    </row>
    <row r="136">
      <c r="D136" s="62"/>
      <c r="E136" s="62"/>
      <c r="F136" s="62"/>
      <c r="J136" s="62"/>
    </row>
    <row r="137">
      <c r="D137" s="62"/>
      <c r="E137" s="62"/>
      <c r="F137" s="62"/>
      <c r="J137" s="62"/>
    </row>
    <row r="138">
      <c r="D138" s="62"/>
      <c r="E138" s="62"/>
      <c r="F138" s="62"/>
      <c r="J138" s="62"/>
    </row>
    <row r="139">
      <c r="D139" s="62"/>
      <c r="E139" s="62"/>
      <c r="F139" s="62"/>
      <c r="J139" s="62"/>
    </row>
    <row r="140">
      <c r="D140" s="62"/>
      <c r="E140" s="62"/>
      <c r="F140" s="62"/>
      <c r="J140" s="62"/>
    </row>
    <row r="141">
      <c r="D141" s="62"/>
      <c r="E141" s="62"/>
      <c r="F141" s="62"/>
      <c r="J141" s="62"/>
    </row>
    <row r="142">
      <c r="D142" s="62"/>
      <c r="E142" s="62"/>
      <c r="F142" s="62"/>
      <c r="J142" s="62"/>
    </row>
    <row r="143">
      <c r="D143" s="62"/>
      <c r="E143" s="62"/>
      <c r="F143" s="62"/>
      <c r="J143" s="62"/>
    </row>
    <row r="144">
      <c r="D144" s="62"/>
      <c r="E144" s="62"/>
      <c r="F144" s="62"/>
      <c r="J144" s="62"/>
    </row>
    <row r="145">
      <c r="D145" s="62"/>
      <c r="E145" s="62"/>
      <c r="F145" s="62"/>
      <c r="J145" s="62"/>
    </row>
    <row r="146">
      <c r="D146" s="62"/>
      <c r="E146" s="62"/>
      <c r="F146" s="62"/>
      <c r="J146" s="62"/>
    </row>
    <row r="147">
      <c r="D147" s="62"/>
      <c r="E147" s="62"/>
      <c r="F147" s="62"/>
      <c r="J147" s="62"/>
    </row>
    <row r="148">
      <c r="D148" s="62"/>
      <c r="E148" s="62"/>
      <c r="F148" s="62"/>
      <c r="J148" s="62"/>
    </row>
    <row r="149">
      <c r="D149" s="62"/>
      <c r="E149" s="62"/>
      <c r="F149" s="62"/>
      <c r="J149" s="62"/>
    </row>
    <row r="150">
      <c r="D150" s="62"/>
      <c r="E150" s="62"/>
      <c r="F150" s="62"/>
      <c r="J150" s="62"/>
    </row>
    <row r="151">
      <c r="D151" s="62"/>
      <c r="E151" s="62"/>
      <c r="F151" s="62"/>
      <c r="J151" s="62"/>
    </row>
    <row r="152">
      <c r="D152" s="62"/>
      <c r="E152" s="62"/>
      <c r="F152" s="62"/>
      <c r="J152" s="62"/>
    </row>
    <row r="153">
      <c r="D153" s="62"/>
      <c r="E153" s="62"/>
      <c r="F153" s="62"/>
      <c r="J153" s="62"/>
    </row>
    <row r="154">
      <c r="D154" s="62"/>
      <c r="E154" s="62"/>
      <c r="F154" s="62"/>
      <c r="J154" s="62"/>
    </row>
    <row r="155">
      <c r="D155" s="62"/>
      <c r="E155" s="62"/>
      <c r="F155" s="62"/>
      <c r="J155" s="62"/>
    </row>
    <row r="156">
      <c r="D156" s="62"/>
      <c r="E156" s="62"/>
      <c r="F156" s="62"/>
      <c r="J156" s="62"/>
    </row>
    <row r="157">
      <c r="D157" s="62"/>
      <c r="E157" s="62"/>
      <c r="F157" s="62"/>
      <c r="J157" s="62"/>
    </row>
    <row r="158">
      <c r="D158" s="62"/>
      <c r="E158" s="62"/>
      <c r="F158" s="62"/>
      <c r="J158" s="62"/>
    </row>
    <row r="159">
      <c r="D159" s="62"/>
      <c r="E159" s="62"/>
      <c r="F159" s="62"/>
      <c r="J159" s="62"/>
    </row>
    <row r="160">
      <c r="D160" s="62"/>
      <c r="E160" s="62"/>
      <c r="F160" s="62"/>
      <c r="J160" s="62"/>
    </row>
    <row r="161">
      <c r="D161" s="62"/>
      <c r="E161" s="62"/>
      <c r="F161" s="62"/>
      <c r="J161" s="62"/>
    </row>
    <row r="162">
      <c r="D162" s="62"/>
      <c r="E162" s="62"/>
      <c r="F162" s="62"/>
      <c r="J162" s="62"/>
    </row>
    <row r="163">
      <c r="D163" s="62"/>
      <c r="E163" s="62"/>
      <c r="F163" s="62"/>
      <c r="J163" s="62"/>
    </row>
    <row r="164">
      <c r="D164" s="62"/>
      <c r="E164" s="62"/>
      <c r="F164" s="62"/>
      <c r="J164" s="62"/>
    </row>
    <row r="165">
      <c r="D165" s="62"/>
      <c r="E165" s="62"/>
      <c r="F165" s="62"/>
      <c r="J165" s="62"/>
    </row>
    <row r="166">
      <c r="D166" s="62"/>
      <c r="E166" s="62"/>
      <c r="F166" s="62"/>
      <c r="J166" s="62"/>
    </row>
    <row r="167">
      <c r="D167" s="62"/>
      <c r="E167" s="62"/>
      <c r="F167" s="62"/>
      <c r="J167" s="62"/>
    </row>
    <row r="168">
      <c r="D168" s="62"/>
      <c r="E168" s="62"/>
      <c r="F168" s="62"/>
      <c r="J168" s="62"/>
    </row>
    <row r="169">
      <c r="D169" s="62"/>
      <c r="E169" s="62"/>
      <c r="F169" s="62"/>
      <c r="J169" s="62"/>
    </row>
    <row r="170">
      <c r="D170" s="62"/>
      <c r="E170" s="62"/>
      <c r="F170" s="62"/>
      <c r="J170" s="62"/>
    </row>
    <row r="171">
      <c r="D171" s="62"/>
      <c r="E171" s="62"/>
      <c r="F171" s="62"/>
      <c r="J171" s="62"/>
    </row>
    <row r="172">
      <c r="D172" s="62"/>
      <c r="E172" s="62"/>
      <c r="F172" s="62"/>
      <c r="J172" s="62"/>
    </row>
    <row r="173">
      <c r="D173" s="62"/>
      <c r="E173" s="62"/>
      <c r="F173" s="62"/>
      <c r="J173" s="62"/>
    </row>
    <row r="174">
      <c r="D174" s="62"/>
      <c r="E174" s="62"/>
      <c r="F174" s="62"/>
      <c r="J174" s="62"/>
    </row>
    <row r="175">
      <c r="D175" s="62"/>
      <c r="E175" s="62"/>
      <c r="F175" s="62"/>
      <c r="J175" s="62"/>
    </row>
    <row r="176">
      <c r="D176" s="62"/>
      <c r="E176" s="62"/>
      <c r="F176" s="62"/>
      <c r="J176" s="62"/>
    </row>
    <row r="177">
      <c r="D177" s="62"/>
      <c r="E177" s="62"/>
      <c r="F177" s="62"/>
      <c r="J177" s="62"/>
    </row>
    <row r="178">
      <c r="D178" s="62"/>
      <c r="E178" s="62"/>
      <c r="F178" s="62"/>
      <c r="J178" s="62"/>
    </row>
    <row r="179">
      <c r="D179" s="62"/>
      <c r="E179" s="62"/>
      <c r="F179" s="62"/>
      <c r="J179" s="62"/>
    </row>
    <row r="180">
      <c r="D180" s="62"/>
      <c r="E180" s="62"/>
      <c r="F180" s="62"/>
      <c r="J180" s="62"/>
    </row>
    <row r="181">
      <c r="D181" s="62"/>
      <c r="E181" s="62"/>
      <c r="F181" s="62"/>
      <c r="J181" s="62"/>
    </row>
    <row r="182">
      <c r="D182" s="62"/>
      <c r="E182" s="62"/>
      <c r="F182" s="62"/>
      <c r="J182" s="62"/>
    </row>
    <row r="183">
      <c r="D183" s="62"/>
      <c r="E183" s="62"/>
      <c r="F183" s="62"/>
      <c r="J183" s="62"/>
    </row>
    <row r="184">
      <c r="D184" s="62"/>
      <c r="E184" s="62"/>
      <c r="F184" s="62"/>
      <c r="J184" s="62"/>
    </row>
    <row r="185">
      <c r="D185" s="62"/>
      <c r="E185" s="62"/>
      <c r="F185" s="62"/>
      <c r="J185" s="62"/>
    </row>
    <row r="186">
      <c r="D186" s="62"/>
      <c r="E186" s="62"/>
      <c r="F186" s="62"/>
      <c r="J186" s="62"/>
    </row>
    <row r="187">
      <c r="D187" s="62"/>
      <c r="E187" s="62"/>
      <c r="F187" s="62"/>
      <c r="J187" s="62"/>
    </row>
    <row r="188">
      <c r="D188" s="62"/>
      <c r="E188" s="62"/>
      <c r="F188" s="62"/>
      <c r="J188" s="62"/>
    </row>
    <row r="189">
      <c r="D189" s="62"/>
      <c r="E189" s="62"/>
      <c r="F189" s="62"/>
      <c r="J189" s="62"/>
    </row>
    <row r="190">
      <c r="D190" s="62"/>
      <c r="E190" s="62"/>
      <c r="F190" s="62"/>
      <c r="J190" s="62"/>
    </row>
    <row r="191">
      <c r="D191" s="62"/>
      <c r="E191" s="62"/>
      <c r="F191" s="62"/>
      <c r="J191" s="62"/>
    </row>
    <row r="192">
      <c r="D192" s="62"/>
      <c r="E192" s="62"/>
      <c r="F192" s="62"/>
      <c r="J192" s="62"/>
    </row>
    <row r="193">
      <c r="D193" s="62"/>
      <c r="E193" s="62"/>
      <c r="F193" s="62"/>
      <c r="J193" s="62"/>
    </row>
    <row r="194">
      <c r="D194" s="62"/>
      <c r="E194" s="62"/>
      <c r="F194" s="62"/>
      <c r="J194" s="62"/>
    </row>
    <row r="195">
      <c r="D195" s="62"/>
      <c r="E195" s="62"/>
      <c r="F195" s="62"/>
      <c r="J195" s="62"/>
    </row>
    <row r="196">
      <c r="D196" s="62"/>
      <c r="E196" s="62"/>
      <c r="F196" s="62"/>
      <c r="J196" s="62"/>
    </row>
    <row r="197">
      <c r="D197" s="62"/>
      <c r="E197" s="62"/>
      <c r="F197" s="62"/>
      <c r="J197" s="62"/>
    </row>
    <row r="198">
      <c r="D198" s="62"/>
      <c r="E198" s="62"/>
      <c r="F198" s="62"/>
      <c r="J198" s="62"/>
    </row>
    <row r="199">
      <c r="D199" s="62"/>
      <c r="E199" s="62"/>
      <c r="F199" s="62"/>
      <c r="J199" s="62"/>
    </row>
    <row r="200">
      <c r="D200" s="62"/>
      <c r="E200" s="62"/>
      <c r="F200" s="62"/>
      <c r="J200" s="62"/>
    </row>
    <row r="201">
      <c r="D201" s="62"/>
      <c r="E201" s="62"/>
      <c r="F201" s="62"/>
      <c r="J201" s="62"/>
    </row>
    <row r="202">
      <c r="D202" s="62"/>
      <c r="E202" s="62"/>
      <c r="F202" s="62"/>
      <c r="J202" s="62"/>
    </row>
    <row r="203">
      <c r="D203" s="62"/>
      <c r="E203" s="62"/>
      <c r="F203" s="62"/>
      <c r="J203" s="62"/>
    </row>
    <row r="204">
      <c r="D204" s="62"/>
      <c r="E204" s="62"/>
      <c r="F204" s="62"/>
      <c r="J204" s="62"/>
    </row>
    <row r="205">
      <c r="D205" s="62"/>
      <c r="E205" s="62"/>
      <c r="F205" s="62"/>
      <c r="J205" s="62"/>
    </row>
    <row r="206">
      <c r="D206" s="62"/>
      <c r="E206" s="62"/>
      <c r="F206" s="62"/>
      <c r="J206" s="62"/>
    </row>
    <row r="207">
      <c r="D207" s="62"/>
      <c r="E207" s="62"/>
      <c r="F207" s="62"/>
      <c r="J207" s="62"/>
    </row>
    <row r="208">
      <c r="D208" s="62"/>
      <c r="E208" s="62"/>
      <c r="F208" s="62"/>
      <c r="J208" s="62"/>
    </row>
    <row r="209">
      <c r="D209" s="62"/>
      <c r="E209" s="62"/>
      <c r="F209" s="62"/>
      <c r="J209" s="62"/>
    </row>
    <row r="210">
      <c r="D210" s="62"/>
      <c r="E210" s="62"/>
      <c r="F210" s="62"/>
      <c r="J210" s="62"/>
    </row>
    <row r="211">
      <c r="D211" s="62"/>
      <c r="E211" s="62"/>
      <c r="F211" s="62"/>
      <c r="J211" s="62"/>
    </row>
    <row r="212">
      <c r="D212" s="62"/>
      <c r="E212" s="62"/>
      <c r="F212" s="62"/>
      <c r="J212" s="62"/>
    </row>
    <row r="213">
      <c r="D213" s="62"/>
      <c r="E213" s="62"/>
      <c r="F213" s="62"/>
      <c r="J213" s="62"/>
    </row>
    <row r="214">
      <c r="D214" s="62"/>
      <c r="E214" s="62"/>
      <c r="F214" s="62"/>
      <c r="J214" s="62"/>
    </row>
    <row r="215">
      <c r="D215" s="62"/>
      <c r="E215" s="62"/>
      <c r="F215" s="62"/>
      <c r="J215" s="62"/>
    </row>
    <row r="216">
      <c r="D216" s="62"/>
      <c r="E216" s="62"/>
      <c r="F216" s="62"/>
      <c r="J216" s="62"/>
    </row>
    <row r="217">
      <c r="D217" s="62"/>
      <c r="E217" s="62"/>
      <c r="F217" s="62"/>
      <c r="J217" s="62"/>
    </row>
    <row r="218">
      <c r="D218" s="62"/>
      <c r="E218" s="62"/>
      <c r="F218" s="62"/>
      <c r="J218" s="62"/>
    </row>
    <row r="219">
      <c r="D219" s="62"/>
      <c r="E219" s="62"/>
      <c r="F219" s="62"/>
      <c r="J219" s="62"/>
    </row>
    <row r="220">
      <c r="D220" s="62"/>
      <c r="E220" s="62"/>
      <c r="F220" s="62"/>
      <c r="J220" s="62"/>
    </row>
    <row r="221">
      <c r="D221" s="62"/>
      <c r="E221" s="62"/>
      <c r="F221" s="62"/>
      <c r="J221" s="62"/>
    </row>
    <row r="222">
      <c r="D222" s="62"/>
      <c r="E222" s="62"/>
      <c r="F222" s="62"/>
      <c r="J222" s="62"/>
    </row>
    <row r="223">
      <c r="D223" s="62"/>
      <c r="E223" s="62"/>
      <c r="F223" s="62"/>
      <c r="J223" s="62"/>
    </row>
    <row r="224">
      <c r="D224" s="62"/>
      <c r="E224" s="62"/>
      <c r="F224" s="62"/>
      <c r="J224" s="62"/>
    </row>
    <row r="225">
      <c r="D225" s="62"/>
      <c r="E225" s="62"/>
      <c r="F225" s="62"/>
      <c r="J225" s="62"/>
    </row>
    <row r="226">
      <c r="D226" s="62"/>
      <c r="E226" s="62"/>
      <c r="F226" s="62"/>
      <c r="J226" s="62"/>
    </row>
    <row r="227">
      <c r="D227" s="62"/>
      <c r="E227" s="62"/>
      <c r="F227" s="62"/>
      <c r="J227" s="62"/>
    </row>
    <row r="228">
      <c r="D228" s="62"/>
      <c r="E228" s="62"/>
      <c r="F228" s="62"/>
      <c r="J228" s="62"/>
    </row>
    <row r="229">
      <c r="D229" s="62"/>
      <c r="E229" s="62"/>
      <c r="F229" s="62"/>
      <c r="J229" s="62"/>
    </row>
    <row r="230">
      <c r="D230" s="62"/>
      <c r="E230" s="62"/>
      <c r="F230" s="62"/>
      <c r="J230" s="62"/>
    </row>
    <row r="231">
      <c r="D231" s="62"/>
      <c r="E231" s="62"/>
      <c r="F231" s="62"/>
      <c r="J231" s="62"/>
    </row>
    <row r="232">
      <c r="D232" s="62"/>
      <c r="E232" s="62"/>
      <c r="F232" s="62"/>
      <c r="J232" s="62"/>
    </row>
    <row r="233">
      <c r="D233" s="62"/>
      <c r="E233" s="62"/>
      <c r="F233" s="62"/>
      <c r="J233" s="62"/>
    </row>
    <row r="234">
      <c r="D234" s="62"/>
      <c r="E234" s="62"/>
      <c r="F234" s="62"/>
      <c r="J234" s="62"/>
    </row>
    <row r="235">
      <c r="D235" s="62"/>
      <c r="E235" s="62"/>
      <c r="F235" s="62"/>
      <c r="J235" s="62"/>
    </row>
    <row r="236">
      <c r="D236" s="62"/>
      <c r="E236" s="62"/>
      <c r="F236" s="62"/>
      <c r="J236" s="62"/>
    </row>
    <row r="237">
      <c r="D237" s="62"/>
      <c r="E237" s="62"/>
      <c r="F237" s="62"/>
      <c r="J237" s="62"/>
    </row>
    <row r="238">
      <c r="D238" s="62"/>
      <c r="E238" s="62"/>
      <c r="F238" s="62"/>
      <c r="J238" s="62"/>
    </row>
    <row r="239">
      <c r="D239" s="62"/>
      <c r="E239" s="62"/>
      <c r="F239" s="62"/>
      <c r="J239" s="62"/>
    </row>
    <row r="240">
      <c r="D240" s="62"/>
      <c r="E240" s="62"/>
      <c r="F240" s="62"/>
      <c r="J240" s="62"/>
    </row>
    <row r="241">
      <c r="D241" s="62"/>
      <c r="E241" s="62"/>
      <c r="F241" s="62"/>
      <c r="J241" s="62"/>
    </row>
    <row r="242">
      <c r="D242" s="62"/>
      <c r="E242" s="62"/>
      <c r="F242" s="62"/>
      <c r="J242" s="62"/>
    </row>
    <row r="243">
      <c r="D243" s="62"/>
      <c r="E243" s="62"/>
      <c r="F243" s="62"/>
      <c r="J243" s="62"/>
    </row>
    <row r="244">
      <c r="D244" s="62"/>
      <c r="E244" s="62"/>
      <c r="F244" s="62"/>
      <c r="J244" s="62"/>
    </row>
    <row r="245">
      <c r="D245" s="62"/>
      <c r="E245" s="62"/>
      <c r="F245" s="62"/>
      <c r="J245" s="62"/>
    </row>
    <row r="246">
      <c r="D246" s="62"/>
      <c r="E246" s="62"/>
      <c r="F246" s="62"/>
      <c r="J246" s="62"/>
    </row>
    <row r="247">
      <c r="D247" s="62"/>
      <c r="E247" s="62"/>
      <c r="F247" s="62"/>
      <c r="J247" s="62"/>
    </row>
    <row r="248">
      <c r="D248" s="62"/>
      <c r="E248" s="62"/>
      <c r="F248" s="62"/>
      <c r="J248" s="62"/>
    </row>
    <row r="249">
      <c r="D249" s="62"/>
      <c r="E249" s="62"/>
      <c r="F249" s="62"/>
      <c r="J249" s="62"/>
    </row>
    <row r="250">
      <c r="D250" s="62"/>
      <c r="E250" s="62"/>
      <c r="F250" s="62"/>
      <c r="J250" s="62"/>
    </row>
    <row r="251">
      <c r="D251" s="62"/>
      <c r="E251" s="62"/>
      <c r="F251" s="62"/>
      <c r="J251" s="62"/>
    </row>
    <row r="252">
      <c r="D252" s="62"/>
      <c r="E252" s="62"/>
      <c r="F252" s="62"/>
      <c r="J252" s="62"/>
    </row>
    <row r="253">
      <c r="D253" s="62"/>
      <c r="E253" s="62"/>
      <c r="F253" s="62"/>
      <c r="J253" s="62"/>
    </row>
    <row r="254">
      <c r="D254" s="62"/>
      <c r="E254" s="62"/>
      <c r="F254" s="62"/>
      <c r="J254" s="62"/>
    </row>
    <row r="255">
      <c r="D255" s="62"/>
      <c r="E255" s="62"/>
      <c r="F255" s="62"/>
      <c r="J255" s="62"/>
    </row>
    <row r="256">
      <c r="D256" s="62"/>
      <c r="E256" s="62"/>
      <c r="F256" s="62"/>
      <c r="J256" s="62"/>
    </row>
    <row r="257">
      <c r="D257" s="62"/>
      <c r="E257" s="62"/>
      <c r="F257" s="62"/>
      <c r="J257" s="62"/>
    </row>
    <row r="258">
      <c r="D258" s="62"/>
      <c r="E258" s="62"/>
      <c r="F258" s="62"/>
      <c r="J258" s="62"/>
    </row>
    <row r="259">
      <c r="D259" s="62"/>
      <c r="E259" s="62"/>
      <c r="F259" s="62"/>
      <c r="J259" s="62"/>
    </row>
    <row r="260">
      <c r="D260" s="62"/>
      <c r="E260" s="62"/>
      <c r="F260" s="62"/>
      <c r="J260" s="62"/>
    </row>
    <row r="261">
      <c r="D261" s="62"/>
      <c r="E261" s="62"/>
      <c r="F261" s="62"/>
      <c r="J261" s="62"/>
    </row>
    <row r="262">
      <c r="D262" s="62"/>
      <c r="E262" s="62"/>
      <c r="F262" s="62"/>
      <c r="J262" s="62"/>
    </row>
    <row r="263">
      <c r="D263" s="62"/>
      <c r="E263" s="62"/>
      <c r="F263" s="62"/>
      <c r="J263" s="62"/>
    </row>
    <row r="264">
      <c r="D264" s="62"/>
      <c r="E264" s="62"/>
      <c r="F264" s="62"/>
      <c r="J264" s="62"/>
    </row>
    <row r="265">
      <c r="D265" s="62"/>
      <c r="E265" s="62"/>
      <c r="F265" s="62"/>
      <c r="J265" s="62"/>
    </row>
    <row r="266">
      <c r="D266" s="62"/>
      <c r="E266" s="62"/>
      <c r="F266" s="62"/>
      <c r="J266" s="62"/>
    </row>
    <row r="267">
      <c r="D267" s="62"/>
      <c r="E267" s="62"/>
      <c r="F267" s="62"/>
      <c r="J267" s="62"/>
    </row>
    <row r="268">
      <c r="D268" s="62"/>
      <c r="E268" s="62"/>
      <c r="F268" s="62"/>
      <c r="J268" s="62"/>
    </row>
    <row r="269">
      <c r="D269" s="62"/>
      <c r="E269" s="62"/>
      <c r="F269" s="62"/>
      <c r="J269" s="62"/>
    </row>
    <row r="270">
      <c r="D270" s="62"/>
      <c r="E270" s="62"/>
      <c r="F270" s="62"/>
      <c r="J270" s="62"/>
    </row>
    <row r="271">
      <c r="D271" s="62"/>
      <c r="E271" s="62"/>
      <c r="F271" s="62"/>
      <c r="J271" s="62"/>
    </row>
    <row r="272">
      <c r="D272" s="62"/>
      <c r="E272" s="62"/>
      <c r="F272" s="62"/>
      <c r="J272" s="62"/>
    </row>
    <row r="273">
      <c r="D273" s="62"/>
      <c r="E273" s="62"/>
      <c r="F273" s="62"/>
      <c r="J273" s="62"/>
    </row>
    <row r="274">
      <c r="D274" s="62"/>
      <c r="E274" s="62"/>
      <c r="F274" s="62"/>
      <c r="J274" s="62"/>
    </row>
    <row r="275">
      <c r="D275" s="62"/>
      <c r="E275" s="62"/>
      <c r="F275" s="62"/>
      <c r="J275" s="62"/>
    </row>
    <row r="276">
      <c r="D276" s="62"/>
      <c r="E276" s="62"/>
      <c r="F276" s="62"/>
      <c r="J276" s="62"/>
    </row>
    <row r="277">
      <c r="D277" s="62"/>
      <c r="E277" s="62"/>
      <c r="F277" s="62"/>
      <c r="J277" s="62"/>
    </row>
    <row r="278">
      <c r="D278" s="62"/>
      <c r="E278" s="62"/>
      <c r="F278" s="62"/>
      <c r="J278" s="62"/>
    </row>
    <row r="279">
      <c r="D279" s="62"/>
      <c r="E279" s="62"/>
      <c r="F279" s="62"/>
      <c r="J279" s="62"/>
    </row>
    <row r="280">
      <c r="D280" s="62"/>
      <c r="E280" s="62"/>
      <c r="F280" s="62"/>
      <c r="J280" s="62"/>
    </row>
    <row r="281">
      <c r="D281" s="62"/>
      <c r="E281" s="62"/>
      <c r="F281" s="62"/>
      <c r="J281" s="62"/>
    </row>
    <row r="282">
      <c r="D282" s="62"/>
      <c r="E282" s="62"/>
      <c r="F282" s="62"/>
      <c r="J282" s="62"/>
    </row>
    <row r="283">
      <c r="D283" s="62"/>
      <c r="E283" s="62"/>
      <c r="F283" s="62"/>
      <c r="J283" s="62"/>
    </row>
    <row r="284">
      <c r="D284" s="62"/>
      <c r="E284" s="62"/>
      <c r="F284" s="62"/>
      <c r="J284" s="62"/>
    </row>
    <row r="285">
      <c r="D285" s="62"/>
      <c r="E285" s="62"/>
      <c r="F285" s="62"/>
      <c r="J285" s="62"/>
    </row>
    <row r="286">
      <c r="D286" s="62"/>
      <c r="E286" s="62"/>
      <c r="F286" s="62"/>
      <c r="J286" s="62"/>
    </row>
    <row r="287">
      <c r="D287" s="62"/>
      <c r="E287" s="62"/>
      <c r="F287" s="62"/>
      <c r="J287" s="62"/>
    </row>
    <row r="288">
      <c r="D288" s="62"/>
      <c r="E288" s="62"/>
      <c r="F288" s="62"/>
      <c r="J288" s="62"/>
    </row>
    <row r="289">
      <c r="D289" s="62"/>
      <c r="E289" s="62"/>
      <c r="F289" s="62"/>
      <c r="J289" s="62"/>
    </row>
    <row r="290">
      <c r="D290" s="62"/>
      <c r="E290" s="62"/>
      <c r="F290" s="62"/>
      <c r="J290" s="62"/>
    </row>
    <row r="291">
      <c r="D291" s="62"/>
      <c r="E291" s="62"/>
      <c r="F291" s="62"/>
      <c r="J291" s="62"/>
    </row>
    <row r="292">
      <c r="D292" s="62"/>
      <c r="E292" s="62"/>
      <c r="F292" s="62"/>
      <c r="J292" s="62"/>
    </row>
    <row r="293">
      <c r="D293" s="62"/>
      <c r="E293" s="62"/>
      <c r="F293" s="62"/>
      <c r="J293" s="62"/>
    </row>
    <row r="294">
      <c r="D294" s="62"/>
      <c r="E294" s="62"/>
      <c r="F294" s="62"/>
      <c r="J294" s="62"/>
    </row>
    <row r="295">
      <c r="D295" s="62"/>
      <c r="E295" s="62"/>
      <c r="F295" s="62"/>
      <c r="J295" s="62"/>
    </row>
    <row r="296">
      <c r="D296" s="62"/>
      <c r="E296" s="62"/>
      <c r="F296" s="62"/>
      <c r="J296" s="62"/>
    </row>
    <row r="297">
      <c r="D297" s="62"/>
      <c r="E297" s="62"/>
      <c r="F297" s="62"/>
      <c r="J297" s="62"/>
    </row>
    <row r="298">
      <c r="D298" s="62"/>
      <c r="E298" s="62"/>
      <c r="F298" s="62"/>
      <c r="J298" s="62"/>
    </row>
    <row r="299">
      <c r="D299" s="62"/>
      <c r="E299" s="62"/>
      <c r="F299" s="62"/>
      <c r="J299" s="62"/>
    </row>
    <row r="300">
      <c r="D300" s="62"/>
      <c r="E300" s="62"/>
      <c r="F300" s="62"/>
      <c r="J300" s="62"/>
    </row>
    <row r="301">
      <c r="D301" s="62"/>
      <c r="E301" s="62"/>
      <c r="F301" s="62"/>
      <c r="J301" s="62"/>
    </row>
    <row r="302">
      <c r="D302" s="62"/>
      <c r="E302" s="62"/>
      <c r="F302" s="62"/>
      <c r="J302" s="62"/>
    </row>
    <row r="303">
      <c r="D303" s="62"/>
      <c r="E303" s="62"/>
      <c r="F303" s="62"/>
      <c r="J303" s="62"/>
    </row>
    <row r="304">
      <c r="D304" s="62"/>
      <c r="E304" s="62"/>
      <c r="F304" s="62"/>
      <c r="J304" s="62"/>
    </row>
    <row r="305">
      <c r="D305" s="62"/>
      <c r="E305" s="62"/>
      <c r="F305" s="62"/>
      <c r="J305" s="62"/>
    </row>
    <row r="306">
      <c r="D306" s="62"/>
      <c r="E306" s="62"/>
      <c r="F306" s="62"/>
      <c r="J306" s="62"/>
    </row>
    <row r="307">
      <c r="D307" s="62"/>
      <c r="E307" s="62"/>
      <c r="F307" s="62"/>
      <c r="J307" s="62"/>
    </row>
    <row r="308">
      <c r="D308" s="62"/>
      <c r="E308" s="62"/>
      <c r="F308" s="62"/>
      <c r="J308" s="62"/>
    </row>
    <row r="309">
      <c r="D309" s="62"/>
      <c r="E309" s="62"/>
      <c r="F309" s="62"/>
      <c r="J309" s="62"/>
    </row>
    <row r="310">
      <c r="D310" s="62"/>
      <c r="E310" s="62"/>
      <c r="F310" s="62"/>
      <c r="J310" s="62"/>
    </row>
    <row r="311">
      <c r="D311" s="62"/>
      <c r="E311" s="62"/>
      <c r="F311" s="62"/>
      <c r="J311" s="62"/>
    </row>
    <row r="312">
      <c r="D312" s="62"/>
      <c r="E312" s="62"/>
      <c r="F312" s="62"/>
      <c r="J312" s="62"/>
    </row>
    <row r="313">
      <c r="D313" s="62"/>
      <c r="E313" s="62"/>
      <c r="F313" s="62"/>
      <c r="J313" s="62"/>
    </row>
    <row r="314">
      <c r="D314" s="62"/>
      <c r="E314" s="62"/>
      <c r="F314" s="62"/>
      <c r="J314" s="62"/>
    </row>
    <row r="315">
      <c r="D315" s="62"/>
      <c r="E315" s="62"/>
      <c r="F315" s="62"/>
      <c r="J315" s="62"/>
    </row>
    <row r="316">
      <c r="D316" s="62"/>
      <c r="E316" s="62"/>
      <c r="F316" s="62"/>
      <c r="J316" s="62"/>
    </row>
    <row r="317">
      <c r="D317" s="62"/>
      <c r="E317" s="62"/>
      <c r="F317" s="62"/>
      <c r="J317" s="62"/>
    </row>
    <row r="318">
      <c r="D318" s="62"/>
      <c r="E318" s="62"/>
      <c r="F318" s="62"/>
      <c r="J318" s="62"/>
    </row>
    <row r="319">
      <c r="D319" s="62"/>
      <c r="E319" s="62"/>
      <c r="F319" s="62"/>
      <c r="J319" s="62"/>
    </row>
    <row r="320">
      <c r="D320" s="62"/>
      <c r="E320" s="62"/>
      <c r="F320" s="62"/>
      <c r="J320" s="62"/>
    </row>
    <row r="321">
      <c r="D321" s="62"/>
      <c r="E321" s="62"/>
      <c r="F321" s="62"/>
      <c r="J321" s="62"/>
    </row>
    <row r="322">
      <c r="D322" s="62"/>
      <c r="E322" s="62"/>
      <c r="F322" s="62"/>
      <c r="J322" s="62"/>
    </row>
    <row r="323">
      <c r="D323" s="62"/>
      <c r="E323" s="62"/>
      <c r="F323" s="62"/>
      <c r="J323" s="62"/>
    </row>
    <row r="324">
      <c r="D324" s="62"/>
      <c r="E324" s="62"/>
      <c r="F324" s="62"/>
      <c r="J324" s="62"/>
    </row>
    <row r="325">
      <c r="D325" s="62"/>
      <c r="E325" s="62"/>
      <c r="F325" s="62"/>
      <c r="J325" s="62"/>
    </row>
    <row r="326">
      <c r="D326" s="62"/>
      <c r="E326" s="62"/>
      <c r="F326" s="62"/>
      <c r="J326" s="62"/>
    </row>
    <row r="327">
      <c r="D327" s="62"/>
      <c r="E327" s="62"/>
      <c r="F327" s="62"/>
      <c r="J327" s="62"/>
    </row>
    <row r="328">
      <c r="D328" s="62"/>
      <c r="E328" s="62"/>
      <c r="F328" s="62"/>
      <c r="J328" s="62"/>
    </row>
    <row r="329">
      <c r="D329" s="62"/>
      <c r="E329" s="62"/>
      <c r="F329" s="62"/>
      <c r="J329" s="62"/>
    </row>
    <row r="330">
      <c r="D330" s="62"/>
      <c r="E330" s="62"/>
      <c r="F330" s="62"/>
      <c r="J330" s="62"/>
    </row>
    <row r="331">
      <c r="D331" s="62"/>
      <c r="E331" s="62"/>
      <c r="F331" s="62"/>
      <c r="J331" s="62"/>
    </row>
    <row r="332">
      <c r="D332" s="62"/>
      <c r="E332" s="62"/>
      <c r="F332" s="62"/>
      <c r="J332" s="62"/>
    </row>
    <row r="333">
      <c r="D333" s="62"/>
      <c r="E333" s="62"/>
      <c r="F333" s="62"/>
      <c r="J333" s="62"/>
    </row>
    <row r="334">
      <c r="D334" s="62"/>
      <c r="E334" s="62"/>
      <c r="F334" s="62"/>
      <c r="J334" s="62"/>
    </row>
    <row r="335">
      <c r="D335" s="62"/>
      <c r="E335" s="62"/>
      <c r="F335" s="62"/>
      <c r="J335" s="62"/>
    </row>
    <row r="336">
      <c r="D336" s="62"/>
      <c r="E336" s="62"/>
      <c r="F336" s="62"/>
      <c r="J336" s="62"/>
    </row>
    <row r="337">
      <c r="D337" s="62"/>
      <c r="E337" s="62"/>
      <c r="F337" s="62"/>
      <c r="J337" s="62"/>
    </row>
    <row r="338">
      <c r="D338" s="62"/>
      <c r="E338" s="62"/>
      <c r="F338" s="62"/>
      <c r="J338" s="62"/>
    </row>
    <row r="339">
      <c r="D339" s="62"/>
      <c r="E339" s="62"/>
      <c r="F339" s="62"/>
      <c r="J339" s="62"/>
    </row>
    <row r="340">
      <c r="D340" s="62"/>
      <c r="E340" s="62"/>
      <c r="F340" s="62"/>
      <c r="J340" s="62"/>
    </row>
    <row r="341">
      <c r="D341" s="62"/>
      <c r="E341" s="62"/>
      <c r="F341" s="62"/>
      <c r="J341" s="62"/>
    </row>
    <row r="342">
      <c r="D342" s="62"/>
      <c r="E342" s="62"/>
      <c r="F342" s="62"/>
      <c r="J342" s="62"/>
    </row>
    <row r="343">
      <c r="D343" s="62"/>
      <c r="E343" s="62"/>
      <c r="F343" s="62"/>
      <c r="J343" s="62"/>
    </row>
    <row r="344">
      <c r="D344" s="62"/>
      <c r="E344" s="62"/>
      <c r="F344" s="62"/>
      <c r="J344" s="62"/>
    </row>
    <row r="345">
      <c r="D345" s="62"/>
      <c r="E345" s="62"/>
      <c r="F345" s="62"/>
      <c r="J345" s="62"/>
    </row>
    <row r="346">
      <c r="D346" s="62"/>
      <c r="E346" s="62"/>
      <c r="F346" s="62"/>
      <c r="J346" s="62"/>
    </row>
    <row r="347">
      <c r="D347" s="62"/>
      <c r="E347" s="62"/>
      <c r="F347" s="62"/>
      <c r="J347" s="62"/>
    </row>
    <row r="348">
      <c r="D348" s="62"/>
      <c r="E348" s="62"/>
      <c r="F348" s="62"/>
      <c r="J348" s="62"/>
    </row>
    <row r="349">
      <c r="D349" s="62"/>
      <c r="E349" s="62"/>
      <c r="F349" s="62"/>
      <c r="J349" s="62"/>
    </row>
    <row r="350">
      <c r="D350" s="62"/>
      <c r="E350" s="62"/>
      <c r="F350" s="62"/>
      <c r="J350" s="62"/>
    </row>
    <row r="351">
      <c r="D351" s="62"/>
      <c r="E351" s="62"/>
      <c r="F351" s="62"/>
      <c r="J351" s="62"/>
    </row>
    <row r="352">
      <c r="D352" s="62"/>
      <c r="E352" s="62"/>
      <c r="F352" s="62"/>
      <c r="J352" s="62"/>
    </row>
    <row r="353">
      <c r="D353" s="62"/>
      <c r="E353" s="62"/>
      <c r="F353" s="62"/>
      <c r="J353" s="62"/>
    </row>
    <row r="354">
      <c r="D354" s="62"/>
      <c r="E354" s="62"/>
      <c r="F354" s="62"/>
      <c r="J354" s="62"/>
    </row>
    <row r="355">
      <c r="D355" s="62"/>
      <c r="E355" s="62"/>
      <c r="F355" s="62"/>
      <c r="J355" s="62"/>
    </row>
    <row r="356">
      <c r="D356" s="62"/>
      <c r="E356" s="62"/>
      <c r="F356" s="62"/>
      <c r="J356" s="62"/>
    </row>
    <row r="357">
      <c r="D357" s="62"/>
      <c r="E357" s="62"/>
      <c r="F357" s="62"/>
      <c r="J357" s="62"/>
    </row>
    <row r="358">
      <c r="D358" s="62"/>
      <c r="E358" s="62"/>
      <c r="F358" s="62"/>
      <c r="J358" s="62"/>
    </row>
    <row r="359">
      <c r="D359" s="62"/>
      <c r="E359" s="62"/>
      <c r="F359" s="62"/>
      <c r="J359" s="62"/>
    </row>
    <row r="360">
      <c r="D360" s="62"/>
      <c r="E360" s="62"/>
      <c r="F360" s="62"/>
      <c r="J360" s="62"/>
    </row>
    <row r="361">
      <c r="D361" s="62"/>
      <c r="E361" s="62"/>
      <c r="F361" s="62"/>
      <c r="J361" s="62"/>
    </row>
    <row r="362">
      <c r="D362" s="62"/>
      <c r="E362" s="62"/>
      <c r="F362" s="62"/>
      <c r="J362" s="62"/>
    </row>
    <row r="363">
      <c r="D363" s="62"/>
      <c r="E363" s="62"/>
      <c r="F363" s="62"/>
      <c r="J363" s="62"/>
    </row>
    <row r="364">
      <c r="D364" s="62"/>
      <c r="E364" s="62"/>
      <c r="F364" s="62"/>
      <c r="J364" s="62"/>
    </row>
    <row r="365">
      <c r="D365" s="62"/>
      <c r="E365" s="62"/>
      <c r="F365" s="62"/>
      <c r="J365" s="62"/>
    </row>
    <row r="366">
      <c r="D366" s="62"/>
      <c r="E366" s="62"/>
      <c r="F366" s="62"/>
      <c r="J366" s="62"/>
    </row>
    <row r="367">
      <c r="D367" s="62"/>
      <c r="E367" s="62"/>
      <c r="F367" s="62"/>
      <c r="J367" s="62"/>
    </row>
    <row r="368">
      <c r="D368" s="62"/>
      <c r="E368" s="62"/>
      <c r="F368" s="62"/>
      <c r="J368" s="62"/>
    </row>
    <row r="369">
      <c r="D369" s="62"/>
      <c r="E369" s="62"/>
      <c r="F369" s="62"/>
      <c r="J369" s="62"/>
    </row>
    <row r="370">
      <c r="D370" s="62"/>
      <c r="E370" s="62"/>
      <c r="F370" s="62"/>
      <c r="J370" s="62"/>
    </row>
    <row r="371">
      <c r="D371" s="62"/>
      <c r="E371" s="62"/>
      <c r="F371" s="62"/>
      <c r="J371" s="62"/>
    </row>
    <row r="372">
      <c r="D372" s="62"/>
      <c r="E372" s="62"/>
      <c r="F372" s="62"/>
      <c r="J372" s="62"/>
    </row>
    <row r="373">
      <c r="D373" s="62"/>
      <c r="E373" s="62"/>
      <c r="F373" s="62"/>
      <c r="J373" s="62"/>
    </row>
    <row r="374">
      <c r="D374" s="62"/>
      <c r="E374" s="62"/>
      <c r="F374" s="62"/>
      <c r="J374" s="62"/>
    </row>
    <row r="375">
      <c r="D375" s="62"/>
      <c r="E375" s="62"/>
      <c r="F375" s="62"/>
      <c r="J375" s="62"/>
    </row>
    <row r="376">
      <c r="D376" s="62"/>
      <c r="E376" s="62"/>
      <c r="F376" s="62"/>
      <c r="J376" s="62"/>
    </row>
    <row r="377">
      <c r="D377" s="62"/>
      <c r="E377" s="62"/>
      <c r="F377" s="62"/>
      <c r="J377" s="62"/>
    </row>
    <row r="378">
      <c r="D378" s="62"/>
      <c r="E378" s="62"/>
      <c r="F378" s="62"/>
      <c r="J378" s="62"/>
    </row>
    <row r="379">
      <c r="D379" s="62"/>
      <c r="E379" s="62"/>
      <c r="F379" s="62"/>
      <c r="J379" s="62"/>
    </row>
    <row r="380">
      <c r="D380" s="62"/>
      <c r="E380" s="62"/>
      <c r="F380" s="62"/>
      <c r="J380" s="62"/>
    </row>
    <row r="381">
      <c r="D381" s="62"/>
      <c r="E381" s="62"/>
      <c r="F381" s="62"/>
      <c r="J381" s="62"/>
    </row>
    <row r="382">
      <c r="D382" s="62"/>
      <c r="E382" s="62"/>
      <c r="F382" s="62"/>
      <c r="J382" s="62"/>
    </row>
    <row r="383">
      <c r="D383" s="62"/>
      <c r="E383" s="62"/>
      <c r="F383" s="62"/>
      <c r="J383" s="62"/>
    </row>
    <row r="384">
      <c r="D384" s="62"/>
      <c r="E384" s="62"/>
      <c r="F384" s="62"/>
      <c r="J384" s="62"/>
    </row>
    <row r="385">
      <c r="D385" s="62"/>
      <c r="E385" s="62"/>
      <c r="F385" s="62"/>
      <c r="J385" s="62"/>
    </row>
    <row r="386">
      <c r="D386" s="62"/>
      <c r="E386" s="62"/>
      <c r="F386" s="62"/>
      <c r="J386" s="62"/>
    </row>
    <row r="387">
      <c r="D387" s="62"/>
      <c r="E387" s="62"/>
      <c r="F387" s="62"/>
      <c r="J387" s="62"/>
    </row>
    <row r="388">
      <c r="D388" s="62"/>
      <c r="E388" s="62"/>
      <c r="F388" s="62"/>
      <c r="J388" s="62"/>
    </row>
    <row r="389">
      <c r="D389" s="62"/>
      <c r="E389" s="62"/>
      <c r="F389" s="62"/>
      <c r="J389" s="62"/>
    </row>
    <row r="390">
      <c r="D390" s="62"/>
      <c r="E390" s="62"/>
      <c r="F390" s="62"/>
      <c r="J390" s="62"/>
    </row>
    <row r="391">
      <c r="D391" s="62"/>
      <c r="E391" s="62"/>
      <c r="F391" s="62"/>
      <c r="J391" s="62"/>
    </row>
    <row r="392">
      <c r="D392" s="62"/>
      <c r="E392" s="62"/>
      <c r="F392" s="62"/>
      <c r="J392" s="62"/>
    </row>
    <row r="393">
      <c r="D393" s="62"/>
      <c r="E393" s="62"/>
      <c r="F393" s="62"/>
      <c r="J393" s="62"/>
    </row>
    <row r="394">
      <c r="D394" s="62"/>
      <c r="E394" s="62"/>
      <c r="F394" s="62"/>
      <c r="J394" s="62"/>
    </row>
    <row r="395">
      <c r="D395" s="62"/>
      <c r="E395" s="62"/>
      <c r="F395" s="62"/>
      <c r="J395" s="62"/>
    </row>
    <row r="396">
      <c r="D396" s="62"/>
      <c r="E396" s="62"/>
      <c r="F396" s="62"/>
      <c r="J396" s="62"/>
    </row>
    <row r="397">
      <c r="D397" s="62"/>
      <c r="E397" s="62"/>
      <c r="F397" s="62"/>
      <c r="J397" s="62"/>
    </row>
    <row r="398">
      <c r="D398" s="62"/>
      <c r="E398" s="62"/>
      <c r="F398" s="62"/>
      <c r="J398" s="62"/>
    </row>
    <row r="399">
      <c r="D399" s="62"/>
      <c r="E399" s="62"/>
      <c r="F399" s="62"/>
      <c r="J399" s="62"/>
    </row>
    <row r="400">
      <c r="D400" s="62"/>
      <c r="E400" s="62"/>
      <c r="F400" s="62"/>
      <c r="J400" s="62"/>
    </row>
    <row r="401">
      <c r="D401" s="62"/>
      <c r="E401" s="62"/>
      <c r="F401" s="62"/>
      <c r="J401" s="62"/>
    </row>
    <row r="402">
      <c r="D402" s="62"/>
      <c r="E402" s="62"/>
      <c r="F402" s="62"/>
      <c r="J402" s="62"/>
    </row>
    <row r="403">
      <c r="D403" s="62"/>
      <c r="E403" s="62"/>
      <c r="F403" s="62"/>
      <c r="J403" s="62"/>
    </row>
    <row r="404">
      <c r="D404" s="62"/>
      <c r="E404" s="62"/>
      <c r="F404" s="62"/>
      <c r="J404" s="62"/>
    </row>
    <row r="405">
      <c r="D405" s="62"/>
      <c r="E405" s="62"/>
      <c r="F405" s="62"/>
      <c r="J405" s="62"/>
    </row>
    <row r="406">
      <c r="D406" s="62"/>
      <c r="E406" s="62"/>
      <c r="F406" s="62"/>
      <c r="J406" s="62"/>
    </row>
    <row r="407">
      <c r="D407" s="62"/>
      <c r="E407" s="62"/>
      <c r="F407" s="62"/>
      <c r="J407" s="62"/>
    </row>
    <row r="408">
      <c r="D408" s="62"/>
      <c r="E408" s="62"/>
      <c r="F408" s="62"/>
      <c r="J408" s="62"/>
    </row>
    <row r="409">
      <c r="D409" s="62"/>
      <c r="E409" s="62"/>
      <c r="F409" s="62"/>
      <c r="J409" s="62"/>
    </row>
    <row r="410">
      <c r="D410" s="62"/>
      <c r="E410" s="62"/>
      <c r="F410" s="62"/>
      <c r="J410" s="62"/>
    </row>
    <row r="411">
      <c r="D411" s="62"/>
      <c r="E411" s="62"/>
      <c r="F411" s="62"/>
      <c r="J411" s="62"/>
    </row>
    <row r="412">
      <c r="D412" s="62"/>
      <c r="E412" s="62"/>
      <c r="F412" s="62"/>
      <c r="J412" s="62"/>
    </row>
    <row r="413">
      <c r="D413" s="62"/>
      <c r="E413" s="62"/>
      <c r="F413" s="62"/>
      <c r="J413" s="62"/>
    </row>
    <row r="414">
      <c r="D414" s="62"/>
      <c r="E414" s="62"/>
      <c r="F414" s="62"/>
      <c r="J414" s="62"/>
    </row>
    <row r="415">
      <c r="D415" s="62"/>
      <c r="E415" s="62"/>
      <c r="F415" s="62"/>
      <c r="J415" s="62"/>
    </row>
    <row r="416">
      <c r="D416" s="62"/>
      <c r="E416" s="62"/>
      <c r="F416" s="62"/>
      <c r="J416" s="62"/>
    </row>
    <row r="417">
      <c r="D417" s="62"/>
      <c r="E417" s="62"/>
      <c r="F417" s="62"/>
      <c r="J417" s="62"/>
    </row>
    <row r="418">
      <c r="D418" s="62"/>
      <c r="E418" s="62"/>
      <c r="F418" s="62"/>
      <c r="J418" s="62"/>
    </row>
    <row r="419">
      <c r="D419" s="62"/>
      <c r="E419" s="62"/>
      <c r="F419" s="62"/>
      <c r="J419" s="62"/>
    </row>
    <row r="420">
      <c r="D420" s="62"/>
      <c r="E420" s="62"/>
      <c r="F420" s="62"/>
      <c r="J420" s="62"/>
    </row>
    <row r="421">
      <c r="D421" s="62"/>
      <c r="E421" s="62"/>
      <c r="F421" s="62"/>
      <c r="J421" s="62"/>
    </row>
    <row r="422">
      <c r="D422" s="62"/>
      <c r="E422" s="62"/>
      <c r="F422" s="62"/>
      <c r="J422" s="62"/>
    </row>
    <row r="423">
      <c r="D423" s="62"/>
      <c r="E423" s="62"/>
      <c r="F423" s="62"/>
      <c r="J423" s="62"/>
    </row>
    <row r="424">
      <c r="D424" s="62"/>
      <c r="E424" s="62"/>
      <c r="F424" s="62"/>
      <c r="J424" s="62"/>
    </row>
    <row r="425">
      <c r="D425" s="62"/>
      <c r="E425" s="62"/>
      <c r="F425" s="62"/>
      <c r="J425" s="62"/>
    </row>
    <row r="426">
      <c r="D426" s="62"/>
      <c r="E426" s="62"/>
      <c r="F426" s="62"/>
      <c r="J426" s="62"/>
    </row>
    <row r="427">
      <c r="D427" s="62"/>
      <c r="E427" s="62"/>
      <c r="F427" s="62"/>
      <c r="J427" s="62"/>
    </row>
    <row r="428">
      <c r="D428" s="62"/>
      <c r="E428" s="62"/>
      <c r="F428" s="62"/>
      <c r="J428" s="62"/>
    </row>
    <row r="429">
      <c r="D429" s="62"/>
      <c r="E429" s="62"/>
      <c r="F429" s="62"/>
      <c r="J429" s="62"/>
    </row>
    <row r="430">
      <c r="D430" s="62"/>
      <c r="E430" s="62"/>
      <c r="F430" s="62"/>
      <c r="J430" s="62"/>
    </row>
    <row r="431">
      <c r="D431" s="62"/>
      <c r="E431" s="62"/>
      <c r="F431" s="62"/>
      <c r="J431" s="62"/>
    </row>
    <row r="432">
      <c r="D432" s="62"/>
      <c r="E432" s="62"/>
      <c r="F432" s="62"/>
      <c r="J432" s="62"/>
    </row>
    <row r="433">
      <c r="D433" s="62"/>
      <c r="E433" s="62"/>
      <c r="F433" s="62"/>
      <c r="J433" s="62"/>
    </row>
    <row r="434">
      <c r="D434" s="62"/>
      <c r="E434" s="62"/>
      <c r="F434" s="62"/>
      <c r="J434" s="62"/>
    </row>
    <row r="435">
      <c r="D435" s="62"/>
      <c r="E435" s="62"/>
      <c r="F435" s="62"/>
      <c r="J435" s="62"/>
    </row>
    <row r="436">
      <c r="D436" s="62"/>
      <c r="E436" s="62"/>
      <c r="F436" s="62"/>
      <c r="J436" s="62"/>
    </row>
    <row r="437">
      <c r="D437" s="62"/>
      <c r="E437" s="62"/>
      <c r="F437" s="62"/>
      <c r="J437" s="62"/>
    </row>
    <row r="438">
      <c r="D438" s="62"/>
      <c r="E438" s="62"/>
      <c r="F438" s="62"/>
      <c r="J438" s="62"/>
    </row>
    <row r="439">
      <c r="D439" s="62"/>
      <c r="E439" s="62"/>
      <c r="F439" s="62"/>
      <c r="J439" s="62"/>
    </row>
    <row r="440">
      <c r="D440" s="62"/>
      <c r="E440" s="62"/>
      <c r="F440" s="62"/>
      <c r="J440" s="62"/>
    </row>
    <row r="441">
      <c r="D441" s="62"/>
      <c r="E441" s="62"/>
      <c r="F441" s="62"/>
      <c r="J441" s="62"/>
    </row>
    <row r="442">
      <c r="D442" s="62"/>
      <c r="E442" s="62"/>
      <c r="F442" s="62"/>
      <c r="J442" s="62"/>
    </row>
    <row r="443">
      <c r="D443" s="62"/>
      <c r="E443" s="62"/>
      <c r="F443" s="62"/>
      <c r="J443" s="62"/>
    </row>
    <row r="444">
      <c r="D444" s="62"/>
      <c r="E444" s="62"/>
      <c r="F444" s="62"/>
      <c r="J444" s="62"/>
    </row>
    <row r="445">
      <c r="D445" s="62"/>
      <c r="E445" s="62"/>
      <c r="F445" s="62"/>
      <c r="J445" s="62"/>
    </row>
    <row r="446">
      <c r="D446" s="62"/>
      <c r="E446" s="62"/>
      <c r="F446" s="62"/>
      <c r="J446" s="62"/>
    </row>
    <row r="447">
      <c r="D447" s="62"/>
      <c r="E447" s="62"/>
      <c r="F447" s="62"/>
      <c r="J447" s="62"/>
    </row>
    <row r="448">
      <c r="D448" s="62"/>
      <c r="E448" s="62"/>
      <c r="F448" s="62"/>
      <c r="J448" s="62"/>
    </row>
    <row r="449">
      <c r="D449" s="62"/>
      <c r="E449" s="62"/>
      <c r="F449" s="62"/>
      <c r="J449" s="62"/>
    </row>
    <row r="450">
      <c r="D450" s="62"/>
      <c r="E450" s="62"/>
      <c r="F450" s="62"/>
      <c r="J450" s="62"/>
    </row>
    <row r="451">
      <c r="D451" s="62"/>
      <c r="E451" s="62"/>
      <c r="F451" s="62"/>
      <c r="J451" s="62"/>
    </row>
    <row r="452">
      <c r="D452" s="62"/>
      <c r="E452" s="62"/>
      <c r="F452" s="62"/>
      <c r="J452" s="62"/>
    </row>
    <row r="453">
      <c r="D453" s="62"/>
      <c r="E453" s="62"/>
      <c r="F453" s="62"/>
      <c r="J453" s="62"/>
    </row>
    <row r="454">
      <c r="D454" s="62"/>
      <c r="E454" s="62"/>
      <c r="F454" s="62"/>
      <c r="J454" s="62"/>
    </row>
    <row r="455">
      <c r="D455" s="62"/>
      <c r="E455" s="62"/>
      <c r="F455" s="62"/>
      <c r="J455" s="62"/>
    </row>
    <row r="456">
      <c r="D456" s="62"/>
      <c r="E456" s="62"/>
      <c r="F456" s="62"/>
      <c r="J456" s="62"/>
    </row>
    <row r="457">
      <c r="D457" s="62"/>
      <c r="E457" s="62"/>
      <c r="F457" s="62"/>
      <c r="J457" s="62"/>
    </row>
    <row r="458">
      <c r="D458" s="62"/>
      <c r="E458" s="62"/>
      <c r="F458" s="62"/>
      <c r="J458" s="62"/>
    </row>
    <row r="459">
      <c r="D459" s="62"/>
      <c r="E459" s="62"/>
      <c r="F459" s="62"/>
      <c r="J459" s="62"/>
    </row>
    <row r="460">
      <c r="D460" s="62"/>
      <c r="E460" s="62"/>
      <c r="F460" s="62"/>
      <c r="J460" s="62"/>
    </row>
    <row r="461">
      <c r="D461" s="62"/>
      <c r="E461" s="62"/>
      <c r="F461" s="62"/>
      <c r="J461" s="62"/>
    </row>
    <row r="462">
      <c r="D462" s="62"/>
      <c r="E462" s="62"/>
      <c r="F462" s="62"/>
      <c r="J462" s="62"/>
    </row>
    <row r="463">
      <c r="D463" s="62"/>
      <c r="E463" s="62"/>
      <c r="F463" s="62"/>
      <c r="J463" s="62"/>
    </row>
    <row r="464">
      <c r="D464" s="62"/>
      <c r="E464" s="62"/>
      <c r="F464" s="62"/>
      <c r="J464" s="62"/>
    </row>
    <row r="465">
      <c r="D465" s="62"/>
      <c r="E465" s="62"/>
      <c r="F465" s="62"/>
      <c r="J465" s="62"/>
    </row>
    <row r="466">
      <c r="D466" s="62"/>
      <c r="E466" s="62"/>
      <c r="F466" s="62"/>
      <c r="J466" s="62"/>
    </row>
    <row r="467">
      <c r="D467" s="62"/>
      <c r="E467" s="62"/>
      <c r="F467" s="62"/>
      <c r="J467" s="62"/>
    </row>
    <row r="468">
      <c r="D468" s="62"/>
      <c r="E468" s="62"/>
      <c r="F468" s="62"/>
      <c r="J468" s="62"/>
    </row>
    <row r="469">
      <c r="D469" s="62"/>
      <c r="E469" s="62"/>
      <c r="F469" s="62"/>
      <c r="J469" s="62"/>
    </row>
    <row r="470">
      <c r="D470" s="62"/>
      <c r="E470" s="62"/>
      <c r="F470" s="62"/>
      <c r="J470" s="62"/>
    </row>
    <row r="471">
      <c r="D471" s="62"/>
      <c r="E471" s="62"/>
      <c r="F471" s="62"/>
      <c r="J471" s="62"/>
    </row>
    <row r="472">
      <c r="D472" s="62"/>
      <c r="E472" s="62"/>
      <c r="F472" s="62"/>
      <c r="J472" s="62"/>
    </row>
    <row r="473">
      <c r="D473" s="62"/>
      <c r="E473" s="62"/>
      <c r="F473" s="62"/>
      <c r="J473" s="62"/>
    </row>
    <row r="474">
      <c r="D474" s="62"/>
      <c r="E474" s="62"/>
      <c r="F474" s="62"/>
      <c r="J474" s="62"/>
    </row>
    <row r="475">
      <c r="D475" s="62"/>
      <c r="E475" s="62"/>
      <c r="F475" s="62"/>
      <c r="J475" s="62"/>
    </row>
    <row r="476">
      <c r="D476" s="62"/>
      <c r="E476" s="62"/>
      <c r="F476" s="62"/>
      <c r="J476" s="62"/>
    </row>
    <row r="477">
      <c r="D477" s="62"/>
      <c r="E477" s="62"/>
      <c r="F477" s="62"/>
      <c r="J477" s="62"/>
    </row>
    <row r="478">
      <c r="D478" s="62"/>
      <c r="E478" s="62"/>
      <c r="F478" s="62"/>
      <c r="J478" s="62"/>
    </row>
    <row r="479">
      <c r="D479" s="62"/>
      <c r="E479" s="62"/>
      <c r="F479" s="62"/>
      <c r="J479" s="62"/>
    </row>
    <row r="480">
      <c r="D480" s="62"/>
      <c r="E480" s="62"/>
      <c r="F480" s="62"/>
      <c r="J480" s="62"/>
    </row>
    <row r="481">
      <c r="D481" s="62"/>
      <c r="E481" s="62"/>
      <c r="F481" s="62"/>
      <c r="J481" s="62"/>
    </row>
    <row r="482">
      <c r="D482" s="62"/>
      <c r="E482" s="62"/>
      <c r="F482" s="62"/>
      <c r="J482" s="62"/>
    </row>
    <row r="483">
      <c r="D483" s="62"/>
      <c r="E483" s="62"/>
      <c r="F483" s="62"/>
      <c r="J483" s="62"/>
    </row>
    <row r="484">
      <c r="D484" s="62"/>
      <c r="E484" s="62"/>
      <c r="F484" s="62"/>
      <c r="J484" s="62"/>
    </row>
    <row r="485">
      <c r="D485" s="62"/>
      <c r="E485" s="62"/>
      <c r="F485" s="62"/>
      <c r="J485" s="62"/>
    </row>
    <row r="486">
      <c r="D486" s="62"/>
      <c r="E486" s="62"/>
      <c r="F486" s="62"/>
      <c r="J486" s="62"/>
    </row>
    <row r="487">
      <c r="D487" s="62"/>
      <c r="E487" s="62"/>
      <c r="F487" s="62"/>
      <c r="J487" s="62"/>
    </row>
    <row r="488">
      <c r="D488" s="62"/>
      <c r="E488" s="62"/>
      <c r="F488" s="62"/>
      <c r="J488" s="62"/>
    </row>
    <row r="489">
      <c r="D489" s="62"/>
      <c r="E489" s="62"/>
      <c r="F489" s="62"/>
      <c r="J489" s="62"/>
    </row>
    <row r="490">
      <c r="D490" s="62"/>
      <c r="E490" s="62"/>
      <c r="F490" s="62"/>
      <c r="J490" s="62"/>
    </row>
    <row r="491">
      <c r="D491" s="62"/>
      <c r="E491" s="62"/>
      <c r="F491" s="62"/>
      <c r="J491" s="62"/>
    </row>
    <row r="492">
      <c r="D492" s="62"/>
      <c r="E492" s="62"/>
      <c r="F492" s="62"/>
      <c r="J492" s="62"/>
    </row>
    <row r="493">
      <c r="D493" s="62"/>
      <c r="E493" s="62"/>
      <c r="F493" s="62"/>
      <c r="J493" s="62"/>
    </row>
    <row r="494">
      <c r="D494" s="62"/>
      <c r="E494" s="62"/>
      <c r="F494" s="62"/>
      <c r="J494" s="62"/>
    </row>
    <row r="495">
      <c r="D495" s="62"/>
      <c r="E495" s="62"/>
      <c r="F495" s="62"/>
      <c r="J495" s="62"/>
    </row>
    <row r="496">
      <c r="D496" s="62"/>
      <c r="E496" s="62"/>
      <c r="F496" s="62"/>
      <c r="J496" s="62"/>
    </row>
    <row r="497">
      <c r="D497" s="62"/>
      <c r="E497" s="62"/>
      <c r="F497" s="62"/>
      <c r="J497" s="62"/>
    </row>
    <row r="498">
      <c r="D498" s="62"/>
      <c r="E498" s="62"/>
      <c r="F498" s="62"/>
      <c r="J498" s="62"/>
    </row>
    <row r="499">
      <c r="D499" s="62"/>
      <c r="E499" s="62"/>
      <c r="F499" s="62"/>
      <c r="J499" s="62"/>
    </row>
    <row r="500">
      <c r="D500" s="62"/>
      <c r="E500" s="62"/>
      <c r="F500" s="62"/>
      <c r="J500" s="62"/>
    </row>
    <row r="501">
      <c r="D501" s="62"/>
      <c r="E501" s="62"/>
      <c r="F501" s="62"/>
      <c r="J501" s="62"/>
    </row>
    <row r="502">
      <c r="D502" s="62"/>
      <c r="E502" s="62"/>
      <c r="F502" s="62"/>
      <c r="J502" s="62"/>
    </row>
    <row r="503">
      <c r="D503" s="62"/>
      <c r="E503" s="62"/>
      <c r="F503" s="62"/>
      <c r="J503" s="62"/>
    </row>
    <row r="504">
      <c r="D504" s="62"/>
      <c r="E504" s="62"/>
      <c r="F504" s="62"/>
      <c r="J504" s="62"/>
    </row>
    <row r="505">
      <c r="D505" s="62"/>
      <c r="E505" s="62"/>
      <c r="F505" s="62"/>
      <c r="J505" s="62"/>
    </row>
    <row r="506">
      <c r="D506" s="62"/>
      <c r="E506" s="62"/>
      <c r="F506" s="62"/>
      <c r="J506" s="62"/>
    </row>
    <row r="507">
      <c r="D507" s="62"/>
      <c r="E507" s="62"/>
      <c r="F507" s="62"/>
      <c r="J507" s="62"/>
    </row>
    <row r="508">
      <c r="D508" s="62"/>
      <c r="E508" s="62"/>
      <c r="F508" s="62"/>
      <c r="J508" s="62"/>
    </row>
    <row r="509">
      <c r="D509" s="62"/>
      <c r="E509" s="62"/>
      <c r="F509" s="62"/>
      <c r="J509" s="62"/>
    </row>
    <row r="510">
      <c r="D510" s="62"/>
      <c r="E510" s="62"/>
      <c r="F510" s="62"/>
      <c r="J510" s="62"/>
    </row>
    <row r="511">
      <c r="D511" s="62"/>
      <c r="E511" s="62"/>
      <c r="F511" s="62"/>
      <c r="J511" s="62"/>
    </row>
    <row r="512">
      <c r="D512" s="62"/>
      <c r="E512" s="62"/>
      <c r="F512" s="62"/>
      <c r="J512" s="62"/>
    </row>
    <row r="513">
      <c r="D513" s="62"/>
      <c r="E513" s="62"/>
      <c r="F513" s="62"/>
      <c r="J513" s="62"/>
    </row>
    <row r="514">
      <c r="D514" s="62"/>
      <c r="E514" s="62"/>
      <c r="F514" s="62"/>
      <c r="J514" s="62"/>
    </row>
    <row r="515">
      <c r="D515" s="62"/>
      <c r="E515" s="62"/>
      <c r="F515" s="62"/>
      <c r="J515" s="62"/>
    </row>
    <row r="516">
      <c r="D516" s="62"/>
      <c r="E516" s="62"/>
      <c r="F516" s="62"/>
      <c r="J516" s="62"/>
    </row>
    <row r="517">
      <c r="D517" s="62"/>
      <c r="E517" s="62"/>
      <c r="F517" s="62"/>
      <c r="J517" s="62"/>
    </row>
    <row r="518">
      <c r="D518" s="62"/>
      <c r="E518" s="62"/>
      <c r="F518" s="62"/>
      <c r="J518" s="62"/>
    </row>
    <row r="519">
      <c r="D519" s="62"/>
      <c r="E519" s="62"/>
      <c r="F519" s="62"/>
      <c r="J519" s="62"/>
    </row>
    <row r="520">
      <c r="D520" s="62"/>
      <c r="E520" s="62"/>
      <c r="F520" s="62"/>
      <c r="J520" s="62"/>
    </row>
    <row r="521">
      <c r="D521" s="62"/>
      <c r="E521" s="62"/>
      <c r="F521" s="62"/>
      <c r="J521" s="62"/>
    </row>
    <row r="522">
      <c r="D522" s="62"/>
      <c r="E522" s="62"/>
      <c r="F522" s="62"/>
      <c r="J522" s="62"/>
    </row>
    <row r="523">
      <c r="D523" s="62"/>
      <c r="E523" s="62"/>
      <c r="F523" s="62"/>
      <c r="J523" s="62"/>
    </row>
    <row r="524">
      <c r="D524" s="62"/>
      <c r="E524" s="62"/>
      <c r="F524" s="62"/>
      <c r="J524" s="62"/>
    </row>
    <row r="525">
      <c r="D525" s="62"/>
      <c r="E525" s="62"/>
      <c r="F525" s="62"/>
      <c r="J525" s="62"/>
    </row>
    <row r="526">
      <c r="D526" s="62"/>
      <c r="E526" s="62"/>
      <c r="F526" s="62"/>
      <c r="J526" s="62"/>
    </row>
    <row r="527">
      <c r="D527" s="62"/>
      <c r="E527" s="62"/>
      <c r="F527" s="62"/>
      <c r="J527" s="62"/>
    </row>
    <row r="528">
      <c r="D528" s="62"/>
      <c r="E528" s="62"/>
      <c r="F528" s="62"/>
      <c r="J528" s="62"/>
    </row>
    <row r="529">
      <c r="D529" s="62"/>
      <c r="E529" s="62"/>
      <c r="F529" s="62"/>
      <c r="J529" s="62"/>
    </row>
    <row r="530">
      <c r="D530" s="62"/>
      <c r="E530" s="62"/>
      <c r="F530" s="62"/>
      <c r="J530" s="62"/>
    </row>
    <row r="531">
      <c r="D531" s="62"/>
      <c r="E531" s="62"/>
      <c r="F531" s="62"/>
      <c r="J531" s="62"/>
    </row>
    <row r="532">
      <c r="D532" s="62"/>
      <c r="E532" s="62"/>
      <c r="F532" s="62"/>
      <c r="J532" s="62"/>
    </row>
    <row r="533">
      <c r="D533" s="62"/>
      <c r="E533" s="62"/>
      <c r="F533" s="62"/>
      <c r="J533" s="62"/>
    </row>
    <row r="534">
      <c r="D534" s="62"/>
      <c r="E534" s="62"/>
      <c r="F534" s="62"/>
      <c r="J534" s="62"/>
    </row>
    <row r="535">
      <c r="D535" s="62"/>
      <c r="E535" s="62"/>
      <c r="F535" s="62"/>
      <c r="J535" s="62"/>
    </row>
    <row r="536">
      <c r="D536" s="62"/>
      <c r="E536" s="62"/>
      <c r="F536" s="62"/>
      <c r="J536" s="62"/>
    </row>
    <row r="537">
      <c r="D537" s="62"/>
      <c r="E537" s="62"/>
      <c r="F537" s="62"/>
      <c r="J537" s="62"/>
    </row>
    <row r="538">
      <c r="D538" s="62"/>
      <c r="E538" s="62"/>
      <c r="F538" s="62"/>
      <c r="J538" s="62"/>
    </row>
    <row r="539">
      <c r="D539" s="62"/>
      <c r="E539" s="62"/>
      <c r="F539" s="62"/>
      <c r="J539" s="62"/>
    </row>
    <row r="540">
      <c r="D540" s="62"/>
      <c r="E540" s="62"/>
      <c r="F540" s="62"/>
      <c r="J540" s="62"/>
    </row>
    <row r="541">
      <c r="D541" s="62"/>
      <c r="E541" s="62"/>
      <c r="F541" s="62"/>
      <c r="J541" s="62"/>
    </row>
    <row r="542">
      <c r="D542" s="62"/>
      <c r="E542" s="62"/>
      <c r="F542" s="62"/>
      <c r="J542" s="62"/>
    </row>
    <row r="543">
      <c r="D543" s="62"/>
      <c r="E543" s="62"/>
      <c r="F543" s="62"/>
      <c r="J543" s="62"/>
    </row>
    <row r="544">
      <c r="D544" s="62"/>
      <c r="E544" s="62"/>
      <c r="F544" s="62"/>
      <c r="J544" s="62"/>
    </row>
    <row r="545">
      <c r="D545" s="62"/>
      <c r="E545" s="62"/>
      <c r="F545" s="62"/>
      <c r="J545" s="62"/>
    </row>
    <row r="546">
      <c r="D546" s="62"/>
      <c r="E546" s="62"/>
      <c r="F546" s="62"/>
      <c r="J546" s="62"/>
    </row>
    <row r="547">
      <c r="D547" s="62"/>
      <c r="E547" s="62"/>
      <c r="F547" s="62"/>
      <c r="J547" s="62"/>
    </row>
    <row r="548">
      <c r="D548" s="62"/>
      <c r="E548" s="62"/>
      <c r="F548" s="62"/>
      <c r="J548" s="62"/>
    </row>
    <row r="549">
      <c r="D549" s="62"/>
      <c r="E549" s="62"/>
      <c r="F549" s="62"/>
      <c r="J549" s="62"/>
    </row>
    <row r="550">
      <c r="D550" s="62"/>
      <c r="E550" s="62"/>
      <c r="F550" s="62"/>
      <c r="J550" s="62"/>
    </row>
    <row r="551">
      <c r="D551" s="62"/>
      <c r="E551" s="62"/>
      <c r="F551" s="62"/>
      <c r="J551" s="62"/>
    </row>
    <row r="552">
      <c r="D552" s="62"/>
      <c r="E552" s="62"/>
      <c r="F552" s="62"/>
      <c r="J552" s="62"/>
    </row>
    <row r="553">
      <c r="D553" s="62"/>
      <c r="E553" s="62"/>
      <c r="F553" s="62"/>
      <c r="J553" s="62"/>
    </row>
    <row r="554">
      <c r="D554" s="62"/>
      <c r="E554" s="62"/>
      <c r="F554" s="62"/>
      <c r="J554" s="62"/>
    </row>
    <row r="555">
      <c r="D555" s="62"/>
      <c r="E555" s="62"/>
      <c r="F555" s="62"/>
      <c r="J555" s="62"/>
    </row>
    <row r="556">
      <c r="D556" s="62"/>
      <c r="E556" s="62"/>
      <c r="F556" s="62"/>
      <c r="J556" s="62"/>
    </row>
    <row r="557">
      <c r="D557" s="62"/>
      <c r="E557" s="62"/>
      <c r="F557" s="62"/>
      <c r="J557" s="62"/>
    </row>
    <row r="558">
      <c r="D558" s="62"/>
      <c r="E558" s="62"/>
      <c r="F558" s="62"/>
      <c r="J558" s="62"/>
    </row>
    <row r="559">
      <c r="D559" s="62"/>
      <c r="E559" s="62"/>
      <c r="F559" s="62"/>
      <c r="J559" s="62"/>
    </row>
    <row r="560">
      <c r="D560" s="62"/>
      <c r="E560" s="62"/>
      <c r="F560" s="62"/>
      <c r="J560" s="62"/>
    </row>
    <row r="561">
      <c r="D561" s="62"/>
      <c r="E561" s="62"/>
      <c r="F561" s="62"/>
      <c r="J561" s="62"/>
    </row>
    <row r="562">
      <c r="D562" s="62"/>
      <c r="E562" s="62"/>
      <c r="F562" s="62"/>
      <c r="J562" s="62"/>
    </row>
    <row r="563">
      <c r="D563" s="62"/>
      <c r="E563" s="62"/>
      <c r="F563" s="62"/>
      <c r="J563" s="62"/>
    </row>
    <row r="564">
      <c r="D564" s="62"/>
      <c r="E564" s="62"/>
      <c r="F564" s="62"/>
      <c r="J564" s="62"/>
    </row>
    <row r="565">
      <c r="D565" s="62"/>
      <c r="E565" s="62"/>
      <c r="F565" s="62"/>
      <c r="J565" s="62"/>
    </row>
    <row r="566">
      <c r="D566" s="62"/>
      <c r="E566" s="62"/>
      <c r="F566" s="62"/>
      <c r="J566" s="62"/>
    </row>
    <row r="567">
      <c r="D567" s="62"/>
      <c r="E567" s="62"/>
      <c r="F567" s="62"/>
      <c r="J567" s="62"/>
    </row>
    <row r="568">
      <c r="D568" s="62"/>
      <c r="E568" s="62"/>
      <c r="F568" s="62"/>
      <c r="J568" s="62"/>
    </row>
    <row r="569">
      <c r="D569" s="62"/>
      <c r="E569" s="62"/>
      <c r="F569" s="62"/>
      <c r="J569" s="62"/>
    </row>
    <row r="570">
      <c r="D570" s="62"/>
      <c r="E570" s="62"/>
      <c r="F570" s="62"/>
      <c r="J570" s="62"/>
    </row>
    <row r="571">
      <c r="D571" s="62"/>
      <c r="E571" s="62"/>
      <c r="F571" s="62"/>
      <c r="J571" s="62"/>
    </row>
    <row r="572">
      <c r="D572" s="62"/>
      <c r="E572" s="62"/>
      <c r="F572" s="62"/>
      <c r="J572" s="62"/>
    </row>
    <row r="573">
      <c r="D573" s="62"/>
      <c r="E573" s="62"/>
      <c r="F573" s="62"/>
      <c r="J573" s="62"/>
    </row>
    <row r="574">
      <c r="D574" s="62"/>
      <c r="E574" s="62"/>
      <c r="F574" s="62"/>
      <c r="J574" s="62"/>
    </row>
    <row r="575">
      <c r="D575" s="62"/>
      <c r="E575" s="62"/>
      <c r="F575" s="62"/>
      <c r="J575" s="62"/>
    </row>
    <row r="576">
      <c r="D576" s="62"/>
      <c r="E576" s="62"/>
      <c r="F576" s="62"/>
      <c r="J576" s="62"/>
    </row>
    <row r="577">
      <c r="D577" s="62"/>
      <c r="E577" s="62"/>
      <c r="F577" s="62"/>
      <c r="J577" s="62"/>
    </row>
    <row r="578">
      <c r="D578" s="62"/>
      <c r="E578" s="62"/>
      <c r="F578" s="62"/>
      <c r="J578" s="62"/>
    </row>
    <row r="579">
      <c r="D579" s="62"/>
      <c r="E579" s="62"/>
      <c r="F579" s="62"/>
      <c r="J579" s="62"/>
    </row>
    <row r="580">
      <c r="D580" s="62"/>
      <c r="E580" s="62"/>
      <c r="F580" s="62"/>
      <c r="J580" s="62"/>
    </row>
    <row r="581">
      <c r="D581" s="62"/>
      <c r="E581" s="62"/>
      <c r="F581" s="62"/>
      <c r="J581" s="62"/>
    </row>
    <row r="582">
      <c r="D582" s="62"/>
      <c r="E582" s="62"/>
      <c r="F582" s="62"/>
      <c r="J582" s="62"/>
    </row>
    <row r="583">
      <c r="D583" s="62"/>
      <c r="E583" s="62"/>
      <c r="F583" s="62"/>
      <c r="J583" s="62"/>
    </row>
    <row r="584">
      <c r="D584" s="62"/>
      <c r="E584" s="62"/>
      <c r="F584" s="62"/>
      <c r="J584" s="62"/>
    </row>
    <row r="585">
      <c r="D585" s="62"/>
      <c r="E585" s="62"/>
      <c r="F585" s="62"/>
      <c r="J585" s="62"/>
    </row>
    <row r="586">
      <c r="D586" s="62"/>
      <c r="E586" s="62"/>
      <c r="F586" s="62"/>
      <c r="J586" s="62"/>
    </row>
    <row r="587">
      <c r="D587" s="62"/>
      <c r="E587" s="62"/>
      <c r="F587" s="62"/>
      <c r="J587" s="62"/>
    </row>
    <row r="588">
      <c r="D588" s="62"/>
      <c r="E588" s="62"/>
      <c r="F588" s="62"/>
      <c r="J588" s="62"/>
    </row>
    <row r="589">
      <c r="D589" s="62"/>
      <c r="E589" s="62"/>
      <c r="F589" s="62"/>
      <c r="J589" s="62"/>
    </row>
    <row r="590">
      <c r="D590" s="62"/>
      <c r="E590" s="62"/>
      <c r="F590" s="62"/>
      <c r="J590" s="62"/>
    </row>
    <row r="591">
      <c r="D591" s="62"/>
      <c r="E591" s="62"/>
      <c r="F591" s="62"/>
      <c r="J591" s="62"/>
    </row>
    <row r="592">
      <c r="D592" s="62"/>
      <c r="E592" s="62"/>
      <c r="F592" s="62"/>
      <c r="J592" s="62"/>
    </row>
    <row r="593">
      <c r="D593" s="62"/>
      <c r="E593" s="62"/>
      <c r="F593" s="62"/>
      <c r="J593" s="62"/>
    </row>
    <row r="594">
      <c r="D594" s="62"/>
      <c r="E594" s="62"/>
      <c r="F594" s="62"/>
      <c r="J594" s="62"/>
    </row>
    <row r="595">
      <c r="D595" s="62"/>
      <c r="E595" s="62"/>
      <c r="F595" s="62"/>
      <c r="J595" s="62"/>
    </row>
    <row r="596">
      <c r="D596" s="62"/>
      <c r="E596" s="62"/>
      <c r="F596" s="62"/>
      <c r="J596" s="62"/>
    </row>
    <row r="597">
      <c r="D597" s="62"/>
      <c r="E597" s="62"/>
      <c r="F597" s="62"/>
      <c r="J597" s="62"/>
    </row>
    <row r="598">
      <c r="D598" s="62"/>
      <c r="E598" s="62"/>
      <c r="F598" s="62"/>
      <c r="J598" s="62"/>
    </row>
    <row r="599">
      <c r="D599" s="62"/>
      <c r="E599" s="62"/>
      <c r="F599" s="62"/>
      <c r="J599" s="62"/>
    </row>
    <row r="600">
      <c r="D600" s="62"/>
      <c r="E600" s="62"/>
      <c r="F600" s="62"/>
      <c r="J600" s="62"/>
    </row>
    <row r="601">
      <c r="D601" s="62"/>
      <c r="E601" s="62"/>
      <c r="F601" s="62"/>
      <c r="J601" s="62"/>
    </row>
    <row r="602">
      <c r="D602" s="62"/>
      <c r="E602" s="62"/>
      <c r="F602" s="62"/>
      <c r="J602" s="62"/>
    </row>
    <row r="603">
      <c r="D603" s="62"/>
      <c r="E603" s="62"/>
      <c r="F603" s="62"/>
      <c r="J603" s="62"/>
    </row>
    <row r="604">
      <c r="D604" s="62"/>
      <c r="E604" s="62"/>
      <c r="F604" s="62"/>
      <c r="J604" s="62"/>
    </row>
    <row r="605">
      <c r="D605" s="62"/>
      <c r="E605" s="62"/>
      <c r="F605" s="62"/>
      <c r="J605" s="62"/>
    </row>
    <row r="606">
      <c r="D606" s="62"/>
      <c r="E606" s="62"/>
      <c r="F606" s="62"/>
      <c r="J606" s="62"/>
    </row>
    <row r="607">
      <c r="D607" s="62"/>
      <c r="E607" s="62"/>
      <c r="F607" s="62"/>
      <c r="J607" s="62"/>
    </row>
    <row r="608">
      <c r="D608" s="62"/>
      <c r="E608" s="62"/>
      <c r="F608" s="62"/>
      <c r="J608" s="62"/>
    </row>
    <row r="609">
      <c r="D609" s="62"/>
      <c r="E609" s="62"/>
      <c r="F609" s="62"/>
      <c r="J609" s="62"/>
    </row>
    <row r="610">
      <c r="D610" s="62"/>
      <c r="E610" s="62"/>
      <c r="F610" s="62"/>
      <c r="J610" s="62"/>
    </row>
    <row r="611">
      <c r="D611" s="62"/>
      <c r="E611" s="62"/>
      <c r="F611" s="62"/>
      <c r="J611" s="62"/>
    </row>
    <row r="612">
      <c r="D612" s="62"/>
      <c r="E612" s="62"/>
      <c r="F612" s="62"/>
      <c r="J612" s="62"/>
    </row>
    <row r="613">
      <c r="D613" s="62"/>
      <c r="E613" s="62"/>
      <c r="F613" s="62"/>
      <c r="J613" s="62"/>
    </row>
    <row r="614">
      <c r="D614" s="62"/>
      <c r="E614" s="62"/>
      <c r="F614" s="62"/>
      <c r="J614" s="62"/>
    </row>
    <row r="615">
      <c r="D615" s="62"/>
      <c r="E615" s="62"/>
      <c r="F615" s="62"/>
      <c r="J615" s="62"/>
    </row>
    <row r="616">
      <c r="D616" s="62"/>
      <c r="E616" s="62"/>
      <c r="F616" s="62"/>
      <c r="J616" s="62"/>
    </row>
    <row r="617">
      <c r="D617" s="62"/>
      <c r="E617" s="62"/>
      <c r="F617" s="62"/>
      <c r="J617" s="62"/>
    </row>
    <row r="618">
      <c r="D618" s="62"/>
      <c r="E618" s="62"/>
      <c r="F618" s="62"/>
      <c r="J618" s="62"/>
    </row>
    <row r="619">
      <c r="D619" s="62"/>
      <c r="E619" s="62"/>
      <c r="F619" s="62"/>
      <c r="J619" s="62"/>
    </row>
    <row r="620">
      <c r="D620" s="62"/>
      <c r="E620" s="62"/>
      <c r="F620" s="62"/>
      <c r="J620" s="62"/>
    </row>
    <row r="621">
      <c r="D621" s="62"/>
      <c r="E621" s="62"/>
      <c r="F621" s="62"/>
      <c r="J621" s="62"/>
    </row>
    <row r="622">
      <c r="D622" s="62"/>
      <c r="E622" s="62"/>
      <c r="F622" s="62"/>
      <c r="J622" s="62"/>
    </row>
    <row r="623">
      <c r="D623" s="62"/>
      <c r="E623" s="62"/>
      <c r="F623" s="62"/>
      <c r="J623" s="62"/>
    </row>
    <row r="624">
      <c r="D624" s="62"/>
      <c r="E624" s="62"/>
      <c r="F624" s="62"/>
      <c r="J624" s="62"/>
    </row>
    <row r="625">
      <c r="D625" s="62"/>
      <c r="E625" s="62"/>
      <c r="F625" s="62"/>
      <c r="J625" s="62"/>
    </row>
    <row r="626">
      <c r="D626" s="62"/>
      <c r="E626" s="62"/>
      <c r="F626" s="62"/>
      <c r="J626" s="62"/>
    </row>
    <row r="627">
      <c r="D627" s="62"/>
      <c r="E627" s="62"/>
      <c r="F627" s="62"/>
      <c r="J627" s="62"/>
    </row>
    <row r="628">
      <c r="D628" s="62"/>
      <c r="E628" s="62"/>
      <c r="F628" s="62"/>
      <c r="J628" s="62"/>
    </row>
    <row r="629">
      <c r="D629" s="62"/>
      <c r="E629" s="62"/>
      <c r="F629" s="62"/>
      <c r="J629" s="62"/>
    </row>
    <row r="630">
      <c r="D630" s="62"/>
      <c r="E630" s="62"/>
      <c r="F630" s="62"/>
      <c r="J630" s="62"/>
    </row>
    <row r="631">
      <c r="D631" s="62"/>
      <c r="E631" s="62"/>
      <c r="F631" s="62"/>
      <c r="J631" s="62"/>
    </row>
    <row r="632">
      <c r="D632" s="62"/>
      <c r="E632" s="62"/>
      <c r="F632" s="62"/>
      <c r="J632" s="62"/>
    </row>
    <row r="633">
      <c r="D633" s="62"/>
      <c r="E633" s="62"/>
      <c r="F633" s="62"/>
      <c r="J633" s="62"/>
    </row>
    <row r="634">
      <c r="D634" s="62"/>
      <c r="E634" s="62"/>
      <c r="F634" s="62"/>
      <c r="J634" s="62"/>
    </row>
    <row r="635">
      <c r="D635" s="62"/>
      <c r="E635" s="62"/>
      <c r="F635" s="62"/>
      <c r="J635" s="62"/>
    </row>
    <row r="636">
      <c r="D636" s="62"/>
      <c r="E636" s="62"/>
      <c r="F636" s="62"/>
      <c r="J636" s="62"/>
    </row>
    <row r="637">
      <c r="D637" s="62"/>
      <c r="E637" s="62"/>
      <c r="F637" s="62"/>
      <c r="J637" s="62"/>
    </row>
    <row r="638">
      <c r="D638" s="62"/>
      <c r="E638" s="62"/>
      <c r="F638" s="62"/>
      <c r="J638" s="62"/>
    </row>
    <row r="639">
      <c r="D639" s="62"/>
      <c r="E639" s="62"/>
      <c r="F639" s="62"/>
      <c r="J639" s="62"/>
    </row>
    <row r="640">
      <c r="D640" s="62"/>
      <c r="E640" s="62"/>
      <c r="F640" s="62"/>
      <c r="J640" s="62"/>
    </row>
    <row r="641">
      <c r="D641" s="62"/>
      <c r="E641" s="62"/>
      <c r="F641" s="62"/>
      <c r="J641" s="62"/>
    </row>
    <row r="642">
      <c r="D642" s="62"/>
      <c r="E642" s="62"/>
      <c r="F642" s="62"/>
      <c r="J642" s="62"/>
    </row>
    <row r="643">
      <c r="D643" s="62"/>
      <c r="E643" s="62"/>
      <c r="F643" s="62"/>
      <c r="J643" s="62"/>
    </row>
    <row r="644">
      <c r="D644" s="62"/>
      <c r="E644" s="62"/>
      <c r="F644" s="62"/>
      <c r="J644" s="62"/>
    </row>
    <row r="645">
      <c r="D645" s="62"/>
      <c r="E645" s="62"/>
      <c r="F645" s="62"/>
      <c r="J645" s="62"/>
    </row>
    <row r="646">
      <c r="D646" s="62"/>
      <c r="E646" s="62"/>
      <c r="F646" s="62"/>
      <c r="J646" s="62"/>
    </row>
    <row r="647">
      <c r="D647" s="62"/>
      <c r="E647" s="62"/>
      <c r="F647" s="62"/>
      <c r="J647" s="62"/>
    </row>
    <row r="648">
      <c r="D648" s="62"/>
      <c r="E648" s="62"/>
      <c r="F648" s="62"/>
      <c r="J648" s="62"/>
    </row>
    <row r="649">
      <c r="D649" s="62"/>
      <c r="E649" s="62"/>
      <c r="F649" s="62"/>
      <c r="J649" s="62"/>
    </row>
    <row r="650">
      <c r="D650" s="62"/>
      <c r="E650" s="62"/>
      <c r="F650" s="62"/>
      <c r="J650" s="62"/>
    </row>
    <row r="651">
      <c r="D651" s="62"/>
      <c r="E651" s="62"/>
      <c r="F651" s="62"/>
      <c r="J651" s="62"/>
    </row>
    <row r="652">
      <c r="D652" s="62"/>
      <c r="E652" s="62"/>
      <c r="F652" s="62"/>
      <c r="J652" s="62"/>
    </row>
    <row r="653">
      <c r="D653" s="62"/>
      <c r="E653" s="62"/>
      <c r="F653" s="62"/>
      <c r="J653" s="62"/>
    </row>
    <row r="654">
      <c r="D654" s="62"/>
      <c r="E654" s="62"/>
      <c r="F654" s="62"/>
      <c r="J654" s="62"/>
    </row>
    <row r="655">
      <c r="D655" s="62"/>
      <c r="E655" s="62"/>
      <c r="F655" s="62"/>
      <c r="J655" s="62"/>
    </row>
    <row r="656">
      <c r="D656" s="62"/>
      <c r="E656" s="62"/>
      <c r="F656" s="62"/>
      <c r="J656" s="62"/>
    </row>
    <row r="657">
      <c r="D657" s="62"/>
      <c r="E657" s="62"/>
      <c r="F657" s="62"/>
      <c r="J657" s="62"/>
    </row>
    <row r="658">
      <c r="D658" s="62"/>
      <c r="E658" s="62"/>
      <c r="F658" s="62"/>
      <c r="J658" s="62"/>
    </row>
    <row r="659">
      <c r="D659" s="62"/>
      <c r="E659" s="62"/>
      <c r="F659" s="62"/>
      <c r="J659" s="62"/>
    </row>
    <row r="660">
      <c r="D660" s="62"/>
      <c r="E660" s="62"/>
      <c r="F660" s="62"/>
      <c r="J660" s="62"/>
    </row>
    <row r="661">
      <c r="D661" s="62"/>
      <c r="E661" s="62"/>
      <c r="F661" s="62"/>
      <c r="J661" s="62"/>
    </row>
    <row r="662">
      <c r="D662" s="62"/>
      <c r="E662" s="62"/>
      <c r="F662" s="62"/>
      <c r="J662" s="62"/>
    </row>
    <row r="663">
      <c r="D663" s="62"/>
      <c r="E663" s="62"/>
      <c r="F663" s="62"/>
      <c r="J663" s="62"/>
    </row>
    <row r="664">
      <c r="D664" s="62"/>
      <c r="E664" s="62"/>
      <c r="F664" s="62"/>
      <c r="J664" s="62"/>
    </row>
    <row r="665">
      <c r="D665" s="62"/>
      <c r="E665" s="62"/>
      <c r="F665" s="62"/>
      <c r="J665" s="62"/>
    </row>
    <row r="666">
      <c r="D666" s="62"/>
      <c r="E666" s="62"/>
      <c r="F666" s="62"/>
      <c r="J666" s="62"/>
    </row>
    <row r="667">
      <c r="D667" s="62"/>
      <c r="E667" s="62"/>
      <c r="F667" s="62"/>
      <c r="J667" s="62"/>
    </row>
    <row r="668">
      <c r="D668" s="62"/>
      <c r="E668" s="62"/>
      <c r="F668" s="62"/>
      <c r="J668" s="62"/>
    </row>
    <row r="669">
      <c r="D669" s="62"/>
      <c r="E669" s="62"/>
      <c r="F669" s="62"/>
      <c r="J669" s="62"/>
    </row>
    <row r="670">
      <c r="D670" s="62"/>
      <c r="E670" s="62"/>
      <c r="F670" s="62"/>
      <c r="J670" s="62"/>
    </row>
    <row r="671">
      <c r="D671" s="62"/>
      <c r="E671" s="62"/>
      <c r="F671" s="62"/>
      <c r="J671" s="62"/>
    </row>
    <row r="672">
      <c r="D672" s="62"/>
      <c r="E672" s="62"/>
      <c r="F672" s="62"/>
      <c r="J672" s="62"/>
    </row>
    <row r="673">
      <c r="D673" s="62"/>
      <c r="E673" s="62"/>
      <c r="F673" s="62"/>
      <c r="J673" s="62"/>
    </row>
    <row r="674">
      <c r="D674" s="62"/>
      <c r="E674" s="62"/>
      <c r="F674" s="62"/>
      <c r="J674" s="62"/>
    </row>
    <row r="675">
      <c r="D675" s="62"/>
      <c r="E675" s="62"/>
      <c r="F675" s="62"/>
      <c r="J675" s="62"/>
    </row>
    <row r="676">
      <c r="D676" s="62"/>
      <c r="E676" s="62"/>
      <c r="F676" s="62"/>
      <c r="J676" s="62"/>
    </row>
    <row r="677">
      <c r="D677" s="62"/>
      <c r="E677" s="62"/>
      <c r="F677" s="62"/>
      <c r="J677" s="62"/>
    </row>
    <row r="678">
      <c r="D678" s="62"/>
      <c r="E678" s="62"/>
      <c r="F678" s="62"/>
      <c r="J678" s="62"/>
    </row>
    <row r="679">
      <c r="D679" s="62"/>
      <c r="E679" s="62"/>
      <c r="F679" s="62"/>
      <c r="J679" s="62"/>
    </row>
    <row r="680">
      <c r="D680" s="62"/>
      <c r="E680" s="62"/>
      <c r="F680" s="62"/>
      <c r="J680" s="62"/>
    </row>
    <row r="681">
      <c r="D681" s="62"/>
      <c r="E681" s="62"/>
      <c r="F681" s="62"/>
      <c r="J681" s="62"/>
    </row>
    <row r="682">
      <c r="D682" s="62"/>
      <c r="E682" s="62"/>
      <c r="F682" s="62"/>
      <c r="J682" s="62"/>
    </row>
    <row r="683">
      <c r="D683" s="62"/>
      <c r="E683" s="62"/>
      <c r="F683" s="62"/>
      <c r="J683" s="62"/>
    </row>
    <row r="684">
      <c r="D684" s="62"/>
      <c r="E684" s="62"/>
      <c r="F684" s="62"/>
      <c r="J684" s="62"/>
    </row>
    <row r="685">
      <c r="D685" s="62"/>
      <c r="E685" s="62"/>
      <c r="F685" s="62"/>
      <c r="J685" s="62"/>
    </row>
    <row r="686">
      <c r="D686" s="62"/>
      <c r="E686" s="62"/>
      <c r="F686" s="62"/>
      <c r="J686" s="62"/>
    </row>
    <row r="687">
      <c r="D687" s="62"/>
      <c r="E687" s="62"/>
      <c r="F687" s="62"/>
      <c r="J687" s="62"/>
    </row>
    <row r="688">
      <c r="D688" s="62"/>
      <c r="E688" s="62"/>
      <c r="F688" s="62"/>
      <c r="J688" s="62"/>
    </row>
    <row r="689">
      <c r="D689" s="62"/>
      <c r="E689" s="62"/>
      <c r="F689" s="62"/>
      <c r="J689" s="62"/>
    </row>
    <row r="690">
      <c r="D690" s="62"/>
      <c r="E690" s="62"/>
      <c r="F690" s="62"/>
      <c r="J690" s="62"/>
    </row>
    <row r="691">
      <c r="D691" s="62"/>
      <c r="E691" s="62"/>
      <c r="F691" s="62"/>
      <c r="J691" s="62"/>
    </row>
    <row r="692">
      <c r="D692" s="62"/>
      <c r="E692" s="62"/>
      <c r="F692" s="62"/>
      <c r="J692" s="62"/>
    </row>
    <row r="693">
      <c r="D693" s="62"/>
      <c r="E693" s="62"/>
      <c r="F693" s="62"/>
      <c r="J693" s="62"/>
    </row>
    <row r="694">
      <c r="D694" s="62"/>
      <c r="E694" s="62"/>
      <c r="F694" s="62"/>
      <c r="J694" s="62"/>
    </row>
    <row r="695">
      <c r="D695" s="62"/>
      <c r="E695" s="62"/>
      <c r="F695" s="62"/>
      <c r="J695" s="62"/>
    </row>
    <row r="696">
      <c r="D696" s="62"/>
      <c r="E696" s="62"/>
      <c r="F696" s="62"/>
      <c r="J696" s="62"/>
    </row>
    <row r="697">
      <c r="D697" s="62"/>
      <c r="E697" s="62"/>
      <c r="F697" s="62"/>
      <c r="J697" s="62"/>
    </row>
    <row r="698">
      <c r="D698" s="62"/>
      <c r="E698" s="62"/>
      <c r="F698" s="62"/>
      <c r="J698" s="62"/>
    </row>
    <row r="699">
      <c r="D699" s="62"/>
      <c r="E699" s="62"/>
      <c r="F699" s="62"/>
      <c r="J699" s="62"/>
    </row>
    <row r="700">
      <c r="D700" s="62"/>
      <c r="E700" s="62"/>
      <c r="F700" s="62"/>
      <c r="J700" s="62"/>
    </row>
    <row r="701">
      <c r="D701" s="62"/>
      <c r="E701" s="62"/>
      <c r="F701" s="62"/>
      <c r="J701" s="62"/>
    </row>
    <row r="702">
      <c r="D702" s="62"/>
      <c r="E702" s="62"/>
      <c r="F702" s="62"/>
      <c r="J702" s="62"/>
    </row>
    <row r="703">
      <c r="D703" s="62"/>
      <c r="E703" s="62"/>
      <c r="F703" s="62"/>
      <c r="J703" s="62"/>
    </row>
    <row r="704">
      <c r="D704" s="62"/>
      <c r="E704" s="62"/>
      <c r="F704" s="62"/>
      <c r="J704" s="62"/>
    </row>
    <row r="705">
      <c r="D705" s="62"/>
      <c r="E705" s="62"/>
      <c r="F705" s="62"/>
      <c r="J705" s="62"/>
    </row>
    <row r="706">
      <c r="D706" s="62"/>
      <c r="E706" s="62"/>
      <c r="F706" s="62"/>
      <c r="J706" s="62"/>
    </row>
    <row r="707">
      <c r="D707" s="62"/>
      <c r="E707" s="62"/>
      <c r="F707" s="62"/>
      <c r="J707" s="62"/>
    </row>
    <row r="708">
      <c r="D708" s="62"/>
      <c r="E708" s="62"/>
      <c r="F708" s="62"/>
      <c r="J708" s="62"/>
    </row>
    <row r="709">
      <c r="D709" s="62"/>
      <c r="E709" s="62"/>
      <c r="F709" s="62"/>
      <c r="J709" s="62"/>
    </row>
    <row r="710">
      <c r="D710" s="62"/>
      <c r="E710" s="62"/>
      <c r="F710" s="62"/>
      <c r="J710" s="62"/>
    </row>
    <row r="711">
      <c r="D711" s="62"/>
      <c r="E711" s="62"/>
      <c r="F711" s="62"/>
      <c r="J711" s="62"/>
    </row>
    <row r="712">
      <c r="D712" s="62"/>
      <c r="E712" s="62"/>
      <c r="F712" s="62"/>
      <c r="J712" s="62"/>
    </row>
    <row r="713">
      <c r="D713" s="62"/>
      <c r="E713" s="62"/>
      <c r="F713" s="62"/>
      <c r="J713" s="62"/>
    </row>
    <row r="714">
      <c r="D714" s="62"/>
      <c r="E714" s="62"/>
      <c r="F714" s="62"/>
      <c r="J714" s="62"/>
    </row>
    <row r="715">
      <c r="D715" s="62"/>
      <c r="E715" s="62"/>
      <c r="F715" s="62"/>
      <c r="J715" s="62"/>
    </row>
    <row r="716">
      <c r="D716" s="62"/>
      <c r="E716" s="62"/>
      <c r="F716" s="62"/>
      <c r="J716" s="62"/>
    </row>
    <row r="717">
      <c r="D717" s="62"/>
      <c r="E717" s="62"/>
      <c r="F717" s="62"/>
      <c r="J717" s="62"/>
    </row>
    <row r="718">
      <c r="D718" s="62"/>
      <c r="E718" s="62"/>
      <c r="F718" s="62"/>
      <c r="J718" s="62"/>
    </row>
    <row r="719">
      <c r="D719" s="62"/>
      <c r="E719" s="62"/>
      <c r="F719" s="62"/>
      <c r="J719" s="62"/>
    </row>
    <row r="720">
      <c r="D720" s="62"/>
      <c r="E720" s="62"/>
      <c r="F720" s="62"/>
      <c r="J720" s="62"/>
    </row>
    <row r="721">
      <c r="D721" s="62"/>
      <c r="E721" s="62"/>
      <c r="F721" s="62"/>
      <c r="J721" s="62"/>
    </row>
    <row r="722">
      <c r="D722" s="62"/>
      <c r="E722" s="62"/>
      <c r="F722" s="62"/>
      <c r="J722" s="62"/>
    </row>
    <row r="723">
      <c r="D723" s="62"/>
      <c r="E723" s="62"/>
      <c r="F723" s="62"/>
      <c r="J723" s="62"/>
    </row>
    <row r="724">
      <c r="D724" s="62"/>
      <c r="E724" s="62"/>
      <c r="F724" s="62"/>
      <c r="J724" s="62"/>
    </row>
    <row r="725">
      <c r="D725" s="62"/>
      <c r="E725" s="62"/>
      <c r="F725" s="62"/>
      <c r="J725" s="62"/>
    </row>
    <row r="726">
      <c r="D726" s="62"/>
      <c r="E726" s="62"/>
      <c r="F726" s="62"/>
      <c r="J726" s="62"/>
    </row>
    <row r="727">
      <c r="D727" s="62"/>
      <c r="E727" s="62"/>
      <c r="F727" s="62"/>
      <c r="J727" s="62"/>
    </row>
    <row r="728">
      <c r="D728" s="62"/>
      <c r="E728" s="62"/>
      <c r="F728" s="62"/>
      <c r="J728" s="62"/>
    </row>
    <row r="729">
      <c r="D729" s="62"/>
      <c r="E729" s="62"/>
      <c r="F729" s="62"/>
      <c r="J729" s="62"/>
    </row>
    <row r="730">
      <c r="D730" s="62"/>
      <c r="E730" s="62"/>
      <c r="F730" s="62"/>
      <c r="J730" s="62"/>
    </row>
    <row r="731">
      <c r="D731" s="62"/>
      <c r="E731" s="62"/>
      <c r="F731" s="62"/>
      <c r="J731" s="62"/>
    </row>
    <row r="732">
      <c r="D732" s="62"/>
      <c r="E732" s="62"/>
      <c r="F732" s="62"/>
      <c r="J732" s="62"/>
    </row>
    <row r="733">
      <c r="D733" s="62"/>
      <c r="E733" s="62"/>
      <c r="F733" s="62"/>
      <c r="J733" s="62"/>
    </row>
    <row r="734">
      <c r="D734" s="62"/>
      <c r="E734" s="62"/>
      <c r="F734" s="62"/>
      <c r="J734" s="62"/>
    </row>
    <row r="735">
      <c r="D735" s="62"/>
      <c r="E735" s="62"/>
      <c r="F735" s="62"/>
      <c r="J735" s="62"/>
    </row>
    <row r="736">
      <c r="D736" s="62"/>
      <c r="E736" s="62"/>
      <c r="F736" s="62"/>
      <c r="J736" s="62"/>
    </row>
    <row r="737">
      <c r="D737" s="62"/>
      <c r="E737" s="62"/>
      <c r="F737" s="62"/>
      <c r="J737" s="62"/>
    </row>
    <row r="738">
      <c r="D738" s="62"/>
      <c r="E738" s="62"/>
      <c r="F738" s="62"/>
      <c r="J738" s="62"/>
    </row>
    <row r="739">
      <c r="D739" s="62"/>
      <c r="E739" s="62"/>
      <c r="F739" s="62"/>
      <c r="J739" s="62"/>
    </row>
    <row r="740">
      <c r="D740" s="62"/>
      <c r="E740" s="62"/>
      <c r="F740" s="62"/>
      <c r="J740" s="62"/>
    </row>
    <row r="741">
      <c r="D741" s="62"/>
      <c r="E741" s="62"/>
      <c r="F741" s="62"/>
      <c r="J741" s="62"/>
    </row>
    <row r="742">
      <c r="D742" s="62"/>
      <c r="E742" s="62"/>
      <c r="F742" s="62"/>
      <c r="J742" s="62"/>
    </row>
    <row r="743">
      <c r="D743" s="62"/>
      <c r="E743" s="62"/>
      <c r="F743" s="62"/>
      <c r="J743" s="62"/>
    </row>
    <row r="744">
      <c r="D744" s="62"/>
      <c r="E744" s="62"/>
      <c r="F744" s="62"/>
      <c r="J744" s="62"/>
    </row>
    <row r="745">
      <c r="D745" s="62"/>
      <c r="E745" s="62"/>
      <c r="F745" s="62"/>
      <c r="J745" s="62"/>
    </row>
    <row r="746">
      <c r="D746" s="62"/>
      <c r="E746" s="62"/>
      <c r="F746" s="62"/>
      <c r="J746" s="62"/>
    </row>
    <row r="747">
      <c r="D747" s="62"/>
      <c r="E747" s="62"/>
      <c r="F747" s="62"/>
      <c r="J747" s="62"/>
    </row>
    <row r="748">
      <c r="D748" s="62"/>
      <c r="E748" s="62"/>
      <c r="F748" s="62"/>
      <c r="J748" s="62"/>
    </row>
    <row r="749">
      <c r="D749" s="62"/>
      <c r="E749" s="62"/>
      <c r="F749" s="62"/>
      <c r="J749" s="62"/>
    </row>
    <row r="750">
      <c r="D750" s="62"/>
      <c r="E750" s="62"/>
      <c r="F750" s="62"/>
      <c r="J750" s="62"/>
    </row>
    <row r="751">
      <c r="D751" s="62"/>
      <c r="E751" s="62"/>
      <c r="F751" s="62"/>
      <c r="J751" s="62"/>
    </row>
    <row r="752">
      <c r="D752" s="62"/>
      <c r="E752" s="62"/>
      <c r="F752" s="62"/>
      <c r="J752" s="62"/>
    </row>
    <row r="753">
      <c r="D753" s="62"/>
      <c r="E753" s="62"/>
      <c r="F753" s="62"/>
      <c r="J753" s="62"/>
    </row>
    <row r="754">
      <c r="D754" s="62"/>
      <c r="E754" s="62"/>
      <c r="F754" s="62"/>
      <c r="J754" s="62"/>
    </row>
    <row r="755">
      <c r="D755" s="62"/>
      <c r="E755" s="62"/>
      <c r="F755" s="62"/>
      <c r="J755" s="62"/>
    </row>
    <row r="756">
      <c r="D756" s="62"/>
      <c r="E756" s="62"/>
      <c r="F756" s="62"/>
      <c r="J756" s="62"/>
    </row>
    <row r="757">
      <c r="D757" s="62"/>
      <c r="E757" s="62"/>
      <c r="F757" s="62"/>
      <c r="J757" s="62"/>
    </row>
    <row r="758">
      <c r="D758" s="62"/>
      <c r="E758" s="62"/>
      <c r="F758" s="62"/>
      <c r="J758" s="62"/>
    </row>
    <row r="759">
      <c r="D759" s="62"/>
      <c r="E759" s="62"/>
      <c r="F759" s="62"/>
      <c r="J759" s="62"/>
    </row>
    <row r="760">
      <c r="D760" s="62"/>
      <c r="E760" s="62"/>
      <c r="F760" s="62"/>
      <c r="J760" s="62"/>
    </row>
    <row r="761">
      <c r="D761" s="62"/>
      <c r="E761" s="62"/>
      <c r="F761" s="62"/>
      <c r="J761" s="62"/>
    </row>
    <row r="762">
      <c r="D762" s="62"/>
      <c r="E762" s="62"/>
      <c r="F762" s="62"/>
      <c r="J762" s="62"/>
    </row>
    <row r="763">
      <c r="D763" s="62"/>
      <c r="E763" s="62"/>
      <c r="F763" s="62"/>
      <c r="J763" s="62"/>
    </row>
    <row r="764">
      <c r="D764" s="62"/>
      <c r="E764" s="62"/>
      <c r="F764" s="62"/>
      <c r="J764" s="62"/>
    </row>
    <row r="765">
      <c r="D765" s="62"/>
      <c r="E765" s="62"/>
      <c r="F765" s="62"/>
      <c r="J765" s="62"/>
    </row>
    <row r="766">
      <c r="D766" s="62"/>
      <c r="E766" s="62"/>
      <c r="F766" s="62"/>
      <c r="J766" s="62"/>
    </row>
    <row r="767">
      <c r="D767" s="62"/>
      <c r="E767" s="62"/>
      <c r="F767" s="62"/>
      <c r="J767" s="62"/>
    </row>
    <row r="768">
      <c r="D768" s="62"/>
      <c r="E768" s="62"/>
      <c r="F768" s="62"/>
      <c r="J768" s="62"/>
    </row>
    <row r="769">
      <c r="D769" s="62"/>
      <c r="E769" s="62"/>
      <c r="F769" s="62"/>
      <c r="J769" s="62"/>
    </row>
    <row r="770">
      <c r="D770" s="62"/>
      <c r="E770" s="62"/>
      <c r="F770" s="62"/>
      <c r="J770" s="62"/>
    </row>
    <row r="771">
      <c r="D771" s="62"/>
      <c r="E771" s="62"/>
      <c r="F771" s="62"/>
      <c r="J771" s="62"/>
    </row>
    <row r="772">
      <c r="D772" s="62"/>
      <c r="E772" s="62"/>
      <c r="F772" s="62"/>
      <c r="J772" s="62"/>
    </row>
    <row r="773">
      <c r="D773" s="62"/>
      <c r="E773" s="62"/>
      <c r="F773" s="62"/>
      <c r="J773" s="62"/>
    </row>
    <row r="774">
      <c r="D774" s="62"/>
      <c r="E774" s="62"/>
      <c r="F774" s="62"/>
      <c r="J774" s="62"/>
    </row>
    <row r="775">
      <c r="D775" s="62"/>
      <c r="E775" s="62"/>
      <c r="F775" s="62"/>
      <c r="J775" s="62"/>
    </row>
    <row r="776">
      <c r="D776" s="62"/>
      <c r="E776" s="62"/>
      <c r="F776" s="62"/>
      <c r="J776" s="62"/>
    </row>
    <row r="777">
      <c r="D777" s="62"/>
      <c r="E777" s="62"/>
      <c r="F777" s="62"/>
      <c r="J777" s="62"/>
    </row>
    <row r="778">
      <c r="D778" s="62"/>
      <c r="E778" s="62"/>
      <c r="F778" s="62"/>
      <c r="J778" s="62"/>
    </row>
    <row r="779">
      <c r="D779" s="62"/>
      <c r="E779" s="62"/>
      <c r="F779" s="62"/>
      <c r="J779" s="62"/>
    </row>
    <row r="780">
      <c r="D780" s="62"/>
      <c r="E780" s="62"/>
      <c r="F780" s="62"/>
      <c r="J780" s="62"/>
    </row>
    <row r="781">
      <c r="D781" s="62"/>
      <c r="E781" s="62"/>
      <c r="F781" s="62"/>
      <c r="J781" s="62"/>
    </row>
    <row r="782">
      <c r="D782" s="62"/>
      <c r="E782" s="62"/>
      <c r="F782" s="62"/>
      <c r="J782" s="62"/>
    </row>
    <row r="783">
      <c r="D783" s="62"/>
      <c r="E783" s="62"/>
      <c r="F783" s="62"/>
      <c r="J783" s="62"/>
    </row>
    <row r="784">
      <c r="D784" s="62"/>
      <c r="E784" s="62"/>
      <c r="F784" s="62"/>
      <c r="J784" s="62"/>
    </row>
    <row r="785">
      <c r="D785" s="62"/>
      <c r="E785" s="62"/>
      <c r="F785" s="62"/>
      <c r="J785" s="62"/>
    </row>
    <row r="786">
      <c r="D786" s="62"/>
      <c r="E786" s="62"/>
      <c r="F786" s="62"/>
      <c r="J786" s="62"/>
    </row>
    <row r="787">
      <c r="D787" s="62"/>
      <c r="E787" s="62"/>
      <c r="F787" s="62"/>
      <c r="J787" s="62"/>
    </row>
    <row r="788">
      <c r="D788" s="62"/>
      <c r="E788" s="62"/>
      <c r="F788" s="62"/>
      <c r="J788" s="62"/>
    </row>
    <row r="789">
      <c r="D789" s="62"/>
      <c r="E789" s="62"/>
      <c r="F789" s="62"/>
      <c r="J789" s="62"/>
    </row>
    <row r="790">
      <c r="D790" s="62"/>
      <c r="E790" s="62"/>
      <c r="F790" s="62"/>
      <c r="J790" s="62"/>
    </row>
    <row r="791">
      <c r="D791" s="62"/>
      <c r="E791" s="62"/>
      <c r="F791" s="62"/>
      <c r="J791" s="62"/>
    </row>
    <row r="792">
      <c r="D792" s="62"/>
      <c r="E792" s="62"/>
      <c r="F792" s="62"/>
      <c r="J792" s="62"/>
    </row>
    <row r="793">
      <c r="D793" s="62"/>
      <c r="E793" s="62"/>
      <c r="F793" s="62"/>
      <c r="J793" s="62"/>
    </row>
    <row r="794">
      <c r="D794" s="62"/>
      <c r="E794" s="62"/>
      <c r="F794" s="62"/>
      <c r="J794" s="62"/>
    </row>
    <row r="795">
      <c r="D795" s="62"/>
      <c r="E795" s="62"/>
      <c r="F795" s="62"/>
      <c r="J795" s="62"/>
    </row>
    <row r="796">
      <c r="D796" s="62"/>
      <c r="E796" s="62"/>
      <c r="F796" s="62"/>
      <c r="J796" s="62"/>
    </row>
    <row r="797">
      <c r="D797" s="62"/>
      <c r="E797" s="62"/>
      <c r="F797" s="62"/>
      <c r="J797" s="62"/>
    </row>
    <row r="798">
      <c r="D798" s="62"/>
      <c r="E798" s="62"/>
      <c r="F798" s="62"/>
      <c r="J798" s="62"/>
    </row>
    <row r="799">
      <c r="D799" s="62"/>
      <c r="E799" s="62"/>
      <c r="F799" s="62"/>
      <c r="J799" s="62"/>
    </row>
    <row r="800">
      <c r="D800" s="62"/>
      <c r="E800" s="62"/>
      <c r="F800" s="62"/>
      <c r="J800" s="62"/>
    </row>
    <row r="801">
      <c r="D801" s="62"/>
      <c r="E801" s="62"/>
      <c r="F801" s="62"/>
      <c r="J801" s="62"/>
    </row>
    <row r="802">
      <c r="D802" s="62"/>
      <c r="E802" s="62"/>
      <c r="F802" s="62"/>
      <c r="J802" s="62"/>
    </row>
    <row r="803">
      <c r="D803" s="62"/>
      <c r="E803" s="62"/>
      <c r="F803" s="62"/>
      <c r="J803" s="62"/>
    </row>
    <row r="804">
      <c r="D804" s="62"/>
      <c r="E804" s="62"/>
      <c r="F804" s="62"/>
      <c r="J804" s="62"/>
    </row>
    <row r="805">
      <c r="D805" s="62"/>
      <c r="E805" s="62"/>
      <c r="F805" s="62"/>
      <c r="J805" s="62"/>
    </row>
    <row r="806">
      <c r="D806" s="62"/>
      <c r="E806" s="62"/>
      <c r="F806" s="62"/>
      <c r="J806" s="62"/>
    </row>
    <row r="807">
      <c r="D807" s="62"/>
      <c r="E807" s="62"/>
      <c r="F807" s="62"/>
      <c r="J807" s="62"/>
    </row>
    <row r="808">
      <c r="D808" s="62"/>
      <c r="E808" s="62"/>
      <c r="F808" s="62"/>
      <c r="J808" s="62"/>
    </row>
    <row r="809">
      <c r="D809" s="62"/>
      <c r="E809" s="62"/>
      <c r="F809" s="62"/>
      <c r="J809" s="62"/>
    </row>
    <row r="810">
      <c r="D810" s="62"/>
      <c r="E810" s="62"/>
      <c r="F810" s="62"/>
      <c r="J810" s="62"/>
    </row>
    <row r="811">
      <c r="D811" s="62"/>
      <c r="E811" s="62"/>
      <c r="F811" s="62"/>
      <c r="J811" s="62"/>
    </row>
    <row r="812">
      <c r="D812" s="62"/>
      <c r="E812" s="62"/>
      <c r="F812" s="62"/>
      <c r="J812" s="62"/>
    </row>
    <row r="813">
      <c r="D813" s="62"/>
      <c r="E813" s="62"/>
      <c r="F813" s="62"/>
      <c r="J813" s="62"/>
    </row>
    <row r="814">
      <c r="D814" s="62"/>
      <c r="E814" s="62"/>
      <c r="F814" s="62"/>
      <c r="J814" s="62"/>
    </row>
    <row r="815">
      <c r="D815" s="62"/>
      <c r="E815" s="62"/>
      <c r="F815" s="62"/>
      <c r="J815" s="62"/>
    </row>
    <row r="816">
      <c r="D816" s="62"/>
      <c r="E816" s="62"/>
      <c r="F816" s="62"/>
      <c r="J816" s="62"/>
    </row>
    <row r="817">
      <c r="D817" s="62"/>
      <c r="E817" s="62"/>
      <c r="F817" s="62"/>
      <c r="J817" s="62"/>
    </row>
    <row r="818">
      <c r="D818" s="62"/>
      <c r="E818" s="62"/>
      <c r="F818" s="62"/>
      <c r="J818" s="62"/>
    </row>
    <row r="819">
      <c r="D819" s="62"/>
      <c r="E819" s="62"/>
      <c r="F819" s="62"/>
      <c r="J819" s="62"/>
    </row>
    <row r="820">
      <c r="D820" s="62"/>
      <c r="E820" s="62"/>
      <c r="F820" s="62"/>
      <c r="J820" s="62"/>
    </row>
    <row r="821">
      <c r="D821" s="62"/>
      <c r="E821" s="62"/>
      <c r="F821" s="62"/>
      <c r="J821" s="62"/>
    </row>
    <row r="822">
      <c r="D822" s="62"/>
      <c r="E822" s="62"/>
      <c r="F822" s="62"/>
      <c r="J822" s="62"/>
    </row>
    <row r="823">
      <c r="D823" s="62"/>
      <c r="E823" s="62"/>
      <c r="F823" s="62"/>
      <c r="J823" s="62"/>
    </row>
    <row r="824">
      <c r="D824" s="62"/>
      <c r="E824" s="62"/>
      <c r="F824" s="62"/>
      <c r="J824" s="62"/>
    </row>
    <row r="825">
      <c r="D825" s="62"/>
      <c r="E825" s="62"/>
      <c r="F825" s="62"/>
      <c r="J825" s="62"/>
    </row>
    <row r="826">
      <c r="D826" s="62"/>
      <c r="E826" s="62"/>
      <c r="F826" s="62"/>
      <c r="J826" s="62"/>
    </row>
    <row r="827">
      <c r="D827" s="62"/>
      <c r="E827" s="62"/>
      <c r="F827" s="62"/>
      <c r="J827" s="62"/>
    </row>
    <row r="828">
      <c r="D828" s="62"/>
      <c r="E828" s="62"/>
      <c r="F828" s="62"/>
      <c r="J828" s="62"/>
    </row>
    <row r="829">
      <c r="D829" s="62"/>
      <c r="E829" s="62"/>
      <c r="F829" s="62"/>
      <c r="J829" s="62"/>
    </row>
    <row r="830">
      <c r="D830" s="62"/>
      <c r="E830" s="62"/>
      <c r="F830" s="62"/>
      <c r="J830" s="62"/>
    </row>
    <row r="831">
      <c r="D831" s="62"/>
      <c r="E831" s="62"/>
      <c r="F831" s="62"/>
      <c r="J831" s="62"/>
    </row>
    <row r="832">
      <c r="D832" s="62"/>
      <c r="E832" s="62"/>
      <c r="F832" s="62"/>
      <c r="J832" s="62"/>
    </row>
    <row r="833">
      <c r="D833" s="62"/>
      <c r="E833" s="62"/>
      <c r="F833" s="62"/>
      <c r="J833" s="62"/>
    </row>
    <row r="834">
      <c r="D834" s="62"/>
      <c r="E834" s="62"/>
      <c r="F834" s="62"/>
      <c r="J834" s="62"/>
    </row>
    <row r="835">
      <c r="D835" s="62"/>
      <c r="E835" s="62"/>
      <c r="F835" s="62"/>
      <c r="J835" s="62"/>
    </row>
    <row r="836">
      <c r="D836" s="62"/>
      <c r="E836" s="62"/>
      <c r="F836" s="62"/>
      <c r="J836" s="62"/>
    </row>
    <row r="837">
      <c r="D837" s="62"/>
      <c r="E837" s="62"/>
      <c r="F837" s="62"/>
      <c r="J837" s="62"/>
    </row>
    <row r="838">
      <c r="D838" s="62"/>
      <c r="E838" s="62"/>
      <c r="F838" s="62"/>
      <c r="J838" s="62"/>
    </row>
    <row r="839">
      <c r="D839" s="62"/>
      <c r="E839" s="62"/>
      <c r="F839" s="62"/>
      <c r="J839" s="62"/>
    </row>
    <row r="840">
      <c r="D840" s="62"/>
      <c r="E840" s="62"/>
      <c r="F840" s="62"/>
      <c r="J840" s="62"/>
    </row>
    <row r="841">
      <c r="D841" s="62"/>
      <c r="E841" s="62"/>
      <c r="F841" s="62"/>
      <c r="J841" s="62"/>
    </row>
    <row r="842">
      <c r="D842" s="62"/>
      <c r="E842" s="62"/>
      <c r="F842" s="62"/>
      <c r="J842" s="62"/>
    </row>
    <row r="843">
      <c r="D843" s="62"/>
      <c r="E843" s="62"/>
      <c r="F843" s="62"/>
      <c r="J843" s="62"/>
    </row>
    <row r="844">
      <c r="D844" s="62"/>
      <c r="E844" s="62"/>
      <c r="F844" s="62"/>
      <c r="J844" s="62"/>
    </row>
    <row r="845">
      <c r="D845" s="62"/>
      <c r="E845" s="62"/>
      <c r="F845" s="62"/>
      <c r="J845" s="62"/>
    </row>
    <row r="846">
      <c r="D846" s="62"/>
      <c r="E846" s="62"/>
      <c r="F846" s="62"/>
      <c r="J846" s="62"/>
    </row>
    <row r="847">
      <c r="D847" s="62"/>
      <c r="E847" s="62"/>
      <c r="F847" s="62"/>
      <c r="J847" s="62"/>
    </row>
    <row r="848">
      <c r="D848" s="62"/>
      <c r="E848" s="62"/>
      <c r="F848" s="62"/>
      <c r="J848" s="62"/>
    </row>
    <row r="849">
      <c r="D849" s="62"/>
      <c r="E849" s="62"/>
      <c r="F849" s="62"/>
      <c r="J849" s="62"/>
    </row>
    <row r="850">
      <c r="D850" s="62"/>
      <c r="E850" s="62"/>
      <c r="F850" s="62"/>
      <c r="J850" s="62"/>
    </row>
    <row r="851">
      <c r="D851" s="62"/>
      <c r="E851" s="62"/>
      <c r="F851" s="62"/>
      <c r="J851" s="62"/>
    </row>
    <row r="852">
      <c r="D852" s="62"/>
      <c r="E852" s="62"/>
      <c r="F852" s="62"/>
      <c r="J852" s="62"/>
    </row>
    <row r="853">
      <c r="D853" s="62"/>
      <c r="E853" s="62"/>
      <c r="F853" s="62"/>
      <c r="J853" s="62"/>
    </row>
    <row r="854">
      <c r="D854" s="62"/>
      <c r="E854" s="62"/>
      <c r="F854" s="62"/>
      <c r="J854" s="62"/>
    </row>
    <row r="855">
      <c r="D855" s="62"/>
      <c r="E855" s="62"/>
      <c r="F855" s="62"/>
      <c r="J855" s="62"/>
    </row>
    <row r="856">
      <c r="D856" s="62"/>
      <c r="E856" s="62"/>
      <c r="F856" s="62"/>
      <c r="J856" s="62"/>
    </row>
    <row r="857">
      <c r="D857" s="62"/>
      <c r="E857" s="62"/>
      <c r="F857" s="62"/>
      <c r="J857" s="62"/>
    </row>
    <row r="858">
      <c r="D858" s="62"/>
      <c r="E858" s="62"/>
      <c r="F858" s="62"/>
      <c r="J858" s="62"/>
    </row>
    <row r="859">
      <c r="D859" s="62"/>
      <c r="E859" s="62"/>
      <c r="F859" s="62"/>
      <c r="J859" s="62"/>
    </row>
    <row r="860">
      <c r="D860" s="62"/>
      <c r="E860" s="62"/>
      <c r="F860" s="62"/>
      <c r="J860" s="62"/>
    </row>
    <row r="861">
      <c r="D861" s="62"/>
      <c r="E861" s="62"/>
      <c r="F861" s="62"/>
      <c r="J861" s="62"/>
    </row>
    <row r="862">
      <c r="D862" s="62"/>
      <c r="E862" s="62"/>
      <c r="F862" s="62"/>
      <c r="J862" s="62"/>
    </row>
    <row r="863">
      <c r="D863" s="62"/>
      <c r="E863" s="62"/>
      <c r="F863" s="62"/>
      <c r="J863" s="62"/>
    </row>
    <row r="864">
      <c r="D864" s="62"/>
      <c r="E864" s="62"/>
      <c r="F864" s="62"/>
      <c r="J864" s="62"/>
    </row>
    <row r="865">
      <c r="D865" s="62"/>
      <c r="E865" s="62"/>
      <c r="F865" s="62"/>
      <c r="J865" s="62"/>
    </row>
    <row r="866">
      <c r="D866" s="62"/>
      <c r="E866" s="62"/>
      <c r="F866" s="62"/>
      <c r="J866" s="62"/>
    </row>
    <row r="867">
      <c r="D867" s="62"/>
      <c r="E867" s="62"/>
      <c r="F867" s="62"/>
      <c r="J867" s="62"/>
    </row>
    <row r="868">
      <c r="D868" s="62"/>
      <c r="E868" s="62"/>
      <c r="F868" s="62"/>
      <c r="J868" s="62"/>
    </row>
    <row r="869">
      <c r="D869" s="62"/>
      <c r="E869" s="62"/>
      <c r="F869" s="62"/>
      <c r="J869" s="62"/>
    </row>
    <row r="870">
      <c r="D870" s="62"/>
      <c r="E870" s="62"/>
      <c r="F870" s="62"/>
      <c r="J870" s="62"/>
    </row>
    <row r="871">
      <c r="D871" s="62"/>
      <c r="E871" s="62"/>
      <c r="F871" s="62"/>
      <c r="J871" s="62"/>
    </row>
    <row r="872">
      <c r="D872" s="62"/>
      <c r="E872" s="62"/>
      <c r="F872" s="62"/>
      <c r="J872" s="62"/>
    </row>
    <row r="873">
      <c r="D873" s="62"/>
      <c r="E873" s="62"/>
      <c r="F873" s="62"/>
      <c r="J873" s="62"/>
    </row>
    <row r="874">
      <c r="D874" s="62"/>
      <c r="E874" s="62"/>
      <c r="F874" s="62"/>
      <c r="J874" s="62"/>
    </row>
    <row r="875">
      <c r="D875" s="62"/>
      <c r="E875" s="62"/>
      <c r="F875" s="62"/>
      <c r="J875" s="62"/>
    </row>
    <row r="876">
      <c r="D876" s="62"/>
      <c r="E876" s="62"/>
      <c r="F876" s="62"/>
      <c r="J876" s="62"/>
    </row>
    <row r="877">
      <c r="D877" s="62"/>
      <c r="E877" s="62"/>
      <c r="F877" s="62"/>
      <c r="J877" s="62"/>
    </row>
    <row r="878">
      <c r="D878" s="62"/>
      <c r="E878" s="62"/>
      <c r="F878" s="62"/>
      <c r="J878" s="62"/>
    </row>
    <row r="879">
      <c r="D879" s="62"/>
      <c r="E879" s="62"/>
      <c r="F879" s="62"/>
      <c r="J879" s="62"/>
    </row>
    <row r="880">
      <c r="D880" s="62"/>
      <c r="E880" s="62"/>
      <c r="F880" s="62"/>
      <c r="J880" s="62"/>
    </row>
    <row r="881">
      <c r="D881" s="62"/>
      <c r="E881" s="62"/>
      <c r="F881" s="62"/>
      <c r="J881" s="62"/>
    </row>
    <row r="882">
      <c r="D882" s="62"/>
      <c r="E882" s="62"/>
      <c r="F882" s="62"/>
      <c r="J882" s="62"/>
    </row>
    <row r="883">
      <c r="D883" s="62"/>
      <c r="E883" s="62"/>
      <c r="F883" s="62"/>
      <c r="J883" s="62"/>
    </row>
    <row r="884">
      <c r="D884" s="62"/>
      <c r="E884" s="62"/>
      <c r="F884" s="62"/>
      <c r="J884" s="62"/>
    </row>
    <row r="885">
      <c r="D885" s="62"/>
      <c r="E885" s="62"/>
      <c r="F885" s="62"/>
      <c r="J885" s="62"/>
    </row>
    <row r="886">
      <c r="D886" s="62"/>
      <c r="E886" s="62"/>
      <c r="F886" s="62"/>
      <c r="J886" s="62"/>
    </row>
    <row r="887">
      <c r="D887" s="62"/>
      <c r="E887" s="62"/>
      <c r="F887" s="62"/>
      <c r="J887" s="62"/>
    </row>
    <row r="888">
      <c r="D888" s="62"/>
      <c r="E888" s="62"/>
      <c r="F888" s="62"/>
      <c r="J888" s="62"/>
    </row>
    <row r="889">
      <c r="D889" s="62"/>
      <c r="E889" s="62"/>
      <c r="F889" s="62"/>
      <c r="J889" s="62"/>
    </row>
    <row r="890">
      <c r="D890" s="62"/>
      <c r="E890" s="62"/>
      <c r="F890" s="62"/>
      <c r="J890" s="62"/>
    </row>
    <row r="891">
      <c r="D891" s="62"/>
      <c r="E891" s="62"/>
      <c r="F891" s="62"/>
      <c r="J891" s="62"/>
    </row>
    <row r="892">
      <c r="D892" s="62"/>
      <c r="E892" s="62"/>
      <c r="F892" s="62"/>
      <c r="J892" s="62"/>
    </row>
    <row r="893">
      <c r="D893" s="62"/>
      <c r="E893" s="62"/>
      <c r="F893" s="62"/>
      <c r="J893" s="62"/>
    </row>
    <row r="894">
      <c r="D894" s="62"/>
      <c r="E894" s="62"/>
      <c r="F894" s="62"/>
      <c r="J894" s="62"/>
    </row>
    <row r="895">
      <c r="D895" s="62"/>
      <c r="E895" s="62"/>
      <c r="F895" s="62"/>
      <c r="J895" s="62"/>
    </row>
    <row r="896">
      <c r="D896" s="62"/>
      <c r="E896" s="62"/>
      <c r="F896" s="62"/>
      <c r="J896" s="62"/>
    </row>
    <row r="897">
      <c r="D897" s="62"/>
      <c r="E897" s="62"/>
      <c r="F897" s="62"/>
      <c r="J897" s="62"/>
    </row>
    <row r="898">
      <c r="D898" s="62"/>
      <c r="E898" s="62"/>
      <c r="F898" s="62"/>
      <c r="J898" s="62"/>
    </row>
    <row r="899">
      <c r="D899" s="62"/>
      <c r="E899" s="62"/>
      <c r="F899" s="62"/>
      <c r="J899" s="62"/>
    </row>
    <row r="900">
      <c r="D900" s="62"/>
      <c r="E900" s="62"/>
      <c r="F900" s="62"/>
      <c r="J900" s="62"/>
    </row>
    <row r="901">
      <c r="D901" s="62"/>
      <c r="E901" s="62"/>
      <c r="F901" s="62"/>
      <c r="J901" s="62"/>
    </row>
    <row r="902">
      <c r="D902" s="62"/>
      <c r="E902" s="62"/>
      <c r="F902" s="62"/>
      <c r="J902" s="62"/>
    </row>
    <row r="903">
      <c r="D903" s="62"/>
      <c r="E903" s="62"/>
      <c r="F903" s="62"/>
      <c r="J903" s="62"/>
    </row>
    <row r="904">
      <c r="D904" s="62"/>
      <c r="E904" s="62"/>
      <c r="F904" s="62"/>
      <c r="J904" s="62"/>
    </row>
    <row r="905">
      <c r="D905" s="62"/>
      <c r="E905" s="62"/>
      <c r="F905" s="62"/>
      <c r="J905" s="62"/>
    </row>
    <row r="906">
      <c r="D906" s="62"/>
      <c r="E906" s="62"/>
      <c r="F906" s="62"/>
      <c r="J906" s="62"/>
    </row>
    <row r="907">
      <c r="D907" s="62"/>
      <c r="E907" s="62"/>
      <c r="F907" s="62"/>
      <c r="J907" s="62"/>
    </row>
    <row r="908">
      <c r="D908" s="62"/>
      <c r="E908" s="62"/>
      <c r="F908" s="62"/>
      <c r="J908" s="62"/>
    </row>
    <row r="909">
      <c r="D909" s="62"/>
      <c r="E909" s="62"/>
      <c r="F909" s="62"/>
      <c r="J909" s="62"/>
    </row>
    <row r="910">
      <c r="D910" s="62"/>
      <c r="E910" s="62"/>
      <c r="F910" s="62"/>
      <c r="J910" s="62"/>
    </row>
    <row r="911">
      <c r="D911" s="62"/>
      <c r="E911" s="62"/>
      <c r="F911" s="62"/>
      <c r="J911" s="62"/>
    </row>
    <row r="912">
      <c r="D912" s="62"/>
      <c r="E912" s="62"/>
      <c r="F912" s="62"/>
      <c r="J912" s="62"/>
    </row>
    <row r="913">
      <c r="D913" s="62"/>
      <c r="E913" s="62"/>
      <c r="F913" s="62"/>
      <c r="J913" s="62"/>
    </row>
    <row r="914">
      <c r="D914" s="62"/>
      <c r="E914" s="62"/>
      <c r="F914" s="62"/>
      <c r="J914" s="62"/>
    </row>
    <row r="915">
      <c r="D915" s="62"/>
      <c r="E915" s="62"/>
      <c r="F915" s="62"/>
      <c r="J915" s="62"/>
    </row>
    <row r="916">
      <c r="D916" s="62"/>
      <c r="E916" s="62"/>
      <c r="F916" s="62"/>
      <c r="J916" s="62"/>
    </row>
    <row r="917">
      <c r="D917" s="62"/>
      <c r="E917" s="62"/>
      <c r="F917" s="62"/>
      <c r="J917" s="62"/>
    </row>
    <row r="918">
      <c r="D918" s="62"/>
      <c r="E918" s="62"/>
      <c r="F918" s="62"/>
      <c r="J918" s="62"/>
    </row>
    <row r="919">
      <c r="D919" s="62"/>
      <c r="E919" s="62"/>
      <c r="F919" s="62"/>
      <c r="J919" s="62"/>
    </row>
    <row r="920">
      <c r="D920" s="62"/>
      <c r="E920" s="62"/>
      <c r="F920" s="62"/>
      <c r="J920" s="62"/>
    </row>
    <row r="921">
      <c r="D921" s="62"/>
      <c r="E921" s="62"/>
      <c r="F921" s="62"/>
      <c r="J921" s="62"/>
    </row>
    <row r="922">
      <c r="D922" s="62"/>
      <c r="E922" s="62"/>
      <c r="F922" s="62"/>
      <c r="J922" s="62"/>
    </row>
    <row r="923">
      <c r="D923" s="62"/>
      <c r="E923" s="62"/>
      <c r="F923" s="62"/>
      <c r="J923" s="62"/>
    </row>
    <row r="924">
      <c r="D924" s="62"/>
      <c r="E924" s="62"/>
      <c r="F924" s="62"/>
      <c r="J924" s="62"/>
    </row>
    <row r="925">
      <c r="D925" s="62"/>
      <c r="E925" s="62"/>
      <c r="F925" s="62"/>
      <c r="J925" s="62"/>
    </row>
    <row r="926">
      <c r="D926" s="62"/>
      <c r="E926" s="62"/>
      <c r="F926" s="62"/>
      <c r="J926" s="62"/>
    </row>
    <row r="927">
      <c r="D927" s="62"/>
      <c r="E927" s="62"/>
      <c r="F927" s="62"/>
      <c r="J927" s="62"/>
    </row>
    <row r="928">
      <c r="D928" s="62"/>
      <c r="E928" s="62"/>
      <c r="F928" s="62"/>
      <c r="J928" s="62"/>
    </row>
    <row r="929">
      <c r="D929" s="62"/>
      <c r="E929" s="62"/>
      <c r="F929" s="62"/>
      <c r="J929" s="62"/>
    </row>
    <row r="930">
      <c r="D930" s="62"/>
      <c r="E930" s="62"/>
      <c r="F930" s="62"/>
      <c r="J930" s="62"/>
    </row>
    <row r="931">
      <c r="D931" s="62"/>
      <c r="E931" s="62"/>
      <c r="F931" s="62"/>
      <c r="J931" s="62"/>
    </row>
    <row r="932">
      <c r="D932" s="62"/>
      <c r="E932" s="62"/>
      <c r="F932" s="62"/>
      <c r="J932" s="62"/>
    </row>
    <row r="933">
      <c r="D933" s="62"/>
      <c r="E933" s="62"/>
      <c r="F933" s="62"/>
      <c r="J933" s="62"/>
    </row>
    <row r="934">
      <c r="D934" s="62"/>
      <c r="E934" s="62"/>
      <c r="F934" s="62"/>
      <c r="J934" s="62"/>
    </row>
    <row r="935">
      <c r="D935" s="62"/>
      <c r="E935" s="62"/>
      <c r="F935" s="62"/>
      <c r="J935" s="62"/>
    </row>
    <row r="936">
      <c r="D936" s="62"/>
      <c r="E936" s="62"/>
      <c r="F936" s="62"/>
      <c r="J936" s="62"/>
    </row>
    <row r="937">
      <c r="D937" s="62"/>
      <c r="E937" s="62"/>
      <c r="F937" s="62"/>
      <c r="J937" s="62"/>
    </row>
    <row r="938">
      <c r="D938" s="62"/>
      <c r="E938" s="62"/>
      <c r="F938" s="62"/>
      <c r="J938" s="62"/>
    </row>
    <row r="939">
      <c r="D939" s="62"/>
      <c r="E939" s="62"/>
      <c r="F939" s="62"/>
      <c r="J939" s="62"/>
    </row>
    <row r="940">
      <c r="D940" s="62"/>
      <c r="E940" s="62"/>
      <c r="F940" s="62"/>
      <c r="J940" s="62"/>
    </row>
    <row r="941">
      <c r="D941" s="62"/>
      <c r="E941" s="62"/>
      <c r="F941" s="62"/>
      <c r="J941" s="62"/>
    </row>
    <row r="942">
      <c r="D942" s="62"/>
      <c r="E942" s="62"/>
      <c r="F942" s="62"/>
      <c r="J942" s="62"/>
    </row>
    <row r="943">
      <c r="D943" s="62"/>
      <c r="E943" s="62"/>
      <c r="F943" s="62"/>
      <c r="J943" s="62"/>
    </row>
    <row r="944">
      <c r="D944" s="62"/>
      <c r="E944" s="62"/>
      <c r="F944" s="62"/>
      <c r="J944" s="62"/>
    </row>
    <row r="945">
      <c r="D945" s="62"/>
      <c r="E945" s="62"/>
      <c r="F945" s="62"/>
      <c r="J945" s="62"/>
    </row>
    <row r="946">
      <c r="D946" s="62"/>
      <c r="E946" s="62"/>
      <c r="F946" s="62"/>
      <c r="J946" s="62"/>
    </row>
    <row r="947">
      <c r="D947" s="62"/>
      <c r="E947" s="62"/>
      <c r="F947" s="62"/>
      <c r="J947" s="62"/>
    </row>
    <row r="948">
      <c r="D948" s="62"/>
      <c r="E948" s="62"/>
      <c r="F948" s="62"/>
      <c r="J948" s="62"/>
    </row>
    <row r="949">
      <c r="D949" s="62"/>
      <c r="E949" s="62"/>
      <c r="F949" s="62"/>
      <c r="J949" s="62"/>
    </row>
    <row r="950">
      <c r="D950" s="62"/>
      <c r="E950" s="62"/>
      <c r="F950" s="62"/>
      <c r="J950" s="62"/>
    </row>
    <row r="951">
      <c r="D951" s="62"/>
      <c r="E951" s="62"/>
      <c r="F951" s="62"/>
      <c r="J951" s="62"/>
    </row>
    <row r="952">
      <c r="D952" s="62"/>
      <c r="E952" s="62"/>
      <c r="F952" s="62"/>
      <c r="J952" s="62"/>
    </row>
    <row r="953">
      <c r="D953" s="62"/>
      <c r="E953" s="62"/>
      <c r="F953" s="62"/>
      <c r="J953" s="62"/>
    </row>
    <row r="954">
      <c r="D954" s="62"/>
      <c r="E954" s="62"/>
      <c r="F954" s="62"/>
      <c r="J954" s="62"/>
    </row>
    <row r="955">
      <c r="D955" s="62"/>
      <c r="E955" s="62"/>
      <c r="F955" s="62"/>
      <c r="J955" s="62"/>
    </row>
    <row r="956">
      <c r="D956" s="62"/>
      <c r="E956" s="62"/>
      <c r="F956" s="62"/>
      <c r="J956" s="62"/>
    </row>
    <row r="957">
      <c r="D957" s="62"/>
      <c r="E957" s="62"/>
      <c r="F957" s="62"/>
      <c r="J957" s="62"/>
    </row>
    <row r="958">
      <c r="D958" s="62"/>
      <c r="E958" s="62"/>
      <c r="F958" s="62"/>
      <c r="J958" s="62"/>
    </row>
    <row r="959">
      <c r="D959" s="62"/>
      <c r="E959" s="62"/>
      <c r="F959" s="62"/>
      <c r="J959" s="62"/>
    </row>
    <row r="960">
      <c r="D960" s="62"/>
      <c r="E960" s="62"/>
      <c r="F960" s="62"/>
      <c r="J960" s="62"/>
    </row>
    <row r="961">
      <c r="D961" s="62"/>
      <c r="E961" s="62"/>
      <c r="F961" s="62"/>
      <c r="J961" s="62"/>
    </row>
    <row r="962">
      <c r="D962" s="62"/>
      <c r="E962" s="62"/>
      <c r="F962" s="62"/>
      <c r="J962" s="62"/>
    </row>
    <row r="963">
      <c r="D963" s="62"/>
      <c r="E963" s="62"/>
      <c r="F963" s="62"/>
      <c r="J963" s="62"/>
    </row>
    <row r="964">
      <c r="D964" s="62"/>
      <c r="E964" s="62"/>
      <c r="F964" s="62"/>
      <c r="J964" s="62"/>
    </row>
    <row r="965">
      <c r="D965" s="62"/>
      <c r="E965" s="62"/>
      <c r="F965" s="62"/>
      <c r="J965" s="62"/>
    </row>
    <row r="966">
      <c r="D966" s="62"/>
      <c r="E966" s="62"/>
      <c r="F966" s="62"/>
      <c r="J966" s="62"/>
    </row>
    <row r="967">
      <c r="D967" s="62"/>
      <c r="E967" s="62"/>
      <c r="F967" s="62"/>
      <c r="J967" s="62"/>
    </row>
    <row r="968">
      <c r="D968" s="62"/>
      <c r="E968" s="62"/>
      <c r="F968" s="62"/>
      <c r="J968" s="62"/>
    </row>
    <row r="969">
      <c r="D969" s="62"/>
      <c r="E969" s="62"/>
      <c r="F969" s="62"/>
      <c r="J969" s="62"/>
    </row>
    <row r="970">
      <c r="D970" s="62"/>
      <c r="E970" s="62"/>
      <c r="F970" s="62"/>
      <c r="J970" s="62"/>
    </row>
    <row r="971">
      <c r="D971" s="62"/>
      <c r="E971" s="62"/>
      <c r="F971" s="62"/>
      <c r="J971" s="62"/>
    </row>
    <row r="972">
      <c r="D972" s="62"/>
      <c r="E972" s="62"/>
      <c r="F972" s="62"/>
      <c r="J972" s="62"/>
    </row>
    <row r="973">
      <c r="D973" s="62"/>
      <c r="E973" s="62"/>
      <c r="F973" s="62"/>
      <c r="J973" s="62"/>
    </row>
    <row r="974">
      <c r="D974" s="62"/>
      <c r="E974" s="62"/>
      <c r="F974" s="62"/>
      <c r="J974" s="62"/>
    </row>
    <row r="975">
      <c r="D975" s="62"/>
      <c r="E975" s="62"/>
      <c r="F975" s="62"/>
      <c r="J975" s="62"/>
    </row>
    <row r="976">
      <c r="D976" s="62"/>
      <c r="E976" s="62"/>
      <c r="F976" s="62"/>
      <c r="J976" s="62"/>
    </row>
    <row r="977">
      <c r="D977" s="62"/>
      <c r="E977" s="62"/>
      <c r="F977" s="62"/>
      <c r="J977" s="62"/>
    </row>
    <row r="978">
      <c r="D978" s="62"/>
      <c r="E978" s="62"/>
      <c r="F978" s="62"/>
      <c r="J978" s="62"/>
    </row>
    <row r="979">
      <c r="D979" s="62"/>
      <c r="E979" s="62"/>
      <c r="F979" s="62"/>
      <c r="J979" s="62"/>
    </row>
    <row r="980">
      <c r="D980" s="62"/>
      <c r="E980" s="62"/>
      <c r="F980" s="62"/>
      <c r="J980" s="62"/>
    </row>
    <row r="981">
      <c r="D981" s="62"/>
      <c r="E981" s="62"/>
      <c r="F981" s="62"/>
      <c r="J981" s="62"/>
    </row>
    <row r="982">
      <c r="D982" s="62"/>
      <c r="E982" s="62"/>
      <c r="F982" s="62"/>
      <c r="J982" s="62"/>
    </row>
    <row r="983">
      <c r="D983" s="62"/>
      <c r="E983" s="62"/>
      <c r="F983" s="62"/>
      <c r="J983" s="62"/>
    </row>
    <row r="984">
      <c r="D984" s="62"/>
      <c r="E984" s="62"/>
      <c r="F984" s="62"/>
      <c r="J984" s="62"/>
    </row>
    <row r="985">
      <c r="D985" s="62"/>
      <c r="E985" s="62"/>
      <c r="F985" s="62"/>
      <c r="J985" s="62"/>
    </row>
    <row r="986">
      <c r="D986" s="62"/>
      <c r="E986" s="62"/>
      <c r="F986" s="62"/>
      <c r="J986" s="62"/>
    </row>
    <row r="987">
      <c r="D987" s="62"/>
      <c r="E987" s="62"/>
      <c r="F987" s="62"/>
      <c r="J987" s="62"/>
    </row>
    <row r="988">
      <c r="D988" s="62"/>
      <c r="E988" s="62"/>
      <c r="F988" s="62"/>
      <c r="J988" s="62"/>
    </row>
    <row r="989">
      <c r="D989" s="62"/>
      <c r="E989" s="62"/>
      <c r="F989" s="62"/>
      <c r="J989" s="62"/>
    </row>
    <row r="990">
      <c r="D990" s="62"/>
      <c r="E990" s="62"/>
      <c r="F990" s="62"/>
      <c r="J990" s="62"/>
    </row>
    <row r="991">
      <c r="D991" s="62"/>
      <c r="E991" s="62"/>
      <c r="F991" s="62"/>
      <c r="J991" s="62"/>
    </row>
    <row r="992">
      <c r="D992" s="62"/>
      <c r="E992" s="62"/>
      <c r="F992" s="62"/>
      <c r="J992" s="62"/>
    </row>
    <row r="993">
      <c r="D993" s="62"/>
      <c r="E993" s="62"/>
      <c r="F993" s="62"/>
      <c r="J993" s="62"/>
    </row>
    <row r="994">
      <c r="D994" s="62"/>
      <c r="E994" s="62"/>
      <c r="F994" s="62"/>
      <c r="J994" s="62"/>
    </row>
    <row r="995">
      <c r="D995" s="62"/>
      <c r="E995" s="62"/>
      <c r="F995" s="62"/>
      <c r="J995" s="62"/>
    </row>
    <row r="996">
      <c r="D996" s="62"/>
      <c r="E996" s="62"/>
      <c r="F996" s="62"/>
      <c r="J996" s="62"/>
    </row>
    <row r="997">
      <c r="D997" s="62"/>
      <c r="E997" s="62"/>
      <c r="F997" s="62"/>
      <c r="J997" s="62"/>
    </row>
    <row r="998">
      <c r="D998" s="62"/>
      <c r="E998" s="62"/>
      <c r="F998" s="62"/>
      <c r="J998" s="62"/>
    </row>
    <row r="999">
      <c r="D999" s="62"/>
      <c r="E999" s="62"/>
      <c r="F999" s="62"/>
      <c r="J999" s="62"/>
    </row>
    <row r="1000">
      <c r="D1000" s="62"/>
      <c r="E1000" s="62"/>
      <c r="F1000" s="62"/>
      <c r="J1000" s="62"/>
    </row>
  </sheetData>
  <autoFilter ref="$A$1:$G$72"/>
  <mergeCells count="2">
    <mergeCell ref="A1:G1"/>
    <mergeCell ref="H1:K1"/>
  </mergeCells>
  <conditionalFormatting sqref="A1:A1000">
    <cfRule type="containsText" dxfId="0" priority="1" operator="containsText" text="Unassigned">
      <formula>NOT(ISERROR(SEARCH(("Unassigned"),(A1))))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2" width="15.0"/>
    <col customWidth="1" min="3" max="3" width="13.71"/>
    <col customWidth="1" min="4" max="4" width="18.86"/>
    <col customWidth="1" min="5" max="5" width="19.57"/>
    <col customWidth="1" min="6" max="6" width="28.0"/>
    <col customWidth="1" min="7" max="7" width="13.43"/>
    <col customWidth="1" min="8" max="8" width="20.86"/>
    <col customWidth="1" min="9" max="9" width="23.71"/>
    <col customWidth="1" min="10" max="10" width="28.29"/>
    <col customWidth="1" min="11" max="11" width="38.71"/>
    <col customWidth="1" min="12" max="12" width="51.71"/>
  </cols>
  <sheetData>
    <row r="1">
      <c r="A1" s="123" t="s">
        <v>12</v>
      </c>
      <c r="B1" s="9"/>
      <c r="C1" s="9"/>
      <c r="D1" s="9"/>
      <c r="E1" s="9"/>
      <c r="F1" s="9"/>
      <c r="G1" s="10"/>
      <c r="H1" s="107" t="s">
        <v>25</v>
      </c>
    </row>
    <row r="2">
      <c r="A2" s="124" t="s">
        <v>0</v>
      </c>
      <c r="B2" s="125" t="s">
        <v>73</v>
      </c>
      <c r="C2" s="125" t="s">
        <v>74</v>
      </c>
      <c r="D2" s="126" t="s">
        <v>75</v>
      </c>
      <c r="E2" s="126" t="s">
        <v>329</v>
      </c>
      <c r="F2" s="126" t="s">
        <v>330</v>
      </c>
      <c r="G2" s="125" t="s">
        <v>199</v>
      </c>
      <c r="H2" s="111" t="s">
        <v>331</v>
      </c>
      <c r="I2" s="112" t="s">
        <v>332</v>
      </c>
      <c r="J2" s="112" t="s">
        <v>333</v>
      </c>
      <c r="K2" s="127" t="s">
        <v>334</v>
      </c>
      <c r="L2" s="128" t="s">
        <v>101</v>
      </c>
    </row>
    <row r="3">
      <c r="A3" t="str">
        <f>IFERROR(__xludf.DUMMYFUNCTION("filter(Assignments!B3:B1000,Assignments!P3:P1000=""Variant Pathogenicity"",Assignments!O3:O1000=""Comprehensive"")"),"Contacted")</f>
        <v>Contacted</v>
      </c>
      <c r="B3" t="str">
        <f>IFERROR(__xludf.DUMMYFUNCTION("filter(Assignments!C3:C1000,Assignments!P3:P1000=""Variant Pathogenicity"",Assignments!O3:O1000=""Comprehensive"")"),"")</f>
        <v/>
      </c>
      <c r="C3" s="114">
        <f>IFERROR(__xludf.DUMMYFUNCTION("filter(Assignments!D3:D1000,Assignments!P3:P1000=""Variant Pathogenicity"",Assignments!O3:O1000=""Comprehensive"")"),43605.0)</f>
        <v>43605</v>
      </c>
      <c r="D3" s="102" t="str">
        <f>IFERROR(__xludf.DUMMYFUNCTION("filter(Assignments!E3:E1000,Assignments!P3:P1000=""Variant Pathogenicity"",Assignments!O3:O1000=""Comprehensive"")"),"Yes")</f>
        <v>Yes</v>
      </c>
      <c r="E3" s="102" t="str">
        <f>IFERROR(__xludf.DUMMYFUNCTION("filter(Assignments!F3:F1000,Assignments!P3:P1000=""Variant Pathogenicity"",Assignments!O3:O1000=""Comprehensive"")"),"Yes")</f>
        <v>Yes</v>
      </c>
      <c r="F3" s="62" t="str">
        <f>IFERROR(__xludf.DUMMYFUNCTION("filter(Assignments!G3:G1000,Assignments!P3:P1000=""Variant Pathogenicity"",Assignments!O3:O1000=""Comprehensive"")"),"Variant Pathogenicity")</f>
        <v>Variant Pathogenicity</v>
      </c>
      <c r="G3" t="str">
        <f>IFERROR(__xludf.DUMMYFUNCTION("filter(Assignments!H3:H1000,Assignments!P3:P1000=""Variant Pathogenicity"",Assignments!O3:O1000=""Comprehensive"")"),"Hearing Loss")</f>
        <v>Hearing Loss</v>
      </c>
      <c r="H3" t="str">
        <f>IFERROR(__xludf.DUMMYFUNCTION("filter(Assignments!L3:L1000,Assignments!P3:P1000=""Variant Pathogenicity"",Assignments!O3:O1000=""Comprehensive"")"),"Adam Coovadia")</f>
        <v>Adam Coovadia</v>
      </c>
      <c r="I3" t="str">
        <f>IFERROR(__xludf.DUMMYFUNCTION("filter(Assignments!M3:M1000,Assignments!P3:P1000=""Variant Pathogenicity"",Assignments!O3:O1000=""Comprehensive"")"),"coovadiaa@gmail.com")</f>
        <v>coovadiaa@gmail.com</v>
      </c>
      <c r="J3" s="62" t="str">
        <f>IFERROR(__xludf.DUMMYFUNCTION("filter(Assignments!O3:O1000,Assignments!P3:P1000=""Variant Pathogenicity"",Assignments!O3:O1000=""Comprehensive"")"),"Comprehensive")</f>
        <v>Comprehensive</v>
      </c>
      <c r="K3" s="129" t="str">
        <f>IFERROR(__xludf.DUMMYFUNCTION("filter(Assignments!W3:W1000,Assignments!P3:P1000=""Variant Pathogenicity"",Assignments!O3:O1000=""Comprehensive"")"),"")</f>
        <v/>
      </c>
      <c r="L3" s="130" t="str">
        <f>IFERROR(__xludf.DUMMYFUNCTION("filter(Assignments!U3:U1000,Assignments!P3:P1000=""Variant Pathogenicity"",Assignments!O3:O1000=""Comprehensive"")"),"")</f>
        <v/>
      </c>
    </row>
    <row r="4">
      <c r="A4" t="str">
        <f>IFERROR(__xludf.DUMMYFUNCTION("""COMPUTED_VALUE"""),"Unresponsive")</f>
        <v>Unresponsive</v>
      </c>
      <c r="B4" s="115">
        <f>IFERROR(__xludf.DUMMYFUNCTION("""COMPUTED_VALUE"""),43439.0)</f>
        <v>43439</v>
      </c>
      <c r="C4" t="str">
        <f>IFERROR(__xludf.DUMMYFUNCTION("""COMPUTED_VALUE"""),"")</f>
        <v/>
      </c>
      <c r="D4" s="62" t="str">
        <f>IFERROR(__xludf.DUMMYFUNCTION("""COMPUTED_VALUE"""),"No")</f>
        <v>No</v>
      </c>
      <c r="E4" s="62" t="str">
        <f>IFERROR(__xludf.DUMMYFUNCTION("""COMPUTED_VALUE"""),"No")</f>
        <v>No</v>
      </c>
      <c r="F4" s="62" t="str">
        <f>IFERROR(__xludf.DUMMYFUNCTION("""COMPUTED_VALUE"""),"Variant Pathogenicity")</f>
        <v>Variant Pathogenicity</v>
      </c>
      <c r="G4" t="str">
        <f>IFERROR(__xludf.DUMMYFUNCTION("""COMPUTED_VALUE"""),"")</f>
        <v/>
      </c>
      <c r="H4" t="str">
        <f>IFERROR(__xludf.DUMMYFUNCTION("""COMPUTED_VALUE"""),"Daniel Bellissimo")</f>
        <v>Daniel Bellissimo</v>
      </c>
      <c r="I4" t="str">
        <f>IFERROR(__xludf.DUMMYFUNCTION("""COMPUTED_VALUE"""),"BELLISSIMOD@MAIL.MAGEE.EDU")</f>
        <v>BELLISSIMOD@MAIL.MAGEE.EDU</v>
      </c>
      <c r="J4" s="62" t="str">
        <f>IFERROR(__xludf.DUMMYFUNCTION("""COMPUTED_VALUE"""),"Comprehensive")</f>
        <v>Comprehensive</v>
      </c>
      <c r="K4" s="129" t="str">
        <f>IFERROR(__xludf.DUMMYFUNCTION("""COMPUTED_VALUE"""),"I was told work groups were being formed for Platelet/Bleeding Disorders and VWD. I would be interested in those work groups.")</f>
        <v>I was told work groups were being formed for Platelet/Bleeding Disorders and VWD. I would be interested in those work groups.</v>
      </c>
      <c r="L4" t="str">
        <f>IFERROR(__xludf.DUMMYFUNCTION("""COMPUTED_VALUE"""),"yes")</f>
        <v>yes</v>
      </c>
    </row>
    <row r="5">
      <c r="A5" t="str">
        <f>IFERROR(__xludf.DUMMYFUNCTION("""COMPUTED_VALUE"""),"Contacted")</f>
        <v>Contacted</v>
      </c>
      <c r="B5" s="115">
        <f>IFERROR(__xludf.DUMMYFUNCTION("""COMPUTED_VALUE"""),43439.0)</f>
        <v>43439</v>
      </c>
      <c r="C5" t="str">
        <f>IFERROR(__xludf.DUMMYFUNCTION("""COMPUTED_VALUE"""),"")</f>
        <v/>
      </c>
      <c r="D5" s="62" t="str">
        <f>IFERROR(__xludf.DUMMYFUNCTION("""COMPUTED_VALUE"""),"No")</f>
        <v>No</v>
      </c>
      <c r="E5" s="62" t="str">
        <f>IFERROR(__xludf.DUMMYFUNCTION("""COMPUTED_VALUE"""),"No")</f>
        <v>No</v>
      </c>
      <c r="F5" s="62" t="str">
        <f>IFERROR(__xludf.DUMMYFUNCTION("""COMPUTED_VALUE"""),"Variant Pathogenicity")</f>
        <v>Variant Pathogenicity</v>
      </c>
      <c r="G5" t="str">
        <f>IFERROR(__xludf.DUMMYFUNCTION("""COMPUTED_VALUE"""),"")</f>
        <v/>
      </c>
      <c r="H5" t="str">
        <f>IFERROR(__xludf.DUMMYFUNCTION("""COMPUTED_VALUE"""),"Alexa Dickson ")</f>
        <v>Alexa Dickson </v>
      </c>
      <c r="I5" t="str">
        <f>IFERROR(__xludf.DUMMYFUNCTION("""COMPUTED_VALUE"""),"alexa.dickson@aruplab.com")</f>
        <v>alexa.dickson@aruplab.com</v>
      </c>
      <c r="J5" s="62" t="str">
        <f>IFERROR(__xludf.DUMMYFUNCTION("""COMPUTED_VALUE"""),"Comprehensive")</f>
        <v>Comprehensive</v>
      </c>
      <c r="K5" s="129" t="str">
        <f>IFERROR(__xludf.DUMMYFUNCTION("""COMPUTED_VALUE"""),"retinal disease working group")</f>
        <v>retinal disease working group</v>
      </c>
      <c r="L5" t="str">
        <f>IFERROR(__xludf.DUMMYFUNCTION("""COMPUTED_VALUE"""),"yes")</f>
        <v>yes</v>
      </c>
    </row>
    <row r="6">
      <c r="A6" s="131" t="str">
        <f>IFERROR(__xludf.DUMMYFUNCTION("""COMPUTED_VALUE"""),"Unresponsive")</f>
        <v>Unresponsive</v>
      </c>
      <c r="B6" s="132">
        <f>IFERROR(__xludf.DUMMYFUNCTION("""COMPUTED_VALUE"""),43439.0)</f>
        <v>43439</v>
      </c>
      <c r="C6" s="133">
        <f>IFERROR(__xludf.DUMMYFUNCTION("""COMPUTED_VALUE"""),43605.0)</f>
        <v>43605</v>
      </c>
      <c r="D6" s="134" t="str">
        <f>IFERROR(__xludf.DUMMYFUNCTION("""COMPUTED_VALUE"""),"Yes")</f>
        <v>Yes</v>
      </c>
      <c r="E6" s="134" t="str">
        <f>IFERROR(__xludf.DUMMYFUNCTION("""COMPUTED_VALUE"""),"Yes")</f>
        <v>Yes</v>
      </c>
      <c r="F6" s="134" t="str">
        <f>IFERROR(__xludf.DUMMYFUNCTION("""COMPUTED_VALUE"""),"Variant Pathogenicity")</f>
        <v>Variant Pathogenicity</v>
      </c>
      <c r="G6" s="131" t="str">
        <f>IFERROR(__xludf.DUMMYFUNCTION("""COMPUTED_VALUE"""),"")</f>
        <v/>
      </c>
      <c r="H6" s="131" t="str">
        <f>IFERROR(__xludf.DUMMYFUNCTION("""COMPUTED_VALUE"""),"Luke Drury")</f>
        <v>Luke Drury</v>
      </c>
      <c r="I6" s="131" t="str">
        <f>IFERROR(__xludf.DUMMYFUNCTION("""COMPUTED_VALUE"""),"luke.drury@preventiongenetics.com")</f>
        <v>luke.drury@preventiongenetics.com</v>
      </c>
      <c r="J6" s="134" t="str">
        <f>IFERROR(__xludf.DUMMYFUNCTION("""COMPUTED_VALUE"""),"Comprehensive")</f>
        <v>Comprehensive</v>
      </c>
      <c r="K6" s="135" t="str">
        <f>IFERROR(__xludf.DUMMYFUNCTION("""COMPUTED_VALUE"""),"any WG")</f>
        <v>any WG</v>
      </c>
      <c r="L6" s="136" t="str">
        <f>IFERROR(__xludf.DUMMYFUNCTION("""COMPUTED_VALUE"""),"yes")</f>
        <v>yes</v>
      </c>
      <c r="M6" s="136"/>
      <c r="N6" s="136"/>
      <c r="O6" s="136"/>
      <c r="P6" s="136"/>
      <c r="Q6" s="136"/>
      <c r="R6" s="136"/>
      <c r="S6" s="136"/>
      <c r="T6" s="136"/>
      <c r="U6" s="136"/>
      <c r="V6" s="136"/>
      <c r="W6" s="136"/>
      <c r="X6" s="136"/>
      <c r="Y6" s="136"/>
      <c r="Z6" s="136"/>
    </row>
    <row r="7">
      <c r="A7" s="131" t="str">
        <f>IFERROR(__xludf.DUMMYFUNCTION("""COMPUTED_VALUE"""),"Assigned")</f>
        <v>Assigned</v>
      </c>
      <c r="B7" s="132">
        <f>IFERROR(__xludf.DUMMYFUNCTION("""COMPUTED_VALUE"""),43439.0)</f>
        <v>43439</v>
      </c>
      <c r="C7" s="133">
        <f>IFERROR(__xludf.DUMMYFUNCTION("""COMPUTED_VALUE"""),43605.0)</f>
        <v>43605</v>
      </c>
      <c r="D7" s="134" t="str">
        <f>IFERROR(__xludf.DUMMYFUNCTION("""COMPUTED_VALUE"""),"Yes")</f>
        <v>Yes</v>
      </c>
      <c r="E7" s="134" t="str">
        <f>IFERROR(__xludf.DUMMYFUNCTION("""COMPUTED_VALUE"""),"Yes")</f>
        <v>Yes</v>
      </c>
      <c r="F7" s="134" t="str">
        <f>IFERROR(__xludf.DUMMYFUNCTION("""COMPUTED_VALUE"""),"Variant Pathogenicity")</f>
        <v>Variant Pathogenicity</v>
      </c>
      <c r="G7" s="131" t="str">
        <f>IFERROR(__xludf.DUMMYFUNCTION("""COMPUTED_VALUE"""),"Storage Disease")</f>
        <v>Storage Disease</v>
      </c>
      <c r="H7" s="131" t="str">
        <f>IFERROR(__xludf.DUMMYFUNCTION("""COMPUTED_VALUE"""),"Lynne Rosenblum")</f>
        <v>Lynne Rosenblum</v>
      </c>
      <c r="I7" s="131" t="str">
        <f>IFERROR(__xludf.DUMMYFUNCTION("""COMPUTED_VALUE"""),"lynne.rosenblum@integratedgenetics.com")</f>
        <v>lynne.rosenblum@integratedgenetics.com</v>
      </c>
      <c r="J7" s="134" t="str">
        <f>IFERROR(__xludf.DUMMYFUNCTION("""COMPUTED_VALUE"""),"Comprehensive")</f>
        <v>Comprehensive</v>
      </c>
      <c r="K7" s="135" t="str">
        <f>IFERROR(__xludf.DUMMYFUNCTION("""COMPUTED_VALUE"""),"storage disease and somatic/germline working groups, but am open to other opportunities.")</f>
        <v>storage disease and somatic/germline working groups, but am open to other opportunities.</v>
      </c>
      <c r="L7" t="str">
        <f>IFERROR(__xludf.DUMMYFUNCTION("""COMPUTED_VALUE"""),"yes")</f>
        <v>yes</v>
      </c>
    </row>
    <row r="8">
      <c r="A8" s="131" t="str">
        <f>IFERROR(__xludf.DUMMYFUNCTION("""COMPUTED_VALUE"""),"Assigned")</f>
        <v>Assigned</v>
      </c>
      <c r="B8" s="132">
        <f>IFERROR(__xludf.DUMMYFUNCTION("""COMPUTED_VALUE"""),43439.0)</f>
        <v>43439</v>
      </c>
      <c r="C8" s="133">
        <f>IFERROR(__xludf.DUMMYFUNCTION("""COMPUTED_VALUE"""),43605.0)</f>
        <v>43605</v>
      </c>
      <c r="D8" s="134" t="str">
        <f>IFERROR(__xludf.DUMMYFUNCTION("""COMPUTED_VALUE"""),"Yes")</f>
        <v>Yes</v>
      </c>
      <c r="E8" s="134" t="str">
        <f>IFERROR(__xludf.DUMMYFUNCTION("""COMPUTED_VALUE"""),"No")</f>
        <v>No</v>
      </c>
      <c r="F8" s="134" t="str">
        <f>IFERROR(__xludf.DUMMYFUNCTION("""COMPUTED_VALUE"""),"Variant Pathogenicity")</f>
        <v>Variant Pathogenicity</v>
      </c>
      <c r="G8" s="131" t="str">
        <f>IFERROR(__xludf.DUMMYFUNCTION("""COMPUTED_VALUE"""),"ACADVL")</f>
        <v>ACADVL</v>
      </c>
      <c r="H8" s="131" t="str">
        <f>IFERROR(__xludf.DUMMYFUNCTION("""COMPUTED_VALUE"""),"Yang Wang")</f>
        <v>Yang Wang</v>
      </c>
      <c r="I8" s="131" t="str">
        <f>IFERROR(__xludf.DUMMYFUNCTION("""COMPUTED_VALUE"""),"yangwangcmg@gmail.com")</f>
        <v>yangwangcmg@gmail.com</v>
      </c>
      <c r="J8" s="134" t="str">
        <f>IFERROR(__xludf.DUMMYFUNCTION("""COMPUTED_VALUE"""),"Comprehensive")</f>
        <v>Comprehensive</v>
      </c>
      <c r="K8" s="135" t="str">
        <f>IFERROR(__xludf.DUMMYFUNCTION("""COMPUTED_VALUE"""),"hereditary cancer panel and inborn error of metabolism, if not a Baseline Biocurator")</f>
        <v>hereditary cancer panel and inborn error of metabolism, if not a Baseline Biocurator</v>
      </c>
      <c r="L8" s="136" t="str">
        <f>IFERROR(__xludf.DUMMYFUNCTION("""COMPUTED_VALUE"""),"yes")</f>
        <v>yes</v>
      </c>
      <c r="M8" s="136"/>
      <c r="N8" s="136"/>
      <c r="O8" s="136"/>
      <c r="P8" s="136"/>
      <c r="Q8" s="136"/>
      <c r="R8" s="136"/>
      <c r="S8" s="136"/>
      <c r="T8" s="136"/>
      <c r="U8" s="136"/>
      <c r="V8" s="136"/>
      <c r="W8" s="136"/>
      <c r="X8" s="136"/>
      <c r="Y8" s="136"/>
      <c r="Z8" s="136"/>
    </row>
    <row r="9">
      <c r="A9" s="131" t="str">
        <f>IFERROR(__xludf.DUMMYFUNCTION("""COMPUTED_VALUE"""),"Unresponsive")</f>
        <v>Unresponsive</v>
      </c>
      <c r="B9" s="132">
        <f>IFERROR(__xludf.DUMMYFUNCTION("""COMPUTED_VALUE"""),43439.0)</f>
        <v>43439</v>
      </c>
      <c r="C9" s="131" t="str">
        <f>IFERROR(__xludf.DUMMYFUNCTION("""COMPUTED_VALUE"""),"")</f>
        <v/>
      </c>
      <c r="D9" s="134" t="str">
        <f>IFERROR(__xludf.DUMMYFUNCTION("""COMPUTED_VALUE"""),"No")</f>
        <v>No</v>
      </c>
      <c r="E9" s="134" t="str">
        <f>IFERROR(__xludf.DUMMYFUNCTION("""COMPUTED_VALUE"""),"No")</f>
        <v>No</v>
      </c>
      <c r="F9" s="134" t="str">
        <f>IFERROR(__xludf.DUMMYFUNCTION("""COMPUTED_VALUE"""),"Variant Pathogenicity")</f>
        <v>Variant Pathogenicity</v>
      </c>
      <c r="G9" s="131" t="str">
        <f>IFERROR(__xludf.DUMMYFUNCTION("""COMPUTED_VALUE"""),"")</f>
        <v/>
      </c>
      <c r="H9" s="131" t="str">
        <f>IFERROR(__xludf.DUMMYFUNCTION("""COMPUTED_VALUE"""),"Samya Chakravorty")</f>
        <v>Samya Chakravorty</v>
      </c>
      <c r="I9" s="131" t="str">
        <f>IFERROR(__xludf.DUMMYFUNCTION("""COMPUTED_VALUE"""),"samya.chakravorty@emory.edu")</f>
        <v>samya.chakravorty@emory.edu</v>
      </c>
      <c r="J9" s="134" t="str">
        <f>IFERROR(__xludf.DUMMYFUNCTION("""COMPUTED_VALUE"""),"Comprehensive")</f>
        <v>Comprehensive</v>
      </c>
      <c r="K9" s="135" t="str">
        <f>IFERROR(__xludf.DUMMYFUNCTION("""COMPUTED_VALUE"""),"1. Storage Diseases Variant Curation Expert Panel 2. Epilepsy Gene Curation Expert Panel 3. Cardiovascular Dilated Cardiomyopathy Gene Curation Expert Panel")</f>
        <v>1. Storage Diseases Variant Curation Expert Panel 2. Epilepsy Gene Curation Expert Panel 3. Cardiovascular Dilated Cardiomyopathy Gene Curation Expert Panel</v>
      </c>
      <c r="L9" s="136" t="str">
        <f>IFERROR(__xludf.DUMMYFUNCTION("""COMPUTED_VALUE"""),"yes")</f>
        <v>yes</v>
      </c>
      <c r="M9" s="136"/>
      <c r="N9" s="136"/>
      <c r="O9" s="136"/>
      <c r="P9" s="136"/>
      <c r="Q9" s="136"/>
      <c r="R9" s="136"/>
      <c r="S9" s="136"/>
      <c r="T9" s="136"/>
      <c r="U9" s="136"/>
      <c r="V9" s="136"/>
      <c r="W9" s="136"/>
      <c r="X9" s="136"/>
      <c r="Y9" s="136"/>
      <c r="Z9" s="136"/>
    </row>
    <row r="10">
      <c r="A10" s="131" t="str">
        <f>IFERROR(__xludf.DUMMYFUNCTION("""COMPUTED_VALUE"""),"Unresponsive")</f>
        <v>Unresponsive</v>
      </c>
      <c r="B10" s="132">
        <f>IFERROR(__xludf.DUMMYFUNCTION("""COMPUTED_VALUE"""),43439.0)</f>
        <v>43439</v>
      </c>
      <c r="C10" s="131" t="str">
        <f>IFERROR(__xludf.DUMMYFUNCTION("""COMPUTED_VALUE"""),"")</f>
        <v/>
      </c>
      <c r="D10" s="134" t="str">
        <f>IFERROR(__xludf.DUMMYFUNCTION("""COMPUTED_VALUE"""),"No")</f>
        <v>No</v>
      </c>
      <c r="E10" s="134" t="str">
        <f>IFERROR(__xludf.DUMMYFUNCTION("""COMPUTED_VALUE"""),"No")</f>
        <v>No</v>
      </c>
      <c r="F10" s="134" t="str">
        <f>IFERROR(__xludf.DUMMYFUNCTION("""COMPUTED_VALUE"""),"Variant Pathogenicity")</f>
        <v>Variant Pathogenicity</v>
      </c>
      <c r="G10" s="131" t="str">
        <f>IFERROR(__xludf.DUMMYFUNCTION("""COMPUTED_VALUE"""),"")</f>
        <v/>
      </c>
      <c r="H10" s="131" t="str">
        <f>IFERROR(__xludf.DUMMYFUNCTION("""COMPUTED_VALUE"""),"Marco Leung")</f>
        <v>Marco Leung</v>
      </c>
      <c r="I10" s="131" t="str">
        <f>IFERROR(__xludf.DUMMYFUNCTION("""COMPUTED_VALUE"""),"leungm@email.chop.edu")</f>
        <v>leungm@email.chop.edu</v>
      </c>
      <c r="J10" s="134" t="str">
        <f>IFERROR(__xludf.DUMMYFUNCTION("""COMPUTED_VALUE"""),"Comprehensive")</f>
        <v>Comprehensive</v>
      </c>
      <c r="K10" s="135" t="str">
        <f>IFERROR(__xludf.DUMMYFUNCTION("""COMPUTED_VALUE"""),"Hereditary cancers; neurodevelopmental disorders; polivy making")</f>
        <v>Hereditary cancers; neurodevelopmental disorders; polivy making</v>
      </c>
      <c r="L10" t="str">
        <f>IFERROR(__xludf.DUMMYFUNCTION("""COMPUTED_VALUE"""),"yes")</f>
        <v>yes</v>
      </c>
    </row>
    <row r="11">
      <c r="A11" s="131" t="str">
        <f>IFERROR(__xludf.DUMMYFUNCTION("""COMPUTED_VALUE"""),"Unresponsive")</f>
        <v>Unresponsive</v>
      </c>
      <c r="B11" s="132">
        <f>IFERROR(__xludf.DUMMYFUNCTION("""COMPUTED_VALUE"""),43439.0)</f>
        <v>43439</v>
      </c>
      <c r="C11" s="131" t="str">
        <f>IFERROR(__xludf.DUMMYFUNCTION("""COMPUTED_VALUE"""),"")</f>
        <v/>
      </c>
      <c r="D11" s="134" t="str">
        <f>IFERROR(__xludf.DUMMYFUNCTION("""COMPUTED_VALUE"""),"No")</f>
        <v>No</v>
      </c>
      <c r="E11" s="134" t="str">
        <f>IFERROR(__xludf.DUMMYFUNCTION("""COMPUTED_VALUE"""),"No")</f>
        <v>No</v>
      </c>
      <c r="F11" s="134" t="str">
        <f>IFERROR(__xludf.DUMMYFUNCTION("""COMPUTED_VALUE"""),"Variant Pathogenicity")</f>
        <v>Variant Pathogenicity</v>
      </c>
      <c r="G11" s="131" t="str">
        <f>IFERROR(__xludf.DUMMYFUNCTION("""COMPUTED_VALUE"""),"")</f>
        <v/>
      </c>
      <c r="H11" s="131" t="str">
        <f>IFERROR(__xludf.DUMMYFUNCTION("""COMPUTED_VALUE"""),"Emily Groopman")</f>
        <v>Emily Groopman</v>
      </c>
      <c r="I11" s="131" t="str">
        <f>IFERROR(__xludf.DUMMYFUNCTION("""COMPUTED_VALUE"""),"ee.groopman@gmail.com")</f>
        <v>ee.groopman@gmail.com</v>
      </c>
      <c r="J11" s="134" t="str">
        <f>IFERROR(__xludf.DUMMYFUNCTION("""COMPUTED_VALUE"""),"Comprehensive")</f>
        <v>Comprehensive</v>
      </c>
      <c r="K11" s="135" t="str">
        <f>IFERROR(__xludf.DUMMYFUNCTION("""COMPUTED_VALUE"""),"Aminoacidopathy Gene Curation Expert Panel, Storage Diseases Variant Curation Expert Panel, and Hereditary Cancer Gene Curation Expert Pane")</f>
        <v>Aminoacidopathy Gene Curation Expert Panel, Storage Diseases Variant Curation Expert Panel, and Hereditary Cancer Gene Curation Expert Pane</v>
      </c>
      <c r="L11" s="136" t="str">
        <f>IFERROR(__xludf.DUMMYFUNCTION("""COMPUTED_VALUE"""),"yes")</f>
        <v>yes</v>
      </c>
      <c r="M11" s="136"/>
      <c r="N11" s="136"/>
      <c r="O11" s="136"/>
      <c r="P11" s="136"/>
      <c r="Q11" s="136"/>
      <c r="R11" s="136"/>
      <c r="S11" s="136"/>
      <c r="T11" s="136"/>
      <c r="U11" s="136"/>
      <c r="V11" s="136"/>
      <c r="W11" s="136"/>
      <c r="X11" s="136"/>
      <c r="Y11" s="136"/>
      <c r="Z11" s="136"/>
    </row>
    <row r="12">
      <c r="A12" s="131" t="str">
        <f>IFERROR(__xludf.DUMMYFUNCTION("""COMPUTED_VALUE"""),"Assigned")</f>
        <v>Assigned</v>
      </c>
      <c r="B12" s="132">
        <f>IFERROR(__xludf.DUMMYFUNCTION("""COMPUTED_VALUE"""),43439.0)</f>
        <v>43439</v>
      </c>
      <c r="C12" s="133">
        <f>IFERROR(__xludf.DUMMYFUNCTION("""COMPUTED_VALUE"""),43608.0)</f>
        <v>43608</v>
      </c>
      <c r="D12" s="134" t="str">
        <f>IFERROR(__xludf.DUMMYFUNCTION("""COMPUTED_VALUE"""),"Yes")</f>
        <v>Yes</v>
      </c>
      <c r="E12" s="134" t="str">
        <f>IFERROR(__xludf.DUMMYFUNCTION("""COMPUTED_VALUE"""),"Yes")</f>
        <v>Yes</v>
      </c>
      <c r="F12" s="134" t="str">
        <f>IFERROR(__xludf.DUMMYFUNCTION("""COMPUTED_VALUE"""),"Variant Pathogenicity")</f>
        <v>Variant Pathogenicity</v>
      </c>
      <c r="G12" s="131" t="str">
        <f>IFERROR(__xludf.DUMMYFUNCTION("""COMPUTED_VALUE"""),"Brain Malformations")</f>
        <v>Brain Malformations</v>
      </c>
      <c r="H12" s="131" t="str">
        <f>IFERROR(__xludf.DUMMYFUNCTION("""COMPUTED_VALUE"""),"Rhonda Lassiter ")</f>
        <v>Rhonda Lassiter </v>
      </c>
      <c r="I12" s="131" t="str">
        <f>IFERROR(__xludf.DUMMYFUNCTION("""COMPUTED_VALUE"""),"rlassiter@ambrygen.com")</f>
        <v>rlassiter@ambrygen.com</v>
      </c>
      <c r="J12" s="134" t="str">
        <f>IFERROR(__xludf.DUMMYFUNCTION("""COMPUTED_VALUE"""),"Comprehensive")</f>
        <v>Comprehensive</v>
      </c>
      <c r="K12" s="135" t="str">
        <f>IFERROR(__xludf.DUMMYFUNCTION("""COMPUTED_VALUE"""),"I am interested in any of the Neurodevelopmental Disorders CDWG's. I am happy to help wherever there is a need.")</f>
        <v>I am interested in any of the Neurodevelopmental Disorders CDWG's. I am happy to help wherever there is a need.</v>
      </c>
      <c r="L12" t="str">
        <f>IFERROR(__xludf.DUMMYFUNCTION("""COMPUTED_VALUE"""),"yes")</f>
        <v>yes</v>
      </c>
    </row>
    <row r="13">
      <c r="A13" s="131" t="str">
        <f>IFERROR(__xludf.DUMMYFUNCTION("""COMPUTED_VALUE"""),"Contacted")</f>
        <v>Contacted</v>
      </c>
      <c r="B13" s="132">
        <f>IFERROR(__xludf.DUMMYFUNCTION("""COMPUTED_VALUE"""),43439.0)</f>
        <v>43439</v>
      </c>
      <c r="C13" s="133">
        <f>IFERROR(__xludf.DUMMYFUNCTION("""COMPUTED_VALUE"""),43608.0)</f>
        <v>43608</v>
      </c>
      <c r="D13" s="134" t="str">
        <f>IFERROR(__xludf.DUMMYFUNCTION("""COMPUTED_VALUE"""),"Yes")</f>
        <v>Yes</v>
      </c>
      <c r="E13" s="134" t="str">
        <f>IFERROR(__xludf.DUMMYFUNCTION("""COMPUTED_VALUE"""),"Yes")</f>
        <v>Yes</v>
      </c>
      <c r="F13" s="134" t="str">
        <f>IFERROR(__xludf.DUMMYFUNCTION("""COMPUTED_VALUE"""),"Variant Pathogenicity")</f>
        <v>Variant Pathogenicity</v>
      </c>
      <c r="G13" s="131" t="str">
        <f>IFERROR(__xludf.DUMMYFUNCTION("""COMPUTED_VALUE"""),"Mito")</f>
        <v>Mito</v>
      </c>
      <c r="H13" s="131" t="str">
        <f>IFERROR(__xludf.DUMMYFUNCTION("""COMPUTED_VALUE"""),"Emma Reble ")</f>
        <v>Emma Reble </v>
      </c>
      <c r="I13" s="131" t="str">
        <f>IFERROR(__xludf.DUMMYFUNCTION("""COMPUTED_VALUE"""),"reblee@smh.ca")</f>
        <v>reblee@smh.ca</v>
      </c>
      <c r="J13" s="134" t="str">
        <f>IFERROR(__xludf.DUMMYFUNCTION("""COMPUTED_VALUE"""),"Comprehensive")</f>
        <v>Comprehensive</v>
      </c>
      <c r="K13" s="135" t="str">
        <f>IFERROR(__xludf.DUMMYFUNCTION("""COMPUTED_VALUE"""),"I am interest in the neurodevelopmental disorder CDWG, particularly the Autism and ID group.")</f>
        <v>I am interest in the neurodevelopmental disorder CDWG, particularly the Autism and ID group.</v>
      </c>
      <c r="L13" s="136" t="str">
        <f>IFERROR(__xludf.DUMMYFUNCTION("""COMPUTED_VALUE"""),"yes")</f>
        <v>yes</v>
      </c>
      <c r="M13" s="136"/>
      <c r="N13" s="136"/>
      <c r="O13" s="136"/>
      <c r="P13" s="136"/>
      <c r="Q13" s="136"/>
      <c r="R13" s="136"/>
      <c r="S13" s="136"/>
      <c r="T13" s="136"/>
      <c r="U13" s="136"/>
      <c r="V13" s="136"/>
      <c r="W13" s="136"/>
      <c r="X13" s="136"/>
      <c r="Y13" s="136"/>
      <c r="Z13" s="136"/>
    </row>
    <row r="14">
      <c r="A14" s="131" t="str">
        <f>IFERROR(__xludf.DUMMYFUNCTION("""COMPUTED_VALUE"""),"Unresponsive")</f>
        <v>Unresponsive</v>
      </c>
      <c r="B14" s="132">
        <f>IFERROR(__xludf.DUMMYFUNCTION("""COMPUTED_VALUE"""),43439.0)</f>
        <v>43439</v>
      </c>
      <c r="C14" s="133" t="str">
        <f>IFERROR(__xludf.DUMMYFUNCTION("""COMPUTED_VALUE"""),"")</f>
        <v/>
      </c>
      <c r="D14" s="134" t="str">
        <f>IFERROR(__xludf.DUMMYFUNCTION("""COMPUTED_VALUE"""),"No")</f>
        <v>No</v>
      </c>
      <c r="E14" s="134" t="str">
        <f>IFERROR(__xludf.DUMMYFUNCTION("""COMPUTED_VALUE"""),"No")</f>
        <v>No</v>
      </c>
      <c r="F14" s="134" t="str">
        <f>IFERROR(__xludf.DUMMYFUNCTION("""COMPUTED_VALUE"""),"Variant Pathogenicity")</f>
        <v>Variant Pathogenicity</v>
      </c>
      <c r="G14" s="131" t="str">
        <f>IFERROR(__xludf.DUMMYFUNCTION("""COMPUTED_VALUE"""),"")</f>
        <v/>
      </c>
      <c r="H14" s="131" t="str">
        <f>IFERROR(__xludf.DUMMYFUNCTION("""COMPUTED_VALUE"""),"Bryony Thompson")</f>
        <v>Bryony Thompson</v>
      </c>
      <c r="I14" s="131" t="str">
        <f>IFERROR(__xludf.DUMMYFUNCTION("""COMPUTED_VALUE"""),"Bryony.Thompson@mh.org.au")</f>
        <v>Bryony.Thompson@mh.org.au</v>
      </c>
      <c r="J14" s="134" t="str">
        <f>IFERROR(__xludf.DUMMYFUNCTION("""COMPUTED_VALUE"""),"Comprehensive")</f>
        <v>Comprehensive</v>
      </c>
      <c r="K14" s="135" t="str">
        <f>IFERROR(__xludf.DUMMYFUNCTION("""COMPUTED_VALUE"""),"CDH1 Variant Curation Expert Panel")</f>
        <v>CDH1 Variant Curation Expert Panel</v>
      </c>
      <c r="L14" t="str">
        <f>IFERROR(__xludf.DUMMYFUNCTION("""COMPUTED_VALUE"""),"yes")</f>
        <v>yes</v>
      </c>
    </row>
    <row r="15">
      <c r="A15" s="131" t="str">
        <f>IFERROR(__xludf.DUMMYFUNCTION("""COMPUTED_VALUE"""),"Assigned")</f>
        <v>Assigned</v>
      </c>
      <c r="B15" s="132">
        <f>IFERROR(__xludf.DUMMYFUNCTION("""COMPUTED_VALUE"""),43439.0)</f>
        <v>43439</v>
      </c>
      <c r="C15" s="133">
        <f>IFERROR(__xludf.DUMMYFUNCTION("""COMPUTED_VALUE"""),43608.0)</f>
        <v>43608</v>
      </c>
      <c r="D15" s="134" t="str">
        <f>IFERROR(__xludf.DUMMYFUNCTION("""COMPUTED_VALUE"""),"Yes")</f>
        <v>Yes</v>
      </c>
      <c r="E15" s="134" t="str">
        <f>IFERROR(__xludf.DUMMYFUNCTION("""COMPUTED_VALUE"""),"Yes")</f>
        <v>Yes</v>
      </c>
      <c r="F15" s="134" t="str">
        <f>IFERROR(__xludf.DUMMYFUNCTION("""COMPUTED_VALUE"""),"Variant Pathogenicity")</f>
        <v>Variant Pathogenicity</v>
      </c>
      <c r="G15" s="131" t="str">
        <f>IFERROR(__xludf.DUMMYFUNCTION("""COMPUTED_VALUE"""),"Coagulation Factor Deficiency")</f>
        <v>Coagulation Factor Deficiency</v>
      </c>
      <c r="H15" s="131" t="str">
        <f>IFERROR(__xludf.DUMMYFUNCTION("""COMPUTED_VALUE"""),"Qiliang Ding")</f>
        <v>Qiliang Ding</v>
      </c>
      <c r="I15" s="131" t="str">
        <f>IFERROR(__xludf.DUMMYFUNCTION("""COMPUTED_VALUE"""),"qd29@cornell.edu")</f>
        <v>qd29@cornell.edu</v>
      </c>
      <c r="J15" s="134" t="str">
        <f>IFERROR(__xludf.DUMMYFUNCTION("""COMPUTED_VALUE"""),"Comprehensive")</f>
        <v>Comprehensive</v>
      </c>
      <c r="K15" s="135" t="str">
        <f>IFERROR(__xludf.DUMMYFUNCTION("""COMPUTED_VALUE"""),"I am interested in all working groups.")</f>
        <v>I am interested in all working groups.</v>
      </c>
      <c r="L15" s="136" t="str">
        <f>IFERROR(__xludf.DUMMYFUNCTION("""COMPUTED_VALUE"""),"yes")</f>
        <v>yes</v>
      </c>
      <c r="M15" s="136"/>
      <c r="N15" s="136"/>
      <c r="O15" s="136"/>
      <c r="P15" s="136"/>
      <c r="Q15" s="136"/>
      <c r="R15" s="136"/>
      <c r="S15" s="136"/>
      <c r="T15" s="136"/>
      <c r="U15" s="136"/>
      <c r="V15" s="136"/>
      <c r="W15" s="136"/>
      <c r="X15" s="136"/>
      <c r="Y15" s="136"/>
      <c r="Z15" s="136"/>
    </row>
    <row r="16">
      <c r="A16" s="131" t="str">
        <f>IFERROR(__xludf.DUMMYFUNCTION("""COMPUTED_VALUE"""),"Contacted")</f>
        <v>Contacted</v>
      </c>
      <c r="B16" s="132">
        <f>IFERROR(__xludf.DUMMYFUNCTION("""COMPUTED_VALUE"""),43439.0)</f>
        <v>43439</v>
      </c>
      <c r="C16" s="133">
        <f>IFERROR(__xludf.DUMMYFUNCTION("""COMPUTED_VALUE"""),43608.0)</f>
        <v>43608</v>
      </c>
      <c r="D16" s="134" t="str">
        <f>IFERROR(__xludf.DUMMYFUNCTION("""COMPUTED_VALUE"""),"Yes")</f>
        <v>Yes</v>
      </c>
      <c r="E16" s="134" t="str">
        <f>IFERROR(__xludf.DUMMYFUNCTION("""COMPUTED_VALUE"""),"No")</f>
        <v>No</v>
      </c>
      <c r="F16" s="134" t="str">
        <f>IFERROR(__xludf.DUMMYFUNCTION("""COMPUTED_VALUE"""),"Variant Pathogenicity")</f>
        <v>Variant Pathogenicity</v>
      </c>
      <c r="G16" s="131" t="str">
        <f>IFERROR(__xludf.DUMMYFUNCTION("""COMPUTED_VALUE"""),"")</f>
        <v/>
      </c>
      <c r="H16" s="131" t="str">
        <f>IFERROR(__xludf.DUMMYFUNCTION("""COMPUTED_VALUE"""),"Amy Donahue")</f>
        <v>Amy Donahue</v>
      </c>
      <c r="I16" s="131" t="str">
        <f>IFERROR(__xludf.DUMMYFUNCTION("""COMPUTED_VALUE"""),"adonahue@mcw.edu")</f>
        <v>adonahue@mcw.edu</v>
      </c>
      <c r="J16" s="134" t="str">
        <f>IFERROR(__xludf.DUMMYFUNCTION("""COMPUTED_VALUE"""),"Comprehensive")</f>
        <v>Comprehensive</v>
      </c>
      <c r="K16" s="135" t="str">
        <f>IFERROR(__xludf.DUMMYFUNCTION("""COMPUTED_VALUE"""),"Any of the cardiac or neuro as well as the mitochondrial and monogenetic diabetes groups would fit within my clinical specialties. If there is the potential to start an ophthalmology/eye disorders group, I would love to be involved there. Thank you for th"&amp;"e opportunity!")</f>
        <v>Any of the cardiac or neuro as well as the mitochondrial and monogenetic diabetes groups would fit within my clinical specialties. If there is the potential to start an ophthalmology/eye disorders group, I would love to be involved there. Thank you for the opportunity!</v>
      </c>
      <c r="L16" s="136" t="str">
        <f>IFERROR(__xludf.DUMMYFUNCTION("""COMPUTED_VALUE"""),"yes")</f>
        <v>yes</v>
      </c>
      <c r="M16" s="136"/>
      <c r="N16" s="136"/>
      <c r="O16" s="136"/>
      <c r="P16" s="136"/>
      <c r="Q16" s="136"/>
      <c r="R16" s="136"/>
      <c r="S16" s="136"/>
      <c r="T16" s="136"/>
      <c r="U16" s="136"/>
      <c r="V16" s="136"/>
      <c r="W16" s="136"/>
      <c r="X16" s="136"/>
      <c r="Y16" s="136"/>
      <c r="Z16" s="136"/>
    </row>
    <row r="17">
      <c r="A17" s="131" t="str">
        <f>IFERROR(__xludf.DUMMYFUNCTION("""COMPUTED_VALUE"""),"Assigned")</f>
        <v>Assigned</v>
      </c>
      <c r="B17" s="132">
        <f>IFERROR(__xludf.DUMMYFUNCTION("""COMPUTED_VALUE"""),43109.0)</f>
        <v>43109</v>
      </c>
      <c r="C17" s="133">
        <f>IFERROR(__xludf.DUMMYFUNCTION("""COMPUTED_VALUE"""),43605.0)</f>
        <v>43605</v>
      </c>
      <c r="D17" s="134" t="str">
        <f>IFERROR(__xludf.DUMMYFUNCTION("""COMPUTED_VALUE"""),"Yes")</f>
        <v>Yes</v>
      </c>
      <c r="E17" s="134" t="str">
        <f>IFERROR(__xludf.DUMMYFUNCTION("""COMPUTED_VALUE"""),"Yes")</f>
        <v>Yes</v>
      </c>
      <c r="F17" s="134" t="str">
        <f>IFERROR(__xludf.DUMMYFUNCTION("""COMPUTED_VALUE"""),"Variant Pathogenicity")</f>
        <v>Variant Pathogenicity</v>
      </c>
      <c r="G17" s="131" t="str">
        <f>IFERROR(__xludf.DUMMYFUNCTION("""COMPUTED_VALUE"""),"Mito")</f>
        <v>Mito</v>
      </c>
      <c r="H17" s="131" t="str">
        <f>IFERROR(__xludf.DUMMYFUNCTION("""COMPUTED_VALUE"""),"Dave Ferguson")</f>
        <v>Dave Ferguson</v>
      </c>
      <c r="I17" s="131" t="str">
        <f>IFERROR(__xludf.DUMMYFUNCTION("""COMPUTED_VALUE"""),"dferguso@uci.edu")</f>
        <v>dferguso@uci.edu</v>
      </c>
      <c r="J17" s="134" t="str">
        <f>IFERROR(__xludf.DUMMYFUNCTION("""COMPUTED_VALUE"""),"Comprehensive")</f>
        <v>Comprehensive</v>
      </c>
      <c r="K17" s="135" t="str">
        <f>IFERROR(__xludf.DUMMYFUNCTION("""COMPUTED_VALUE"""),"Mitochondrial Disease Variant Curation Expert Panel (In progress) Autism and Intellectual Disability Gene Curation Expert Panel")</f>
        <v>Mitochondrial Disease Variant Curation Expert Panel (In progress) Autism and Intellectual Disability Gene Curation Expert Panel</v>
      </c>
      <c r="L17" t="str">
        <f>IFERROR(__xludf.DUMMYFUNCTION("""COMPUTED_VALUE"""),"No")</f>
        <v>No</v>
      </c>
    </row>
    <row r="18">
      <c r="A18" s="131" t="str">
        <f>IFERROR(__xludf.DUMMYFUNCTION("""COMPUTED_VALUE"""),"Unresponsive")</f>
        <v>Unresponsive</v>
      </c>
      <c r="B18" s="132">
        <f>IFERROR(__xludf.DUMMYFUNCTION("""COMPUTED_VALUE"""),43109.0)</f>
        <v>43109</v>
      </c>
      <c r="C18" s="131" t="str">
        <f>IFERROR(__xludf.DUMMYFUNCTION("""COMPUTED_VALUE"""),"")</f>
        <v/>
      </c>
      <c r="D18" s="134" t="str">
        <f>IFERROR(__xludf.DUMMYFUNCTION("""COMPUTED_VALUE"""),"No")</f>
        <v>No</v>
      </c>
      <c r="E18" s="134" t="str">
        <f>IFERROR(__xludf.DUMMYFUNCTION("""COMPUTED_VALUE"""),"No")</f>
        <v>No</v>
      </c>
      <c r="F18" s="134" t="str">
        <f>IFERROR(__xludf.DUMMYFUNCTION("""COMPUTED_VALUE"""),"Variant Pathogenicity")</f>
        <v>Variant Pathogenicity</v>
      </c>
      <c r="G18" s="131" t="str">
        <f>IFERROR(__xludf.DUMMYFUNCTION("""COMPUTED_VALUE"""),"")</f>
        <v/>
      </c>
      <c r="H18" s="131" t="str">
        <f>IFERROR(__xludf.DUMMYFUNCTION("""COMPUTED_VALUE"""),"Santhi Ramachandran")</f>
        <v>Santhi Ramachandran</v>
      </c>
      <c r="I18" s="131" t="str">
        <f>IFERROR(__xludf.DUMMYFUNCTION("""COMPUTED_VALUE"""),"santhialways4u@gmail.com")</f>
        <v>santhialways4u@gmail.com</v>
      </c>
      <c r="J18" s="134" t="str">
        <f>IFERROR(__xludf.DUMMYFUNCTION("""COMPUTED_VALUE"""),"Comprehensive")</f>
        <v>Comprehensive</v>
      </c>
      <c r="K18" s="135" t="str">
        <f>IFERROR(__xludf.DUMMYFUNCTION("""COMPUTED_VALUE"""),"I would like to work with variant curation expert panel or gene curation expert panel")</f>
        <v>I would like to work with variant curation expert panel or gene curation expert panel</v>
      </c>
      <c r="L18" s="136" t="str">
        <f>IFERROR(__xludf.DUMMYFUNCTION("""COMPUTED_VALUE"""),"yes")</f>
        <v>yes</v>
      </c>
      <c r="M18" s="136"/>
      <c r="N18" s="136"/>
      <c r="O18" s="136"/>
      <c r="P18" s="136"/>
      <c r="Q18" s="136"/>
      <c r="R18" s="136"/>
      <c r="S18" s="136"/>
      <c r="T18" s="136"/>
      <c r="U18" s="136"/>
      <c r="V18" s="136"/>
      <c r="W18" s="136"/>
      <c r="X18" s="136"/>
      <c r="Y18" s="136"/>
      <c r="Z18" s="136"/>
    </row>
    <row r="19">
      <c r="A19" s="131" t="str">
        <f>IFERROR(__xludf.DUMMYFUNCTION("""COMPUTED_VALUE"""),"Unresponsive")</f>
        <v>Unresponsive</v>
      </c>
      <c r="B19" s="132">
        <f>IFERROR(__xludf.DUMMYFUNCTION("""COMPUTED_VALUE"""),43439.0)</f>
        <v>43439</v>
      </c>
      <c r="C19" s="131" t="str">
        <f>IFERROR(__xludf.DUMMYFUNCTION("""COMPUTED_VALUE"""),"")</f>
        <v/>
      </c>
      <c r="D19" s="134" t="str">
        <f>IFERROR(__xludf.DUMMYFUNCTION("""COMPUTED_VALUE"""),"No")</f>
        <v>No</v>
      </c>
      <c r="E19" s="134" t="str">
        <f>IFERROR(__xludf.DUMMYFUNCTION("""COMPUTED_VALUE"""),"No")</f>
        <v>No</v>
      </c>
      <c r="F19" s="134" t="str">
        <f>IFERROR(__xludf.DUMMYFUNCTION("""COMPUTED_VALUE"""),"Variant Pathogenicity")</f>
        <v>Variant Pathogenicity</v>
      </c>
      <c r="G19" s="131" t="str">
        <f>IFERROR(__xludf.DUMMYFUNCTION("""COMPUTED_VALUE"""),"")</f>
        <v/>
      </c>
      <c r="H19" s="131" t="str">
        <f>IFERROR(__xludf.DUMMYFUNCTION("""COMPUTED_VALUE"""),"Megan Nathan")</f>
        <v>Megan Nathan</v>
      </c>
      <c r="I19" s="131" t="str">
        <f>IFERROR(__xludf.DUMMYFUNCTION("""COMPUTED_VALUE"""),"mlnathan.genetics@gmail.com")</f>
        <v>mlnathan.genetics@gmail.com</v>
      </c>
      <c r="J19" s="134" t="str">
        <f>IFERROR(__xludf.DUMMYFUNCTION("""COMPUTED_VALUE"""),"Comprehensive")</f>
        <v>Comprehensive</v>
      </c>
      <c r="K19" s="135" t="str">
        <f>IFERROR(__xludf.DUMMYFUNCTION("""COMPUTED_VALUE"""),"I would be most interested in the following groups (1 = top choice; 5 = last choice) 1. Breast/Ovarian Cancer (newly forming) 2. Colorectal Cancer (newly forming) 3. PTEN* 4. CDH1 5. VHL (Von Hippel-Lindau)*")</f>
        <v>I would be most interested in the following groups (1 = top choice; 5 = last choice) 1. Breast/Ovarian Cancer (newly forming) 2. Colorectal Cancer (newly forming) 3. PTEN* 4. CDH1 5. VHL (Von Hippel-Lindau)*</v>
      </c>
      <c r="L19" t="str">
        <f>IFERROR(__xludf.DUMMYFUNCTION("""COMPUTED_VALUE"""),"yes")</f>
        <v>yes</v>
      </c>
    </row>
    <row r="20">
      <c r="A20" s="131" t="str">
        <f>IFERROR(__xludf.DUMMYFUNCTION("""COMPUTED_VALUE"""),"Unresponsive")</f>
        <v>Unresponsive</v>
      </c>
      <c r="B20" s="131" t="str">
        <f>IFERROR(__xludf.DUMMYFUNCTION("""COMPUTED_VALUE"""),"01/09/18
Unresponsive as of 7-7-19")</f>
        <v>01/09/18
Unresponsive as of 7-7-19</v>
      </c>
      <c r="C20" s="131" t="str">
        <f>IFERROR(__xludf.DUMMYFUNCTION("""COMPUTED_VALUE"""),"")</f>
        <v/>
      </c>
      <c r="D20" s="134" t="str">
        <f>IFERROR(__xludf.DUMMYFUNCTION("""COMPUTED_VALUE"""),"No")</f>
        <v>No</v>
      </c>
      <c r="E20" s="134" t="str">
        <f>IFERROR(__xludf.DUMMYFUNCTION("""COMPUTED_VALUE"""),"No")</f>
        <v>No</v>
      </c>
      <c r="F20" s="134" t="str">
        <f>IFERROR(__xludf.DUMMYFUNCTION("""COMPUTED_VALUE"""),"Variant Pathogenicity")</f>
        <v>Variant Pathogenicity</v>
      </c>
      <c r="G20" s="131" t="str">
        <f>IFERROR(__xludf.DUMMYFUNCTION("""COMPUTED_VALUE"""),"")</f>
        <v/>
      </c>
      <c r="H20" s="131" t="str">
        <f>IFERROR(__xludf.DUMMYFUNCTION("""COMPUTED_VALUE"""),"Ellen Xu")</f>
        <v>Ellen Xu</v>
      </c>
      <c r="I20" s="131" t="str">
        <f>IFERROR(__xludf.DUMMYFUNCTION("""COMPUTED_VALUE"""),"")</f>
        <v/>
      </c>
      <c r="J20" s="134" t="str">
        <f>IFERROR(__xludf.DUMMYFUNCTION("""COMPUTED_VALUE"""),"Comprehensive")</f>
        <v>Comprehensive</v>
      </c>
      <c r="K20" s="135" t="str">
        <f>IFERROR(__xludf.DUMMYFUNCTION("""COMPUTED_VALUE"""),"Dosage sensitivity, hereditary cancer")</f>
        <v>Dosage sensitivity, hereditary cancer</v>
      </c>
      <c r="L20" t="str">
        <f>IFERROR(__xludf.DUMMYFUNCTION("""COMPUTED_VALUE"""),"yes")</f>
        <v>yes</v>
      </c>
    </row>
    <row r="21">
      <c r="A21" s="131" t="str">
        <f>IFERROR(__xludf.DUMMYFUNCTION("""COMPUTED_VALUE"""),"Assigned")</f>
        <v>Assigned</v>
      </c>
      <c r="B21" s="132">
        <f>IFERROR(__xludf.DUMMYFUNCTION("""COMPUTED_VALUE"""),43109.0)</f>
        <v>43109</v>
      </c>
      <c r="C21" s="133">
        <f>IFERROR(__xludf.DUMMYFUNCTION("""COMPUTED_VALUE"""),43608.0)</f>
        <v>43608</v>
      </c>
      <c r="D21" s="134" t="str">
        <f>IFERROR(__xludf.DUMMYFUNCTION("""COMPUTED_VALUE"""),"Yes")</f>
        <v>Yes</v>
      </c>
      <c r="E21" s="134" t="str">
        <f>IFERROR(__xludf.DUMMYFUNCTION("""COMPUTED_VALUE"""),"Yes")</f>
        <v>Yes</v>
      </c>
      <c r="F21" s="134" t="str">
        <f>IFERROR(__xludf.DUMMYFUNCTION("""COMPUTED_VALUE"""),"Variant Pathogenicity")</f>
        <v>Variant Pathogenicity</v>
      </c>
      <c r="G21" s="131" t="str">
        <f>IFERROR(__xludf.DUMMYFUNCTION("""COMPUTED_VALUE"""),"TP53")</f>
        <v>TP53</v>
      </c>
      <c r="H21" s="131" t="str">
        <f>IFERROR(__xludf.DUMMYFUNCTION("""COMPUTED_VALUE"""),"Alisdair Philp")</f>
        <v>Alisdair Philp</v>
      </c>
      <c r="I21" s="131" t="str">
        <f>IFERROR(__xludf.DUMMYFUNCTION("""COMPUTED_VALUE"""),"arphilp@gmail.com")</f>
        <v>arphilp@gmail.com</v>
      </c>
      <c r="J21" s="134" t="str">
        <f>IFERROR(__xludf.DUMMYFUNCTION("""COMPUTED_VALUE"""),"Comprehensive")</f>
        <v>Comprehensive</v>
      </c>
      <c r="K21" s="135" t="str">
        <f>IFERROR(__xludf.DUMMYFUNCTION("""COMPUTED_VALUE"""),"Cnv")</f>
        <v>Cnv</v>
      </c>
      <c r="L21" s="136" t="str">
        <f>IFERROR(__xludf.DUMMYFUNCTION("""COMPUTED_VALUE"""),"yes")</f>
        <v>yes</v>
      </c>
      <c r="M21" s="136"/>
      <c r="N21" s="136"/>
      <c r="O21" s="136"/>
      <c r="P21" s="136"/>
      <c r="Q21" s="136"/>
      <c r="R21" s="136"/>
      <c r="S21" s="136"/>
      <c r="T21" s="136"/>
      <c r="U21" s="136"/>
      <c r="V21" s="136"/>
      <c r="W21" s="136"/>
      <c r="X21" s="136"/>
      <c r="Y21" s="136"/>
      <c r="Z21" s="136"/>
    </row>
    <row r="22">
      <c r="A22" s="131" t="str">
        <f>IFERROR(__xludf.DUMMYFUNCTION("""COMPUTED_VALUE"""),"Unresponsive")</f>
        <v>Unresponsive</v>
      </c>
      <c r="B22" s="131" t="str">
        <f>IFERROR(__xludf.DUMMYFUNCTION("""COMPUTED_VALUE"""),"")</f>
        <v/>
      </c>
      <c r="C22" s="131" t="str">
        <f>IFERROR(__xludf.DUMMYFUNCTION("""COMPUTED_VALUE"""),"")</f>
        <v/>
      </c>
      <c r="D22" s="134" t="str">
        <f>IFERROR(__xludf.DUMMYFUNCTION("""COMPUTED_VALUE"""),"No")</f>
        <v>No</v>
      </c>
      <c r="E22" s="134" t="str">
        <f>IFERROR(__xludf.DUMMYFUNCTION("""COMPUTED_VALUE"""),"No")</f>
        <v>No</v>
      </c>
      <c r="F22" s="134" t="str">
        <f>IFERROR(__xludf.DUMMYFUNCTION("""COMPUTED_VALUE"""),"Variant Pathogenicity")</f>
        <v>Variant Pathogenicity</v>
      </c>
      <c r="G22" s="131" t="str">
        <f>IFERROR(__xludf.DUMMYFUNCTION("""COMPUTED_VALUE"""),"")</f>
        <v/>
      </c>
      <c r="H22" s="131" t="str">
        <f>IFERROR(__xludf.DUMMYFUNCTION("""COMPUTED_VALUE"""),"Ron Agatep")</f>
        <v>Ron Agatep</v>
      </c>
      <c r="I22" s="131" t="str">
        <f>IFERROR(__xludf.DUMMYFUNCTION("""COMPUTED_VALUE"""),"ragatep@sharedhealthmb.ca")</f>
        <v>ragatep@sharedhealthmb.ca</v>
      </c>
      <c r="J22" s="134" t="str">
        <f>IFERROR(__xludf.DUMMYFUNCTION("""COMPUTED_VALUE"""),"Comprehensive")</f>
        <v>Comprehensive</v>
      </c>
      <c r="K22" s="135" t="str">
        <f>IFERROR(__xludf.DUMMYFUNCTION("""COMPUTED_VALUE"""),"Hereditary Breast and Ovarian Cancer")</f>
        <v>Hereditary Breast and Ovarian Cancer</v>
      </c>
      <c r="L22" t="str">
        <f>IFERROR(__xludf.DUMMYFUNCTION("""COMPUTED_VALUE"""),"")</f>
        <v/>
      </c>
    </row>
    <row r="23">
      <c r="A23" s="131" t="str">
        <f>IFERROR(__xludf.DUMMYFUNCTION("""COMPUTED_VALUE"""),"Unresponsive")</f>
        <v>Unresponsive</v>
      </c>
      <c r="B23" s="131" t="str">
        <f>IFERROR(__xludf.DUMMYFUNCTION("""COMPUTED_VALUE"""),"")</f>
        <v/>
      </c>
      <c r="C23" s="131" t="str">
        <f>IFERROR(__xludf.DUMMYFUNCTION("""COMPUTED_VALUE"""),"")</f>
        <v/>
      </c>
      <c r="D23" s="134" t="str">
        <f>IFERROR(__xludf.DUMMYFUNCTION("""COMPUTED_VALUE"""),"No")</f>
        <v>No</v>
      </c>
      <c r="E23" s="134" t="str">
        <f>IFERROR(__xludf.DUMMYFUNCTION("""COMPUTED_VALUE"""),"No")</f>
        <v>No</v>
      </c>
      <c r="F23" s="134" t="str">
        <f>IFERROR(__xludf.DUMMYFUNCTION("""COMPUTED_VALUE"""),"Variant Pathogenicity")</f>
        <v>Variant Pathogenicity</v>
      </c>
      <c r="G23" s="131" t="str">
        <f>IFERROR(__xludf.DUMMYFUNCTION("""COMPUTED_VALUE"""),"")</f>
        <v/>
      </c>
      <c r="H23" s="131" t="str">
        <f>IFERROR(__xludf.DUMMYFUNCTION("""COMPUTED_VALUE"""),"Yasser Sullcahuaman")</f>
        <v>Yasser Sullcahuaman</v>
      </c>
      <c r="I23" s="131" t="str">
        <f>IFERROR(__xludf.DUMMYFUNCTION("""COMPUTED_VALUE"""),"ysullcahuaman@gmail.com")</f>
        <v>ysullcahuaman@gmail.com</v>
      </c>
      <c r="J23" s="134" t="str">
        <f>IFERROR(__xludf.DUMMYFUNCTION("""COMPUTED_VALUE"""),"Comprehensive")</f>
        <v>Comprehensive</v>
      </c>
      <c r="K23" s="135" t="str">
        <f>IFERROR(__xludf.DUMMYFUNCTION("""COMPUTED_VALUE"""),"")</f>
        <v/>
      </c>
      <c r="L23" s="136" t="str">
        <f>IFERROR(__xludf.DUMMYFUNCTION("""COMPUTED_VALUE"""),"")</f>
        <v/>
      </c>
      <c r="M23" s="136"/>
      <c r="N23" s="136"/>
      <c r="O23" s="136"/>
      <c r="P23" s="136"/>
      <c r="Q23" s="136"/>
      <c r="R23" s="136"/>
      <c r="S23" s="136"/>
      <c r="T23" s="136"/>
      <c r="U23" s="136"/>
      <c r="V23" s="136"/>
      <c r="W23" s="136"/>
      <c r="X23" s="136"/>
      <c r="Y23" s="136"/>
      <c r="Z23" s="136"/>
    </row>
    <row r="24">
      <c r="A24" s="131" t="str">
        <f>IFERROR(__xludf.DUMMYFUNCTION("""COMPUTED_VALUE"""),"Contacted")</f>
        <v>Contacted</v>
      </c>
      <c r="B24" s="131" t="str">
        <f>IFERROR(__xludf.DUMMYFUNCTION("""COMPUTED_VALUE"""),"")</f>
        <v/>
      </c>
      <c r="C24" s="137">
        <f>IFERROR(__xludf.DUMMYFUNCTION("""COMPUTED_VALUE"""),43608.0)</f>
        <v>43608</v>
      </c>
      <c r="D24" s="134" t="str">
        <f>IFERROR(__xludf.DUMMYFUNCTION("""COMPUTED_VALUE"""),"Yes")</f>
        <v>Yes</v>
      </c>
      <c r="E24" s="134" t="str">
        <f>IFERROR(__xludf.DUMMYFUNCTION("""COMPUTED_VALUE"""),"Yes")</f>
        <v>Yes</v>
      </c>
      <c r="F24" s="134" t="str">
        <f>IFERROR(__xludf.DUMMYFUNCTION("""COMPUTED_VALUE"""),"Variant Pathogenicity")</f>
        <v>Variant Pathogenicity</v>
      </c>
      <c r="G24" s="131" t="str">
        <f>IFERROR(__xludf.DUMMYFUNCTION("""COMPUTED_VALUE"""),"ACADVL")</f>
        <v>ACADVL</v>
      </c>
      <c r="H24" s="131" t="str">
        <f>IFERROR(__xludf.DUMMYFUNCTION("""COMPUTED_VALUE"""),"Michael McLachlan")</f>
        <v>Michael McLachlan</v>
      </c>
      <c r="I24" s="131" t="str">
        <f>IFERROR(__xludf.DUMMYFUNCTION("""COMPUTED_VALUE"""),"mikejmclachlan@gmail.com")</f>
        <v>mikejmclachlan@gmail.com</v>
      </c>
      <c r="J24" s="134" t="str">
        <f>IFERROR(__xludf.DUMMYFUNCTION("""COMPUTED_VALUE"""),"Comprehensive")</f>
        <v>Comprehensive</v>
      </c>
      <c r="K24" s="135" t="str">
        <f>IFERROR(__xludf.DUMMYFUNCTION("""COMPUTED_VALUE"""),"")</f>
        <v/>
      </c>
      <c r="L24" s="136" t="str">
        <f>IFERROR(__xludf.DUMMYFUNCTION("""COMPUTED_VALUE"""),"No curation experience but professional experience with genome analysis and disease models")</f>
        <v>No curation experience but professional experience with genome analysis and disease models</v>
      </c>
      <c r="M24" s="136"/>
      <c r="N24" s="136"/>
      <c r="O24" s="136"/>
      <c r="P24" s="136"/>
      <c r="Q24" s="136"/>
      <c r="R24" s="136"/>
      <c r="S24" s="136"/>
      <c r="T24" s="136"/>
      <c r="U24" s="136"/>
      <c r="V24" s="136"/>
      <c r="W24" s="136"/>
      <c r="X24" s="136"/>
      <c r="Y24" s="136"/>
      <c r="Z24" s="136"/>
    </row>
    <row r="25">
      <c r="A25" s="131" t="str">
        <f>IFERROR(__xludf.DUMMYFUNCTION("""COMPUTED_VALUE"""),"Assigned")</f>
        <v>Assigned</v>
      </c>
      <c r="B25" s="131" t="str">
        <f>IFERROR(__xludf.DUMMYFUNCTION("""COMPUTED_VALUE"""),"")</f>
        <v/>
      </c>
      <c r="C25" s="133">
        <f>IFERROR(__xludf.DUMMYFUNCTION("""COMPUTED_VALUE"""),43605.0)</f>
        <v>43605</v>
      </c>
      <c r="D25" s="134" t="str">
        <f>IFERROR(__xludf.DUMMYFUNCTION("""COMPUTED_VALUE"""),"Yes")</f>
        <v>Yes</v>
      </c>
      <c r="E25" s="134" t="str">
        <f>IFERROR(__xludf.DUMMYFUNCTION("""COMPUTED_VALUE"""),"Yes")</f>
        <v>Yes</v>
      </c>
      <c r="F25" s="134" t="str">
        <f>IFERROR(__xludf.DUMMYFUNCTION("""COMPUTED_VALUE"""),"Variant Pathogenicity")</f>
        <v>Variant Pathogenicity</v>
      </c>
      <c r="G25" s="131" t="str">
        <f>IFERROR(__xludf.DUMMYFUNCTION("""COMPUTED_VALUE"""),"Storage Disease")</f>
        <v>Storage Disease</v>
      </c>
      <c r="H25" s="131" t="str">
        <f>IFERROR(__xludf.DUMMYFUNCTION("""COMPUTED_VALUE"""),"Jing Xie")</f>
        <v>Jing Xie</v>
      </c>
      <c r="I25" s="131" t="str">
        <f>IFERROR(__xludf.DUMMYFUNCTION("""COMPUTED_VALUE"""),"jingxiegene@gmail.com")</f>
        <v>jingxiegene@gmail.com</v>
      </c>
      <c r="J25" s="134" t="str">
        <f>IFERROR(__xludf.DUMMYFUNCTION("""COMPUTED_VALUE"""),"Comprehensive")</f>
        <v>Comprehensive</v>
      </c>
      <c r="K25" s="135" t="str">
        <f>IFERROR(__xludf.DUMMYFUNCTION("""COMPUTED_VALUE"""),"Gene Curation Panel: Hereditary Cancer; Storage Diseases. Variant Curation Panel: Breast/Ovarian Cancer; Colorectal Cancer; Fatty Acid Oxidation; Cerebral Creatine Deficiency Syndrome")</f>
        <v>Gene Curation Panel: Hereditary Cancer; Storage Diseases. Variant Curation Panel: Breast/Ovarian Cancer; Colorectal Cancer; Fatty Acid Oxidation; Cerebral Creatine Deficiency Syndrome</v>
      </c>
      <c r="L25" t="str">
        <f>IFERROR(__xludf.DUMMYFUNCTION("""COMPUTED_VALUE"""),"Yes, as a clinical laboratory director, I have been heavily involved in variant pathogenicity evaluation myself and variant analyst training. Meanwhile, I also worked on gene-disease curation periodically for our interpretation pipeline. ")</f>
        <v>Yes, as a clinical laboratory director, I have been heavily involved in variant pathogenicity evaluation myself and variant analyst training. Meanwhile, I also worked on gene-disease curation periodically for our interpretation pipeline. </v>
      </c>
    </row>
    <row r="26">
      <c r="A26" s="131" t="str">
        <f>IFERROR(__xludf.DUMMYFUNCTION("""COMPUTED_VALUE"""),"Contacted")</f>
        <v>Contacted</v>
      </c>
      <c r="B26" s="131" t="str">
        <f>IFERROR(__xludf.DUMMYFUNCTION("""COMPUTED_VALUE"""),"")</f>
        <v/>
      </c>
      <c r="C26" s="133">
        <f>IFERROR(__xludf.DUMMYFUNCTION("""COMPUTED_VALUE"""),43605.0)</f>
        <v>43605</v>
      </c>
      <c r="D26" s="134" t="str">
        <f>IFERROR(__xludf.DUMMYFUNCTION("""COMPUTED_VALUE"""),"Yes")</f>
        <v>Yes</v>
      </c>
      <c r="E26" s="134" t="str">
        <f>IFERROR(__xludf.DUMMYFUNCTION("""COMPUTED_VALUE"""),"Yes")</f>
        <v>Yes</v>
      </c>
      <c r="F26" s="134" t="str">
        <f>IFERROR(__xludf.DUMMYFUNCTION("""COMPUTED_VALUE"""),"Variant Pathogenicity")</f>
        <v>Variant Pathogenicity</v>
      </c>
      <c r="G26" s="131" t="str">
        <f>IFERROR(__xludf.DUMMYFUNCTION("""COMPUTED_VALUE"""),"RASopathy")</f>
        <v>RASopathy</v>
      </c>
      <c r="H26" s="131" t="str">
        <f>IFERROR(__xludf.DUMMYFUNCTION("""COMPUTED_VALUE"""),"Kathryn Kronquist")</f>
        <v>Kathryn Kronquist</v>
      </c>
      <c r="I26" s="131" t="str">
        <f>IFERROR(__xludf.DUMMYFUNCTION("""COMPUTED_VALUE"""),"Kathryn.Kronquist@childrenscolorado.org")</f>
        <v>Kathryn.Kronquist@childrenscolorado.org</v>
      </c>
      <c r="J26" s="134" t="str">
        <f>IFERROR(__xludf.DUMMYFUNCTION("""COMPUTED_VALUE"""),"Comprehensive")</f>
        <v>Comprehensive</v>
      </c>
      <c r="K26" s="135" t="str">
        <f>IFERROR(__xludf.DUMMYFUNCTION("""COMPUTED_VALUE"""),"epilepsy, RASopathy")</f>
        <v>epilepsy, RASopathy</v>
      </c>
      <c r="L26" t="str">
        <f>IFERROR(__xludf.DUMMYFUNCTION("""COMPUTED_VALUE"""),"applying ACMG Guidelines for variant curation in daily work")</f>
        <v>applying ACMG Guidelines for variant curation in daily work</v>
      </c>
    </row>
    <row r="27">
      <c r="A27" s="131" t="str">
        <f>IFERROR(__xludf.DUMMYFUNCTION("""COMPUTED_VALUE"""),"Contacted")</f>
        <v>Contacted</v>
      </c>
      <c r="B27" s="131" t="str">
        <f>IFERROR(__xludf.DUMMYFUNCTION("""COMPUTED_VALUE"""),"")</f>
        <v/>
      </c>
      <c r="C27" s="131" t="str">
        <f>IFERROR(__xludf.DUMMYFUNCTION("""COMPUTED_VALUE"""),"")</f>
        <v/>
      </c>
      <c r="D27" s="134" t="str">
        <f>IFERROR(__xludf.DUMMYFUNCTION("""COMPUTED_VALUE"""),"No")</f>
        <v>No</v>
      </c>
      <c r="E27" s="134" t="str">
        <f>IFERROR(__xludf.DUMMYFUNCTION("""COMPUTED_VALUE"""),"No")</f>
        <v>No</v>
      </c>
      <c r="F27" s="134" t="str">
        <f>IFERROR(__xludf.DUMMYFUNCTION("""COMPUTED_VALUE"""),"Baseline")</f>
        <v>Baseline</v>
      </c>
      <c r="G27" s="131" t="str">
        <f>IFERROR(__xludf.DUMMYFUNCTION("""COMPUTED_VALUE"""),"")</f>
        <v/>
      </c>
      <c r="H27" s="131" t="str">
        <f>IFERROR(__xludf.DUMMYFUNCTION("""COMPUTED_VALUE"""),"Kristen L Deak")</f>
        <v>Kristen L Deak</v>
      </c>
      <c r="I27" s="131" t="str">
        <f>IFERROR(__xludf.DUMMYFUNCTION("""COMPUTED_VALUE"""),"kristen.deak@duke.edu")</f>
        <v>kristen.deak@duke.edu</v>
      </c>
      <c r="J27" s="134" t="str">
        <f>IFERROR(__xludf.DUMMYFUNCTION("""COMPUTED_VALUE"""),"Comprehensive")</f>
        <v>Comprehensive</v>
      </c>
      <c r="K27" s="135" t="str">
        <f>IFERROR(__xludf.DUMMYFUNCTION("""COMPUTED_VALUE"""),"")</f>
        <v/>
      </c>
      <c r="L27" t="str">
        <f>IFERROR(__xludf.DUMMYFUNCTION("""COMPUTED_VALUE"""),"Not other than evaluation and signout of patient reports")</f>
        <v>Not other than evaluation and signout of patient reports</v>
      </c>
    </row>
    <row r="28">
      <c r="A28" s="131" t="str">
        <f>IFERROR(__xludf.DUMMYFUNCTION("""COMPUTED_VALUE"""),"Assigned")</f>
        <v>Assigned</v>
      </c>
      <c r="B28" s="131" t="str">
        <f>IFERROR(__xludf.DUMMYFUNCTION("""COMPUTED_VALUE"""),"")</f>
        <v/>
      </c>
      <c r="C28" s="137">
        <f>IFERROR(__xludf.DUMMYFUNCTION("""COMPUTED_VALUE"""),43626.0)</f>
        <v>43626</v>
      </c>
      <c r="D28" s="134" t="str">
        <f>IFERROR(__xludf.DUMMYFUNCTION("""COMPUTED_VALUE"""),"Yes")</f>
        <v>Yes</v>
      </c>
      <c r="E28" s="134" t="str">
        <f>IFERROR(__xludf.DUMMYFUNCTION("""COMPUTED_VALUE"""),"Yes")</f>
        <v>Yes</v>
      </c>
      <c r="F28" s="134" t="str">
        <f>IFERROR(__xludf.DUMMYFUNCTION("""COMPUTED_VALUE"""),"Variant Pathogenicity")</f>
        <v>Variant Pathogenicity</v>
      </c>
      <c r="G28" s="131" t="str">
        <f>IFERROR(__xludf.DUMMYFUNCTION("""COMPUTED_VALUE"""),"Hearing Loss")</f>
        <v>Hearing Loss</v>
      </c>
      <c r="H28" s="131" t="str">
        <f>IFERROR(__xludf.DUMMYFUNCTION("""COMPUTED_VALUE"""),"Barbara Vona")</f>
        <v>Barbara Vona</v>
      </c>
      <c r="I28" s="131" t="str">
        <f>IFERROR(__xludf.DUMMYFUNCTION("""COMPUTED_VALUE"""),"barbara.vona@uni-tuebingen.de")</f>
        <v>barbara.vona@uni-tuebingen.de</v>
      </c>
      <c r="J28" s="134" t="str">
        <f>IFERROR(__xludf.DUMMYFUNCTION("""COMPUTED_VALUE"""),"Comprehensive")</f>
        <v>Comprehensive</v>
      </c>
      <c r="K28" s="135" t="str">
        <f>IFERROR(__xludf.DUMMYFUNCTION("""COMPUTED_VALUE"""),"Hearing Loss Variant and Gene Curation Expert Panels")</f>
        <v>Hearing Loss Variant and Gene Curation Expert Panels</v>
      </c>
      <c r="L28" s="136" t="str">
        <f>IFERROR(__xludf.DUMMYFUNCTION("""COMPUTED_VALUE"""),"LOVD3 variant curation for several hearing loss genes (STRC, GRHL2, CEACAM16, S1PR2)")</f>
        <v>LOVD3 variant curation for several hearing loss genes (STRC, GRHL2, CEACAM16, S1PR2)</v>
      </c>
      <c r="M28" s="136"/>
      <c r="N28" s="136"/>
      <c r="O28" s="136"/>
      <c r="P28" s="136"/>
      <c r="Q28" s="136"/>
      <c r="R28" s="136"/>
      <c r="S28" s="136"/>
      <c r="T28" s="136"/>
      <c r="U28" s="136"/>
      <c r="V28" s="136"/>
      <c r="W28" s="136"/>
      <c r="X28" s="136"/>
      <c r="Y28" s="136"/>
      <c r="Z28" s="136"/>
    </row>
    <row r="29">
      <c r="A29" s="131" t="str">
        <f>IFERROR(__xludf.DUMMYFUNCTION("""COMPUTED_VALUE"""),"Assigned")</f>
        <v>Assigned</v>
      </c>
      <c r="B29" s="131" t="str">
        <f>IFERROR(__xludf.DUMMYFUNCTION("""COMPUTED_VALUE"""),"")</f>
        <v/>
      </c>
      <c r="C29" s="133">
        <f>IFERROR(__xludf.DUMMYFUNCTION("""COMPUTED_VALUE"""),43605.0)</f>
        <v>43605</v>
      </c>
      <c r="D29" s="134" t="str">
        <f>IFERROR(__xludf.DUMMYFUNCTION("""COMPUTED_VALUE"""),"Yes")</f>
        <v>Yes</v>
      </c>
      <c r="E29" s="134" t="str">
        <f>IFERROR(__xludf.DUMMYFUNCTION("""COMPUTED_VALUE"""),"Yes")</f>
        <v>Yes</v>
      </c>
      <c r="F29" s="134" t="str">
        <f>IFERROR(__xludf.DUMMYFUNCTION("""COMPUTED_VALUE"""),"Variant Pathogenicity")</f>
        <v>Variant Pathogenicity</v>
      </c>
      <c r="G29" s="131" t="str">
        <f>IFERROR(__xludf.DUMMYFUNCTION("""COMPUTED_VALUE"""),"PAH")</f>
        <v>PAH</v>
      </c>
      <c r="H29" s="131" t="str">
        <f>IFERROR(__xludf.DUMMYFUNCTION("""COMPUTED_VALUE"""),"Viridiana Murillo")</f>
        <v>Viridiana Murillo</v>
      </c>
      <c r="I29" s="131" t="str">
        <f>IFERROR(__xludf.DUMMYFUNCTION("""COMPUTED_VALUE"""),"vmurillo18@students.kgi.edu")</f>
        <v>vmurillo18@students.kgi.edu</v>
      </c>
      <c r="J29" s="134" t="str">
        <f>IFERROR(__xludf.DUMMYFUNCTION("""COMPUTED_VALUE"""),"Comprehensive")</f>
        <v>Comprehensive</v>
      </c>
      <c r="K29" s="135" t="str">
        <f>IFERROR(__xludf.DUMMYFUNCTION("""COMPUTED_VALUE"""),"Metabolism (PAH) workgroup and/or  Epilepsy work group")</f>
        <v>Metabolism (PAH) workgroup and/or  Epilepsy work group</v>
      </c>
      <c r="L29" t="str">
        <f>IFERROR(__xludf.DUMMYFUNCTION("""COMPUTED_VALUE"""),"We have had some introduction to variant curation using the ACMG guidelines in my Human Genomics course and a training we attended on variant curation. ")</f>
        <v>We have had some introduction to variant curation using the ACMG guidelines in my Human Genomics course and a training we attended on variant curation. </v>
      </c>
    </row>
    <row r="30">
      <c r="A30" s="131" t="str">
        <f>IFERROR(__xludf.DUMMYFUNCTION("""COMPUTED_VALUE"""),"Unresponsive")</f>
        <v>Unresponsive</v>
      </c>
      <c r="B30" s="131" t="str">
        <f>IFERROR(__xludf.DUMMYFUNCTION("""COMPUTED_VALUE"""),"")</f>
        <v/>
      </c>
      <c r="C30" s="133">
        <f>IFERROR(__xludf.DUMMYFUNCTION("""COMPUTED_VALUE"""),43605.0)</f>
        <v>43605</v>
      </c>
      <c r="D30" s="134" t="str">
        <f>IFERROR(__xludf.DUMMYFUNCTION("""COMPUTED_VALUE"""),"Yes")</f>
        <v>Yes</v>
      </c>
      <c r="E30" s="134" t="str">
        <f>IFERROR(__xludf.DUMMYFUNCTION("""COMPUTED_VALUE"""),"No")</f>
        <v>No</v>
      </c>
      <c r="F30" s="134" t="str">
        <f>IFERROR(__xludf.DUMMYFUNCTION("""COMPUTED_VALUE"""),"Variant Pathogenicity")</f>
        <v>Variant Pathogenicity</v>
      </c>
      <c r="G30" s="131" t="str">
        <f>IFERROR(__xludf.DUMMYFUNCTION("""COMPUTED_VALUE"""),"")</f>
        <v/>
      </c>
      <c r="H30" s="131" t="str">
        <f>IFERROR(__xludf.DUMMYFUNCTION("""COMPUTED_VALUE"""),"Sharon Suchy")</f>
        <v>Sharon Suchy</v>
      </c>
      <c r="I30" s="131" t="str">
        <f>IFERROR(__xludf.DUMMYFUNCTION("""COMPUTED_VALUE"""),"ssuchy@genedx.com")</f>
        <v>ssuchy@genedx.com</v>
      </c>
      <c r="J30" s="134" t="str">
        <f>IFERROR(__xludf.DUMMYFUNCTION("""COMPUTED_VALUE"""),"Comprehensive")</f>
        <v>Comprehensive</v>
      </c>
      <c r="K30" s="135" t="str">
        <f>IFERROR(__xludf.DUMMYFUNCTION("""COMPUTED_VALUE"""),"lysosomal storage, inborn errors of metabolism")</f>
        <v>lysosomal storage, inborn errors of metabolism</v>
      </c>
      <c r="L30" t="str">
        <f>IFERROR(__xludf.DUMMYFUNCTION("""COMPUTED_VALUE"""),"yes, assessing variant pathogenicity /clinical actionability issues")</f>
        <v>yes, assessing variant pathogenicity /clinical actionability issues</v>
      </c>
    </row>
    <row r="31">
      <c r="A31" s="131" t="str">
        <f>IFERROR(__xludf.DUMMYFUNCTION("""COMPUTED_VALUE"""),"Assigned")</f>
        <v>Assigned</v>
      </c>
      <c r="B31" s="131" t="str">
        <f>IFERROR(__xludf.DUMMYFUNCTION("""COMPUTED_VALUE"""),"")</f>
        <v/>
      </c>
      <c r="C31" s="133">
        <f>IFERROR(__xludf.DUMMYFUNCTION("""COMPUTED_VALUE"""),43608.0)</f>
        <v>43608</v>
      </c>
      <c r="D31" s="134" t="str">
        <f>IFERROR(__xludf.DUMMYFUNCTION("""COMPUTED_VALUE"""),"Yes")</f>
        <v>Yes</v>
      </c>
      <c r="E31" s="134" t="str">
        <f>IFERROR(__xludf.DUMMYFUNCTION("""COMPUTED_VALUE"""),"Yes")</f>
        <v>Yes</v>
      </c>
      <c r="F31" s="134" t="str">
        <f>IFERROR(__xludf.DUMMYFUNCTION("""COMPUTED_VALUE"""),"Variant Pathogenicity")</f>
        <v>Variant Pathogenicity</v>
      </c>
      <c r="G31" s="131" t="str">
        <f>IFERROR(__xludf.DUMMYFUNCTION("""COMPUTED_VALUE"""),"Cardiomyopathy")</f>
        <v>Cardiomyopathy</v>
      </c>
      <c r="H31" s="131" t="str">
        <f>IFERROR(__xludf.DUMMYFUNCTION("""COMPUTED_VALUE"""),"Theodore E. Wilson")</f>
        <v>Theodore E. Wilson</v>
      </c>
      <c r="I31" s="131" t="str">
        <f>IFERROR(__xludf.DUMMYFUNCTION("""COMPUTED_VALUE"""),"theowils@iu.edu")</f>
        <v>theowils@iu.edu</v>
      </c>
      <c r="J31" s="134" t="str">
        <f>IFERROR(__xludf.DUMMYFUNCTION("""COMPUTED_VALUE"""),"Comprehensive")</f>
        <v>Comprehensive</v>
      </c>
      <c r="K31" s="135" t="str">
        <f>IFERROR(__xludf.DUMMYFUNCTION("""COMPUTED_VALUE"""),"cardiomyopathy")</f>
        <v>cardiomyopathy</v>
      </c>
      <c r="L31" t="str">
        <f>IFERROR(__xludf.DUMMYFUNCTION("""COMPUTED_VALUE"""),"During my fellowship I worked closely with ARUP Molecular geneticists to call variant pathogenicity based on the 2015 criteria.")</f>
        <v>During my fellowship I worked closely with ARUP Molecular geneticists to call variant pathogenicity based on the 2015 criteria.</v>
      </c>
    </row>
    <row r="32">
      <c r="A32" s="131" t="str">
        <f>IFERROR(__xludf.DUMMYFUNCTION("""COMPUTED_VALUE"""),"Assigned")</f>
        <v>Assigned</v>
      </c>
      <c r="B32" s="131" t="str">
        <f>IFERROR(__xludf.DUMMYFUNCTION("""COMPUTED_VALUE"""),"")</f>
        <v/>
      </c>
      <c r="C32" s="133">
        <f>IFERROR(__xludf.DUMMYFUNCTION("""COMPUTED_VALUE"""),43605.0)</f>
        <v>43605</v>
      </c>
      <c r="D32" s="134" t="str">
        <f>IFERROR(__xludf.DUMMYFUNCTION("""COMPUTED_VALUE"""),"Yes")</f>
        <v>Yes</v>
      </c>
      <c r="E32" s="134" t="str">
        <f>IFERROR(__xludf.DUMMYFUNCTION("""COMPUTED_VALUE"""),"Yes")</f>
        <v>Yes</v>
      </c>
      <c r="F32" s="134" t="str">
        <f>IFERROR(__xludf.DUMMYFUNCTION("""COMPUTED_VALUE"""),"Variant Pathogenicity")</f>
        <v>Variant Pathogenicity</v>
      </c>
      <c r="G32" s="131" t="str">
        <f>IFERROR(__xludf.DUMMYFUNCTION("""COMPUTED_VALUE"""),"Storage Disease")</f>
        <v>Storage Disease</v>
      </c>
      <c r="H32" s="131" t="str">
        <f>IFERROR(__xludf.DUMMYFUNCTION("""COMPUTED_VALUE"""),"Christina Y Hung")</f>
        <v>Christina Y Hung</v>
      </c>
      <c r="I32" s="131" t="str">
        <f>IFERROR(__xludf.DUMMYFUNCTION("""COMPUTED_VALUE"""),"christina.hung@childrens.harvard.edu")</f>
        <v>christina.hung@childrens.harvard.edu</v>
      </c>
      <c r="J32" s="134" t="str">
        <f>IFERROR(__xludf.DUMMYFUNCTION("""COMPUTED_VALUE"""),"Comprehensive")</f>
        <v>Comprehensive</v>
      </c>
      <c r="K32" s="135" t="str">
        <f>IFERROR(__xludf.DUMMYFUNCTION("""COMPUTED_VALUE"""),"Inborn error of Metabolism, Lysosomal Storage Disorders, Aminoacidopathy; have talked to Meredith Weaver regarding options of joining Metabolism Workgroup")</f>
        <v>Inborn error of Metabolism, Lysosomal Storage Disorders, Aminoacidopathy; have talked to Meredith Weaver regarding options of joining Metabolism Workgroup</v>
      </c>
      <c r="L32" t="str">
        <f>IFERROR(__xludf.DUMMYFUNCTION("""COMPUTED_VALUE"""),"ABMGG training/fellowships")</f>
        <v>ABMGG training/fellowships</v>
      </c>
    </row>
    <row r="33">
      <c r="A33" s="131" t="str">
        <f>IFERROR(__xludf.DUMMYFUNCTION("""COMPUTED_VALUE"""),"Assigned")</f>
        <v>Assigned</v>
      </c>
      <c r="B33" s="131" t="str">
        <f>IFERROR(__xludf.DUMMYFUNCTION("""COMPUTED_VALUE"""),"")</f>
        <v/>
      </c>
      <c r="C33" s="133">
        <f>IFERROR(__xludf.DUMMYFUNCTION("""COMPUTED_VALUE"""),43605.0)</f>
        <v>43605</v>
      </c>
      <c r="D33" s="134" t="str">
        <f>IFERROR(__xludf.DUMMYFUNCTION("""COMPUTED_VALUE"""),"Yes")</f>
        <v>Yes</v>
      </c>
      <c r="E33" s="134" t="str">
        <f>IFERROR(__xludf.DUMMYFUNCTION("""COMPUTED_VALUE"""),"Yes")</f>
        <v>Yes</v>
      </c>
      <c r="F33" s="134" t="str">
        <f>IFERROR(__xludf.DUMMYFUNCTION("""COMPUTED_VALUE"""),"Variant Pathogenicity")</f>
        <v>Variant Pathogenicity</v>
      </c>
      <c r="G33" s="131" t="str">
        <f>IFERROR(__xludf.DUMMYFUNCTION("""COMPUTED_VALUE"""),"Brain Malformations")</f>
        <v>Brain Malformations</v>
      </c>
      <c r="H33" s="131" t="str">
        <f>IFERROR(__xludf.DUMMYFUNCTION("""COMPUTED_VALUE"""),"Junyu Zhang")</f>
        <v>Junyu Zhang</v>
      </c>
      <c r="I33" s="131" t="str">
        <f>IFERROR(__xludf.DUMMYFUNCTION("""COMPUTED_VALUE"""),"junyuzhang@hotmail.com")</f>
        <v>junyuzhang@hotmail.com</v>
      </c>
      <c r="J33" s="134" t="str">
        <f>IFERROR(__xludf.DUMMYFUNCTION("""COMPUTED_VALUE"""),"Comprehensive")</f>
        <v>Comprehensive</v>
      </c>
      <c r="K33" s="135" t="str">
        <f>IFERROR(__xludf.DUMMYFUNCTION("""COMPUTED_VALUE"""),"Yes. Brain Malformations")</f>
        <v>Yes. Brain Malformations</v>
      </c>
      <c r="L33" t="str">
        <f>IFERROR(__xludf.DUMMYFUNCTION("""COMPUTED_VALUE"""),"Curate more than 1000 variants in Chinese patients ")</f>
        <v>Curate more than 1000 variants in Chinese patients </v>
      </c>
    </row>
    <row r="34">
      <c r="A34" s="131" t="str">
        <f>IFERROR(__xludf.DUMMYFUNCTION("""COMPUTED_VALUE"""),"Assigned")</f>
        <v>Assigned</v>
      </c>
      <c r="B34" s="131" t="str">
        <f>IFERROR(__xludf.DUMMYFUNCTION("""COMPUTED_VALUE"""),"")</f>
        <v/>
      </c>
      <c r="C34" s="133">
        <f>IFERROR(__xludf.DUMMYFUNCTION("""COMPUTED_VALUE"""),43605.0)</f>
        <v>43605</v>
      </c>
      <c r="D34" s="134" t="str">
        <f>IFERROR(__xludf.DUMMYFUNCTION("""COMPUTED_VALUE"""),"Yes")</f>
        <v>Yes</v>
      </c>
      <c r="E34" s="134" t="str">
        <f>IFERROR(__xludf.DUMMYFUNCTION("""COMPUTED_VALUE"""),"Yes")</f>
        <v>Yes</v>
      </c>
      <c r="F34" s="134" t="str">
        <f>IFERROR(__xludf.DUMMYFUNCTION("""COMPUTED_VALUE"""),"Variant Pathogenicity")</f>
        <v>Variant Pathogenicity</v>
      </c>
      <c r="G34" s="131" t="str">
        <f>IFERROR(__xludf.DUMMYFUNCTION("""COMPUTED_VALUE"""),"TP53")</f>
        <v>TP53</v>
      </c>
      <c r="H34" s="131" t="str">
        <f>IFERROR(__xludf.DUMMYFUNCTION("""COMPUTED_VALUE"""),"Emily Higgs")</f>
        <v>Emily Higgs</v>
      </c>
      <c r="I34" s="131" t="str">
        <f>IFERROR(__xludf.DUMMYFUNCTION("""COMPUTED_VALUE"""),"ehiggs@stanford.edu")</f>
        <v>ehiggs@stanford.edu</v>
      </c>
      <c r="J34" s="134" t="str">
        <f>IFERROR(__xludf.DUMMYFUNCTION("""COMPUTED_VALUE"""),"Comprehensive")</f>
        <v>Comprehensive</v>
      </c>
      <c r="K34" s="135" t="str">
        <f>IFERROR(__xludf.DUMMYFUNCTION("""COMPUTED_VALUE"""),"Dosage- Neurodevelopemental; Gene curation - Intellectual Disability and Autism,
Epilepsy, Hereditary Cancer, Mitochondrial Diseases, Brain Malformations, Monogenic Diabetes; Variant curation - VHL, CDH1, Brain Malformations, Monogenic Diabetes, Colorecta"&amp;"l Cancer ")</f>
        <v>Dosage- Neurodevelopemental; Gene curation - Intellectual Disability and Autism,
Epilepsy, Hereditary Cancer, Mitochondrial Diseases, Brain Malformations, Monogenic Diabetes; Variant curation - VHL, CDH1, Brain Malformations, Monogenic Diabetes, Colorectal Cancer </v>
      </c>
      <c r="L34" t="str">
        <f>IFERROR(__xludf.DUMMYFUNCTION("""COMPUTED_VALUE"""),"For the past year I have been doing variant interpretation for 'healthy exomes' in the research setting and supervising Master of Genetic Counseling students' variant interpretation rotations.  ")</f>
        <v>For the past year I have been doing variant interpretation for 'healthy exomes' in the research setting and supervising Master of Genetic Counseling students' variant interpretation rotations.  </v>
      </c>
    </row>
    <row r="35">
      <c r="A35" s="131" t="str">
        <f>IFERROR(__xludf.DUMMYFUNCTION("""COMPUTED_VALUE"""),"Contacted")</f>
        <v>Contacted</v>
      </c>
      <c r="B35" s="137">
        <f>IFERROR(__xludf.DUMMYFUNCTION("""COMPUTED_VALUE"""),43819.0)</f>
        <v>43819</v>
      </c>
      <c r="C35" s="131" t="str">
        <f>IFERROR(__xludf.DUMMYFUNCTION("""COMPUTED_VALUE"""),"")</f>
        <v/>
      </c>
      <c r="D35" s="134" t="str">
        <f>IFERROR(__xludf.DUMMYFUNCTION("""COMPUTED_VALUE"""),"No")</f>
        <v>No</v>
      </c>
      <c r="E35" s="134" t="str">
        <f>IFERROR(__xludf.DUMMYFUNCTION("""COMPUTED_VALUE"""),"No")</f>
        <v>No</v>
      </c>
      <c r="F35" s="134" t="str">
        <f>IFERROR(__xludf.DUMMYFUNCTION("""COMPUTED_VALUE"""),"Variant Pathogenicity")</f>
        <v>Variant Pathogenicity</v>
      </c>
      <c r="G35" s="131" t="str">
        <f>IFERROR(__xludf.DUMMYFUNCTION("""COMPUTED_VALUE"""),"")</f>
        <v/>
      </c>
      <c r="H35" s="131" t="str">
        <f>IFERROR(__xludf.DUMMYFUNCTION("""COMPUTED_VALUE"""),"Matt Wright")</f>
        <v>Matt Wright</v>
      </c>
      <c r="I35" s="131" t="str">
        <f>IFERROR(__xludf.DUMMYFUNCTION("""COMPUTED_VALUE"""),"wrightmw@stanford.edu")</f>
        <v>wrightmw@stanford.edu</v>
      </c>
      <c r="J35" s="134" t="str">
        <f>IFERROR(__xludf.DUMMYFUNCTION("""COMPUTED_VALUE"""),"Comprehensive")</f>
        <v>Comprehensive</v>
      </c>
      <c r="K35" s="135" t="str">
        <f>IFERROR(__xludf.DUMMYFUNCTION("""COMPUTED_VALUE"""),"Hearing Loss or Brain Malformations or Cardiomyopathy ")</f>
        <v>Hearing Loss or Brain Malformations or Cardiomyopathy </v>
      </c>
      <c r="L35" s="136" t="str">
        <f>IFERROR(__xludf.DUMMYFUNCTION("""COMPUTED_VALUE"""),"Most of my experience is gene-level curation but I’m especially interested in the variant curator’s experience")</f>
        <v>Most of my experience is gene-level curation but I’m especially interested in the variant curator’s experience</v>
      </c>
      <c r="M35" s="136"/>
      <c r="N35" s="136"/>
      <c r="O35" s="136"/>
      <c r="P35" s="136"/>
      <c r="Q35" s="136"/>
      <c r="R35" s="136"/>
      <c r="S35" s="136"/>
      <c r="T35" s="136"/>
      <c r="U35" s="136"/>
      <c r="V35" s="136"/>
      <c r="W35" s="136"/>
      <c r="X35" s="136"/>
      <c r="Y35" s="136"/>
      <c r="Z35" s="136"/>
    </row>
    <row r="36">
      <c r="A36" s="131" t="str">
        <f>IFERROR(__xludf.DUMMYFUNCTION("""COMPUTED_VALUE"""),"Contacted")</f>
        <v>Contacted</v>
      </c>
      <c r="B36" s="131" t="str">
        <f>IFERROR(__xludf.DUMMYFUNCTION("""COMPUTED_VALUE"""),"")</f>
        <v/>
      </c>
      <c r="C36" s="132">
        <f>IFERROR(__xludf.DUMMYFUNCTION("""COMPUTED_VALUE"""),43859.0)</f>
        <v>43859</v>
      </c>
      <c r="D36" s="134" t="str">
        <f>IFERROR(__xludf.DUMMYFUNCTION("""COMPUTED_VALUE"""),"Yes")</f>
        <v>Yes</v>
      </c>
      <c r="E36" s="134" t="str">
        <f>IFERROR(__xludf.DUMMYFUNCTION("""COMPUTED_VALUE"""),"Yes")</f>
        <v>Yes</v>
      </c>
      <c r="F36" s="134" t="str">
        <f>IFERROR(__xludf.DUMMYFUNCTION("""COMPUTED_VALUE"""),"Variant Pathogenicity")</f>
        <v>Variant Pathogenicity</v>
      </c>
      <c r="G36" s="131" t="str">
        <f>IFERROR(__xludf.DUMMYFUNCTION("""COMPUTED_VALUE"""),"")</f>
        <v/>
      </c>
      <c r="H36" s="131" t="str">
        <f>IFERROR(__xludf.DUMMYFUNCTION("""COMPUTED_VALUE"""),"Daniel Reich")</f>
        <v>Daniel Reich</v>
      </c>
      <c r="I36" s="131" t="str">
        <f>IFERROR(__xludf.DUMMYFUNCTION("""COMPUTED_VALUE"""),"daniel.reich@aruplab.com")</f>
        <v>daniel.reich@aruplab.com</v>
      </c>
      <c r="J36" s="134" t="str">
        <f>IFERROR(__xludf.DUMMYFUNCTION("""COMPUTED_VALUE"""),"Comprehensive")</f>
        <v>Comprehensive</v>
      </c>
      <c r="K36" s="135" t="str">
        <f>IFERROR(__xludf.DUMMYFUNCTION("""COMPUTED_VALUE"""),"Cerebral Creatine Deficiency Syndromes")</f>
        <v>Cerebral Creatine Deficiency Syndromes</v>
      </c>
      <c r="L36" t="str">
        <f>IFERROR(__xludf.DUMMYFUNCTION("""COMPUTED_VALUE"""),"As a variant scientist, I have been doing variant classification for clinical genetics tests for ~10 months. I have been involved in discussing gene-disease validity, though only for the last 1-2 months.")</f>
        <v>As a variant scientist, I have been doing variant classification for clinical genetics tests for ~10 months. I have been involved in discussing gene-disease validity, though only for the last 1-2 months.</v>
      </c>
    </row>
    <row r="37">
      <c r="A37" s="131" t="str">
        <f>IFERROR(__xludf.DUMMYFUNCTION("""COMPUTED_VALUE"""),"Contacted")</f>
        <v>Contacted</v>
      </c>
      <c r="B37" s="137">
        <f>IFERROR(__xludf.DUMMYFUNCTION("""COMPUTED_VALUE"""),43819.0)</f>
        <v>43819</v>
      </c>
      <c r="C37" s="131" t="str">
        <f>IFERROR(__xludf.DUMMYFUNCTION("""COMPUTED_VALUE"""),"")</f>
        <v/>
      </c>
      <c r="D37" s="134" t="str">
        <f>IFERROR(__xludf.DUMMYFUNCTION("""COMPUTED_VALUE"""),"No")</f>
        <v>No</v>
      </c>
      <c r="E37" s="134" t="str">
        <f>IFERROR(__xludf.DUMMYFUNCTION("""COMPUTED_VALUE"""),"No")</f>
        <v>No</v>
      </c>
      <c r="F37" s="134" t="str">
        <f>IFERROR(__xludf.DUMMYFUNCTION("""COMPUTED_VALUE"""),"Gene Disease Validity")</f>
        <v>Gene Disease Validity</v>
      </c>
      <c r="G37" s="131" t="str">
        <f>IFERROR(__xludf.DUMMYFUNCTION("""COMPUTED_VALUE"""),"")</f>
        <v/>
      </c>
      <c r="H37" s="131" t="str">
        <f>IFERROR(__xludf.DUMMYFUNCTION("""COMPUTED_VALUE"""),"Julie Hathaway")</f>
        <v>Julie Hathaway</v>
      </c>
      <c r="I37" s="131" t="str">
        <f>IFERROR(__xludf.DUMMYFUNCTION("""COMPUTED_VALUE"""),"julie.hathaway@blueprintgenetics.com")</f>
        <v>julie.hathaway@blueprintgenetics.com</v>
      </c>
      <c r="J37" s="134" t="str">
        <f>IFERROR(__xludf.DUMMYFUNCTION("""COMPUTED_VALUE"""),"Comprehensive")</f>
        <v>Comprehensive</v>
      </c>
      <c r="K37" s="135" t="str">
        <f>IFERROR(__xludf.DUMMYFUNCTION("""COMPUTED_VALUE"""),"Cardiomyopathy (or arrhythmias if available- I tried to be involved in the KCNQ1 variant curation group but I understand their group is now full) ")</f>
        <v>Cardiomyopathy (or arrhythmias if available- I tried to be involved in the KCNQ1 variant curation group but I understand their group is now full) </v>
      </c>
      <c r="L37" t="str">
        <f>IFERROR(__xludf.DUMMYFUNCTION("""COMPUTED_VALUE"""),"I have worked in the clinic and now in a commercial laboratory. In the clinic, we performed our own internal variant classifications and also, part of this included thoroughly researching gene-disease associations. In the laboratory, I have a clinical sup"&amp;"port role, contributing to gene panel curation/creation. ")</f>
        <v>I have worked in the clinic and now in a commercial laboratory. In the clinic, we performed our own internal variant classifications and also, part of this included thoroughly researching gene-disease associations. In the laboratory, I have a clinical support role, contributing to gene panel curation/creation. </v>
      </c>
    </row>
    <row r="38">
      <c r="A38" s="131" t="str">
        <f>IFERROR(__xludf.DUMMYFUNCTION("""COMPUTED_VALUE"""),"Assigned")</f>
        <v>Assigned</v>
      </c>
      <c r="B38" s="131" t="str">
        <f>IFERROR(__xludf.DUMMYFUNCTION("""COMPUTED_VALUE"""),"")</f>
        <v/>
      </c>
      <c r="C38" s="137">
        <f>IFERROR(__xludf.DUMMYFUNCTION("""COMPUTED_VALUE"""),43627.0)</f>
        <v>43627</v>
      </c>
      <c r="D38" s="134" t="str">
        <f>IFERROR(__xludf.DUMMYFUNCTION("""COMPUTED_VALUE"""),"Yes")</f>
        <v>Yes</v>
      </c>
      <c r="E38" s="134" t="str">
        <f>IFERROR(__xludf.DUMMYFUNCTION("""COMPUTED_VALUE"""),"Yes")</f>
        <v>Yes</v>
      </c>
      <c r="F38" s="134" t="str">
        <f>IFERROR(__xludf.DUMMYFUNCTION("""COMPUTED_VALUE"""),"Variant Pathogenicity")</f>
        <v>Variant Pathogenicity</v>
      </c>
      <c r="G38" s="131" t="str">
        <f>IFERROR(__xludf.DUMMYFUNCTION("""COMPUTED_VALUE"""),"Monogenic Diabetes")</f>
        <v>Monogenic Diabetes</v>
      </c>
      <c r="H38" s="131" t="str">
        <f>IFERROR(__xludf.DUMMYFUNCTION("""COMPUTED_VALUE"""),"Suvina To")</f>
        <v>Suvina To</v>
      </c>
      <c r="I38" s="131" t="str">
        <f>IFERROR(__xludf.DUMMYFUNCTION("""COMPUTED_VALUE"""),"suvina@gmail.com")</f>
        <v>suvina@gmail.com</v>
      </c>
      <c r="J38" s="134" t="str">
        <f>IFERROR(__xludf.DUMMYFUNCTION("""COMPUTED_VALUE"""),"Comprehensive")</f>
        <v>Comprehensive</v>
      </c>
      <c r="K38" s="135" t="str">
        <f>IFERROR(__xludf.DUMMYFUNCTION("""COMPUTED_VALUE"""),"monogenic diabetes")</f>
        <v>monogenic diabetes</v>
      </c>
      <c r="L38" t="str">
        <f>IFERROR(__xludf.DUMMYFUNCTION("""COMPUTED_VALUE"""),"I am a variant curation specialist in my company")</f>
        <v>I am a variant curation specialist in my company</v>
      </c>
    </row>
    <row r="39">
      <c r="A39" s="131" t="str">
        <f>IFERROR(__xludf.DUMMYFUNCTION("""COMPUTED_VALUE"""),"Assigned")</f>
        <v>Assigned</v>
      </c>
      <c r="B39" s="131" t="str">
        <f>IFERROR(__xludf.DUMMYFUNCTION("""COMPUTED_VALUE"""),"")</f>
        <v/>
      </c>
      <c r="C39" s="133">
        <f>IFERROR(__xludf.DUMMYFUNCTION("""COMPUTED_VALUE"""),43608.0)</f>
        <v>43608</v>
      </c>
      <c r="D39" s="134" t="str">
        <f>IFERROR(__xludf.DUMMYFUNCTION("""COMPUTED_VALUE"""),"Yes")</f>
        <v>Yes</v>
      </c>
      <c r="E39" s="134" t="str">
        <f>IFERROR(__xludf.DUMMYFUNCTION("""COMPUTED_VALUE"""),"Yes")</f>
        <v>Yes</v>
      </c>
      <c r="F39" s="134" t="str">
        <f>IFERROR(__xludf.DUMMYFUNCTION("""COMPUTED_VALUE"""),"Variant Pathogenicity")</f>
        <v>Variant Pathogenicity</v>
      </c>
      <c r="G39" s="131" t="str">
        <f>IFERROR(__xludf.DUMMYFUNCTION("""COMPUTED_VALUE"""),"ACADVL")</f>
        <v>ACADVL</v>
      </c>
      <c r="H39" s="131" t="str">
        <f>IFERROR(__xludf.DUMMYFUNCTION("""COMPUTED_VALUE"""),"Lemuel Racacho")</f>
        <v>Lemuel Racacho</v>
      </c>
      <c r="I39" s="131" t="str">
        <f>IFERROR(__xludf.DUMMYFUNCTION("""COMPUTED_VALUE"""),"lracacho@cheo.on.ca")</f>
        <v>lracacho@cheo.on.ca</v>
      </c>
      <c r="J39" s="134" t="str">
        <f>IFERROR(__xludf.DUMMYFUNCTION("""COMPUTED_VALUE"""),"Comprehensive")</f>
        <v>Comprehensive</v>
      </c>
      <c r="K39" s="135" t="str">
        <f>IFERROR(__xludf.DUMMYFUNCTION("""COMPUTED_VALUE"""),"Inborn errors of metabolism; Low penetrance/risk allele")</f>
        <v>Inborn errors of metabolism; Low penetrance/risk allele</v>
      </c>
      <c r="L39" t="str">
        <f>IFERROR(__xludf.DUMMYFUNCTION("""COMPUTED_VALUE"""),"Yes, I currently interpret variants for mitochondrial based disorders")</f>
        <v>Yes, I currently interpret variants for mitochondrial based disorders</v>
      </c>
    </row>
    <row r="40">
      <c r="A40" s="131" t="str">
        <f>IFERROR(__xludf.DUMMYFUNCTION("""COMPUTED_VALUE"""),"Unresponsive")</f>
        <v>Unresponsive</v>
      </c>
      <c r="B40" s="131" t="str">
        <f>IFERROR(__xludf.DUMMYFUNCTION("""COMPUTED_VALUE"""),"")</f>
        <v/>
      </c>
      <c r="C40" s="131" t="str">
        <f>IFERROR(__xludf.DUMMYFUNCTION("""COMPUTED_VALUE"""),"")</f>
        <v/>
      </c>
      <c r="D40" s="134" t="str">
        <f>IFERROR(__xludf.DUMMYFUNCTION("""COMPUTED_VALUE"""),"No")</f>
        <v>No</v>
      </c>
      <c r="E40" s="134" t="str">
        <f>IFERROR(__xludf.DUMMYFUNCTION("""COMPUTED_VALUE"""),"No")</f>
        <v>No</v>
      </c>
      <c r="F40" s="134" t="str">
        <f>IFERROR(__xludf.DUMMYFUNCTION("""COMPUTED_VALUE"""),"Variant Pathogenicity")</f>
        <v>Variant Pathogenicity</v>
      </c>
      <c r="G40" s="131" t="str">
        <f>IFERROR(__xludf.DUMMYFUNCTION("""COMPUTED_VALUE"""),"")</f>
        <v/>
      </c>
      <c r="H40" s="131" t="str">
        <f>IFERROR(__xludf.DUMMYFUNCTION("""COMPUTED_VALUE"""),"Sara Fitzgerald-Butt")</f>
        <v>Sara Fitzgerald-Butt</v>
      </c>
      <c r="I40" s="131" t="str">
        <f>IFERROR(__xludf.DUMMYFUNCTION("""COMPUTED_VALUE"""),"sfitzge@iu.edu")</f>
        <v>sfitzge@iu.edu</v>
      </c>
      <c r="J40" s="134" t="str">
        <f>IFERROR(__xludf.DUMMYFUNCTION("""COMPUTED_VALUE"""),"Comprehensive")</f>
        <v>Comprehensive</v>
      </c>
      <c r="K40" s="135" t="str">
        <f>IFERROR(__xludf.DUMMYFUNCTION("""COMPUTED_VALUE"""),"Cardiovascular, cardiomyopathy, Long QT syndrome, FBN1")</f>
        <v>Cardiovascular, cardiomyopathy, Long QT syndrome, FBN1</v>
      </c>
      <c r="L40" t="str">
        <f>IFERROR(__xludf.DUMMYFUNCTION("""COMPUTED_VALUE"""),"I was part of a research team that reinterpreted the variants seen in our pediatric arrhythmia patients following the release of the 2015 ACMG/AMP guidelines.  Also, as a genetic counselor, I an evaluating the interpretation of the clinical laboratory.")</f>
        <v>I was part of a research team that reinterpreted the variants seen in our pediatric arrhythmia patients following the release of the 2015 ACMG/AMP guidelines.  Also, as a genetic counselor, I an evaluating the interpretation of the clinical laboratory.</v>
      </c>
    </row>
    <row r="41">
      <c r="A41" s="131" t="str">
        <f>IFERROR(__xludf.DUMMYFUNCTION("""COMPUTED_VALUE"""),"Assigned")</f>
        <v>Assigned</v>
      </c>
      <c r="B41" s="131" t="str">
        <f>IFERROR(__xludf.DUMMYFUNCTION("""COMPUTED_VALUE"""),"")</f>
        <v/>
      </c>
      <c r="C41" s="133">
        <f>IFERROR(__xludf.DUMMYFUNCTION("""COMPUTED_VALUE"""),43608.0)</f>
        <v>43608</v>
      </c>
      <c r="D41" s="134" t="str">
        <f>IFERROR(__xludf.DUMMYFUNCTION("""COMPUTED_VALUE"""),"Yes")</f>
        <v>Yes</v>
      </c>
      <c r="E41" s="134" t="str">
        <f>IFERROR(__xludf.DUMMYFUNCTION("""COMPUTED_VALUE"""),"Yes")</f>
        <v>Yes</v>
      </c>
      <c r="F41" s="134" t="str">
        <f>IFERROR(__xludf.DUMMYFUNCTION("""COMPUTED_VALUE"""),"Variant Pathogenicity")</f>
        <v>Variant Pathogenicity</v>
      </c>
      <c r="G41" s="131" t="str">
        <f>IFERROR(__xludf.DUMMYFUNCTION("""COMPUTED_VALUE"""),"Platelet Disorders")</f>
        <v>Platelet Disorders</v>
      </c>
      <c r="H41" s="131" t="str">
        <f>IFERROR(__xludf.DUMMYFUNCTION("""COMPUTED_VALUE"""),"Samya Chakravorty")</f>
        <v>Samya Chakravorty</v>
      </c>
      <c r="I41" s="131" t="str">
        <f>IFERROR(__xludf.DUMMYFUNCTION("""COMPUTED_VALUE"""),"samya.chakravorty@emory.edu")</f>
        <v>samya.chakravorty@emory.edu</v>
      </c>
      <c r="J41" s="134" t="str">
        <f>IFERROR(__xludf.DUMMYFUNCTION("""COMPUTED_VALUE"""),"Comprehensive")</f>
        <v>Comprehensive</v>
      </c>
      <c r="K41" s="135" t="str">
        <f>IFERROR(__xludf.DUMMYFUNCTION("""COMPUTED_VALUE"""),"Lysosomal Storage Disorders, Epilepsy")</f>
        <v>Lysosomal Storage Disorders, Epilepsy</v>
      </c>
      <c r="L41" t="str">
        <f>IFERROR(__xludf.DUMMYFUNCTION("""COMPUTED_VALUE"""),"I do have experience in classifying variants based on my functional data and submitting in Clinvar, other databases, and understanding variant annotation and classification based on 2015 ACMG-AMP guidelines. I also have experience in understanding the dis"&amp;"ease causality of variants and genes in correlation with clinical data. Though most of my experiences are in clinical research setting, but I do work closely with CLIA labs, organizations, and board-certified clinical geneticists. ")</f>
        <v>I do have experience in classifying variants based on my functional data and submitting in Clinvar, other databases, and understanding variant annotation and classification based on 2015 ACMG-AMP guidelines. I also have experience in understanding the disease causality of variants and genes in correlation with clinical data. Though most of my experiences are in clinical research setting, but I do work closely with CLIA labs, organizations, and board-certified clinical geneticists. </v>
      </c>
    </row>
    <row r="42">
      <c r="A42" s="131" t="str">
        <f>IFERROR(__xludf.DUMMYFUNCTION("""COMPUTED_VALUE"""),"Contacted")</f>
        <v>Contacted</v>
      </c>
      <c r="B42" s="137">
        <f>IFERROR(__xludf.DUMMYFUNCTION("""COMPUTED_VALUE"""),43819.0)</f>
        <v>43819</v>
      </c>
      <c r="C42" s="132">
        <f>IFERROR(__xludf.DUMMYFUNCTION("""COMPUTED_VALUE"""),43859.0)</f>
        <v>43859</v>
      </c>
      <c r="D42" s="134" t="str">
        <f>IFERROR(__xludf.DUMMYFUNCTION("""COMPUTED_VALUE"""),"Yes")</f>
        <v>Yes</v>
      </c>
      <c r="E42" s="134" t="str">
        <f>IFERROR(__xludf.DUMMYFUNCTION("""COMPUTED_VALUE"""),"Yes")</f>
        <v>Yes</v>
      </c>
      <c r="F42" s="134" t="str">
        <f>IFERROR(__xludf.DUMMYFUNCTION("""COMPUTED_VALUE"""),"Variant Pathogenicity")</f>
        <v>Variant Pathogenicity</v>
      </c>
      <c r="G42" s="131" t="str">
        <f>IFERROR(__xludf.DUMMYFUNCTION("""COMPUTED_VALUE"""),"")</f>
        <v/>
      </c>
      <c r="H42" s="131" t="str">
        <f>IFERROR(__xludf.DUMMYFUNCTION("""COMPUTED_VALUE"""),"Chloe Whitten")</f>
        <v>Chloe Whitten</v>
      </c>
      <c r="I42" s="131" t="str">
        <f>IFERROR(__xludf.DUMMYFUNCTION("""COMPUTED_VALUE"""),"cwhitten@ambrygen.com")</f>
        <v>cwhitten@ambrygen.com</v>
      </c>
      <c r="J42" s="134" t="str">
        <f>IFERROR(__xludf.DUMMYFUNCTION("""COMPUTED_VALUE"""),"Comprehensive")</f>
        <v>Comprehensive</v>
      </c>
      <c r="K42" s="135" t="str">
        <f>IFERROR(__xludf.DUMMYFUNCTION("""COMPUTED_VALUE"""),"FBN1, PKU or LSD")</f>
        <v>FBN1, PKU or LSD</v>
      </c>
      <c r="L42" t="str">
        <f>IFERROR(__xludf.DUMMYFUNCTION("""COMPUTED_VALUE"""),"I don’t have experience with curation but I am eager to learn and have experience with more administrative/tedious tasks. I’d love to be involved but I understand that I do not have an clinical degrees")</f>
        <v>I don’t have experience with curation but I am eager to learn and have experience with more administrative/tedious tasks. I’d love to be involved but I understand that I do not have an clinical degrees</v>
      </c>
    </row>
    <row r="43">
      <c r="A43" s="131" t="str">
        <f>IFERROR(__xludf.DUMMYFUNCTION("""COMPUTED_VALUE"""),"Assigned")</f>
        <v>Assigned</v>
      </c>
      <c r="B43" s="131" t="str">
        <f>IFERROR(__xludf.DUMMYFUNCTION("""COMPUTED_VALUE"""),"")</f>
        <v/>
      </c>
      <c r="C43" s="137">
        <f>IFERROR(__xludf.DUMMYFUNCTION("""COMPUTED_VALUE"""),43605.0)</f>
        <v>43605</v>
      </c>
      <c r="D43" s="134" t="str">
        <f>IFERROR(__xludf.DUMMYFUNCTION("""COMPUTED_VALUE"""),"Yes")</f>
        <v>Yes</v>
      </c>
      <c r="E43" s="134" t="str">
        <f>IFERROR(__xludf.DUMMYFUNCTION("""COMPUTED_VALUE"""),"Yes")</f>
        <v>Yes</v>
      </c>
      <c r="F43" s="134" t="str">
        <f>IFERROR(__xludf.DUMMYFUNCTION("""COMPUTED_VALUE"""),"Variant Pathogenicity")</f>
        <v>Variant Pathogenicity</v>
      </c>
      <c r="G43" s="131" t="str">
        <f>IFERROR(__xludf.DUMMYFUNCTION("""COMPUTED_VALUE"""),"RYR1")</f>
        <v>RYR1</v>
      </c>
      <c r="H43" s="131" t="str">
        <f>IFERROR(__xludf.DUMMYFUNCTION("""COMPUTED_VALUE"""),"Catherine Driscoll")</f>
        <v>Catherine Driscoll</v>
      </c>
      <c r="I43" s="131" t="str">
        <f>IFERROR(__xludf.DUMMYFUNCTION("""COMPUTED_VALUE"""),"kate.driscoll@nih.gov")</f>
        <v>kate.driscoll@nih.gov</v>
      </c>
      <c r="J43" s="134" t="str">
        <f>IFERROR(__xludf.DUMMYFUNCTION("""COMPUTED_VALUE"""),"Comprehensive")</f>
        <v>Comprehensive</v>
      </c>
      <c r="K43" s="135" t="str">
        <f>IFERROR(__xludf.DUMMYFUNCTION("""COMPUTED_VALUE"""),"Yes, RYR1 MHS")</f>
        <v>Yes, RYR1 MHS</v>
      </c>
      <c r="L43" t="str">
        <f>IFERROR(__xludf.DUMMYFUNCTION("""COMPUTED_VALUE"""),"Yes, my main task at work is annotation of variants in Dr. Biesecker's lab")</f>
        <v>Yes, my main task at work is annotation of variants in Dr. Biesecker's lab</v>
      </c>
    </row>
    <row r="44">
      <c r="A44" s="131" t="str">
        <f>IFERROR(__xludf.DUMMYFUNCTION("""COMPUTED_VALUE"""),"Assigned")</f>
        <v>Assigned</v>
      </c>
      <c r="B44" s="131" t="str">
        <f>IFERROR(__xludf.DUMMYFUNCTION("""COMPUTED_VALUE"""),"")</f>
        <v/>
      </c>
      <c r="C44" s="137">
        <f>IFERROR(__xludf.DUMMYFUNCTION("""COMPUTED_VALUE"""),43608.0)</f>
        <v>43608</v>
      </c>
      <c r="D44" s="134" t="str">
        <f>IFERROR(__xludf.DUMMYFUNCTION("""COMPUTED_VALUE"""),"Yes")</f>
        <v>Yes</v>
      </c>
      <c r="E44" s="134" t="str">
        <f>IFERROR(__xludf.DUMMYFUNCTION("""COMPUTED_VALUE"""),"Yes")</f>
        <v>Yes</v>
      </c>
      <c r="F44" s="134" t="str">
        <f>IFERROR(__xludf.DUMMYFUNCTION("""COMPUTED_VALUE"""),"Variant Pathogenicity")</f>
        <v>Variant Pathogenicity</v>
      </c>
      <c r="G44" s="131" t="str">
        <f>IFERROR(__xludf.DUMMYFUNCTION("""COMPUTED_VALUE"""),"Brain Malformations")</f>
        <v>Brain Malformations</v>
      </c>
      <c r="H44" s="131" t="str">
        <f>IFERROR(__xludf.DUMMYFUNCTION("""COMPUTED_VALUE"""),"Ashley Marsh")</f>
        <v>Ashley Marsh</v>
      </c>
      <c r="I44" s="131" t="str">
        <f>IFERROR(__xludf.DUMMYFUNCTION("""COMPUTED_VALUE"""),"amarsh@ucsd.edu")</f>
        <v>amarsh@ucsd.edu</v>
      </c>
      <c r="J44" s="134" t="str">
        <f>IFERROR(__xludf.DUMMYFUNCTION("""COMPUTED_VALUE"""),"Comprehensive")</f>
        <v>Comprehensive</v>
      </c>
      <c r="K44" s="135" t="str">
        <f>IFERROR(__xludf.DUMMYFUNCTION("""COMPUTED_VALUE"""),"•	Brain Malformations Variant Curation Expert Panel
•	Brain Malformations Gene Curation Expert Panel")</f>
        <v>•	Brain Malformations Variant Curation Expert Panel
•	Brain Malformations Gene Curation Expert Panel</v>
      </c>
      <c r="L44" s="136" t="str">
        <f>IFERROR(__xludf.DUMMYFUNCTION("""COMPUTED_VALUE"""),"Variant Pathogenicity – I gained extensive sequence variant interpretation experience through my undergraduate and graduate research projects. I assessed the pathogenicity of variants associated with inherited cardiomyopathies during my undergraduate degr"&amp;"ee and undertook similar assessments during my graduate studies, focused on neurodevelopment and novel disease gene discovery. I published a Nature Genetics paper in 2017 describing the first genetic cause of isolated agenesis of the corpus callosum. I su"&amp;"bsequently created and maintain a LOVD for the disease gene (DCC), where I use ACMG and other criteria (in silico, conversation, population databases, etc.) to assess the pathogenicity of reported variants.
Gene-Disease Validity – My PhD dissertation foc"&amp;"used on novel disease gene discovery. Throughout my candidature, I utilized modern genomic technologies (including exome and targeted resequencing) to identify and characterize novel disease genes associated with neurodevelopmental disorders such as agene"&amp;"sis of the corpus callosum and focal cortical dysplasia.")</f>
        <v>Variant Pathogenicity – I gained extensive sequence variant interpretation experience through my undergraduate and graduate research projects. I assessed the pathogenicity of variants associated with inherited cardiomyopathies during my undergraduate degree and undertook similar assessments during my graduate studies, focused on neurodevelopment and novel disease gene discovery. I published a Nature Genetics paper in 2017 describing the first genetic cause of isolated agenesis of the corpus callosum. I subsequently created and maintain a LOVD for the disease gene (DCC), where I use ACMG and other criteria (in silico, conversation, population databases, etc.) to assess the pathogenicity of reported variants.
Gene-Disease Validity – My PhD dissertation focused on novel disease gene discovery. Throughout my candidature, I utilized modern genomic technologies (including exome and targeted resequencing) to identify and characterize novel disease genes associated with neurodevelopmental disorders such as agenesis of the corpus callosum and focal cortical dysplasia.</v>
      </c>
      <c r="M44" s="136"/>
      <c r="N44" s="136"/>
      <c r="O44" s="136"/>
      <c r="P44" s="136"/>
      <c r="Q44" s="136"/>
      <c r="R44" s="136"/>
      <c r="S44" s="136"/>
      <c r="T44" s="136"/>
      <c r="U44" s="136"/>
      <c r="V44" s="136"/>
      <c r="W44" s="136"/>
      <c r="X44" s="136"/>
      <c r="Y44" s="136"/>
      <c r="Z44" s="136"/>
    </row>
    <row r="45">
      <c r="A45" s="131" t="str">
        <f>IFERROR(__xludf.DUMMYFUNCTION("""COMPUTED_VALUE"""),"Contacted")</f>
        <v>Contacted</v>
      </c>
      <c r="B45" s="131" t="str">
        <f>IFERROR(__xludf.DUMMYFUNCTION("""COMPUTED_VALUE"""),"")</f>
        <v/>
      </c>
      <c r="C45" s="133">
        <f>IFERROR(__xludf.DUMMYFUNCTION("""COMPUTED_VALUE"""),43585.0)</f>
        <v>43585</v>
      </c>
      <c r="D45" s="134" t="str">
        <f>IFERROR(__xludf.DUMMYFUNCTION("""COMPUTED_VALUE"""),"Yes")</f>
        <v>Yes</v>
      </c>
      <c r="E45" s="134" t="str">
        <f>IFERROR(__xludf.DUMMYFUNCTION("""COMPUTED_VALUE"""),"Yes")</f>
        <v>Yes</v>
      </c>
      <c r="F45" s="134" t="str">
        <f>IFERROR(__xludf.DUMMYFUNCTION("""COMPUTED_VALUE"""),"Gene Disease Validity")</f>
        <v>Gene Disease Validity</v>
      </c>
      <c r="G45" s="131" t="str">
        <f>IFERROR(__xludf.DUMMYFUNCTION("""COMPUTED_VALUE"""),"Monogenic Diabetes")</f>
        <v>Monogenic Diabetes</v>
      </c>
      <c r="H45" s="131" t="str">
        <f>IFERROR(__xludf.DUMMYFUNCTION("""COMPUTED_VALUE"""),"Kevin Colclough")</f>
        <v>Kevin Colclough</v>
      </c>
      <c r="I45" s="131" t="str">
        <f>IFERROR(__xludf.DUMMYFUNCTION("""COMPUTED_VALUE"""),"kevin.colclough@nhs.net")</f>
        <v>kevin.colclough@nhs.net</v>
      </c>
      <c r="J45" s="134" t="str">
        <f>IFERROR(__xludf.DUMMYFUNCTION("""COMPUTED_VALUE"""),"Comprehensive")</f>
        <v>Comprehensive</v>
      </c>
      <c r="K45" s="135" t="str">
        <f>IFERROR(__xludf.DUMMYFUNCTION("""COMPUTED_VALUE"""),"I am a member of the variant curation and gene curation expert panels for monogenic diabetes.")</f>
        <v>I am a member of the variant curation and gene curation expert panels for monogenic diabetes.</v>
      </c>
      <c r="L45" t="str">
        <f>IFERROR(__xludf.DUMMYFUNCTION("""COMPUTED_VALUE"""),"I routinely perform variant pathogenicity classification and gene-disease validity as part of my routine diagnostic laboratory work.")</f>
        <v>I routinely perform variant pathogenicity classification and gene-disease validity as part of my routine diagnostic laboratory work.</v>
      </c>
    </row>
    <row r="46">
      <c r="A46" s="131" t="str">
        <f>IFERROR(__xludf.DUMMYFUNCTION("""COMPUTED_VALUE"""),"Contacted")</f>
        <v>Contacted</v>
      </c>
      <c r="B46" s="137">
        <f>IFERROR(__xludf.DUMMYFUNCTION("""COMPUTED_VALUE"""),43819.0)</f>
        <v>43819</v>
      </c>
      <c r="C46" s="131" t="str">
        <f>IFERROR(__xludf.DUMMYFUNCTION("""COMPUTED_VALUE"""),"")</f>
        <v/>
      </c>
      <c r="D46" s="134" t="str">
        <f>IFERROR(__xludf.DUMMYFUNCTION("""COMPUTED_VALUE"""),"")</f>
        <v/>
      </c>
      <c r="E46" s="134" t="str">
        <f>IFERROR(__xludf.DUMMYFUNCTION("""COMPUTED_VALUE"""),"No")</f>
        <v>No</v>
      </c>
      <c r="F46" s="134" t="str">
        <f>IFERROR(__xludf.DUMMYFUNCTION("""COMPUTED_VALUE"""),"Variant Pathogenicity")</f>
        <v>Variant Pathogenicity</v>
      </c>
      <c r="G46" s="131" t="str">
        <f>IFERROR(__xludf.DUMMYFUNCTION("""COMPUTED_VALUE"""),"")</f>
        <v/>
      </c>
      <c r="H46" s="131" t="str">
        <f>IFERROR(__xludf.DUMMYFUNCTION("""COMPUTED_VALUE"""),"Lisa Chen")</f>
        <v>Lisa Chen</v>
      </c>
      <c r="I46" s="131" t="str">
        <f>IFERROR(__xludf.DUMMYFUNCTION("""COMPUTED_VALUE"""),"lisa498484901@gmail.com")</f>
        <v>lisa498484901@gmail.com</v>
      </c>
      <c r="J46" s="134" t="str">
        <f>IFERROR(__xludf.DUMMYFUNCTION("""COMPUTED_VALUE"""),"Comprehensive")</f>
        <v>Comprehensive</v>
      </c>
      <c r="K46" s="135" t="str">
        <f>IFERROR(__xludf.DUMMYFUNCTION("""COMPUTED_VALUE"""),"Congenital Myopathies")</f>
        <v>Congenital Myopathies</v>
      </c>
      <c r="L46" t="str">
        <f>IFERROR(__xludf.DUMMYFUNCTION("""COMPUTED_VALUE"""),"I have been doing variant classification for 4 years.")</f>
        <v>I have been doing variant classification for 4 years.</v>
      </c>
    </row>
    <row r="47">
      <c r="A47" s="131" t="str">
        <f>IFERROR(__xludf.DUMMYFUNCTION("""COMPUTED_VALUE"""),"Assigned")</f>
        <v>Assigned</v>
      </c>
      <c r="B47" s="131" t="str">
        <f>IFERROR(__xludf.DUMMYFUNCTION("""COMPUTED_VALUE"""),"")</f>
        <v/>
      </c>
      <c r="C47" s="137">
        <f>IFERROR(__xludf.DUMMYFUNCTION("""COMPUTED_VALUE"""),43605.0)</f>
        <v>43605</v>
      </c>
      <c r="D47" s="134" t="str">
        <f>IFERROR(__xludf.DUMMYFUNCTION("""COMPUTED_VALUE"""),"Yes")</f>
        <v>Yes</v>
      </c>
      <c r="E47" s="134" t="str">
        <f>IFERROR(__xludf.DUMMYFUNCTION("""COMPUTED_VALUE"""),"Yes")</f>
        <v>Yes</v>
      </c>
      <c r="F47" s="134" t="str">
        <f>IFERROR(__xludf.DUMMYFUNCTION("""COMPUTED_VALUE"""),"Variant Pathogenicity")</f>
        <v>Variant Pathogenicity</v>
      </c>
      <c r="G47" s="131" t="str">
        <f>IFERROR(__xludf.DUMMYFUNCTION("""COMPUTED_VALUE"""),"TP53")</f>
        <v>TP53</v>
      </c>
      <c r="H47" s="131" t="str">
        <f>IFERROR(__xludf.DUMMYFUNCTION("""COMPUTED_VALUE"""),"Olivia Rennie")</f>
        <v>Olivia Rennie</v>
      </c>
      <c r="I47" s="131" t="str">
        <f>IFERROR(__xludf.DUMMYFUNCTION("""COMPUTED_VALUE"""),"olivia.rennie@sickkids.ca")</f>
        <v>olivia.rennie@sickkids.ca</v>
      </c>
      <c r="J47" s="134" t="str">
        <f>IFERROR(__xludf.DUMMYFUNCTION("""COMPUTED_VALUE"""),"Comprehensive")</f>
        <v>Comprehensive</v>
      </c>
      <c r="K47" s="135" t="str">
        <f>IFERROR(__xludf.DUMMYFUNCTION("""COMPUTED_VALUE"""),"I am open to any variant curation EPs that are currently looking for volunteers. ")</f>
        <v>I am open to any variant curation EPs that are currently looking for volunteers. </v>
      </c>
      <c r="L47" s="136" t="str">
        <f>IFERROR(__xludf.DUMMYFUNCTION("""COMPUTED_VALUE"""),"As noted above, I am currently a gene-disease curator with the ID &amp; ASD EP.")</f>
        <v>As noted above, I am currently a gene-disease curator with the ID &amp; ASD EP.</v>
      </c>
      <c r="M47" s="136"/>
      <c r="N47" s="136"/>
      <c r="O47" s="136"/>
      <c r="P47" s="136"/>
      <c r="Q47" s="136"/>
      <c r="R47" s="136"/>
      <c r="S47" s="136"/>
      <c r="T47" s="136"/>
      <c r="U47" s="136"/>
      <c r="V47" s="136"/>
      <c r="W47" s="136"/>
      <c r="X47" s="136"/>
      <c r="Y47" s="136"/>
      <c r="Z47" s="136"/>
    </row>
    <row r="48">
      <c r="A48" s="131" t="str">
        <f>IFERROR(__xludf.DUMMYFUNCTION("""COMPUTED_VALUE"""),"Contacted")</f>
        <v>Contacted</v>
      </c>
      <c r="B48" s="131" t="str">
        <f>IFERROR(__xludf.DUMMYFUNCTION("""COMPUTED_VALUE"""),"")</f>
        <v/>
      </c>
      <c r="C48" s="137">
        <f>IFERROR(__xludf.DUMMYFUNCTION("""COMPUTED_VALUE"""),43627.0)</f>
        <v>43627</v>
      </c>
      <c r="D48" s="134" t="str">
        <f>IFERROR(__xludf.DUMMYFUNCTION("""COMPUTED_VALUE"""),"Yes")</f>
        <v>Yes</v>
      </c>
      <c r="E48" s="134" t="str">
        <f>IFERROR(__xludf.DUMMYFUNCTION("""COMPUTED_VALUE"""),"Yes")</f>
        <v>Yes</v>
      </c>
      <c r="F48" s="134" t="str">
        <f>IFERROR(__xludf.DUMMYFUNCTION("""COMPUTED_VALUE"""),"NA")</f>
        <v>NA</v>
      </c>
      <c r="G48" s="131" t="str">
        <f>IFERROR(__xludf.DUMMYFUNCTION("""COMPUTED_VALUE"""),"")</f>
        <v/>
      </c>
      <c r="H48" s="131" t="str">
        <f>IFERROR(__xludf.DUMMYFUNCTION("""COMPUTED_VALUE"""),"Aleš Maver")</f>
        <v>Aleš Maver</v>
      </c>
      <c r="I48" s="131" t="str">
        <f>IFERROR(__xludf.DUMMYFUNCTION("""COMPUTED_VALUE"""),"ales.maver@kclj.si")</f>
        <v>ales.maver@kclj.si</v>
      </c>
      <c r="J48" s="134" t="str">
        <f>IFERROR(__xludf.DUMMYFUNCTION("""COMPUTED_VALUE"""),"Comprehensive")</f>
        <v>Comprehensive</v>
      </c>
      <c r="K48" s="135" t="str">
        <f>IFERROR(__xludf.DUMMYFUNCTION("""COMPUTED_VALUE"""),"Variant Curation Expert Panels and Gene Curation Expert Panels")</f>
        <v>Variant Curation Expert Panels and Gene Curation Expert Panels</v>
      </c>
      <c r="L48" t="str">
        <f>IFERROR(__xludf.DUMMYFUNCTION("""COMPUTED_VALUE"""),"Not extensive, but I am the responsible person for ClinVar deposits and data sharing at our institution. I also participate in the Variant discrepancy resolution project led by Steven Harrison. ")</f>
        <v>Not extensive, but I am the responsible person for ClinVar deposits and data sharing at our institution. I also participate in the Variant discrepancy resolution project led by Steven Harrison. </v>
      </c>
    </row>
    <row r="49">
      <c r="A49" s="131" t="str">
        <f>IFERROR(__xludf.DUMMYFUNCTION("""COMPUTED_VALUE"""),"Contacted")</f>
        <v>Contacted</v>
      </c>
      <c r="B49" s="131" t="str">
        <f>IFERROR(__xludf.DUMMYFUNCTION("""COMPUTED_VALUE"""),"")</f>
        <v/>
      </c>
      <c r="C49" s="137">
        <f>IFERROR(__xludf.DUMMYFUNCTION("""COMPUTED_VALUE"""),43627.0)</f>
        <v>43627</v>
      </c>
      <c r="D49" s="134" t="str">
        <f>IFERROR(__xludf.DUMMYFUNCTION("""COMPUTED_VALUE"""),"Yes")</f>
        <v>Yes</v>
      </c>
      <c r="E49" s="134" t="str">
        <f>IFERROR(__xludf.DUMMYFUNCTION("""COMPUTED_VALUE"""),"Yes")</f>
        <v>Yes</v>
      </c>
      <c r="F49" s="134" t="str">
        <f>IFERROR(__xludf.DUMMYFUNCTION("""COMPUTED_VALUE"""),"NA")</f>
        <v>NA</v>
      </c>
      <c r="G49" s="131" t="str">
        <f>IFERROR(__xludf.DUMMYFUNCTION("""COMPUTED_VALUE"""),"")</f>
        <v/>
      </c>
      <c r="H49" s="131" t="str">
        <f>IFERROR(__xludf.DUMMYFUNCTION("""COMPUTED_VALUE"""),"Robert Butler")</f>
        <v>Robert Butler</v>
      </c>
      <c r="I49" s="131" t="str">
        <f>IFERROR(__xludf.DUMMYFUNCTION("""COMPUTED_VALUE"""),"rbutler@northshore.org")</f>
        <v>rbutler@northshore.org</v>
      </c>
      <c r="J49" s="134" t="str">
        <f>IFERROR(__xludf.DUMMYFUNCTION("""COMPUTED_VALUE"""),"Comprehensive")</f>
        <v>Comprehensive</v>
      </c>
      <c r="K49" s="135" t="str">
        <f>IFERROR(__xludf.DUMMYFUNCTION("""COMPUTED_VALUE"""),"Ideally a working group regarding my experience, like Sequence Variant Discrepancy Resolution or Interpretation. Alternately, I have a growing interest (but much less knowledge) in the three areas of dosage sensitivity working groups, coming from a comput"&amp;"ational perspective (equal interest in all three). ")</f>
        <v>Ideally a working group regarding my experience, like Sequence Variant Discrepancy Resolution or Interpretation. Alternately, I have a growing interest (but much less knowledge) in the three areas of dosage sensitivity working groups, coming from a computational perspective (equal interest in all three). </v>
      </c>
      <c r="L49" t="str">
        <f>IFERROR(__xludf.DUMMYFUNCTION("""COMPUTED_VALUE"""),"I have some experience with variant interpretation and classification. My primary role in my job at NorthShore is research on our hospital cohort of variant data. I also authored a software tool, Clinotator, to examine variant evidence in ClinVar. My seco"&amp;"ndary job position is with the UChicago Department of Psychiatry and Behavioral Neuroscience and deals with neurodegenerative conditions (mainly AD). ")</f>
        <v>I have some experience with variant interpretation and classification. My primary role in my job at NorthShore is research on our hospital cohort of variant data. I also authored a software tool, Clinotator, to examine variant evidence in ClinVar. My secondary job position is with the UChicago Department of Psychiatry and Behavioral Neuroscience and deals with neurodegenerative conditions (mainly AD). </v>
      </c>
    </row>
    <row r="50">
      <c r="A50" s="131" t="str">
        <f>IFERROR(__xludf.DUMMYFUNCTION("""COMPUTED_VALUE"""),"Contacted")</f>
        <v>Contacted</v>
      </c>
      <c r="B50" s="131" t="str">
        <f>IFERROR(__xludf.DUMMYFUNCTION("""COMPUTED_VALUE"""),"")</f>
        <v/>
      </c>
      <c r="C50" s="137">
        <f>IFERROR(__xludf.DUMMYFUNCTION("""COMPUTED_VALUE"""),43626.0)</f>
        <v>43626</v>
      </c>
      <c r="D50" s="134" t="str">
        <f>IFERROR(__xludf.DUMMYFUNCTION("""COMPUTED_VALUE"""),"Yes")</f>
        <v>Yes</v>
      </c>
      <c r="E50" s="134" t="str">
        <f>IFERROR(__xludf.DUMMYFUNCTION("""COMPUTED_VALUE"""),"Yes")</f>
        <v>Yes</v>
      </c>
      <c r="F50" s="134" t="str">
        <f>IFERROR(__xludf.DUMMYFUNCTION("""COMPUTED_VALUE"""),"Variant Pathogenicity")</f>
        <v>Variant Pathogenicity</v>
      </c>
      <c r="G50" s="131" t="str">
        <f>IFERROR(__xludf.DUMMYFUNCTION("""COMPUTED_VALUE"""),"")</f>
        <v/>
      </c>
      <c r="H50" s="131" t="str">
        <f>IFERROR(__xludf.DUMMYFUNCTION("""COMPUTED_VALUE"""),"Ljubica Caldovic")</f>
        <v>Ljubica Caldovic</v>
      </c>
      <c r="I50" s="131" t="str">
        <f>IFERROR(__xludf.DUMMYFUNCTION("""COMPUTED_VALUE"""),"lcaldovic@childrensnational.org")</f>
        <v>lcaldovic@childrensnational.org</v>
      </c>
      <c r="J50" s="134" t="str">
        <f>IFERROR(__xludf.DUMMYFUNCTION("""COMPUTED_VALUE"""),"Comprehensive")</f>
        <v>Comprehensive</v>
      </c>
      <c r="K50" s="135" t="str">
        <f>IFERROR(__xludf.DUMMYFUNCTION("""COMPUTED_VALUE"""),"I am a member of the aminoacidopathy expert panel")</f>
        <v>I am a member of the aminoacidopathy expert panel</v>
      </c>
      <c r="L50" t="str">
        <f>IFERROR(__xludf.DUMMYFUNCTION("""COMPUTED_VALUE"""),"I am currently a member of the aminoacidopathy expert panel and curator for the NAGS gene. Because of my expertise in molecular biology, biochemistry, genetics and genomics I am really interested in variant curation")</f>
        <v>I am currently a member of the aminoacidopathy expert panel and curator for the NAGS gene. Because of my expertise in molecular biology, biochemistry, genetics and genomics I am really interested in variant curation</v>
      </c>
    </row>
    <row r="51">
      <c r="A51" s="131" t="str">
        <f>IFERROR(__xludf.DUMMYFUNCTION("""COMPUTED_VALUE"""),"Assigned")</f>
        <v>Assigned</v>
      </c>
      <c r="B51" s="131" t="str">
        <f>IFERROR(__xludf.DUMMYFUNCTION("""COMPUTED_VALUE"""),"")</f>
        <v/>
      </c>
      <c r="C51" s="137">
        <f>IFERROR(__xludf.DUMMYFUNCTION("""COMPUTED_VALUE"""),43627.0)</f>
        <v>43627</v>
      </c>
      <c r="D51" s="134" t="str">
        <f>IFERROR(__xludf.DUMMYFUNCTION("""COMPUTED_VALUE"""),"Yes")</f>
        <v>Yes</v>
      </c>
      <c r="E51" s="134" t="str">
        <f>IFERROR(__xludf.DUMMYFUNCTION("""COMPUTED_VALUE"""),"Yes")</f>
        <v>Yes</v>
      </c>
      <c r="F51" s="134" t="str">
        <f>IFERROR(__xludf.DUMMYFUNCTION("""COMPUTED_VALUE"""),"Variant Pathogenicity")</f>
        <v>Variant Pathogenicity</v>
      </c>
      <c r="G51" s="131" t="str">
        <f>IFERROR(__xludf.DUMMYFUNCTION("""COMPUTED_VALUE"""),"Mito")</f>
        <v>Mito</v>
      </c>
      <c r="H51" s="131" t="str">
        <f>IFERROR(__xludf.DUMMYFUNCTION("""COMPUTED_VALUE"""),"Joy Goffena")</f>
        <v>Joy Goffena</v>
      </c>
      <c r="I51" s="131" t="str">
        <f>IFERROR(__xludf.DUMMYFUNCTION("""COMPUTED_VALUE"""),"joy.goffena@gmail.com")</f>
        <v>joy.goffena@gmail.com</v>
      </c>
      <c r="J51" s="134" t="str">
        <f>IFERROR(__xludf.DUMMYFUNCTION("""COMPUTED_VALUE"""),"Comprehensive")</f>
        <v>Comprehensive</v>
      </c>
      <c r="K51" s="135" t="str">
        <f>IFERROR(__xludf.DUMMYFUNCTION("""COMPUTED_VALUE"""),"")</f>
        <v/>
      </c>
      <c r="L51" t="str">
        <f>IFERROR(__xludf.DUMMYFUNCTION("""COMPUTED_VALUE"""),"")</f>
        <v/>
      </c>
    </row>
    <row r="52">
      <c r="A52" s="131" t="str">
        <f>IFERROR(__xludf.DUMMYFUNCTION("""COMPUTED_VALUE"""),"Recontact Later")</f>
        <v>Recontact Later</v>
      </c>
      <c r="B52" s="137">
        <f>IFERROR(__xludf.DUMMYFUNCTION("""COMPUTED_VALUE"""),43819.0)</f>
        <v>43819</v>
      </c>
      <c r="C52" s="131" t="str">
        <f>IFERROR(__xludf.DUMMYFUNCTION("""COMPUTED_VALUE"""),"")</f>
        <v/>
      </c>
      <c r="D52" s="134" t="str">
        <f>IFERROR(__xludf.DUMMYFUNCTION("""COMPUTED_VALUE"""),"")</f>
        <v/>
      </c>
      <c r="E52" s="134" t="str">
        <f>IFERROR(__xludf.DUMMYFUNCTION("""COMPUTED_VALUE"""),"No")</f>
        <v>No</v>
      </c>
      <c r="F52" s="134" t="str">
        <f>IFERROR(__xludf.DUMMYFUNCTION("""COMPUTED_VALUE"""),"Variant Pathogenicity")</f>
        <v>Variant Pathogenicity</v>
      </c>
      <c r="G52" s="131" t="str">
        <f>IFERROR(__xludf.DUMMYFUNCTION("""COMPUTED_VALUE"""),"")</f>
        <v/>
      </c>
      <c r="H52" s="131" t="str">
        <f>IFERROR(__xludf.DUMMYFUNCTION("""COMPUTED_VALUE"""),"Cath Tyner")</f>
        <v>Cath Tyner</v>
      </c>
      <c r="I52" s="131" t="str">
        <f>IFERROR(__xludf.DUMMYFUNCTION("""COMPUTED_VALUE"""),"cathtyner@gmail.com")</f>
        <v>cathtyner@gmail.com</v>
      </c>
      <c r="J52" s="134" t="str">
        <f>IFERROR(__xludf.DUMMYFUNCTION("""COMPUTED_VALUE"""),"Comprehensive")</f>
        <v>Comprehensive</v>
      </c>
      <c r="K52" s="135" t="str">
        <f>IFERROR(__xludf.DUMMYFUNCTION("""COMPUTED_VALUE"""),"")</f>
        <v/>
      </c>
      <c r="L52" t="str">
        <f>IFERROR(__xludf.DUMMYFUNCTION("""COMPUTED_VALUE"""),"QA software which is used in gene curation for Invitae")</f>
        <v>QA software which is used in gene curation for Invitae</v>
      </c>
    </row>
    <row r="53">
      <c r="A53" s="131" t="str">
        <f>IFERROR(__xludf.DUMMYFUNCTION("""COMPUTED_VALUE"""),"Contacted")</f>
        <v>Contacted</v>
      </c>
      <c r="B53" s="131" t="str">
        <f>IFERROR(__xludf.DUMMYFUNCTION("""COMPUTED_VALUE"""),"")</f>
        <v/>
      </c>
      <c r="C53" s="137">
        <f>IFERROR(__xludf.DUMMYFUNCTION("""COMPUTED_VALUE"""),43627.0)</f>
        <v>43627</v>
      </c>
      <c r="D53" s="134" t="str">
        <f>IFERROR(__xludf.DUMMYFUNCTION("""COMPUTED_VALUE"""),"Yes")</f>
        <v>Yes</v>
      </c>
      <c r="E53" s="134" t="str">
        <f>IFERROR(__xludf.DUMMYFUNCTION("""COMPUTED_VALUE"""),"No")</f>
        <v>No</v>
      </c>
      <c r="F53" s="134" t="str">
        <f>IFERROR(__xludf.DUMMYFUNCTION("""COMPUTED_VALUE"""),"Variant Pathogenicity")</f>
        <v>Variant Pathogenicity</v>
      </c>
      <c r="G53" s="131" t="str">
        <f>IFERROR(__xludf.DUMMYFUNCTION("""COMPUTED_VALUE"""),"")</f>
        <v/>
      </c>
      <c r="H53" s="131" t="str">
        <f>IFERROR(__xludf.DUMMYFUNCTION("""COMPUTED_VALUE"""),"Abdelazeem Elhabyan ")</f>
        <v>Abdelazeem Elhabyan </v>
      </c>
      <c r="I53" s="131" t="str">
        <f>IFERROR(__xludf.DUMMYFUNCTION("""COMPUTED_VALUE"""),"Abdelazeem_abdelhameed2015505@yahoo.com")</f>
        <v>Abdelazeem_abdelhameed2015505@yahoo.com</v>
      </c>
      <c r="J53" s="134" t="str">
        <f>IFERROR(__xludf.DUMMYFUNCTION("""COMPUTED_VALUE"""),"Comprehensive")</f>
        <v>Comprehensive</v>
      </c>
      <c r="K53" s="135" t="str">
        <f>IFERROR(__xludf.DUMMYFUNCTION("""COMPUTED_VALUE"""),"Hereditary cancer ")</f>
        <v>Hereditary cancer </v>
      </c>
      <c r="L53" t="str">
        <f>IFERROR(__xludf.DUMMYFUNCTION("""COMPUTED_VALUE"""),"I have received training In mapping,  variant calling using galaxy project and received many online courses in genomics ")</f>
        <v>I have received training In mapping,  variant calling using galaxy project and received many online courses in genomics </v>
      </c>
    </row>
    <row r="54">
      <c r="A54" s="131" t="str">
        <f>IFERROR(__xludf.DUMMYFUNCTION("""COMPUTED_VALUE"""),"Contacted")</f>
        <v>Contacted</v>
      </c>
      <c r="B54" s="137">
        <f>IFERROR(__xludf.DUMMYFUNCTION("""COMPUTED_VALUE"""),43819.0)</f>
        <v>43819</v>
      </c>
      <c r="C54" s="132">
        <f>IFERROR(__xludf.DUMMYFUNCTION("""COMPUTED_VALUE"""),43859.0)</f>
        <v>43859</v>
      </c>
      <c r="D54" s="134" t="str">
        <f>IFERROR(__xludf.DUMMYFUNCTION("""COMPUTED_VALUE"""),"Yes")</f>
        <v>Yes</v>
      </c>
      <c r="E54" s="134" t="str">
        <f>IFERROR(__xludf.DUMMYFUNCTION("""COMPUTED_VALUE"""),"Yes")</f>
        <v>Yes</v>
      </c>
      <c r="F54" s="134" t="str">
        <f>IFERROR(__xludf.DUMMYFUNCTION("""COMPUTED_VALUE"""),"Variant Pathogenicity")</f>
        <v>Variant Pathogenicity</v>
      </c>
      <c r="G54" s="131" t="str">
        <f>IFERROR(__xludf.DUMMYFUNCTION("""COMPUTED_VALUE"""),"")</f>
        <v/>
      </c>
      <c r="H54" s="131" t="str">
        <f>IFERROR(__xludf.DUMMYFUNCTION("""COMPUTED_VALUE"""),"Janel Case")</f>
        <v>Janel Case</v>
      </c>
      <c r="I54" s="131" t="str">
        <f>IFERROR(__xludf.DUMMYFUNCTION("""COMPUTED_VALUE"""),"janelcase@live.com")</f>
        <v>janelcase@live.com</v>
      </c>
      <c r="J54" s="134" t="str">
        <f>IFERROR(__xludf.DUMMYFUNCTION("""COMPUTED_VALUE"""),"Comprehensive")</f>
        <v>Comprehensive</v>
      </c>
      <c r="K54" s="135" t="str">
        <f>IFERROR(__xludf.DUMMYFUNCTION("""COMPUTED_VALUE"""),"Any hereditary cancer related groups ")</f>
        <v>Any hereditary cancer related groups </v>
      </c>
      <c r="L54" t="str">
        <f>IFERROR(__xludf.DUMMYFUNCTION("""COMPUTED_VALUE"""),"Variant curation internship at Illumina ")</f>
        <v>Variant curation internship at Illumina </v>
      </c>
    </row>
    <row r="55">
      <c r="A55" s="131" t="str">
        <f>IFERROR(__xludf.DUMMYFUNCTION("""COMPUTED_VALUE"""),"Contacted")</f>
        <v>Contacted</v>
      </c>
      <c r="B55" s="131" t="str">
        <f>IFERROR(__xludf.DUMMYFUNCTION("""COMPUTED_VALUE"""),"")</f>
        <v/>
      </c>
      <c r="C55" s="137">
        <f>IFERROR(__xludf.DUMMYFUNCTION("""COMPUTED_VALUE"""),43627.0)</f>
        <v>43627</v>
      </c>
      <c r="D55" s="134" t="str">
        <f>IFERROR(__xludf.DUMMYFUNCTION("""COMPUTED_VALUE"""),"Yes")</f>
        <v>Yes</v>
      </c>
      <c r="E55" s="134" t="str">
        <f>IFERROR(__xludf.DUMMYFUNCTION("""COMPUTED_VALUE"""),"Yes")</f>
        <v>Yes</v>
      </c>
      <c r="F55" s="134" t="str">
        <f>IFERROR(__xludf.DUMMYFUNCTION("""COMPUTED_VALUE"""),"Variant Pathogenicity")</f>
        <v>Variant Pathogenicity</v>
      </c>
      <c r="G55" s="131" t="str">
        <f>IFERROR(__xludf.DUMMYFUNCTION("""COMPUTED_VALUE"""),"")</f>
        <v/>
      </c>
      <c r="H55" s="131" t="str">
        <f>IFERROR(__xludf.DUMMYFUNCTION("""COMPUTED_VALUE"""),"Carolina Bustamante")</f>
        <v>Carolina Bustamante</v>
      </c>
      <c r="I55" s="131" t="str">
        <f>IFERROR(__xludf.DUMMYFUNCTION("""COMPUTED_VALUE"""),"carolina.bustamante@gmail.com")</f>
        <v>carolina.bustamante@gmail.com</v>
      </c>
      <c r="J55" s="134" t="str">
        <f>IFERROR(__xludf.DUMMYFUNCTION("""COMPUTED_VALUE"""),"Comprehensive")</f>
        <v>Comprehensive</v>
      </c>
      <c r="K55" s="135" t="str">
        <f>IFERROR(__xludf.DUMMYFUNCTION("""COMPUTED_VALUE"""),"Cancer, Hereditary Cancer, Colorectal Cancer, Genitourinary Tract Cancers, TP53, PTEN, CDH1, FBN1. ")</f>
        <v>Cancer, Hereditary Cancer, Colorectal Cancer, Genitourinary Tract Cancers, TP53, PTEN, CDH1, FBN1. </v>
      </c>
      <c r="L55" t="str">
        <f>IFERROR(__xludf.DUMMYFUNCTION("""COMPUTED_VALUE"""),"Yes, I worked as bioinformatician performing NGS analyses and variant interpretation in a genetic diagnostic lab that sequenced cerca 600 samples a month.")</f>
        <v>Yes, I worked as bioinformatician performing NGS analyses and variant interpretation in a genetic diagnostic lab that sequenced cerca 600 samples a month.</v>
      </c>
    </row>
    <row r="56">
      <c r="A56" s="131" t="str">
        <f>IFERROR(__xludf.DUMMYFUNCTION("""COMPUTED_VALUE"""),"Unresponsive")</f>
        <v>Unresponsive</v>
      </c>
      <c r="B56" s="131" t="str">
        <f>IFERROR(__xludf.DUMMYFUNCTION("""COMPUTED_VALUE"""),"")</f>
        <v/>
      </c>
      <c r="C56" s="131" t="str">
        <f>IFERROR(__xludf.DUMMYFUNCTION("""COMPUTED_VALUE"""),"")</f>
        <v/>
      </c>
      <c r="D56" s="134" t="str">
        <f>IFERROR(__xludf.DUMMYFUNCTION("""COMPUTED_VALUE"""),"")</f>
        <v/>
      </c>
      <c r="E56" s="134" t="str">
        <f>IFERROR(__xludf.DUMMYFUNCTION("""COMPUTED_VALUE"""),"No")</f>
        <v>No</v>
      </c>
      <c r="F56" s="134" t="str">
        <f>IFERROR(__xludf.DUMMYFUNCTION("""COMPUTED_VALUE"""),"Variant Pathogenicity")</f>
        <v>Variant Pathogenicity</v>
      </c>
      <c r="G56" s="131" t="str">
        <f>IFERROR(__xludf.DUMMYFUNCTION("""COMPUTED_VALUE"""),"")</f>
        <v/>
      </c>
      <c r="H56" s="131" t="str">
        <f>IFERROR(__xludf.DUMMYFUNCTION("""COMPUTED_VALUE"""),"Timo Dereani")</f>
        <v>Timo Dereani</v>
      </c>
      <c r="I56" s="131" t="str">
        <f>IFERROR(__xludf.DUMMYFUNCTION("""COMPUTED_VALUE"""),"dereani@biologis.diagnosticum.eu")</f>
        <v>dereani@biologis.diagnosticum.eu</v>
      </c>
      <c r="J56" s="134" t="str">
        <f>IFERROR(__xludf.DUMMYFUNCTION("""COMPUTED_VALUE"""),"Comprehensive")</f>
        <v>Comprehensive</v>
      </c>
      <c r="K56" s="135" t="str">
        <f>IFERROR(__xludf.DUMMYFUNCTION("""COMPUTED_VALUE"""),"Monogenic Diabetes, Hereditary Cancer")</f>
        <v>Monogenic Diabetes, Hereditary Cancer</v>
      </c>
      <c r="L56" t="str">
        <f>IFERROR(__xludf.DUMMYFUNCTION("""COMPUTED_VALUE"""),"I've already curated hundreds of variants during my work as a clinical laboratory geneticist. Additionally I've used various classification guidelines (internal, ACMG etc.) and I'm constantly trying to implement new ideas. I am currently also participatig"&amp;" in the ClinGen low penetrance working group. Additionally I've helped to create various virtual panels for the routine diagnostics at our center.")</f>
        <v>I've already curated hundreds of variants during my work as a clinical laboratory geneticist. Additionally I've used various classification guidelines (internal, ACMG etc.) and I'm constantly trying to implement new ideas. I am currently also participatig in the ClinGen low penetrance working group. Additionally I've helped to create various virtual panels for the routine diagnostics at our center.</v>
      </c>
    </row>
    <row r="57">
      <c r="A57" s="131" t="str">
        <f>IFERROR(__xludf.DUMMYFUNCTION("""COMPUTED_VALUE"""),"Unresponsive")</f>
        <v>Unresponsive</v>
      </c>
      <c r="B57" s="131" t="str">
        <f>IFERROR(__xludf.DUMMYFUNCTION("""COMPUTED_VALUE"""),"")</f>
        <v/>
      </c>
      <c r="C57" s="131" t="str">
        <f>IFERROR(__xludf.DUMMYFUNCTION("""COMPUTED_VALUE"""),"")</f>
        <v/>
      </c>
      <c r="D57" s="134" t="str">
        <f>IFERROR(__xludf.DUMMYFUNCTION("""COMPUTED_VALUE"""),"")</f>
        <v/>
      </c>
      <c r="E57" s="134" t="str">
        <f>IFERROR(__xludf.DUMMYFUNCTION("""COMPUTED_VALUE"""),"No")</f>
        <v>No</v>
      </c>
      <c r="F57" s="134" t="str">
        <f>IFERROR(__xludf.DUMMYFUNCTION("""COMPUTED_VALUE"""),"Variant Pathogenicity")</f>
        <v>Variant Pathogenicity</v>
      </c>
      <c r="G57" s="131" t="str">
        <f>IFERROR(__xludf.DUMMYFUNCTION("""COMPUTED_VALUE"""),"")</f>
        <v/>
      </c>
      <c r="H57" s="131" t="str">
        <f>IFERROR(__xludf.DUMMYFUNCTION("""COMPUTED_VALUE"""),"Jennifer Bullard")</f>
        <v>Jennifer Bullard</v>
      </c>
      <c r="I57" s="131" t="str">
        <f>IFERROR(__xludf.DUMMYFUNCTION("""COMPUTED_VALUE"""),"jenniferluja@gmail.com")</f>
        <v>jenniferluja@gmail.com</v>
      </c>
      <c r="J57" s="134" t="str">
        <f>IFERROR(__xludf.DUMMYFUNCTION("""COMPUTED_VALUE"""),"Comprehensive")</f>
        <v>Comprehensive</v>
      </c>
      <c r="K57" s="135" t="str">
        <f>IFERROR(__xludf.DUMMYFUNCTION("""COMPUTED_VALUE"""),"Monogenic Diabetes")</f>
        <v>Monogenic Diabetes</v>
      </c>
      <c r="L57" t="str">
        <f>IFERROR(__xludf.DUMMYFUNCTION("""COMPUTED_VALUE"""),"")</f>
        <v/>
      </c>
    </row>
    <row r="58">
      <c r="A58" s="131" t="str">
        <f>IFERROR(__xludf.DUMMYFUNCTION("""COMPUTED_VALUE"""),"Contacted")</f>
        <v>Contacted</v>
      </c>
      <c r="B58" s="131" t="str">
        <f>IFERROR(__xludf.DUMMYFUNCTION("""COMPUTED_VALUE"""),"")</f>
        <v/>
      </c>
      <c r="C58" s="137">
        <f>IFERROR(__xludf.DUMMYFUNCTION("""COMPUTED_VALUE"""),43626.0)</f>
        <v>43626</v>
      </c>
      <c r="D58" s="134" t="str">
        <f>IFERROR(__xludf.DUMMYFUNCTION("""COMPUTED_VALUE"""),"Yes")</f>
        <v>Yes</v>
      </c>
      <c r="E58" s="134" t="str">
        <f>IFERROR(__xludf.DUMMYFUNCTION("""COMPUTED_VALUE"""),"Yes")</f>
        <v>Yes</v>
      </c>
      <c r="F58" s="134" t="str">
        <f>IFERROR(__xludf.DUMMYFUNCTION("""COMPUTED_VALUE"""),"NA")</f>
        <v>NA</v>
      </c>
      <c r="G58" s="131" t="str">
        <f>IFERROR(__xludf.DUMMYFUNCTION("""COMPUTED_VALUE"""),"")</f>
        <v/>
      </c>
      <c r="H58" s="131" t="str">
        <f>IFERROR(__xludf.DUMMYFUNCTION("""COMPUTED_VALUE"""),"Pamela")</f>
        <v>Pamela</v>
      </c>
      <c r="I58" s="131" t="str">
        <f>IFERROR(__xludf.DUMMYFUNCTION("""COMPUTED_VALUE"""),"pchristopherson@versiti.org")</f>
        <v>pchristopherson@versiti.org</v>
      </c>
      <c r="J58" s="134" t="str">
        <f>IFERROR(__xludf.DUMMYFUNCTION("""COMPUTED_VALUE"""),"Comprehensive")</f>
        <v>Comprehensive</v>
      </c>
      <c r="K58" s="135" t="str">
        <f>IFERROR(__xludf.DUMMYFUNCTION("""COMPUTED_VALUE"""),"Already on VWD working group")</f>
        <v>Already on VWD working group</v>
      </c>
      <c r="L58" t="str">
        <f>IFERROR(__xludf.DUMMYFUNCTION("""COMPUTED_VALUE"""),"Submission of variants to LOVD")</f>
        <v>Submission of variants to LOVD</v>
      </c>
    </row>
    <row r="59">
      <c r="A59" s="131" t="str">
        <f>IFERROR(__xludf.DUMMYFUNCTION("""COMPUTED_VALUE"""),"Contacted")</f>
        <v>Contacted</v>
      </c>
      <c r="B59" s="131" t="str">
        <f>IFERROR(__xludf.DUMMYFUNCTION("""COMPUTED_VALUE"""),"")</f>
        <v/>
      </c>
      <c r="C59" s="132">
        <f>IFERROR(__xludf.DUMMYFUNCTION("""COMPUTED_VALUE"""),43859.0)</f>
        <v>43859</v>
      </c>
      <c r="D59" s="134" t="str">
        <f>IFERROR(__xludf.DUMMYFUNCTION("""COMPUTED_VALUE"""),"Yes")</f>
        <v>Yes</v>
      </c>
      <c r="E59" s="134" t="str">
        <f>IFERROR(__xludf.DUMMYFUNCTION("""COMPUTED_VALUE"""),"No")</f>
        <v>No</v>
      </c>
      <c r="F59" s="134" t="str">
        <f>IFERROR(__xludf.DUMMYFUNCTION("""COMPUTED_VALUE"""),"Variant Pathogenicity")</f>
        <v>Variant Pathogenicity</v>
      </c>
      <c r="G59" s="131" t="str">
        <f>IFERROR(__xludf.DUMMYFUNCTION("""COMPUTED_VALUE"""),"")</f>
        <v/>
      </c>
      <c r="H59" s="131" t="str">
        <f>IFERROR(__xludf.DUMMYFUNCTION("""COMPUTED_VALUE"""),"Hemantkumar Nemade ")</f>
        <v>Hemantkumar Nemade </v>
      </c>
      <c r="I59" s="131" t="str">
        <f>IFERROR(__xludf.DUMMYFUNCTION("""COMPUTED_VALUE"""),"drhemantnemade@gmail.com")</f>
        <v>drhemantnemade@gmail.com</v>
      </c>
      <c r="J59" s="134" t="str">
        <f>IFERROR(__xludf.DUMMYFUNCTION("""COMPUTED_VALUE"""),"Comprehensive")</f>
        <v>Comprehensive</v>
      </c>
      <c r="K59" s="135" t="str">
        <f>IFERROR(__xludf.DUMMYFUNCTION("""COMPUTED_VALUE"""),"Somatic cancer")</f>
        <v>Somatic cancer</v>
      </c>
      <c r="L59" t="str">
        <f>IFERROR(__xludf.DUMMYFUNCTION("""COMPUTED_VALUE"""),"Not genetic but I have collected and analyzed cancer database. Trained in statistics ")</f>
        <v>Not genetic but I have collected and analyzed cancer database. Trained in statistics </v>
      </c>
    </row>
    <row r="60">
      <c r="A60" s="131" t="str">
        <f>IFERROR(__xludf.DUMMYFUNCTION("""COMPUTED_VALUE"""),"Contacted")</f>
        <v>Contacted</v>
      </c>
      <c r="B60" s="137">
        <f>IFERROR(__xludf.DUMMYFUNCTION("""COMPUTED_VALUE"""),43819.0)</f>
        <v>43819</v>
      </c>
      <c r="C60" s="131" t="str">
        <f>IFERROR(__xludf.DUMMYFUNCTION("""COMPUTED_VALUE"""),"")</f>
        <v/>
      </c>
      <c r="D60" s="134" t="str">
        <f>IFERROR(__xludf.DUMMYFUNCTION("""COMPUTED_VALUE"""),"")</f>
        <v/>
      </c>
      <c r="E60" s="134" t="str">
        <f>IFERROR(__xludf.DUMMYFUNCTION("""COMPUTED_VALUE"""),"No")</f>
        <v>No</v>
      </c>
      <c r="F60" s="134" t="str">
        <f>IFERROR(__xludf.DUMMYFUNCTION("""COMPUTED_VALUE"""),"Variant Pathogenicity")</f>
        <v>Variant Pathogenicity</v>
      </c>
      <c r="G60" s="131" t="str">
        <f>IFERROR(__xludf.DUMMYFUNCTION("""COMPUTED_VALUE"""),"")</f>
        <v/>
      </c>
      <c r="H60" s="131" t="str">
        <f>IFERROR(__xludf.DUMMYFUNCTION("""COMPUTED_VALUE"""),"José Patricio Miranda Marín")</f>
        <v>José Patricio Miranda Marín</v>
      </c>
      <c r="I60" s="131" t="str">
        <f>IFERROR(__xludf.DUMMYFUNCTION("""COMPUTED_VALUE"""),"jose.miranda@uc.cl")</f>
        <v>jose.miranda@uc.cl</v>
      </c>
      <c r="J60" s="134" t="str">
        <f>IFERROR(__xludf.DUMMYFUNCTION("""COMPUTED_VALUE"""),"Comprehensive")</f>
        <v>Comprehensive</v>
      </c>
      <c r="K60" s="135" t="str">
        <f>IFERROR(__xludf.DUMMYFUNCTION("""COMPUTED_VALUE"""),"Monogenic Diabetes Variant Curation Expert Panel or Mitochondrial Disease Variant Curation Expert Panel")</f>
        <v>Monogenic Diabetes Variant Curation Expert Panel or Mitochondrial Disease Variant Curation Expert Panel</v>
      </c>
      <c r="L60" t="str">
        <f>IFERROR(__xludf.DUMMYFUNCTION("""COMPUTED_VALUE"""),"yes, I am the Lab Director of the Medical Genomic Unit at the Pontificia Universidad Católica de Chile, and we regularly send submissions to ClinVar (https://www.ncbi.nlm.nih.gov/clinvar/submitters/506969/)")</f>
        <v>yes, I am the Lab Director of the Medical Genomic Unit at the Pontificia Universidad Católica de Chile, and we regularly send submissions to ClinVar (https://www.ncbi.nlm.nih.gov/clinvar/submitters/506969/)</v>
      </c>
    </row>
    <row r="61">
      <c r="A61" s="131" t="str">
        <f>IFERROR(__xludf.DUMMYFUNCTION("""COMPUTED_VALUE"""),"Unresponsive")</f>
        <v>Unresponsive</v>
      </c>
      <c r="B61" s="131" t="str">
        <f>IFERROR(__xludf.DUMMYFUNCTION("""COMPUTED_VALUE"""),"")</f>
        <v/>
      </c>
      <c r="C61" s="131" t="str">
        <f>IFERROR(__xludf.DUMMYFUNCTION("""COMPUTED_VALUE"""),"")</f>
        <v/>
      </c>
      <c r="D61" s="134" t="str">
        <f>IFERROR(__xludf.DUMMYFUNCTION("""COMPUTED_VALUE"""),"")</f>
        <v/>
      </c>
      <c r="E61" s="134" t="str">
        <f>IFERROR(__xludf.DUMMYFUNCTION("""COMPUTED_VALUE"""),"No")</f>
        <v>No</v>
      </c>
      <c r="F61" s="134" t="str">
        <f>IFERROR(__xludf.DUMMYFUNCTION("""COMPUTED_VALUE"""),"Variant Pathogenicity")</f>
        <v>Variant Pathogenicity</v>
      </c>
      <c r="G61" s="131" t="str">
        <f>IFERROR(__xludf.DUMMYFUNCTION("""COMPUTED_VALUE"""),"")</f>
        <v/>
      </c>
      <c r="H61" s="131" t="str">
        <f>IFERROR(__xludf.DUMMYFUNCTION("""COMPUTED_VALUE"""),"Xiangqiang Shao")</f>
        <v>Xiangqiang Shao</v>
      </c>
      <c r="I61" s="131" t="str">
        <f>IFERROR(__xludf.DUMMYFUNCTION("""COMPUTED_VALUE"""),"xshao5@wisc.edu")</f>
        <v>xshao5@wisc.edu</v>
      </c>
      <c r="J61" s="134" t="str">
        <f>IFERROR(__xludf.DUMMYFUNCTION("""COMPUTED_VALUE"""),"Comprehensive")</f>
        <v>Comprehensive</v>
      </c>
      <c r="K61" s="135" t="str">
        <f>IFERROR(__xludf.DUMMYFUNCTION("""COMPUTED_VALUE"""),"Epilepsy, and Intellectual Disability and Autism")</f>
        <v>Epilepsy, and Intellectual Disability and Autism</v>
      </c>
      <c r="L61" t="str">
        <f>IFERROR(__xludf.DUMMYFUNCTION("""COMPUTED_VALUE"""),"I currently do microarray analysis for clinical samples at Wisconsin State Lab of Hygiene to determine the pathogenicity of the CNVs we detected, and I am working on a project to develop a NGS panel for Familial Hypercholesterolemia.")</f>
        <v>I currently do microarray analysis for clinical samples at Wisconsin State Lab of Hygiene to determine the pathogenicity of the CNVs we detected, and I am working on a project to develop a NGS panel for Familial Hypercholesterolemia.</v>
      </c>
    </row>
    <row r="62">
      <c r="A62" s="131" t="str">
        <f>IFERROR(__xludf.DUMMYFUNCTION("""COMPUTED_VALUE"""),"Unresponsive")</f>
        <v>Unresponsive</v>
      </c>
      <c r="B62" s="131" t="str">
        <f>IFERROR(__xludf.DUMMYFUNCTION("""COMPUTED_VALUE"""),"")</f>
        <v/>
      </c>
      <c r="C62" s="131" t="str">
        <f>IFERROR(__xludf.DUMMYFUNCTION("""COMPUTED_VALUE"""),"")</f>
        <v/>
      </c>
      <c r="D62" s="134" t="str">
        <f>IFERROR(__xludf.DUMMYFUNCTION("""COMPUTED_VALUE"""),"")</f>
        <v/>
      </c>
      <c r="E62" s="134" t="str">
        <f>IFERROR(__xludf.DUMMYFUNCTION("""COMPUTED_VALUE"""),"No")</f>
        <v>No</v>
      </c>
      <c r="F62" s="134" t="str">
        <f>IFERROR(__xludf.DUMMYFUNCTION("""COMPUTED_VALUE"""),"Variant Pathogenicity")</f>
        <v>Variant Pathogenicity</v>
      </c>
      <c r="G62" s="131" t="str">
        <f>IFERROR(__xludf.DUMMYFUNCTION("""COMPUTED_VALUE"""),"")</f>
        <v/>
      </c>
      <c r="H62" s="131" t="str">
        <f>IFERROR(__xludf.DUMMYFUNCTION("""COMPUTED_VALUE"""),"Gretchen Cote")</f>
        <v>Gretchen Cote</v>
      </c>
      <c r="I62" s="131" t="str">
        <f>IFERROR(__xludf.DUMMYFUNCTION("""COMPUTED_VALUE"""),"gretchen.cote@dgs.virginia.gov")</f>
        <v>gretchen.cote@dgs.virginia.gov</v>
      </c>
      <c r="J62" s="134" t="str">
        <f>IFERROR(__xludf.DUMMYFUNCTION("""COMPUTED_VALUE"""),"Comprehensive")</f>
        <v>Comprehensive</v>
      </c>
      <c r="K62" s="135" t="str">
        <f>IFERROR(__xludf.DUMMYFUNCTION("""COMPUTED_VALUE"""),"Lysosomal Storage Disorders")</f>
        <v>Lysosomal Storage Disorders</v>
      </c>
      <c r="L62" t="str">
        <f>IFERROR(__xludf.DUMMYFUNCTION("""COMPUTED_VALUE"""),"I participate and weekly variant interpretation meetings for variant based newborn screening for Pompe and MPS1")</f>
        <v>I participate and weekly variant interpretation meetings for variant based newborn screening for Pompe and MPS1</v>
      </c>
    </row>
    <row r="63">
      <c r="A63" s="131" t="str">
        <f>IFERROR(__xludf.DUMMYFUNCTION("""COMPUTED_VALUE"""),"Unresponsive")</f>
        <v>Unresponsive</v>
      </c>
      <c r="B63" s="131" t="str">
        <f>IFERROR(__xludf.DUMMYFUNCTION("""COMPUTED_VALUE"""),"")</f>
        <v/>
      </c>
      <c r="C63" s="131" t="str">
        <f>IFERROR(__xludf.DUMMYFUNCTION("""COMPUTED_VALUE"""),"")</f>
        <v/>
      </c>
      <c r="D63" s="134" t="str">
        <f>IFERROR(__xludf.DUMMYFUNCTION("""COMPUTED_VALUE"""),"")</f>
        <v/>
      </c>
      <c r="E63" s="134" t="str">
        <f>IFERROR(__xludf.DUMMYFUNCTION("""COMPUTED_VALUE"""),"No")</f>
        <v>No</v>
      </c>
      <c r="F63" s="134" t="str">
        <f>IFERROR(__xludf.DUMMYFUNCTION("""COMPUTED_VALUE"""),"Variant Pathogenicity")</f>
        <v>Variant Pathogenicity</v>
      </c>
      <c r="G63" s="131" t="str">
        <f>IFERROR(__xludf.DUMMYFUNCTION("""COMPUTED_VALUE"""),"")</f>
        <v/>
      </c>
      <c r="H63" s="131" t="str">
        <f>IFERROR(__xludf.DUMMYFUNCTION("""COMPUTED_VALUE"""),"Bryan Gall")</f>
        <v>Bryan Gall</v>
      </c>
      <c r="I63" s="131" t="str">
        <f>IFERROR(__xludf.DUMMYFUNCTION("""COMPUTED_VALUE"""),"bgall005@gmail.com")</f>
        <v>bgall005@gmail.com</v>
      </c>
      <c r="J63" s="134" t="str">
        <f>IFERROR(__xludf.DUMMYFUNCTION("""COMPUTED_VALUE"""),"Comprehensive")</f>
        <v>Comprehensive</v>
      </c>
      <c r="K63" s="135" t="str">
        <f>IFERROR(__xludf.DUMMYFUNCTION("""COMPUTED_VALUE"""),"Colorectal Cancer, Familial Hypercholesterolemia, and Myeloid Malignancy")</f>
        <v>Colorectal Cancer, Familial Hypercholesterolemia, and Myeloid Malignancy</v>
      </c>
      <c r="L63" t="str">
        <f>IFERROR(__xludf.DUMMYFUNCTION("""COMPUTED_VALUE"""),"Manual variant interpretation using ClinGen resources")</f>
        <v>Manual variant interpretation using ClinGen resources</v>
      </c>
    </row>
    <row r="64">
      <c r="A64" s="131" t="str">
        <f>IFERROR(__xludf.DUMMYFUNCTION("""COMPUTED_VALUE"""),"Unresponsive")</f>
        <v>Unresponsive</v>
      </c>
      <c r="B64" s="137" t="str">
        <f>IFERROR(__xludf.DUMMYFUNCTION("""COMPUTED_VALUE"""),"")</f>
        <v/>
      </c>
      <c r="C64" s="131" t="str">
        <f>IFERROR(__xludf.DUMMYFUNCTION("""COMPUTED_VALUE"""),"")</f>
        <v/>
      </c>
      <c r="D64" s="134" t="str">
        <f>IFERROR(__xludf.DUMMYFUNCTION("""COMPUTED_VALUE"""),"")</f>
        <v/>
      </c>
      <c r="E64" s="134" t="str">
        <f>IFERROR(__xludf.DUMMYFUNCTION("""COMPUTED_VALUE"""),"No")</f>
        <v>No</v>
      </c>
      <c r="F64" s="134" t="str">
        <f>IFERROR(__xludf.DUMMYFUNCTION("""COMPUTED_VALUE"""),"Variant Pathogenicity")</f>
        <v>Variant Pathogenicity</v>
      </c>
      <c r="G64" s="131" t="str">
        <f>IFERROR(__xludf.DUMMYFUNCTION("""COMPUTED_VALUE"""),"")</f>
        <v/>
      </c>
      <c r="H64" s="131" t="str">
        <f>IFERROR(__xludf.DUMMYFUNCTION("""COMPUTED_VALUE"""),"Yanhui Li")</f>
        <v>Yanhui Li</v>
      </c>
      <c r="I64" s="131" t="str">
        <f>IFERROR(__xludf.DUMMYFUNCTION("""COMPUTED_VALUE"""),"yxl280@gmail.com")</f>
        <v>yxl280@gmail.com</v>
      </c>
      <c r="J64" s="134" t="str">
        <f>IFERROR(__xludf.DUMMYFUNCTION("""COMPUTED_VALUE"""),"Comprehensive")</f>
        <v>Comprehensive</v>
      </c>
      <c r="K64" s="135" t="str">
        <f>IFERROR(__xludf.DUMMYFUNCTION("""COMPUTED_VALUE"""),"Yes")</f>
        <v>Yes</v>
      </c>
      <c r="L64" t="str">
        <f>IFERROR(__xludf.DUMMYFUNCTION("""COMPUTED_VALUE"""),"")</f>
        <v/>
      </c>
    </row>
    <row r="65">
      <c r="A65" s="131" t="str">
        <f>IFERROR(__xludf.DUMMYFUNCTION("""COMPUTED_VALUE"""),"Contacted")</f>
        <v>Contacted</v>
      </c>
      <c r="B65" s="137">
        <f>IFERROR(__xludf.DUMMYFUNCTION("""COMPUTED_VALUE"""),43819.0)</f>
        <v>43819</v>
      </c>
      <c r="C65" s="131" t="str">
        <f>IFERROR(__xludf.DUMMYFUNCTION("""COMPUTED_VALUE"""),"")</f>
        <v/>
      </c>
      <c r="D65" s="134" t="str">
        <f>IFERROR(__xludf.DUMMYFUNCTION("""COMPUTED_VALUE"""),"")</f>
        <v/>
      </c>
      <c r="E65" s="134" t="str">
        <f>IFERROR(__xludf.DUMMYFUNCTION("""COMPUTED_VALUE"""),"No")</f>
        <v>No</v>
      </c>
      <c r="F65" s="134" t="str">
        <f>IFERROR(__xludf.DUMMYFUNCTION("""COMPUTED_VALUE"""),"Variant Pathogenicity")</f>
        <v>Variant Pathogenicity</v>
      </c>
      <c r="G65" s="131" t="str">
        <f>IFERROR(__xludf.DUMMYFUNCTION("""COMPUTED_VALUE"""),"")</f>
        <v/>
      </c>
      <c r="H65" s="131" t="str">
        <f>IFERROR(__xludf.DUMMYFUNCTION("""COMPUTED_VALUE"""),"Shahad Rahawi")</f>
        <v>Shahad Rahawi</v>
      </c>
      <c r="I65" s="131" t="str">
        <f>IFERROR(__xludf.DUMMYFUNCTION("""COMPUTED_VALUE"""),"shahadrahawi@gmail.com")</f>
        <v>shahadrahawi@gmail.com</v>
      </c>
      <c r="J65" s="134" t="str">
        <f>IFERROR(__xludf.DUMMYFUNCTION("""COMPUTED_VALUE"""),"Comprehensive")</f>
        <v>Comprehensive</v>
      </c>
      <c r="K65" s="135" t="str">
        <f>IFERROR(__xludf.DUMMYFUNCTION("""COMPUTED_VALUE"""),"")</f>
        <v/>
      </c>
      <c r="L65" t="str">
        <f>IFERROR(__xludf.DUMMYFUNCTION("""COMPUTED_VALUE"""),"brief variant interpretation activities in ""analyze your genome"" class in grad school")</f>
        <v>brief variant interpretation activities in "analyze your genome" class in grad school</v>
      </c>
    </row>
    <row r="66">
      <c r="A66" s="131" t="str">
        <f>IFERROR(__xludf.DUMMYFUNCTION("""COMPUTED_VALUE"""),"Contacted")</f>
        <v>Contacted</v>
      </c>
      <c r="B66" s="137">
        <f>IFERROR(__xludf.DUMMYFUNCTION("""COMPUTED_VALUE"""),43819.0)</f>
        <v>43819</v>
      </c>
      <c r="C66" s="132">
        <f>IFERROR(__xludf.DUMMYFUNCTION("""COMPUTED_VALUE"""),43859.0)</f>
        <v>43859</v>
      </c>
      <c r="D66" s="134" t="str">
        <f>IFERROR(__xludf.DUMMYFUNCTION("""COMPUTED_VALUE"""),"Yes")</f>
        <v>Yes</v>
      </c>
      <c r="E66" s="134" t="str">
        <f>IFERROR(__xludf.DUMMYFUNCTION("""COMPUTED_VALUE"""),"Yes")</f>
        <v>Yes</v>
      </c>
      <c r="F66" s="134" t="str">
        <f>IFERROR(__xludf.DUMMYFUNCTION("""COMPUTED_VALUE"""),"Variant Pathogenicity")</f>
        <v>Variant Pathogenicity</v>
      </c>
      <c r="G66" s="131" t="str">
        <f>IFERROR(__xludf.DUMMYFUNCTION("""COMPUTED_VALUE"""),"")</f>
        <v/>
      </c>
      <c r="H66" s="131" t="str">
        <f>IFERROR(__xludf.DUMMYFUNCTION("""COMPUTED_VALUE"""),"Leighton Telling")</f>
        <v>Leighton Telling</v>
      </c>
      <c r="I66" s="131" t="str">
        <f>IFERROR(__xludf.DUMMYFUNCTION("""COMPUTED_VALUE"""),"lptellin@ncsu.edu")</f>
        <v>lptellin@ncsu.edu</v>
      </c>
      <c r="J66" s="134" t="str">
        <f>IFERROR(__xludf.DUMMYFUNCTION("""COMPUTED_VALUE"""),"Comprehensive")</f>
        <v>Comprehensive</v>
      </c>
      <c r="K66" s="135" t="str">
        <f>IFERROR(__xludf.DUMMYFUNCTION("""COMPUTED_VALUE"""),"N/A")</f>
        <v>N/A</v>
      </c>
      <c r="L66" t="str">
        <f>IFERROR(__xludf.DUMMYFUNCTION("""COMPUTED_VALUE"""),"")</f>
        <v/>
      </c>
    </row>
    <row r="67">
      <c r="A67" s="131" t="str">
        <f>IFERROR(__xludf.DUMMYFUNCTION("""COMPUTED_VALUE"""),"Contacted")</f>
        <v>Contacted</v>
      </c>
      <c r="B67" s="137">
        <f>IFERROR(__xludf.DUMMYFUNCTION("""COMPUTED_VALUE"""),43819.0)</f>
        <v>43819</v>
      </c>
      <c r="C67" s="132">
        <f>IFERROR(__xludf.DUMMYFUNCTION("""COMPUTED_VALUE"""),43859.0)</f>
        <v>43859</v>
      </c>
      <c r="D67" s="134" t="str">
        <f>IFERROR(__xludf.DUMMYFUNCTION("""COMPUTED_VALUE"""),"Yes")</f>
        <v>Yes</v>
      </c>
      <c r="E67" s="134" t="str">
        <f>IFERROR(__xludf.DUMMYFUNCTION("""COMPUTED_VALUE"""),"No")</f>
        <v>No</v>
      </c>
      <c r="F67" s="134" t="str">
        <f>IFERROR(__xludf.DUMMYFUNCTION("""COMPUTED_VALUE"""),"Variant Pathogenicity")</f>
        <v>Variant Pathogenicity</v>
      </c>
      <c r="G67" s="131" t="str">
        <f>IFERROR(__xludf.DUMMYFUNCTION("""COMPUTED_VALUE"""),"")</f>
        <v/>
      </c>
      <c r="H67" s="131" t="str">
        <f>IFERROR(__xludf.DUMMYFUNCTION("""COMPUTED_VALUE"""),"Georgios Tsaousis")</f>
        <v>Georgios Tsaousis</v>
      </c>
      <c r="I67" s="131" t="str">
        <f>IFERROR(__xludf.DUMMYFUNCTION("""COMPUTED_VALUE"""),"gtsaousis@genekor.com")</f>
        <v>gtsaousis@genekor.com</v>
      </c>
      <c r="J67" s="134" t="str">
        <f>IFERROR(__xludf.DUMMYFUNCTION("""COMPUTED_VALUE"""),"Comprehensive")</f>
        <v>Comprehensive</v>
      </c>
      <c r="K67" s="135" t="str">
        <f>IFERROR(__xludf.DUMMYFUNCTION("""COMPUTED_VALUE"""),"Hereditary Cancer, Somatic/Germline Variant Curation, Colorectal Cancer, PTEN, TP53, CDH1")</f>
        <v>Hereditary Cancer, Somatic/Germline Variant Curation, Colorectal Cancer, PTEN, TP53, CDH1</v>
      </c>
      <c r="L67" t="str">
        <f>IFERROR(__xludf.DUMMYFUNCTION("""COMPUTED_VALUE"""),"I am the Group Leader of the Bioinformatics department in Genekor Medical SA involved in data collection and curation activities for the determination of variant pathogenicity for all variants identified in our laboratory for Hereditary cancer genes. I am"&amp;" also a Post-doc Research Associate at the Biophysics and Bioinformatics Laboratory at the Department of Biology, School of Sciences, National and Kapodistrian University of Athens, where i am involved with sequence and structure analysis of biological se"&amp;"quences through the development of computational algorithms and biological databases.")</f>
        <v>I am the Group Leader of the Bioinformatics department in Genekor Medical SA involved in data collection and curation activities for the determination of variant pathogenicity for all variants identified in our laboratory for Hereditary cancer genes. I am also a Post-doc Research Associate at the Biophysics and Bioinformatics Laboratory at the Department of Biology, School of Sciences, National and Kapodistrian University of Athens, where i am involved with sequence and structure analysis of biological sequences through the development of computational algorithms and biological databases.</v>
      </c>
    </row>
    <row r="68">
      <c r="A68" s="131" t="str">
        <f>IFERROR(__xludf.DUMMYFUNCTION("""COMPUTED_VALUE"""),"Contacted")</f>
        <v>Contacted</v>
      </c>
      <c r="B68" s="137">
        <f>IFERROR(__xludf.DUMMYFUNCTION("""COMPUTED_VALUE"""),43819.0)</f>
        <v>43819</v>
      </c>
      <c r="C68" s="131" t="str">
        <f>IFERROR(__xludf.DUMMYFUNCTION("""COMPUTED_VALUE"""),"")</f>
        <v/>
      </c>
      <c r="D68" s="134" t="str">
        <f>IFERROR(__xludf.DUMMYFUNCTION("""COMPUTED_VALUE"""),"")</f>
        <v/>
      </c>
      <c r="E68" s="134" t="str">
        <f>IFERROR(__xludf.DUMMYFUNCTION("""COMPUTED_VALUE"""),"No")</f>
        <v>No</v>
      </c>
      <c r="F68" s="134" t="str">
        <f>IFERROR(__xludf.DUMMYFUNCTION("""COMPUTED_VALUE"""),"Variant Pathogenicity")</f>
        <v>Variant Pathogenicity</v>
      </c>
      <c r="G68" s="131" t="str">
        <f>IFERROR(__xludf.DUMMYFUNCTION("""COMPUTED_VALUE"""),"")</f>
        <v/>
      </c>
      <c r="H68" s="131" t="str">
        <f>IFERROR(__xludf.DUMMYFUNCTION("""COMPUTED_VALUE"""),"Jessica Hatton")</f>
        <v>Jessica Hatton</v>
      </c>
      <c r="I68" s="131" t="str">
        <f>IFERROR(__xludf.DUMMYFUNCTION("""COMPUTED_VALUE"""),"jessica.hatton@nih.gov")</f>
        <v>jessica.hatton@nih.gov</v>
      </c>
      <c r="J68" s="134" t="str">
        <f>IFERROR(__xludf.DUMMYFUNCTION("""COMPUTED_VALUE"""),"Comprehensive")</f>
        <v>Comprehensive</v>
      </c>
      <c r="K68" s="135" t="str">
        <f>IFERROR(__xludf.DUMMYFUNCTION("""COMPUTED_VALUE"""),"TP53")</f>
        <v>TP53</v>
      </c>
      <c r="L68" t="str">
        <f>IFERROR(__xludf.DUMMYFUNCTION("""COMPUTED_VALUE"""),"No")</f>
        <v>No</v>
      </c>
    </row>
    <row r="69">
      <c r="A69" s="131" t="str">
        <f>IFERROR(__xludf.DUMMYFUNCTION("""COMPUTED_VALUE"""),"Contacted")</f>
        <v>Contacted</v>
      </c>
      <c r="B69" s="137">
        <f>IFERROR(__xludf.DUMMYFUNCTION("""COMPUTED_VALUE"""),43819.0)</f>
        <v>43819</v>
      </c>
      <c r="C69" s="132">
        <f>IFERROR(__xludf.DUMMYFUNCTION("""COMPUTED_VALUE"""),43859.0)</f>
        <v>43859</v>
      </c>
      <c r="D69" s="134" t="str">
        <f>IFERROR(__xludf.DUMMYFUNCTION("""COMPUTED_VALUE"""),"Yes")</f>
        <v>Yes</v>
      </c>
      <c r="E69" s="134" t="str">
        <f>IFERROR(__xludf.DUMMYFUNCTION("""COMPUTED_VALUE"""),"No")</f>
        <v>No</v>
      </c>
      <c r="F69" s="134" t="str">
        <f>IFERROR(__xludf.DUMMYFUNCTION("""COMPUTED_VALUE"""),"Variant Pathogenicity")</f>
        <v>Variant Pathogenicity</v>
      </c>
      <c r="G69" s="131" t="str">
        <f>IFERROR(__xludf.DUMMYFUNCTION("""COMPUTED_VALUE"""),"")</f>
        <v/>
      </c>
      <c r="H69" s="131" t="str">
        <f>IFERROR(__xludf.DUMMYFUNCTION("""COMPUTED_VALUE"""),"Xia Tian")</f>
        <v>Xia Tian</v>
      </c>
      <c r="I69" s="131" t="str">
        <f>IFERROR(__xludf.DUMMYFUNCTION("""COMPUTED_VALUE"""),"xtian@wuxinextcode.com")</f>
        <v>xtian@wuxinextcode.com</v>
      </c>
      <c r="J69" s="134" t="str">
        <f>IFERROR(__xludf.DUMMYFUNCTION("""COMPUTED_VALUE"""),"Comprehensive")</f>
        <v>Comprehensive</v>
      </c>
      <c r="K69" s="135" t="str">
        <f>IFERROR(__xludf.DUMMYFUNCTION("""COMPUTED_VALUE"""),"Mitochondrial Diseases(gene/variant) and Somatic Cancer")</f>
        <v>Mitochondrial Diseases(gene/variant) and Somatic Cancer</v>
      </c>
      <c r="L69" t="str">
        <f>IFERROR(__xludf.DUMMYFUNCTION("""COMPUTED_VALUE"""),"eight years' experience of gene/variant curation and clinical case review")</f>
        <v>eight years' experience of gene/variant curation and clinical case review</v>
      </c>
    </row>
    <row r="70">
      <c r="A70" s="131" t="str">
        <f>IFERROR(__xludf.DUMMYFUNCTION("""COMPUTED_VALUE"""),"Contacted")</f>
        <v>Contacted</v>
      </c>
      <c r="B70" s="137">
        <f>IFERROR(__xludf.DUMMYFUNCTION("""COMPUTED_VALUE"""),43819.0)</f>
        <v>43819</v>
      </c>
      <c r="C70" s="131" t="str">
        <f>IFERROR(__xludf.DUMMYFUNCTION("""COMPUTED_VALUE"""),"")</f>
        <v/>
      </c>
      <c r="D70" s="134" t="str">
        <f>IFERROR(__xludf.DUMMYFUNCTION("""COMPUTED_VALUE"""),"")</f>
        <v/>
      </c>
      <c r="E70" s="134" t="str">
        <f>IFERROR(__xludf.DUMMYFUNCTION("""COMPUTED_VALUE"""),"No")</f>
        <v>No</v>
      </c>
      <c r="F70" s="134" t="str">
        <f>IFERROR(__xludf.DUMMYFUNCTION("""COMPUTED_VALUE"""),"Variant Pathogenicity")</f>
        <v>Variant Pathogenicity</v>
      </c>
      <c r="G70" s="131" t="str">
        <f>IFERROR(__xludf.DUMMYFUNCTION("""COMPUTED_VALUE"""),"")</f>
        <v/>
      </c>
      <c r="H70" s="131" t="str">
        <f>IFERROR(__xludf.DUMMYFUNCTION("""COMPUTED_VALUE"""),"Pamela Ajuyah")</f>
        <v>Pamela Ajuyah</v>
      </c>
      <c r="I70" s="131" t="str">
        <f>IFERROR(__xludf.DUMMYFUNCTION("""COMPUTED_VALUE"""),"pamela.a.ajuyah@gmail.com")</f>
        <v>pamela.a.ajuyah@gmail.com</v>
      </c>
      <c r="J70" s="134" t="str">
        <f>IFERROR(__xludf.DUMMYFUNCTION("""COMPUTED_VALUE"""),"Comprehensive")</f>
        <v>Comprehensive</v>
      </c>
      <c r="K70" s="135" t="str">
        <f>IFERROR(__xludf.DUMMYFUNCTION("""COMPUTED_VALUE"""),"")</f>
        <v/>
      </c>
      <c r="L70" t="str">
        <f>IFERROR(__xludf.DUMMYFUNCTION("""COMPUTED_VALUE"""),"")</f>
        <v/>
      </c>
    </row>
    <row r="71">
      <c r="A71" s="131" t="str">
        <f>IFERROR(__xludf.DUMMYFUNCTION("""COMPUTED_VALUE"""),"Contacted")</f>
        <v>Contacted</v>
      </c>
      <c r="B71" s="137">
        <f>IFERROR(__xludf.DUMMYFUNCTION("""COMPUTED_VALUE"""),43819.0)</f>
        <v>43819</v>
      </c>
      <c r="C71" s="131" t="str">
        <f>IFERROR(__xludf.DUMMYFUNCTION("""COMPUTED_VALUE"""),"")</f>
        <v/>
      </c>
      <c r="D71" s="134" t="str">
        <f>IFERROR(__xludf.DUMMYFUNCTION("""COMPUTED_VALUE"""),"")</f>
        <v/>
      </c>
      <c r="E71" s="134" t="str">
        <f>IFERROR(__xludf.DUMMYFUNCTION("""COMPUTED_VALUE"""),"No")</f>
        <v>No</v>
      </c>
      <c r="F71" s="134" t="str">
        <f>IFERROR(__xludf.DUMMYFUNCTION("""COMPUTED_VALUE"""),"Variant Pathogenicity")</f>
        <v>Variant Pathogenicity</v>
      </c>
      <c r="G71" s="131" t="str">
        <f>IFERROR(__xludf.DUMMYFUNCTION("""COMPUTED_VALUE"""),"")</f>
        <v/>
      </c>
      <c r="H71" s="131" t="str">
        <f>IFERROR(__xludf.DUMMYFUNCTION("""COMPUTED_VALUE"""),"Venkatesan Sengoda Gounder")</f>
        <v>Venkatesan Sengoda Gounder</v>
      </c>
      <c r="I71" s="131" t="str">
        <f>IFERROR(__xludf.DUMMYFUNCTION("""COMPUTED_VALUE"""),"agrivenkat@gmail.com")</f>
        <v>agrivenkat@gmail.com</v>
      </c>
      <c r="J71" s="134" t="str">
        <f>IFERROR(__xludf.DUMMYFUNCTION("""COMPUTED_VALUE"""),"Comprehensive")</f>
        <v>Comprehensive</v>
      </c>
      <c r="K71" s="135" t="str">
        <f>IFERROR(__xludf.DUMMYFUNCTION("""COMPUTED_VALUE"""),"Yes")</f>
        <v>Yes</v>
      </c>
      <c r="L71" t="str">
        <f>IFERROR(__xludf.DUMMYFUNCTION("""COMPUTED_VALUE"""),"No")</f>
        <v>No</v>
      </c>
    </row>
    <row r="72">
      <c r="A72" s="131" t="str">
        <f>IFERROR(__xludf.DUMMYFUNCTION("""COMPUTED_VALUE"""),"Contacted")</f>
        <v>Contacted</v>
      </c>
      <c r="B72" s="137">
        <f>IFERROR(__xludf.DUMMYFUNCTION("""COMPUTED_VALUE"""),43819.0)</f>
        <v>43819</v>
      </c>
      <c r="C72" s="132">
        <f>IFERROR(__xludf.DUMMYFUNCTION("""COMPUTED_VALUE"""),43859.0)</f>
        <v>43859</v>
      </c>
      <c r="D72" s="134" t="str">
        <f>IFERROR(__xludf.DUMMYFUNCTION("""COMPUTED_VALUE"""),"Yes")</f>
        <v>Yes</v>
      </c>
      <c r="E72" s="134" t="str">
        <f>IFERROR(__xludf.DUMMYFUNCTION("""COMPUTED_VALUE"""),"No")</f>
        <v>No</v>
      </c>
      <c r="F72" s="134" t="str">
        <f>IFERROR(__xludf.DUMMYFUNCTION("""COMPUTED_VALUE"""),"Variant Pathogenicity")</f>
        <v>Variant Pathogenicity</v>
      </c>
      <c r="G72" s="131" t="str">
        <f>IFERROR(__xludf.DUMMYFUNCTION("""COMPUTED_VALUE"""),"")</f>
        <v/>
      </c>
      <c r="H72" s="131" t="str">
        <f>IFERROR(__xludf.DUMMYFUNCTION("""COMPUTED_VALUE"""),"Ronaldo da Silva Francisco Junior")</f>
        <v>Ronaldo da Silva Francisco Junior</v>
      </c>
      <c r="I72" s="131" t="str">
        <f>IFERROR(__xludf.DUMMYFUNCTION("""COMPUTED_VALUE"""),"ronaldoj@lncc.br")</f>
        <v>ronaldoj@lncc.br</v>
      </c>
      <c r="J72" s="134" t="str">
        <f>IFERROR(__xludf.DUMMYFUNCTION("""COMPUTED_VALUE"""),"Comprehensive")</f>
        <v>Comprehensive</v>
      </c>
      <c r="K72" s="135" t="str">
        <f>IFERROR(__xludf.DUMMYFUNCTION("""COMPUTED_VALUE"""),"Yes. RASopathy, Cardiomyopathy, Congenital Myopathies (newly forming), Mitochondrial diseases, Dosage-Recurrent Regions")</f>
        <v>Yes. RASopathy, Cardiomyopathy, Congenital Myopathies (newly forming), Mitochondrial diseases, Dosage-Recurrent Regions</v>
      </c>
      <c r="L72" t="str">
        <f>IFERROR(__xludf.DUMMYFUNCTION("""COMPUTED_VALUE"""),"Yes. I am currently working as a bioinformatician using WES data to perform the diagnosis and filtering of genetic variants in patients with Primary Immudeficiency Disorders")</f>
        <v>Yes. I am currently working as a bioinformatician using WES data to perform the diagnosis and filtering of genetic variants in patients with Primary Immudeficiency Disorders</v>
      </c>
    </row>
    <row r="73">
      <c r="A73" s="131" t="str">
        <f>IFERROR(__xludf.DUMMYFUNCTION("""COMPUTED_VALUE"""),"Contacted")</f>
        <v>Contacted</v>
      </c>
      <c r="B73" s="137">
        <f>IFERROR(__xludf.DUMMYFUNCTION("""COMPUTED_VALUE"""),43819.0)</f>
        <v>43819</v>
      </c>
      <c r="C73" s="131" t="str">
        <f>IFERROR(__xludf.DUMMYFUNCTION("""COMPUTED_VALUE"""),"")</f>
        <v/>
      </c>
      <c r="D73" s="134" t="str">
        <f>IFERROR(__xludf.DUMMYFUNCTION("""COMPUTED_VALUE"""),"")</f>
        <v/>
      </c>
      <c r="E73" s="134" t="str">
        <f>IFERROR(__xludf.DUMMYFUNCTION("""COMPUTED_VALUE"""),"No")</f>
        <v>No</v>
      </c>
      <c r="F73" s="134" t="str">
        <f>IFERROR(__xludf.DUMMYFUNCTION("""COMPUTED_VALUE"""),"Variant Pathogenicity")</f>
        <v>Variant Pathogenicity</v>
      </c>
      <c r="G73" s="131" t="str">
        <f>IFERROR(__xludf.DUMMYFUNCTION("""COMPUTED_VALUE"""),"")</f>
        <v/>
      </c>
      <c r="H73" s="131" t="str">
        <f>IFERROR(__xludf.DUMMYFUNCTION("""COMPUTED_VALUE"""),"Raman Bansal")</f>
        <v>Raman Bansal</v>
      </c>
      <c r="I73" s="131" t="str">
        <f>IFERROR(__xludf.DUMMYFUNCTION("""COMPUTED_VALUE"""),"rbansal.osu@gmail.com")</f>
        <v>rbansal.osu@gmail.com</v>
      </c>
      <c r="J73" s="134" t="str">
        <f>IFERROR(__xludf.DUMMYFUNCTION("""COMPUTED_VALUE"""),"Comprehensive")</f>
        <v>Comprehensive</v>
      </c>
      <c r="K73" s="135" t="str">
        <f>IFERROR(__xludf.DUMMYFUNCTION("""COMPUTED_VALUE"""),"")</f>
        <v/>
      </c>
      <c r="L73" t="str">
        <f>IFERROR(__xludf.DUMMYFUNCTION("""COMPUTED_VALUE"""),"")</f>
        <v/>
      </c>
    </row>
    <row r="74">
      <c r="A74" s="131" t="str">
        <f>IFERROR(__xludf.DUMMYFUNCTION("""COMPUTED_VALUE"""),"Contacted")</f>
        <v>Contacted</v>
      </c>
      <c r="B74" s="137">
        <f>IFERROR(__xludf.DUMMYFUNCTION("""COMPUTED_VALUE"""),43819.0)</f>
        <v>43819</v>
      </c>
      <c r="C74" s="131" t="str">
        <f>IFERROR(__xludf.DUMMYFUNCTION("""COMPUTED_VALUE"""),"")</f>
        <v/>
      </c>
      <c r="D74" s="134" t="str">
        <f>IFERROR(__xludf.DUMMYFUNCTION("""COMPUTED_VALUE"""),"")</f>
        <v/>
      </c>
      <c r="E74" s="134" t="str">
        <f>IFERROR(__xludf.DUMMYFUNCTION("""COMPUTED_VALUE"""),"No")</f>
        <v>No</v>
      </c>
      <c r="F74" s="134" t="str">
        <f>IFERROR(__xludf.DUMMYFUNCTION("""COMPUTED_VALUE"""),"Variant Pathogenicity")</f>
        <v>Variant Pathogenicity</v>
      </c>
      <c r="G74" s="131" t="str">
        <f>IFERROR(__xludf.DUMMYFUNCTION("""COMPUTED_VALUE"""),"")</f>
        <v/>
      </c>
      <c r="H74" s="131" t="str">
        <f>IFERROR(__xludf.DUMMYFUNCTION("""COMPUTED_VALUE"""),"Sara Spencer")</f>
        <v>Sara Spencer</v>
      </c>
      <c r="I74" s="131" t="str">
        <f>IFERROR(__xludf.DUMMYFUNCTION("""COMPUTED_VALUE"""),"saspence@nm.org")</f>
        <v>saspence@nm.org</v>
      </c>
      <c r="J74" s="134" t="str">
        <f>IFERROR(__xludf.DUMMYFUNCTION("""COMPUTED_VALUE"""),"Comprehensive")</f>
        <v>Comprehensive</v>
      </c>
      <c r="K74" s="135" t="str">
        <f>IFERROR(__xludf.DUMMYFUNCTION("""COMPUTED_VALUE"""),"Gene Curation Expert Panels - Epilepsy 
Variant Curation Expert Panels - Brain Malformations")</f>
        <v>Gene Curation Expert Panels - Epilepsy 
Variant Curation Expert Panels - Brain Malformations</v>
      </c>
      <c r="L74" t="str">
        <f>IFERROR(__xludf.DUMMYFUNCTION("""COMPUTED_VALUE"""),"As a clinician, I have been reviewing variant classifications provided by labs for 13 years. In addition, I have personal experience receiving a VOUS. This result motivated me to learn more about the variant classification process through shadowing my col"&amp;"leagues in the lab as well as taking the NSGC Variant Interpretation in the Era of WES/WGS Online Course. I am also currently watching the 2019 BROAD Institute - Interpreting Genomes for Rare Disease: Variant and Gene Interpretation lectures.
")</f>
        <v>As a clinician, I have been reviewing variant classifications provided by labs for 13 years. In addition, I have personal experience receiving a VOUS. This result motivated me to learn more about the variant classification process through shadowing my colleagues in the lab as well as taking the NSGC Variant Interpretation in the Era of WES/WGS Online Course. I am also currently watching the 2019 BROAD Institute - Interpreting Genomes for Rare Disease: Variant and Gene Interpretation lectures.
</v>
      </c>
    </row>
    <row r="75">
      <c r="A75" s="131" t="str">
        <f>IFERROR(__xludf.DUMMYFUNCTION("""COMPUTED_VALUE"""),"Contacted")</f>
        <v>Contacted</v>
      </c>
      <c r="B75" s="137">
        <f>IFERROR(__xludf.DUMMYFUNCTION("""COMPUTED_VALUE"""),43819.0)</f>
        <v>43819</v>
      </c>
      <c r="C75" s="131" t="str">
        <f>IFERROR(__xludf.DUMMYFUNCTION("""COMPUTED_VALUE"""),"")</f>
        <v/>
      </c>
      <c r="D75" s="134" t="str">
        <f>IFERROR(__xludf.DUMMYFUNCTION("""COMPUTED_VALUE"""),"")</f>
        <v/>
      </c>
      <c r="E75" s="134" t="str">
        <f>IFERROR(__xludf.DUMMYFUNCTION("""COMPUTED_VALUE"""),"No")</f>
        <v>No</v>
      </c>
      <c r="F75" s="134" t="str">
        <f>IFERROR(__xludf.DUMMYFUNCTION("""COMPUTED_VALUE"""),"Variant Pathogenicity")</f>
        <v>Variant Pathogenicity</v>
      </c>
      <c r="G75" s="131" t="str">
        <f>IFERROR(__xludf.DUMMYFUNCTION("""COMPUTED_VALUE"""),"")</f>
        <v/>
      </c>
      <c r="H75" s="131" t="str">
        <f>IFERROR(__xludf.DUMMYFUNCTION("""COMPUTED_VALUE"""),"Madhu Ouseph")</f>
        <v>Madhu Ouseph</v>
      </c>
      <c r="I75" s="131" t="str">
        <f>IFERROR(__xludf.DUMMYFUNCTION("""COMPUTED_VALUE"""),"mouseph@stanford.edu")</f>
        <v>mouseph@stanford.edu</v>
      </c>
      <c r="J75" s="134" t="str">
        <f>IFERROR(__xludf.DUMMYFUNCTION("""COMPUTED_VALUE"""),"Comprehensive")</f>
        <v>Comprehensive</v>
      </c>
      <c r="K75" s="135" t="str">
        <f>IFERROR(__xludf.DUMMYFUNCTION("""COMPUTED_VALUE"""),"Myeloid Malignancy")</f>
        <v>Myeloid Malignancy</v>
      </c>
      <c r="L75" t="str">
        <f>IFERROR(__xludf.DUMMYFUNCTION("""COMPUTED_VALUE"""),"Currently involved in annotation of variants identified in NGS assays")</f>
        <v>Currently involved in annotation of variants identified in NGS assays</v>
      </c>
    </row>
    <row r="76">
      <c r="A76" s="131" t="str">
        <f>IFERROR(__xludf.DUMMYFUNCTION("""COMPUTED_VALUE"""),"Contacted")</f>
        <v>Contacted</v>
      </c>
      <c r="B76" s="137">
        <f>IFERROR(__xludf.DUMMYFUNCTION("""COMPUTED_VALUE"""),43819.0)</f>
        <v>43819</v>
      </c>
      <c r="C76" s="131" t="str">
        <f>IFERROR(__xludf.DUMMYFUNCTION("""COMPUTED_VALUE"""),"")</f>
        <v/>
      </c>
      <c r="D76" s="134" t="str">
        <f>IFERROR(__xludf.DUMMYFUNCTION("""COMPUTED_VALUE"""),"")</f>
        <v/>
      </c>
      <c r="E76" s="134" t="str">
        <f>IFERROR(__xludf.DUMMYFUNCTION("""COMPUTED_VALUE"""),"No")</f>
        <v>No</v>
      </c>
      <c r="F76" s="134" t="str">
        <f>IFERROR(__xludf.DUMMYFUNCTION("""COMPUTED_VALUE"""),"Variant Pathogenicity")</f>
        <v>Variant Pathogenicity</v>
      </c>
      <c r="G76" s="131" t="str">
        <f>IFERROR(__xludf.DUMMYFUNCTION("""COMPUTED_VALUE"""),"")</f>
        <v/>
      </c>
      <c r="H76" s="131" t="str">
        <f>IFERROR(__xludf.DUMMYFUNCTION("""COMPUTED_VALUE"""),"Janey Youngblom")</f>
        <v>Janey Youngblom</v>
      </c>
      <c r="I76" s="131" t="str">
        <f>IFERROR(__xludf.DUMMYFUNCTION("""COMPUTED_VALUE"""),"jyoungblom1@csustan.edu")</f>
        <v>jyoungblom1@csustan.edu</v>
      </c>
      <c r="J76" s="134" t="str">
        <f>IFERROR(__xludf.DUMMYFUNCTION("""COMPUTED_VALUE"""),"Comprehensive")</f>
        <v>Comprehensive</v>
      </c>
      <c r="K76" s="135" t="str">
        <f>IFERROR(__xludf.DUMMYFUNCTION("""COMPUTED_VALUE"""),"Familial Hypercholesterolemia")</f>
        <v>Familial Hypercholesterolemia</v>
      </c>
      <c r="L76" t="str">
        <f>IFERROR(__xludf.DUMMYFUNCTION("""COMPUTED_VALUE"""),"As the Associate Director of a Genetic Counseling Program, I have helped organize and participate in Variant Curation Workshops for training genetic counselors in the variant curation process.  I have also organized a workshop for training university scie"&amp;"nce faculty in the variant curation process so they can start integrating this training module into their undergraduate coursework as a CURES (course-based undergraduate research experience) component. ")</f>
        <v>As the Associate Director of a Genetic Counseling Program, I have helped organize and participate in Variant Curation Workshops for training genetic counselors in the variant curation process.  I have also organized a workshop for training university science faculty in the variant curation process so they can start integrating this training module into their undergraduate coursework as a CURES (course-based undergraduate research experience) component. </v>
      </c>
    </row>
    <row r="77">
      <c r="A77" s="131" t="str">
        <f>IFERROR(__xludf.DUMMYFUNCTION("""COMPUTED_VALUE"""),"Contacted")</f>
        <v>Contacted</v>
      </c>
      <c r="B77" s="137">
        <f>IFERROR(__xludf.DUMMYFUNCTION("""COMPUTED_VALUE"""),43819.0)</f>
        <v>43819</v>
      </c>
      <c r="C77" s="131" t="str">
        <f>IFERROR(__xludf.DUMMYFUNCTION("""COMPUTED_VALUE"""),"")</f>
        <v/>
      </c>
      <c r="D77" s="134" t="str">
        <f>IFERROR(__xludf.DUMMYFUNCTION("""COMPUTED_VALUE"""),"")</f>
        <v/>
      </c>
      <c r="E77" s="134" t="str">
        <f>IFERROR(__xludf.DUMMYFUNCTION("""COMPUTED_VALUE"""),"No")</f>
        <v>No</v>
      </c>
      <c r="F77" s="134" t="str">
        <f>IFERROR(__xludf.DUMMYFUNCTION("""COMPUTED_VALUE"""),"Variant Pathogenicity")</f>
        <v>Variant Pathogenicity</v>
      </c>
      <c r="G77" s="131" t="str">
        <f>IFERROR(__xludf.DUMMYFUNCTION("""COMPUTED_VALUE"""),"")</f>
        <v/>
      </c>
      <c r="H77" s="131" t="str">
        <f>IFERROR(__xludf.DUMMYFUNCTION("""COMPUTED_VALUE"""),"Caterina Clementi")</f>
        <v>Caterina Clementi</v>
      </c>
      <c r="I77" s="131" t="str">
        <f>IFERROR(__xludf.DUMMYFUNCTION("""COMPUTED_VALUE"""),"caterina.clementi@gmail.com")</f>
        <v>caterina.clementi@gmail.com</v>
      </c>
      <c r="J77" s="134" t="str">
        <f>IFERROR(__xludf.DUMMYFUNCTION("""COMPUTED_VALUE"""),"Comprehensive")</f>
        <v>Comprehensive</v>
      </c>
      <c r="K77" s="135" t="str">
        <f>IFERROR(__xludf.DUMMYFUNCTION("""COMPUTED_VALUE"""),"Metabolic conditions")</f>
        <v>Metabolic conditions</v>
      </c>
      <c r="L77" t="str">
        <f>IFERROR(__xludf.DUMMYFUNCTION("""COMPUTED_VALUE"""),"Yes, I applied the ClinGen framework to score the clinical validity of gene-condition associations in the context of reproductive conditions")</f>
        <v>Yes, I applied the ClinGen framework to score the clinical validity of gene-condition associations in the context of reproductive conditions</v>
      </c>
    </row>
    <row r="78">
      <c r="A78" s="131" t="str">
        <f>IFERROR(__xludf.DUMMYFUNCTION("""COMPUTED_VALUE"""),"Contacted")</f>
        <v>Contacted</v>
      </c>
      <c r="B78" s="137">
        <f>IFERROR(__xludf.DUMMYFUNCTION("""COMPUTED_VALUE"""),43819.0)</f>
        <v>43819</v>
      </c>
      <c r="C78" s="131" t="str">
        <f>IFERROR(__xludf.DUMMYFUNCTION("""COMPUTED_VALUE"""),"")</f>
        <v/>
      </c>
      <c r="D78" s="134" t="str">
        <f>IFERROR(__xludf.DUMMYFUNCTION("""COMPUTED_VALUE"""),"")</f>
        <v/>
      </c>
      <c r="E78" s="134" t="str">
        <f>IFERROR(__xludf.DUMMYFUNCTION("""COMPUTED_VALUE"""),"No")</f>
        <v>No</v>
      </c>
      <c r="F78" s="134" t="str">
        <f>IFERROR(__xludf.DUMMYFUNCTION("""COMPUTED_VALUE"""),"Variant Pathogenicity")</f>
        <v>Variant Pathogenicity</v>
      </c>
      <c r="G78" s="131" t="str">
        <f>IFERROR(__xludf.DUMMYFUNCTION("""COMPUTED_VALUE"""),"")</f>
        <v/>
      </c>
      <c r="H78" s="131" t="str">
        <f>IFERROR(__xludf.DUMMYFUNCTION("""COMPUTED_VALUE"""),"Catherine Spellicy")</f>
        <v>Catherine Spellicy</v>
      </c>
      <c r="I78" s="131" t="str">
        <f>IFERROR(__xludf.DUMMYFUNCTION("""COMPUTED_VALUE"""),"cspellic@counsyl.com")</f>
        <v>cspellic@counsyl.com</v>
      </c>
      <c r="J78" s="134" t="str">
        <f>IFERROR(__xludf.DUMMYFUNCTION("""COMPUTED_VALUE"""),"Comprehensive")</f>
        <v>Comprehensive</v>
      </c>
      <c r="K78" s="135" t="str">
        <f>IFERROR(__xludf.DUMMYFUNCTION("""COMPUTED_VALUE"""),"Sequence Variant Interpretation")</f>
        <v>Sequence Variant Interpretation</v>
      </c>
      <c r="L78" t="str">
        <f>IFERROR(__xludf.DUMMYFUNCTION("""COMPUTED_VALUE"""),"Many hours experience with variant analysis and classification.")</f>
        <v>Many hours experience with variant analysis and classification.</v>
      </c>
    </row>
    <row r="79">
      <c r="A79" s="131" t="str">
        <f>IFERROR(__xludf.DUMMYFUNCTION("""COMPUTED_VALUE"""),"Contacted")</f>
        <v>Contacted</v>
      </c>
      <c r="B79" s="137">
        <f>IFERROR(__xludf.DUMMYFUNCTION("""COMPUTED_VALUE"""),43819.0)</f>
        <v>43819</v>
      </c>
      <c r="C79" s="131" t="str">
        <f>IFERROR(__xludf.DUMMYFUNCTION("""COMPUTED_VALUE"""),"")</f>
        <v/>
      </c>
      <c r="D79" s="134" t="str">
        <f>IFERROR(__xludf.DUMMYFUNCTION("""COMPUTED_VALUE"""),"")</f>
        <v/>
      </c>
      <c r="E79" s="134" t="str">
        <f>IFERROR(__xludf.DUMMYFUNCTION("""COMPUTED_VALUE"""),"No")</f>
        <v>No</v>
      </c>
      <c r="F79" s="134" t="str">
        <f>IFERROR(__xludf.DUMMYFUNCTION("""COMPUTED_VALUE"""),"Variant Pathogenicity")</f>
        <v>Variant Pathogenicity</v>
      </c>
      <c r="G79" s="131" t="str">
        <f>IFERROR(__xludf.DUMMYFUNCTION("""COMPUTED_VALUE"""),"")</f>
        <v/>
      </c>
      <c r="H79" s="131" t="str">
        <f>IFERROR(__xludf.DUMMYFUNCTION("""COMPUTED_VALUE"""),"Edgar Ramirez")</f>
        <v>Edgar Ramirez</v>
      </c>
      <c r="I79" s="131" t="str">
        <f>IFERROR(__xludf.DUMMYFUNCTION("""COMPUTED_VALUE"""),"e.ramirezr@hotmail.com")</f>
        <v>e.ramirezr@hotmail.com</v>
      </c>
      <c r="J79" s="134" t="str">
        <f>IFERROR(__xludf.DUMMYFUNCTION("""COMPUTED_VALUE"""),"Comprehensive")</f>
        <v>Comprehensive</v>
      </c>
      <c r="K79" s="135" t="str">
        <f>IFERROR(__xludf.DUMMYFUNCTION("""COMPUTED_VALUE"""),"")</f>
        <v/>
      </c>
      <c r="L79" t="str">
        <f>IFERROR(__xludf.DUMMYFUNCTION("""COMPUTED_VALUE"""),"I was lead scientist for variant interpretation at a clinical laboratory")</f>
        <v>I was lead scientist for variant interpretation at a clinical laboratory</v>
      </c>
    </row>
    <row r="80">
      <c r="A80" s="131" t="str">
        <f>IFERROR(__xludf.DUMMYFUNCTION("""COMPUTED_VALUE"""),"Contacted")</f>
        <v>Contacted</v>
      </c>
      <c r="B80" s="137">
        <f>IFERROR(__xludf.DUMMYFUNCTION("""COMPUTED_VALUE"""),43819.0)</f>
        <v>43819</v>
      </c>
      <c r="C80" s="132">
        <f>IFERROR(__xludf.DUMMYFUNCTION("""COMPUTED_VALUE"""),43859.0)</f>
        <v>43859</v>
      </c>
      <c r="D80" s="134" t="str">
        <f>IFERROR(__xludf.DUMMYFUNCTION("""COMPUTED_VALUE"""),"Yes")</f>
        <v>Yes</v>
      </c>
      <c r="E80" s="134" t="str">
        <f>IFERROR(__xludf.DUMMYFUNCTION("""COMPUTED_VALUE"""),"Yes")</f>
        <v>Yes</v>
      </c>
      <c r="F80" s="134" t="str">
        <f>IFERROR(__xludf.DUMMYFUNCTION("""COMPUTED_VALUE"""),"Variant Pathogenicity")</f>
        <v>Variant Pathogenicity</v>
      </c>
      <c r="G80" s="131" t="str">
        <f>IFERROR(__xludf.DUMMYFUNCTION("""COMPUTED_VALUE"""),"")</f>
        <v/>
      </c>
      <c r="H80" s="131" t="str">
        <f>IFERROR(__xludf.DUMMYFUNCTION("""COMPUTED_VALUE"""),"Xin Chen")</f>
        <v>Xin Chen</v>
      </c>
      <c r="I80" s="131" t="str">
        <f>IFERROR(__xludf.DUMMYFUNCTION("""COMPUTED_VALUE"""),"chenx30nju@gmail.com")</f>
        <v>chenx30nju@gmail.com</v>
      </c>
      <c r="J80" s="134" t="str">
        <f>IFERROR(__xludf.DUMMYFUNCTION("""COMPUTED_VALUE"""),"Comprehensive")</f>
        <v>Comprehensive</v>
      </c>
      <c r="K80" s="135" t="str">
        <f>IFERROR(__xludf.DUMMYFUNCTION("""COMPUTED_VALUE"""),"I am open to any opportunity.")</f>
        <v>I am open to any opportunity.</v>
      </c>
      <c r="L80" t="str">
        <f>IFERROR(__xludf.DUMMYFUNCTION("""COMPUTED_VALUE"""),"During my PhD study, I summarized all the reported mutations of the gene SETX that were reported to cause neurodegenerative disease AOA2, generated the mutations in the budding yeast model, and experimentally verified the defects caused by the mutations. ")</f>
        <v>During my PhD study, I summarized all the reported mutations of the gene SETX that were reported to cause neurodegenerative disease AOA2, generated the mutations in the budding yeast model, and experimentally verified the defects caused by the mutations. </v>
      </c>
    </row>
    <row r="81">
      <c r="A81" s="131" t="str">
        <f>IFERROR(__xludf.DUMMYFUNCTION("""COMPUTED_VALUE"""),"Contacted")</f>
        <v>Contacted</v>
      </c>
      <c r="B81" s="131" t="str">
        <f>IFERROR(__xludf.DUMMYFUNCTION("""COMPUTED_VALUE"""),"")</f>
        <v/>
      </c>
      <c r="C81" s="137">
        <f>IFERROR(__xludf.DUMMYFUNCTION("""COMPUTED_VALUE"""),43626.0)</f>
        <v>43626</v>
      </c>
      <c r="D81" s="134" t="str">
        <f>IFERROR(__xludf.DUMMYFUNCTION("""COMPUTED_VALUE"""),"Yes")</f>
        <v>Yes</v>
      </c>
      <c r="E81" s="134" t="str">
        <f>IFERROR(__xludf.DUMMYFUNCTION("""COMPUTED_VALUE"""),"Yes")</f>
        <v>Yes</v>
      </c>
      <c r="F81" s="134" t="str">
        <f>IFERROR(__xludf.DUMMYFUNCTION("""COMPUTED_VALUE"""),"Variant Pathogenicity")</f>
        <v>Variant Pathogenicity</v>
      </c>
      <c r="G81" s="131" t="str">
        <f>IFERROR(__xludf.DUMMYFUNCTION("""COMPUTED_VALUE"""),"")</f>
        <v/>
      </c>
      <c r="H81" s="131" t="str">
        <f>IFERROR(__xludf.DUMMYFUNCTION("""COMPUTED_VALUE"""),"Tomohiko Ai")</f>
        <v>Tomohiko Ai</v>
      </c>
      <c r="I81" s="131" t="str">
        <f>IFERROR(__xludf.DUMMYFUNCTION("""COMPUTED_VALUE"""),"Tomohiko.Ai@osumc.edu")</f>
        <v>Tomohiko.Ai@osumc.edu</v>
      </c>
      <c r="J81" s="134" t="str">
        <f>IFERROR(__xludf.DUMMYFUNCTION("""COMPUTED_VALUE"""),"Comprehensive")</f>
        <v>Comprehensive</v>
      </c>
      <c r="K81" s="135" t="str">
        <f>IFERROR(__xludf.DUMMYFUNCTION("""COMPUTED_VALUE"""),"")</f>
        <v/>
      </c>
      <c r="L81" t="str">
        <f>IFERROR(__xludf.DUMMYFUNCTION("""COMPUTED_VALUE"""),"")</f>
        <v/>
      </c>
    </row>
    <row r="82">
      <c r="A82" s="131" t="str">
        <f>IFERROR(__xludf.DUMMYFUNCTION("""COMPUTED_VALUE"""),"Contacted")</f>
        <v>Contacted</v>
      </c>
      <c r="B82" s="131" t="str">
        <f>IFERROR(__xludf.DUMMYFUNCTION("""COMPUTED_VALUE"""),"")</f>
        <v/>
      </c>
      <c r="C82" s="137">
        <f>IFERROR(__xludf.DUMMYFUNCTION("""COMPUTED_VALUE"""),43605.0)</f>
        <v>43605</v>
      </c>
      <c r="D82" s="134" t="str">
        <f>IFERROR(__xludf.DUMMYFUNCTION("""COMPUTED_VALUE"""),"Yes")</f>
        <v>Yes</v>
      </c>
      <c r="E82" s="134" t="str">
        <f>IFERROR(__xludf.DUMMYFUNCTION("""COMPUTED_VALUE"""),"Yes")</f>
        <v>Yes</v>
      </c>
      <c r="F82" s="134" t="str">
        <f>IFERROR(__xludf.DUMMYFUNCTION("""COMPUTED_VALUE"""),"Variant Pathogenicity")</f>
        <v>Variant Pathogenicity</v>
      </c>
      <c r="G82" s="131" t="str">
        <f>IFERROR(__xludf.DUMMYFUNCTION("""COMPUTED_VALUE"""),"")</f>
        <v/>
      </c>
      <c r="H82" s="131" t="str">
        <f>IFERROR(__xludf.DUMMYFUNCTION("""COMPUTED_VALUE"""),"Coumarane Mani")</f>
        <v>Coumarane Mani</v>
      </c>
      <c r="I82" s="131" t="str">
        <f>IFERROR(__xludf.DUMMYFUNCTION("""COMPUTED_VALUE"""),"coumarane.mani@aruplab.com")</f>
        <v>coumarane.mani@aruplab.com</v>
      </c>
      <c r="J82" s="134" t="str">
        <f>IFERROR(__xludf.DUMMYFUNCTION("""COMPUTED_VALUE"""),"Comprehensive")</f>
        <v>Comprehensive</v>
      </c>
      <c r="K82" s="135" t="str">
        <f>IFERROR(__xludf.DUMMYFUNCTION("""COMPUTED_VALUE"""),"")</f>
        <v/>
      </c>
      <c r="L82" t="str">
        <f>IFERROR(__xludf.DUMMYFUNCTION("""COMPUTED_VALUE"""),"")</f>
        <v/>
      </c>
    </row>
    <row r="83">
      <c r="A83" s="131" t="str">
        <f>IFERROR(__xludf.DUMMYFUNCTION("""COMPUTED_VALUE"""),"Contacted")</f>
        <v>Contacted</v>
      </c>
      <c r="B83" s="131" t="str">
        <f>IFERROR(__xludf.DUMMYFUNCTION("""COMPUTED_VALUE"""),"")</f>
        <v/>
      </c>
      <c r="C83" s="137">
        <f>IFERROR(__xludf.DUMMYFUNCTION("""COMPUTED_VALUE"""),47258.0)</f>
        <v>47258</v>
      </c>
      <c r="D83" s="134" t="str">
        <f>IFERROR(__xludf.DUMMYFUNCTION("""COMPUTED_VALUE"""),"Yes")</f>
        <v>Yes</v>
      </c>
      <c r="E83" s="134" t="str">
        <f>IFERROR(__xludf.DUMMYFUNCTION("""COMPUTED_VALUE"""),"Yes")</f>
        <v>Yes</v>
      </c>
      <c r="F83" s="134" t="str">
        <f>IFERROR(__xludf.DUMMYFUNCTION("""COMPUTED_VALUE"""),"Variant Pathogenicity")</f>
        <v>Variant Pathogenicity</v>
      </c>
      <c r="G83" s="131" t="str">
        <f>IFERROR(__xludf.DUMMYFUNCTION("""COMPUTED_VALUE"""),"")</f>
        <v/>
      </c>
      <c r="H83" s="131" t="str">
        <f>IFERROR(__xludf.DUMMYFUNCTION("""COMPUTED_VALUE"""),"Diogo Ventura Lovato")</f>
        <v>Diogo Ventura Lovato</v>
      </c>
      <c r="I83" s="131" t="str">
        <f>IFERROR(__xludf.DUMMYFUNCTION("""COMPUTED_VALUE"""),"diogo.v.lovato@gmail.com")</f>
        <v>diogo.v.lovato@gmail.com</v>
      </c>
      <c r="J83" s="134" t="str">
        <f>IFERROR(__xludf.DUMMYFUNCTION("""COMPUTED_VALUE"""),"Comprehensive")</f>
        <v>Comprehensive</v>
      </c>
      <c r="K83" s="135" t="str">
        <f>IFERROR(__xludf.DUMMYFUNCTION("""COMPUTED_VALUE"""),"")</f>
        <v/>
      </c>
      <c r="L83" t="str">
        <f>IFERROR(__xludf.DUMMYFUNCTION("""COMPUTED_VALUE"""),"")</f>
        <v/>
      </c>
    </row>
    <row r="84">
      <c r="A84" s="131" t="str">
        <f>IFERROR(__xludf.DUMMYFUNCTION("""COMPUTED_VALUE"""),"Contacted")</f>
        <v>Contacted</v>
      </c>
      <c r="B84" s="131" t="str">
        <f>IFERROR(__xludf.DUMMYFUNCTION("""COMPUTED_VALUE"""),"")</f>
        <v/>
      </c>
      <c r="C84" s="137">
        <f>IFERROR(__xludf.DUMMYFUNCTION("""COMPUTED_VALUE"""),43626.0)</f>
        <v>43626</v>
      </c>
      <c r="D84" s="134" t="str">
        <f>IFERROR(__xludf.DUMMYFUNCTION("""COMPUTED_VALUE"""),"Yes")</f>
        <v>Yes</v>
      </c>
      <c r="E84" s="134" t="str">
        <f>IFERROR(__xludf.DUMMYFUNCTION("""COMPUTED_VALUE"""),"No")</f>
        <v>No</v>
      </c>
      <c r="F84" s="134" t="str">
        <f>IFERROR(__xludf.DUMMYFUNCTION("""COMPUTED_VALUE"""),"Variant Pathogenicity")</f>
        <v>Variant Pathogenicity</v>
      </c>
      <c r="G84" s="131" t="str">
        <f>IFERROR(__xludf.DUMMYFUNCTION("""COMPUTED_VALUE"""),"")</f>
        <v/>
      </c>
      <c r="H84" s="131" t="str">
        <f>IFERROR(__xludf.DUMMYFUNCTION("""COMPUTED_VALUE"""),"Elaine Spector")</f>
        <v>Elaine Spector</v>
      </c>
      <c r="I84" s="131" t="str">
        <f>IFERROR(__xludf.DUMMYFUNCTION("""COMPUTED_VALUE"""),"elaine.spector@childrenscolorado.org")</f>
        <v>elaine.spector@childrenscolorado.org</v>
      </c>
      <c r="J84" s="134" t="str">
        <f>IFERROR(__xludf.DUMMYFUNCTION("""COMPUTED_VALUE"""),"Comprehensive")</f>
        <v>Comprehensive</v>
      </c>
      <c r="K84" s="135" t="str">
        <f>IFERROR(__xludf.DUMMYFUNCTION("""COMPUTED_VALUE"""),"")</f>
        <v/>
      </c>
      <c r="L84" t="str">
        <f>IFERROR(__xludf.DUMMYFUNCTION("""COMPUTED_VALUE"""),"")</f>
        <v/>
      </c>
    </row>
    <row r="85">
      <c r="A85" s="131" t="str">
        <f>IFERROR(__xludf.DUMMYFUNCTION("""COMPUTED_VALUE"""),"Contacted")</f>
        <v>Contacted</v>
      </c>
      <c r="B85" s="131" t="str">
        <f>IFERROR(__xludf.DUMMYFUNCTION("""COMPUTED_VALUE"""),"")</f>
        <v/>
      </c>
      <c r="C85" s="137">
        <f>IFERROR(__xludf.DUMMYFUNCTION("""COMPUTED_VALUE"""),43608.0)</f>
        <v>43608</v>
      </c>
      <c r="D85" s="134" t="str">
        <f>IFERROR(__xludf.DUMMYFUNCTION("""COMPUTED_VALUE"""),"Yes")</f>
        <v>Yes</v>
      </c>
      <c r="E85" s="134" t="str">
        <f>IFERROR(__xludf.DUMMYFUNCTION("""COMPUTED_VALUE"""),"Yes")</f>
        <v>Yes</v>
      </c>
      <c r="F85" s="134" t="str">
        <f>IFERROR(__xludf.DUMMYFUNCTION("""COMPUTED_VALUE"""),"Variant Pathogenicity")</f>
        <v>Variant Pathogenicity</v>
      </c>
      <c r="G85" s="131" t="str">
        <f>IFERROR(__xludf.DUMMYFUNCTION("""COMPUTED_VALUE"""),"TP53")</f>
        <v>TP53</v>
      </c>
      <c r="H85" s="131" t="str">
        <f>IFERROR(__xludf.DUMMYFUNCTION("""COMPUTED_VALUE"""),"Laura Fuqua")</f>
        <v>Laura Fuqua</v>
      </c>
      <c r="I85" s="131" t="str">
        <f>IFERROR(__xludf.DUMMYFUNCTION("""COMPUTED_VALUE"""),"laura.fuqua@gmail.com")</f>
        <v>laura.fuqua@gmail.com</v>
      </c>
      <c r="J85" s="134" t="str">
        <f>IFERROR(__xludf.DUMMYFUNCTION("""COMPUTED_VALUE"""),"Comprehensive")</f>
        <v>Comprehensive</v>
      </c>
      <c r="K85" s="135" t="str">
        <f>IFERROR(__xludf.DUMMYFUNCTION("""COMPUTED_VALUE"""),"")</f>
        <v/>
      </c>
      <c r="L85" t="str">
        <f>IFERROR(__xludf.DUMMYFUNCTION("""COMPUTED_VALUE"""),"")</f>
        <v/>
      </c>
    </row>
    <row r="86">
      <c r="A86" s="131" t="str">
        <f>IFERROR(__xludf.DUMMYFUNCTION("""COMPUTED_VALUE"""),"Contacted")</f>
        <v>Contacted</v>
      </c>
      <c r="B86" s="137">
        <f>IFERROR(__xludf.DUMMYFUNCTION("""COMPUTED_VALUE"""),43819.0)</f>
        <v>43819</v>
      </c>
      <c r="C86" s="131" t="str">
        <f>IFERROR(__xludf.DUMMYFUNCTION("""COMPUTED_VALUE"""),"")</f>
        <v/>
      </c>
      <c r="D86" s="134" t="str">
        <f>IFERROR(__xludf.DUMMYFUNCTION("""COMPUTED_VALUE"""),"")</f>
        <v/>
      </c>
      <c r="E86" s="134" t="str">
        <f>IFERROR(__xludf.DUMMYFUNCTION("""COMPUTED_VALUE"""),"No")</f>
        <v>No</v>
      </c>
      <c r="F86" s="134" t="str">
        <f>IFERROR(__xludf.DUMMYFUNCTION("""COMPUTED_VALUE"""),"Variant Pathogenicity")</f>
        <v>Variant Pathogenicity</v>
      </c>
      <c r="G86" s="131" t="str">
        <f>IFERROR(__xludf.DUMMYFUNCTION("""COMPUTED_VALUE"""),"")</f>
        <v/>
      </c>
      <c r="H86" s="131" t="str">
        <f>IFERROR(__xludf.DUMMYFUNCTION("""COMPUTED_VALUE"""),"Patricia Harper")</f>
        <v>Patricia Harper</v>
      </c>
      <c r="I86" s="131" t="str">
        <f>IFERROR(__xludf.DUMMYFUNCTION("""COMPUTED_VALUE"""),"pharper@cheo.on.ca")</f>
        <v>pharper@cheo.on.ca</v>
      </c>
      <c r="J86" s="134" t="str">
        <f>IFERROR(__xludf.DUMMYFUNCTION("""COMPUTED_VALUE"""),"Comprehensive")</f>
        <v>Comprehensive</v>
      </c>
      <c r="K86" s="135" t="str">
        <f>IFERROR(__xludf.DUMMYFUNCTION("""COMPUTED_VALUE"""),"Hereditary cancer (and/or associated genes such as TP53)")</f>
        <v>Hereditary cancer (and/or associated genes such as TP53)</v>
      </c>
      <c r="L86" t="str">
        <f>IFERROR(__xludf.DUMMYFUNCTION("""COMPUTED_VALUE"""),"Yes, currently a member of the ClinGen Cardiomyopathy VCC")</f>
        <v>Yes, currently a member of the ClinGen Cardiomyopathy VCC</v>
      </c>
    </row>
    <row r="87">
      <c r="A87" s="131" t="str">
        <f>IFERROR(__xludf.DUMMYFUNCTION("""COMPUTED_VALUE"""),"Contacted")</f>
        <v>Contacted</v>
      </c>
      <c r="B87" s="137">
        <f>IFERROR(__xludf.DUMMYFUNCTION("""COMPUTED_VALUE"""),43819.0)</f>
        <v>43819</v>
      </c>
      <c r="C87" s="131" t="str">
        <f>IFERROR(__xludf.DUMMYFUNCTION("""COMPUTED_VALUE"""),"")</f>
        <v/>
      </c>
      <c r="D87" s="134" t="str">
        <f>IFERROR(__xludf.DUMMYFUNCTION("""COMPUTED_VALUE"""),"")</f>
        <v/>
      </c>
      <c r="E87" s="134" t="str">
        <f>IFERROR(__xludf.DUMMYFUNCTION("""COMPUTED_VALUE"""),"No")</f>
        <v>No</v>
      </c>
      <c r="F87" s="134" t="str">
        <f>IFERROR(__xludf.DUMMYFUNCTION("""COMPUTED_VALUE"""),"Variant Pathogenicity")</f>
        <v>Variant Pathogenicity</v>
      </c>
      <c r="G87" s="131" t="str">
        <f>IFERROR(__xludf.DUMMYFUNCTION("""COMPUTED_VALUE"""),"")</f>
        <v/>
      </c>
      <c r="H87" s="131" t="str">
        <f>IFERROR(__xludf.DUMMYFUNCTION("""COMPUTED_VALUE"""),"Saja El Yaacoub")</f>
        <v>Saja El Yaacoub</v>
      </c>
      <c r="I87" s="131" t="str">
        <f>IFERROR(__xludf.DUMMYFUNCTION("""COMPUTED_VALUE"""),"saja.alyaacoub@live.com")</f>
        <v>saja.alyaacoub@live.com</v>
      </c>
      <c r="J87" s="134" t="str">
        <f>IFERROR(__xludf.DUMMYFUNCTION("""COMPUTED_VALUE"""),"Comprehensive")</f>
        <v>Comprehensive</v>
      </c>
      <c r="K87" s="135" t="str">
        <f>IFERROR(__xludf.DUMMYFUNCTION("""COMPUTED_VALUE"""),"Mitochondrial Diseases")</f>
        <v>Mitochondrial Diseases</v>
      </c>
      <c r="L87" t="str">
        <f>IFERROR(__xludf.DUMMYFUNCTION("""COMPUTED_VALUE"""),"")</f>
        <v/>
      </c>
    </row>
    <row r="88">
      <c r="A88" s="131" t="str">
        <f>IFERROR(__xludf.DUMMYFUNCTION("""COMPUTED_VALUE"""),"Contacted")</f>
        <v>Contacted</v>
      </c>
      <c r="B88" s="137">
        <f>IFERROR(__xludf.DUMMYFUNCTION("""COMPUTED_VALUE"""),43819.0)</f>
        <v>43819</v>
      </c>
      <c r="C88" s="132">
        <f>IFERROR(__xludf.DUMMYFUNCTION("""COMPUTED_VALUE"""),43859.0)</f>
        <v>43859</v>
      </c>
      <c r="D88" s="134" t="str">
        <f>IFERROR(__xludf.DUMMYFUNCTION("""COMPUTED_VALUE"""),"Yes")</f>
        <v>Yes</v>
      </c>
      <c r="E88" s="134" t="str">
        <f>IFERROR(__xludf.DUMMYFUNCTION("""COMPUTED_VALUE"""),"Yes")</f>
        <v>Yes</v>
      </c>
      <c r="F88" s="134" t="str">
        <f>IFERROR(__xludf.DUMMYFUNCTION("""COMPUTED_VALUE"""),"Variant Pathogenicity")</f>
        <v>Variant Pathogenicity</v>
      </c>
      <c r="G88" s="131" t="str">
        <f>IFERROR(__xludf.DUMMYFUNCTION("""COMPUTED_VALUE"""),"")</f>
        <v/>
      </c>
      <c r="H88" s="131" t="str">
        <f>IFERROR(__xludf.DUMMYFUNCTION("""COMPUTED_VALUE"""),"Brandon Chalazan")</f>
        <v>Brandon Chalazan</v>
      </c>
      <c r="I88" s="131" t="str">
        <f>IFERROR(__xludf.DUMMYFUNCTION("""COMPUTED_VALUE"""),"brandon.chalazan@cw.bc.ca")</f>
        <v>brandon.chalazan@cw.bc.ca</v>
      </c>
      <c r="J88" s="134" t="str">
        <f>IFERROR(__xludf.DUMMYFUNCTION("""COMPUTED_VALUE"""),"Comprehensive")</f>
        <v>Comprehensive</v>
      </c>
      <c r="K88" s="135" t="str">
        <f>IFERROR(__xludf.DUMMYFUNCTION("""COMPUTED_VALUE"""),"All inherited cardiovascular genetic conditions.  However, I want to form a Atrial Fibrillation working expert panel.")</f>
        <v>All inherited cardiovascular genetic conditions.  However, I want to form a Atrial Fibrillation working expert panel.</v>
      </c>
      <c r="L88" t="str">
        <f>IFERROR(__xludf.DUMMYFUNCTION("""COMPUTED_VALUE"""),"Yes - I have designed candidate SNP and gene panels, designed specific variant filtering criteria and commonly use ACMG / AMP / ACGS criteria.")</f>
        <v>Yes - I have designed candidate SNP and gene panels, designed specific variant filtering criteria and commonly use ACMG / AMP / ACGS criteria.</v>
      </c>
    </row>
    <row r="89">
      <c r="A89" s="131" t="str">
        <f>IFERROR(__xludf.DUMMYFUNCTION("""COMPUTED_VALUE"""),"Contacted")</f>
        <v>Contacted</v>
      </c>
      <c r="B89" s="137">
        <f>IFERROR(__xludf.DUMMYFUNCTION("""COMPUTED_VALUE"""),43819.0)</f>
        <v>43819</v>
      </c>
      <c r="C89" s="132">
        <f>IFERROR(__xludf.DUMMYFUNCTION("""COMPUTED_VALUE"""),43859.0)</f>
        <v>43859</v>
      </c>
      <c r="D89" s="134" t="str">
        <f>IFERROR(__xludf.DUMMYFUNCTION("""COMPUTED_VALUE"""),"Yes")</f>
        <v>Yes</v>
      </c>
      <c r="E89" s="134" t="str">
        <f>IFERROR(__xludf.DUMMYFUNCTION("""COMPUTED_VALUE"""),"Yes")</f>
        <v>Yes</v>
      </c>
      <c r="F89" s="134" t="str">
        <f>IFERROR(__xludf.DUMMYFUNCTION("""COMPUTED_VALUE"""),"Variant Pathogenicity")</f>
        <v>Variant Pathogenicity</v>
      </c>
      <c r="G89" s="131" t="str">
        <f>IFERROR(__xludf.DUMMYFUNCTION("""COMPUTED_VALUE"""),"")</f>
        <v/>
      </c>
      <c r="H89" s="131" t="str">
        <f>IFERROR(__xludf.DUMMYFUNCTION("""COMPUTED_VALUE"""),"jean-leon chong")</f>
        <v>jean-leon chong</v>
      </c>
      <c r="I89" s="131" t="str">
        <f>IFERROR(__xludf.DUMMYFUNCTION("""COMPUTED_VALUE"""),"leon0044@gmail.com")</f>
        <v>leon0044@gmail.com</v>
      </c>
      <c r="J89" s="134" t="str">
        <f>IFERROR(__xludf.DUMMYFUNCTION("""COMPUTED_VALUE"""),"Comprehensive")</f>
        <v>Comprehensive</v>
      </c>
      <c r="K89" s="135" t="str">
        <f>IFERROR(__xludf.DUMMYFUNCTION("""COMPUTED_VALUE"""),"")</f>
        <v/>
      </c>
      <c r="L89" t="str">
        <f>IFERROR(__xludf.DUMMYFUNCTION("""COMPUTED_VALUE"""),"some experience during fellowship training ")</f>
        <v>some experience during fellowship training </v>
      </c>
    </row>
    <row r="90">
      <c r="A90" s="131" t="str">
        <f>IFERROR(__xludf.DUMMYFUNCTION("""COMPUTED_VALUE"""),"Contacted")</f>
        <v>Contacted</v>
      </c>
      <c r="B90" s="137">
        <f>IFERROR(__xludf.DUMMYFUNCTION("""COMPUTED_VALUE"""),43819.0)</f>
        <v>43819</v>
      </c>
      <c r="C90" s="131" t="str">
        <f>IFERROR(__xludf.DUMMYFUNCTION("""COMPUTED_VALUE"""),"")</f>
        <v/>
      </c>
      <c r="D90" s="134" t="str">
        <f>IFERROR(__xludf.DUMMYFUNCTION("""COMPUTED_VALUE"""),"")</f>
        <v/>
      </c>
      <c r="E90" s="134" t="str">
        <f>IFERROR(__xludf.DUMMYFUNCTION("""COMPUTED_VALUE"""),"No")</f>
        <v>No</v>
      </c>
      <c r="F90" s="134" t="str">
        <f>IFERROR(__xludf.DUMMYFUNCTION("""COMPUTED_VALUE"""),"Variant Pathogenicity")</f>
        <v>Variant Pathogenicity</v>
      </c>
      <c r="G90" s="131" t="str">
        <f>IFERROR(__xludf.DUMMYFUNCTION("""COMPUTED_VALUE"""),"")</f>
        <v/>
      </c>
      <c r="H90" s="131" t="str">
        <f>IFERROR(__xludf.DUMMYFUNCTION("""COMPUTED_VALUE"""),"Terra Brannan")</f>
        <v>Terra Brannan</v>
      </c>
      <c r="I90" s="131" t="str">
        <f>IFERROR(__xludf.DUMMYFUNCTION("""COMPUTED_VALUE"""),"tbrannan@ambrygen.com")</f>
        <v>tbrannan@ambrygen.com</v>
      </c>
      <c r="J90" s="134" t="str">
        <f>IFERROR(__xludf.DUMMYFUNCTION("""COMPUTED_VALUE"""),"Comprehensive")</f>
        <v>Comprehensive</v>
      </c>
      <c r="K90" s="135" t="str">
        <f>IFERROR(__xludf.DUMMYFUNCTION("""COMPUTED_VALUE"""),"CDH1")</f>
        <v>CDH1</v>
      </c>
      <c r="L90" t="str">
        <f>IFERROR(__xludf.DUMMYFUNCTION("""COMPUTED_VALUE"""),"Yes, I have been performing variant assessment since December 2018")</f>
        <v>Yes, I have been performing variant assessment since December 2018</v>
      </c>
    </row>
    <row r="91">
      <c r="A91" s="131" t="str">
        <f>IFERROR(__xludf.DUMMYFUNCTION("""COMPUTED_VALUE"""),"Contacted")</f>
        <v>Contacted</v>
      </c>
      <c r="B91" s="137">
        <f>IFERROR(__xludf.DUMMYFUNCTION("""COMPUTED_VALUE"""),43819.0)</f>
        <v>43819</v>
      </c>
      <c r="C91" s="131" t="str">
        <f>IFERROR(__xludf.DUMMYFUNCTION("""COMPUTED_VALUE"""),"")</f>
        <v/>
      </c>
      <c r="D91" s="134" t="str">
        <f>IFERROR(__xludf.DUMMYFUNCTION("""COMPUTED_VALUE"""),"")</f>
        <v/>
      </c>
      <c r="E91" s="134" t="str">
        <f>IFERROR(__xludf.DUMMYFUNCTION("""COMPUTED_VALUE"""),"No")</f>
        <v>No</v>
      </c>
      <c r="F91" s="134" t="str">
        <f>IFERROR(__xludf.DUMMYFUNCTION("""COMPUTED_VALUE"""),"Variant Pathogenicity")</f>
        <v>Variant Pathogenicity</v>
      </c>
      <c r="G91" s="131" t="str">
        <f>IFERROR(__xludf.DUMMYFUNCTION("""COMPUTED_VALUE"""),"")</f>
        <v/>
      </c>
      <c r="H91" s="131" t="str">
        <f>IFERROR(__xludf.DUMMYFUNCTION("""COMPUTED_VALUE"""),"Jordan Stern")</f>
        <v>Jordan Stern</v>
      </c>
      <c r="I91" s="131" t="str">
        <f>IFERROR(__xludf.DUMMYFUNCTION("""COMPUTED_VALUE"""),"jordanjnstern@gmail.com")</f>
        <v>jordanjnstern@gmail.com</v>
      </c>
      <c r="J91" s="134" t="str">
        <f>IFERROR(__xludf.DUMMYFUNCTION("""COMPUTED_VALUE"""),"Comprehensive")</f>
        <v>Comprehensive</v>
      </c>
      <c r="K91" s="135" t="str">
        <f>IFERROR(__xludf.DUMMYFUNCTION("""COMPUTED_VALUE"""),"yes")</f>
        <v>yes</v>
      </c>
      <c r="L91" t="str">
        <f>IFERROR(__xludf.DUMMYFUNCTION("""COMPUTED_VALUE"""),"")</f>
        <v/>
      </c>
    </row>
    <row r="92">
      <c r="A92" s="131" t="str">
        <f>IFERROR(__xludf.DUMMYFUNCTION("""COMPUTED_VALUE"""),"Contacted")</f>
        <v>Contacted</v>
      </c>
      <c r="B92" s="137">
        <f>IFERROR(__xludf.DUMMYFUNCTION("""COMPUTED_VALUE"""),43819.0)</f>
        <v>43819</v>
      </c>
      <c r="C92" s="131" t="str">
        <f>IFERROR(__xludf.DUMMYFUNCTION("""COMPUTED_VALUE"""),"")</f>
        <v/>
      </c>
      <c r="D92" s="134" t="str">
        <f>IFERROR(__xludf.DUMMYFUNCTION("""COMPUTED_VALUE"""),"")</f>
        <v/>
      </c>
      <c r="E92" s="134" t="str">
        <f>IFERROR(__xludf.DUMMYFUNCTION("""COMPUTED_VALUE"""),"No")</f>
        <v>No</v>
      </c>
      <c r="F92" s="134" t="str">
        <f>IFERROR(__xludf.DUMMYFUNCTION("""COMPUTED_VALUE"""),"Variant Pathogenicity")</f>
        <v>Variant Pathogenicity</v>
      </c>
      <c r="G92" s="131" t="str">
        <f>IFERROR(__xludf.DUMMYFUNCTION("""COMPUTED_VALUE"""),"")</f>
        <v/>
      </c>
      <c r="H92" s="131" t="str">
        <f>IFERROR(__xludf.DUMMYFUNCTION("""COMPUTED_VALUE"""),"Jamie Maciaszek")</f>
        <v>Jamie Maciaszek</v>
      </c>
      <c r="I92" s="131" t="str">
        <f>IFERROR(__xludf.DUMMYFUNCTION("""COMPUTED_VALUE"""),"jamie.maciaszek@stjude.org")</f>
        <v>jamie.maciaszek@stjude.org</v>
      </c>
      <c r="J92" s="134" t="str">
        <f>IFERROR(__xludf.DUMMYFUNCTION("""COMPUTED_VALUE"""),"Comprehensive")</f>
        <v>Comprehensive</v>
      </c>
      <c r="K92" s="135" t="str">
        <f>IFERROR(__xludf.DUMMYFUNCTION("""COMPUTED_VALUE"""),"Myeloid Malignancy, Hereditary Cancer")</f>
        <v>Myeloid Malignancy, Hereditary Cancer</v>
      </c>
      <c r="L92" t="str">
        <f>IFERROR(__xludf.DUMMYFUNCTION("""COMPUTED_VALUE"""),"working on SJFAMILY study to curate variants in suspected cases of hereditary cancer")</f>
        <v>working on SJFAMILY study to curate variants in suspected cases of hereditary cancer</v>
      </c>
    </row>
    <row r="93">
      <c r="A93" s="131" t="str">
        <f>IFERROR(__xludf.DUMMYFUNCTION("""COMPUTED_VALUE"""),"Contacted")</f>
        <v>Contacted</v>
      </c>
      <c r="B93" s="137">
        <f>IFERROR(__xludf.DUMMYFUNCTION("""COMPUTED_VALUE"""),43819.0)</f>
        <v>43819</v>
      </c>
      <c r="C93" s="131" t="str">
        <f>IFERROR(__xludf.DUMMYFUNCTION("""COMPUTED_VALUE"""),"")</f>
        <v/>
      </c>
      <c r="D93" s="134" t="str">
        <f>IFERROR(__xludf.DUMMYFUNCTION("""COMPUTED_VALUE"""),"")</f>
        <v/>
      </c>
      <c r="E93" s="134" t="str">
        <f>IFERROR(__xludf.DUMMYFUNCTION("""COMPUTED_VALUE"""),"No")</f>
        <v>No</v>
      </c>
      <c r="F93" s="134" t="str">
        <f>IFERROR(__xludf.DUMMYFUNCTION("""COMPUTED_VALUE"""),"Variant Pathogenicity")</f>
        <v>Variant Pathogenicity</v>
      </c>
      <c r="G93" s="131" t="str">
        <f>IFERROR(__xludf.DUMMYFUNCTION("""COMPUTED_VALUE"""),"")</f>
        <v/>
      </c>
      <c r="H93" s="131" t="str">
        <f>IFERROR(__xludf.DUMMYFUNCTION("""COMPUTED_VALUE"""),"Olivier Bluteau")</f>
        <v>Olivier Bluteau</v>
      </c>
      <c r="I93" s="131" t="str">
        <f>IFERROR(__xludf.DUMMYFUNCTION("""COMPUTED_VALUE"""),"olivier.bluteau@aphp.fr")</f>
        <v>olivier.bluteau@aphp.fr</v>
      </c>
      <c r="J93" s="134" t="str">
        <f>IFERROR(__xludf.DUMMYFUNCTION("""COMPUTED_VALUE"""),"Comprehensive")</f>
        <v>Comprehensive</v>
      </c>
      <c r="K93" s="135" t="str">
        <f>IFERROR(__xludf.DUMMYFUNCTION("""COMPUTED_VALUE"""),"Familial Hypercholesterolemia Variant Curation Expert Panel")</f>
        <v>Familial Hypercholesterolemia Variant Curation Expert Panel</v>
      </c>
      <c r="L93" t="str">
        <f>IFERROR(__xludf.DUMMYFUNCTION("""COMPUTED_VALUE"""),"")</f>
        <v/>
      </c>
    </row>
    <row r="94">
      <c r="A94" s="131" t="str">
        <f>IFERROR(__xludf.DUMMYFUNCTION("""COMPUTED_VALUE"""),"Contacted")</f>
        <v>Contacted</v>
      </c>
      <c r="B94" s="137">
        <f>IFERROR(__xludf.DUMMYFUNCTION("""COMPUTED_VALUE"""),43819.0)</f>
        <v>43819</v>
      </c>
      <c r="C94" s="131" t="str">
        <f>IFERROR(__xludf.DUMMYFUNCTION("""COMPUTED_VALUE"""),"")</f>
        <v/>
      </c>
      <c r="D94" s="134" t="str">
        <f>IFERROR(__xludf.DUMMYFUNCTION("""COMPUTED_VALUE"""),"")</f>
        <v/>
      </c>
      <c r="E94" s="134" t="str">
        <f>IFERROR(__xludf.DUMMYFUNCTION("""COMPUTED_VALUE"""),"No")</f>
        <v>No</v>
      </c>
      <c r="F94" s="134" t="str">
        <f>IFERROR(__xludf.DUMMYFUNCTION("""COMPUTED_VALUE"""),"Variant Pathogenicity")</f>
        <v>Variant Pathogenicity</v>
      </c>
      <c r="G94" s="131" t="str">
        <f>IFERROR(__xludf.DUMMYFUNCTION("""COMPUTED_VALUE"""),"")</f>
        <v/>
      </c>
      <c r="H94" s="131" t="str">
        <f>IFERROR(__xludf.DUMMYFUNCTION("""COMPUTED_VALUE"""),"Linlin Zhang")</f>
        <v>Linlin Zhang</v>
      </c>
      <c r="I94" s="131" t="str">
        <f>IFERROR(__xludf.DUMMYFUNCTION("""COMPUTED_VALUE"""),"linlinzhang277@gmail.com")</f>
        <v>linlinzhang277@gmail.com</v>
      </c>
      <c r="J94" s="134" t="str">
        <f>IFERROR(__xludf.DUMMYFUNCTION("""COMPUTED_VALUE"""),"Comprehensive")</f>
        <v>Comprehensive</v>
      </c>
      <c r="K94" s="135" t="str">
        <f>IFERROR(__xludf.DUMMYFUNCTION("""COMPUTED_VALUE"""),"Dosage Sensitivity Working Group  or Variant Curation Expert Panels in Phenylketonuria")</f>
        <v>Dosage Sensitivity Working Group  or Variant Curation Expert Panels in Phenylketonuria</v>
      </c>
      <c r="L94" t="str">
        <f>IFERROR(__xludf.DUMMYFUNCTION("""COMPUTED_VALUE"""),"I am a director of clinical molecular and genetic lab of the Third Affliated Hospital of Zhengzhou University which is the largest maternal and children's hospital of Henan Province serving over 100 million population. I finish more than 30 CMA reports an"&amp;"d  4 variant pathogenic curation everyweek. I have 7 years of work experience in molecular genetic diagnosis, especially in the field of prenatal diagnosis.  Our Lab will finish about 200 Phenylketonuria molecular tests. These patients are from the newbor"&amp;"n screening center of Henan Province.")</f>
        <v>I am a director of clinical molecular and genetic lab of the Third Affliated Hospital of Zhengzhou University which is the largest maternal and children's hospital of Henan Province serving over 100 million population. I finish more than 30 CMA reports and  4 variant pathogenic curation everyweek. I have 7 years of work experience in molecular genetic diagnosis, especially in the field of prenatal diagnosis.  Our Lab will finish about 200 Phenylketonuria molecular tests. These patients are from the newborn screening center of Henan Province.</v>
      </c>
    </row>
    <row r="95">
      <c r="A95" s="131" t="str">
        <f>IFERROR(__xludf.DUMMYFUNCTION("""COMPUTED_VALUE"""),"Contacted")</f>
        <v>Contacted</v>
      </c>
      <c r="B95" s="137">
        <f>IFERROR(__xludf.DUMMYFUNCTION("""COMPUTED_VALUE"""),43819.0)</f>
        <v>43819</v>
      </c>
      <c r="C95" s="131" t="str">
        <f>IFERROR(__xludf.DUMMYFUNCTION("""COMPUTED_VALUE"""),"")</f>
        <v/>
      </c>
      <c r="D95" s="134" t="str">
        <f>IFERROR(__xludf.DUMMYFUNCTION("""COMPUTED_VALUE"""),"")</f>
        <v/>
      </c>
      <c r="E95" s="134" t="str">
        <f>IFERROR(__xludf.DUMMYFUNCTION("""COMPUTED_VALUE"""),"No")</f>
        <v>No</v>
      </c>
      <c r="F95" s="134" t="str">
        <f>IFERROR(__xludf.DUMMYFUNCTION("""COMPUTED_VALUE"""),"Variant Pathogenicity")</f>
        <v>Variant Pathogenicity</v>
      </c>
      <c r="G95" s="131" t="str">
        <f>IFERROR(__xludf.DUMMYFUNCTION("""COMPUTED_VALUE"""),"")</f>
        <v/>
      </c>
      <c r="H95" s="131" t="str">
        <f>IFERROR(__xludf.DUMMYFUNCTION("""COMPUTED_VALUE"""),"Marco Montes de Oca")</f>
        <v>Marco Montes de Oca</v>
      </c>
      <c r="I95" s="131" t="str">
        <f>IFERROR(__xludf.DUMMYFUNCTION("""COMPUTED_VALUE"""),"montesm@student.unimelb.edu.au")</f>
        <v>montesm@student.unimelb.edu.au</v>
      </c>
      <c r="J95" s="134" t="str">
        <f>IFERROR(__xludf.DUMMYFUNCTION("""COMPUTED_VALUE"""),"Comprehensive")</f>
        <v>Comprehensive</v>
      </c>
      <c r="K95" s="135" t="str">
        <f>IFERROR(__xludf.DUMMYFUNCTION("""COMPUTED_VALUE"""),"I am interested in the following working groups:
- Brain Malformations Variant Curation Expert Panel
- Mitochondrial Diseases Gene Curation Expert Panel")</f>
        <v>I am interested in the following working groups:
- Brain Malformations Variant Curation Expert Panel
- Mitochondrial Diseases Gene Curation Expert Panel</v>
      </c>
      <c r="L95" t="str">
        <f>IFERROR(__xludf.DUMMYFUNCTION("""COMPUTED_VALUE"""),"")</f>
        <v/>
      </c>
    </row>
    <row r="96">
      <c r="A96" s="131" t="str">
        <f>IFERROR(__xludf.DUMMYFUNCTION("""COMPUTED_VALUE"""),"Contacted")</f>
        <v>Contacted</v>
      </c>
      <c r="B96" s="137">
        <f>IFERROR(__xludf.DUMMYFUNCTION("""COMPUTED_VALUE"""),43819.0)</f>
        <v>43819</v>
      </c>
      <c r="C96" s="132">
        <f>IFERROR(__xludf.DUMMYFUNCTION("""COMPUTED_VALUE"""),43859.0)</f>
        <v>43859</v>
      </c>
      <c r="D96" s="134" t="str">
        <f>IFERROR(__xludf.DUMMYFUNCTION("""COMPUTED_VALUE"""),"Yes")</f>
        <v>Yes</v>
      </c>
      <c r="E96" s="134" t="str">
        <f>IFERROR(__xludf.DUMMYFUNCTION("""COMPUTED_VALUE"""),"Yes")</f>
        <v>Yes</v>
      </c>
      <c r="F96" s="134" t="str">
        <f>IFERROR(__xludf.DUMMYFUNCTION("""COMPUTED_VALUE"""),"Variant Pathogenicity")</f>
        <v>Variant Pathogenicity</v>
      </c>
      <c r="G96" s="131" t="str">
        <f>IFERROR(__xludf.DUMMYFUNCTION("""COMPUTED_VALUE"""),"")</f>
        <v/>
      </c>
      <c r="H96" s="131" t="str">
        <f>IFERROR(__xludf.DUMMYFUNCTION("""COMPUTED_VALUE"""),"Heather Harris")</f>
        <v>Heather Harris</v>
      </c>
      <c r="I96" s="131" t="str">
        <f>IFERROR(__xludf.DUMMYFUNCTION("""COMPUTED_VALUE"""),"heatherkharris1@gmail.com")</f>
        <v>heatherkharris1@gmail.com</v>
      </c>
      <c r="J96" s="134" t="str">
        <f>IFERROR(__xludf.DUMMYFUNCTION("""COMPUTED_VALUE"""),"Comprehensive")</f>
        <v>Comprehensive</v>
      </c>
      <c r="K96" s="135" t="str">
        <f>IFERROR(__xludf.DUMMYFUNCTION("""COMPUTED_VALUE"""),"I am open to any opportunity.")</f>
        <v>I am open to any opportunity.</v>
      </c>
      <c r="L96" t="str">
        <f>IFERROR(__xludf.DUMMYFUNCTION("""COMPUTED_VALUE"""),"Limited experience with creating variant descriptions for lab report writing. ")</f>
        <v>Limited experience with creating variant descriptions for lab report writing. </v>
      </c>
    </row>
    <row r="97">
      <c r="A97" s="131" t="str">
        <f>IFERROR(__xludf.DUMMYFUNCTION("""COMPUTED_VALUE"""),"Contacted")</f>
        <v>Contacted</v>
      </c>
      <c r="B97" s="137">
        <f>IFERROR(__xludf.DUMMYFUNCTION("""COMPUTED_VALUE"""),43819.0)</f>
        <v>43819</v>
      </c>
      <c r="C97" s="132">
        <f>IFERROR(__xludf.DUMMYFUNCTION("""COMPUTED_VALUE"""),43859.0)</f>
        <v>43859</v>
      </c>
      <c r="D97" s="134" t="str">
        <f>IFERROR(__xludf.DUMMYFUNCTION("""COMPUTED_VALUE"""),"Yes")</f>
        <v>Yes</v>
      </c>
      <c r="E97" s="134" t="str">
        <f>IFERROR(__xludf.DUMMYFUNCTION("""COMPUTED_VALUE"""),"No")</f>
        <v>No</v>
      </c>
      <c r="F97" s="134" t="str">
        <f>IFERROR(__xludf.DUMMYFUNCTION("""COMPUTED_VALUE"""),"Variant Pathogenicity")</f>
        <v>Variant Pathogenicity</v>
      </c>
      <c r="G97" s="131" t="str">
        <f>IFERROR(__xludf.DUMMYFUNCTION("""COMPUTED_VALUE"""),"")</f>
        <v/>
      </c>
      <c r="H97" s="131" t="str">
        <f>IFERROR(__xludf.DUMMYFUNCTION("""COMPUTED_VALUE"""),"Kaitlin Lenhart")</f>
        <v>Kaitlin Lenhart</v>
      </c>
      <c r="I97" s="131" t="str">
        <f>IFERROR(__xludf.DUMMYFUNCTION("""COMPUTED_VALUE"""),"kaitlin.lenhart@slh.wisc.edu")</f>
        <v>kaitlin.lenhart@slh.wisc.edu</v>
      </c>
      <c r="J97" s="134" t="str">
        <f>IFERROR(__xludf.DUMMYFUNCTION("""COMPUTED_VALUE"""),"Comprehensive")</f>
        <v>Comprehensive</v>
      </c>
      <c r="K97" s="135" t="str">
        <f>IFERROR(__xludf.DUMMYFUNCTION("""COMPUTED_VALUE"""),"")</f>
        <v/>
      </c>
      <c r="L97" t="str">
        <f>IFERROR(__xludf.DUMMYFUNCTION("""COMPUTED_VALUE"""),"")</f>
        <v/>
      </c>
    </row>
    <row r="98">
      <c r="A98" s="131" t="str">
        <f>IFERROR(__xludf.DUMMYFUNCTION("""COMPUTED_VALUE"""),"Contacted")</f>
        <v>Contacted</v>
      </c>
      <c r="B98" s="137">
        <f>IFERROR(__xludf.DUMMYFUNCTION("""COMPUTED_VALUE"""),43819.0)</f>
        <v>43819</v>
      </c>
      <c r="C98" s="131" t="str">
        <f>IFERROR(__xludf.DUMMYFUNCTION("""COMPUTED_VALUE"""),"")</f>
        <v/>
      </c>
      <c r="D98" s="134" t="str">
        <f>IFERROR(__xludf.DUMMYFUNCTION("""COMPUTED_VALUE"""),"")</f>
        <v/>
      </c>
      <c r="E98" s="134" t="str">
        <f>IFERROR(__xludf.DUMMYFUNCTION("""COMPUTED_VALUE"""),"No")</f>
        <v>No</v>
      </c>
      <c r="F98" s="134" t="str">
        <f>IFERROR(__xludf.DUMMYFUNCTION("""COMPUTED_VALUE"""),"Variant Pathogenicity")</f>
        <v>Variant Pathogenicity</v>
      </c>
      <c r="G98" s="131" t="str">
        <f>IFERROR(__xludf.DUMMYFUNCTION("""COMPUTED_VALUE"""),"")</f>
        <v/>
      </c>
      <c r="H98" s="131" t="str">
        <f>IFERROR(__xludf.DUMMYFUNCTION("""COMPUTED_VALUE"""),"YANYI YAO")</f>
        <v>YANYI YAO</v>
      </c>
      <c r="I98" s="131" t="str">
        <f>IFERROR(__xludf.DUMMYFUNCTION("""COMPUTED_VALUE"""),"yaoyanyi@hotmail.com")</f>
        <v>yaoyanyi@hotmail.com</v>
      </c>
      <c r="J98" s="134" t="str">
        <f>IFERROR(__xludf.DUMMYFUNCTION("""COMPUTED_VALUE"""),"Comprehensive")</f>
        <v>Comprehensive</v>
      </c>
      <c r="K98" s="135" t="str">
        <f>IFERROR(__xludf.DUMMYFUNCTION("""COMPUTED_VALUE"""),"Limb Girdle Muscular Dystrophy ")</f>
        <v>Limb Girdle Muscular Dystrophy </v>
      </c>
      <c r="L98" t="str">
        <f>IFERROR(__xludf.DUMMYFUNCTION("""COMPUTED_VALUE"""),"I attended Interpreting Genomes for Rare Disease 2019.")</f>
        <v>I attended Interpreting Genomes for Rare Disease 2019.</v>
      </c>
    </row>
    <row r="99">
      <c r="A99" s="131" t="str">
        <f>IFERROR(__xludf.DUMMYFUNCTION("""COMPUTED_VALUE"""),"Contacted")</f>
        <v>Contacted</v>
      </c>
      <c r="B99" s="137">
        <f>IFERROR(__xludf.DUMMYFUNCTION("""COMPUTED_VALUE"""),43819.0)</f>
        <v>43819</v>
      </c>
      <c r="C99" s="131" t="str">
        <f>IFERROR(__xludf.DUMMYFUNCTION("""COMPUTED_VALUE"""),"")</f>
        <v/>
      </c>
      <c r="D99" s="134" t="str">
        <f>IFERROR(__xludf.DUMMYFUNCTION("""COMPUTED_VALUE"""),"")</f>
        <v/>
      </c>
      <c r="E99" s="134" t="str">
        <f>IFERROR(__xludf.DUMMYFUNCTION("""COMPUTED_VALUE"""),"No")</f>
        <v>No</v>
      </c>
      <c r="F99" s="134" t="str">
        <f>IFERROR(__xludf.DUMMYFUNCTION("""COMPUTED_VALUE"""),"Variant Pathogenicity")</f>
        <v>Variant Pathogenicity</v>
      </c>
      <c r="G99" s="131" t="str">
        <f>IFERROR(__xludf.DUMMYFUNCTION("""COMPUTED_VALUE"""),"")</f>
        <v/>
      </c>
      <c r="H99" s="131" t="str">
        <f>IFERROR(__xludf.DUMMYFUNCTION("""COMPUTED_VALUE"""),"Daniela Martiniuc")</f>
        <v>Daniela Martiniuc</v>
      </c>
      <c r="I99" s="131" t="str">
        <f>IFERROR(__xludf.DUMMYFUNCTION("""COMPUTED_VALUE"""),"dmartiniuc@ucdavis.edu")</f>
        <v>dmartiniuc@ucdavis.edu</v>
      </c>
      <c r="J99" s="134" t="str">
        <f>IFERROR(__xludf.DUMMYFUNCTION("""COMPUTED_VALUE"""),"Comprehensive")</f>
        <v>Comprehensive</v>
      </c>
      <c r="K99" s="135" t="str">
        <f>IFERROR(__xludf.DUMMYFUNCTION("""COMPUTED_VALUE"""),"")</f>
        <v/>
      </c>
      <c r="L99" t="str">
        <f>IFERROR(__xludf.DUMMYFUNCTION("""COMPUTED_VALUE"""),"I have no experience with curation")</f>
        <v>I have no experience with curation</v>
      </c>
    </row>
    <row r="100">
      <c r="A100" s="131" t="str">
        <f>IFERROR(__xludf.DUMMYFUNCTION("""COMPUTED_VALUE"""),"Contacted")</f>
        <v>Contacted</v>
      </c>
      <c r="B100" s="137">
        <f>IFERROR(__xludf.DUMMYFUNCTION("""COMPUTED_VALUE"""),43819.0)</f>
        <v>43819</v>
      </c>
      <c r="C100" s="132">
        <f>IFERROR(__xludf.DUMMYFUNCTION("""COMPUTED_VALUE"""),43859.0)</f>
        <v>43859</v>
      </c>
      <c r="D100" s="134" t="str">
        <f>IFERROR(__xludf.DUMMYFUNCTION("""COMPUTED_VALUE"""),"Yes")</f>
        <v>Yes</v>
      </c>
      <c r="E100" s="134" t="str">
        <f>IFERROR(__xludf.DUMMYFUNCTION("""COMPUTED_VALUE"""),"Yes")</f>
        <v>Yes</v>
      </c>
      <c r="F100" s="134" t="str">
        <f>IFERROR(__xludf.DUMMYFUNCTION("""COMPUTED_VALUE"""),"Variant Pathogenicity")</f>
        <v>Variant Pathogenicity</v>
      </c>
      <c r="G100" s="131" t="str">
        <f>IFERROR(__xludf.DUMMYFUNCTION("""COMPUTED_VALUE"""),"")</f>
        <v/>
      </c>
      <c r="H100" s="131" t="str">
        <f>IFERROR(__xludf.DUMMYFUNCTION("""COMPUTED_VALUE"""),"Elizabeth Ewen")</f>
        <v>Elizabeth Ewen</v>
      </c>
      <c r="I100" s="131" t="str">
        <f>IFERROR(__xludf.DUMMYFUNCTION("""COMPUTED_VALUE"""),"elizabeth.ewen@agilent.com")</f>
        <v>elizabeth.ewen@agilent.com</v>
      </c>
      <c r="J100" s="134" t="str">
        <f>IFERROR(__xludf.DUMMYFUNCTION("""COMPUTED_VALUE"""),"Comprehensive")</f>
        <v>Comprehensive</v>
      </c>
      <c r="K100" s="135" t="str">
        <f>IFERROR(__xludf.DUMMYFUNCTION("""COMPUTED_VALUE"""),"")</f>
        <v/>
      </c>
      <c r="L100" t="str">
        <f>IFERROR(__xludf.DUMMYFUNCTION("""COMPUTED_VALUE"""),"Helping customers find clinically relevant/pathogenic variants")</f>
        <v>Helping customers find clinically relevant/pathogenic variants</v>
      </c>
    </row>
    <row r="101">
      <c r="A101" s="131" t="str">
        <f>IFERROR(__xludf.DUMMYFUNCTION("""COMPUTED_VALUE"""),"Contacted")</f>
        <v>Contacted</v>
      </c>
      <c r="B101" s="137">
        <f>IFERROR(__xludf.DUMMYFUNCTION("""COMPUTED_VALUE"""),43819.0)</f>
        <v>43819</v>
      </c>
      <c r="C101" s="131" t="str">
        <f>IFERROR(__xludf.DUMMYFUNCTION("""COMPUTED_VALUE"""),"")</f>
        <v/>
      </c>
      <c r="D101" s="134" t="str">
        <f>IFERROR(__xludf.DUMMYFUNCTION("""COMPUTED_VALUE"""),"")</f>
        <v/>
      </c>
      <c r="E101" s="134" t="str">
        <f>IFERROR(__xludf.DUMMYFUNCTION("""COMPUTED_VALUE"""),"Yes")</f>
        <v>Yes</v>
      </c>
      <c r="F101" s="134" t="str">
        <f>IFERROR(__xludf.DUMMYFUNCTION("""COMPUTED_VALUE"""),"Variant Pathogenicity")</f>
        <v>Variant Pathogenicity</v>
      </c>
      <c r="G101" s="131" t="str">
        <f>IFERROR(__xludf.DUMMYFUNCTION("""COMPUTED_VALUE"""),"")</f>
        <v/>
      </c>
      <c r="H101" s="131" t="str">
        <f>IFERROR(__xludf.DUMMYFUNCTION("""COMPUTED_VALUE"""),"Jennifer Sloan")</f>
        <v>Jennifer Sloan</v>
      </c>
      <c r="I101" s="131" t="str">
        <f>IFERROR(__xludf.DUMMYFUNCTION("""COMPUTED_VALUE"""),"jsloan@mail.nih.gov")</f>
        <v>jsloan@mail.nih.gov</v>
      </c>
      <c r="J101" s="134" t="str">
        <f>IFERROR(__xludf.DUMMYFUNCTION("""COMPUTED_VALUE"""),"Comprehensive")</f>
        <v>Comprehensive</v>
      </c>
      <c r="K101" s="135" t="str">
        <f>IFERROR(__xludf.DUMMYFUNCTION("""COMPUTED_VALUE"""),"OTC")</f>
        <v>OTC</v>
      </c>
      <c r="L101" t="str">
        <f>IFERROR(__xludf.DUMMYFUNCTION("""COMPUTED_VALUE"""),"I work on natural hx studies for MMA/cobalamin disorders and PA where we have evaluated &gt;200 affected individuals and am involved in reviewing and interpreting molecular genetic test results. Also recently completed fellowship in Clinical Molecular Geneti"&amp;"cs at NIH and took board exam in 8/2019.")</f>
        <v>I work on natural hx studies for MMA/cobalamin disorders and PA where we have evaluated &gt;200 affected individuals and am involved in reviewing and interpreting molecular genetic test results. Also recently completed fellowship in Clinical Molecular Genetics at NIH and took board exam in 8/2019.</v>
      </c>
    </row>
    <row r="102">
      <c r="A102" t="str">
        <f>IFERROR(__xludf.DUMMYFUNCTION("""COMPUTED_VALUE"""),"Contacted")</f>
        <v>Contacted</v>
      </c>
      <c r="B102" s="116">
        <f>IFERROR(__xludf.DUMMYFUNCTION("""COMPUTED_VALUE"""),43819.0)</f>
        <v>43819</v>
      </c>
      <c r="C102" t="str">
        <f>IFERROR(__xludf.DUMMYFUNCTION("""COMPUTED_VALUE"""),"")</f>
        <v/>
      </c>
      <c r="D102" s="62" t="str">
        <f>IFERROR(__xludf.DUMMYFUNCTION("""COMPUTED_VALUE"""),"")</f>
        <v/>
      </c>
      <c r="E102" s="62" t="str">
        <f>IFERROR(__xludf.DUMMYFUNCTION("""COMPUTED_VALUE"""),"No")</f>
        <v>No</v>
      </c>
      <c r="F102" s="62" t="str">
        <f>IFERROR(__xludf.DUMMYFUNCTION("""COMPUTED_VALUE"""),"Variant Pathogenicity")</f>
        <v>Variant Pathogenicity</v>
      </c>
      <c r="G102" t="str">
        <f>IFERROR(__xludf.DUMMYFUNCTION("""COMPUTED_VALUE"""),"")</f>
        <v/>
      </c>
      <c r="H102" t="str">
        <f>IFERROR(__xludf.DUMMYFUNCTION("""COMPUTED_VALUE"""),"Guadalupe Carvajal")</f>
        <v>Guadalupe Carvajal</v>
      </c>
      <c r="I102" t="str">
        <f>IFERROR(__xludf.DUMMYFUNCTION("""COMPUTED_VALUE"""),"gcarvajal18@students.kgi.edu")</f>
        <v>gcarvajal18@students.kgi.edu</v>
      </c>
      <c r="J102" s="62" t="str">
        <f>IFERROR(__xludf.DUMMYFUNCTION("""COMPUTED_VALUE"""),"Comprehensive")</f>
        <v>Comprehensive</v>
      </c>
      <c r="K102" s="129" t="str">
        <f>IFERROR(__xludf.DUMMYFUNCTION("""COMPUTED_VALUE"""),"")</f>
        <v/>
      </c>
      <c r="L102" t="str">
        <f>IFERROR(__xludf.DUMMYFUNCTION("""COMPUTED_VALUE"""),"Very basic work done in class")</f>
        <v>Very basic work done in class</v>
      </c>
    </row>
    <row r="103">
      <c r="A103" t="str">
        <f>IFERROR(__xludf.DUMMYFUNCTION("""COMPUTED_VALUE"""),"Contacted")</f>
        <v>Contacted</v>
      </c>
      <c r="B103" s="116">
        <f>IFERROR(__xludf.DUMMYFUNCTION("""COMPUTED_VALUE"""),43819.0)</f>
        <v>43819</v>
      </c>
      <c r="C103" t="str">
        <f>IFERROR(__xludf.DUMMYFUNCTION("""COMPUTED_VALUE"""),"")</f>
        <v/>
      </c>
      <c r="D103" s="62" t="str">
        <f>IFERROR(__xludf.DUMMYFUNCTION("""COMPUTED_VALUE"""),"")</f>
        <v/>
      </c>
      <c r="E103" s="62" t="str">
        <f>IFERROR(__xludf.DUMMYFUNCTION("""COMPUTED_VALUE"""),"No")</f>
        <v>No</v>
      </c>
      <c r="F103" s="62" t="str">
        <f>IFERROR(__xludf.DUMMYFUNCTION("""COMPUTED_VALUE"""),"Variant Pathogenicity")</f>
        <v>Variant Pathogenicity</v>
      </c>
      <c r="G103" t="str">
        <f>IFERROR(__xludf.DUMMYFUNCTION("""COMPUTED_VALUE"""),"")</f>
        <v/>
      </c>
      <c r="H103" t="str">
        <f>IFERROR(__xludf.DUMMYFUNCTION("""COMPUTED_VALUE"""),"Liang Guo")</f>
        <v>Liang Guo</v>
      </c>
      <c r="I103" t="str">
        <f>IFERROR(__xludf.DUMMYFUNCTION("""COMPUTED_VALUE"""),"lguo@cvpath.org")</f>
        <v>lguo@cvpath.org</v>
      </c>
      <c r="J103" s="62" t="str">
        <f>IFERROR(__xludf.DUMMYFUNCTION("""COMPUTED_VALUE"""),"Comprehensive")</f>
        <v>Comprehensive</v>
      </c>
      <c r="K103" s="129" t="str">
        <f>IFERROR(__xludf.DUMMYFUNCTION("""COMPUTED_VALUE"""),"Cardiovascular working group")</f>
        <v>Cardiovascular working group</v>
      </c>
      <c r="L103" t="str">
        <f>IFERROR(__xludf.DUMMYFUNCTION("""COMPUTED_VALUE"""),"Yes, curation of hypertrophic cardiomyopathy")</f>
        <v>Yes, curation of hypertrophic cardiomyopathy</v>
      </c>
    </row>
    <row r="104">
      <c r="A104" t="str">
        <f>IFERROR(__xludf.DUMMYFUNCTION("""COMPUTED_VALUE"""),"Contacted")</f>
        <v>Contacted</v>
      </c>
      <c r="B104" s="116">
        <f>IFERROR(__xludf.DUMMYFUNCTION("""COMPUTED_VALUE"""),43819.0)</f>
        <v>43819</v>
      </c>
      <c r="C104" s="115">
        <f>IFERROR(__xludf.DUMMYFUNCTION("""COMPUTED_VALUE"""),43859.0)</f>
        <v>43859</v>
      </c>
      <c r="D104" s="62" t="str">
        <f>IFERROR(__xludf.DUMMYFUNCTION("""COMPUTED_VALUE"""),"Yes")</f>
        <v>Yes</v>
      </c>
      <c r="E104" s="62" t="str">
        <f>IFERROR(__xludf.DUMMYFUNCTION("""COMPUTED_VALUE"""),"Yes")</f>
        <v>Yes</v>
      </c>
      <c r="F104" s="62" t="str">
        <f>IFERROR(__xludf.DUMMYFUNCTION("""COMPUTED_VALUE"""),"Variant Pathogenicity")</f>
        <v>Variant Pathogenicity</v>
      </c>
      <c r="G104" t="str">
        <f>IFERROR(__xludf.DUMMYFUNCTION("""COMPUTED_VALUE"""),"")</f>
        <v/>
      </c>
      <c r="H104" t="str">
        <f>IFERROR(__xludf.DUMMYFUNCTION("""COMPUTED_VALUE"""),"Abul Kalam Azad")</f>
        <v>Abul Kalam Azad</v>
      </c>
      <c r="I104" t="str">
        <f>IFERROR(__xludf.DUMMYFUNCTION("""COMPUTED_VALUE"""),"azadak@gmail.com")</f>
        <v>azadak@gmail.com</v>
      </c>
      <c r="J104" s="62" t="str">
        <f>IFERROR(__xludf.DUMMYFUNCTION("""COMPUTED_VALUE"""),"Comprehensive")</f>
        <v>Comprehensive</v>
      </c>
      <c r="K104" s="129" t="str">
        <f>IFERROR(__xludf.DUMMYFUNCTION("""COMPUTED_VALUE"""),"")</f>
        <v/>
      </c>
      <c r="L104" t="str">
        <f>IFERROR(__xludf.DUMMYFUNCTION("""COMPUTED_VALUE"""),"")</f>
        <v/>
      </c>
    </row>
    <row r="105">
      <c r="A105" t="str">
        <f>IFERROR(__xludf.DUMMYFUNCTION("""COMPUTED_VALUE"""),"Contacted")</f>
        <v>Contacted</v>
      </c>
      <c r="B105" s="116">
        <f>IFERROR(__xludf.DUMMYFUNCTION("""COMPUTED_VALUE"""),43819.0)</f>
        <v>43819</v>
      </c>
      <c r="C105" t="str">
        <f>IFERROR(__xludf.DUMMYFUNCTION("""COMPUTED_VALUE"""),"")</f>
        <v/>
      </c>
      <c r="D105" s="62" t="str">
        <f>IFERROR(__xludf.DUMMYFUNCTION("""COMPUTED_VALUE"""),"")</f>
        <v/>
      </c>
      <c r="E105" s="62" t="str">
        <f>IFERROR(__xludf.DUMMYFUNCTION("""COMPUTED_VALUE"""),"Yes")</f>
        <v>Yes</v>
      </c>
      <c r="F105" s="62" t="str">
        <f>IFERROR(__xludf.DUMMYFUNCTION("""COMPUTED_VALUE"""),"Variant Pathogenicity")</f>
        <v>Variant Pathogenicity</v>
      </c>
      <c r="G105" t="str">
        <f>IFERROR(__xludf.DUMMYFUNCTION("""COMPUTED_VALUE"""),"")</f>
        <v/>
      </c>
      <c r="H105" t="str">
        <f>IFERROR(__xludf.DUMMYFUNCTION("""COMPUTED_VALUE"""),"Celeste Bento")</f>
        <v>Celeste Bento</v>
      </c>
      <c r="I105" t="str">
        <f>IFERROR(__xludf.DUMMYFUNCTION("""COMPUTED_VALUE"""),"celeste.bento@chuc.min-saude.pt")</f>
        <v>celeste.bento@chuc.min-saude.pt</v>
      </c>
      <c r="J105" s="62" t="str">
        <f>IFERROR(__xludf.DUMMYFUNCTION("""COMPUTED_VALUE"""),"Comprehensive")</f>
        <v>Comprehensive</v>
      </c>
      <c r="K105" s="129" t="str">
        <f>IFERROR(__xludf.DUMMYFUNCTION("""COMPUTED_VALUE"""),"I'm in the Core Task Team of ClinGen Haemoglobinopathy EP")</f>
        <v>I'm in the Core Task Team of ClinGen Haemoglobinopathy EP</v>
      </c>
      <c r="L105" t="str">
        <f>IFERROR(__xludf.DUMMYFUNCTION("""COMPUTED_VALUE"""),"I need to apply the ACMG rules in my everyday work ")</f>
        <v>I need to apply the ACMG rules in my everyday work </v>
      </c>
    </row>
    <row r="106">
      <c r="A106" t="str">
        <f>IFERROR(__xludf.DUMMYFUNCTION("""COMPUTED_VALUE"""),"Contacted")</f>
        <v>Contacted</v>
      </c>
      <c r="B106" s="116">
        <f>IFERROR(__xludf.DUMMYFUNCTION("""COMPUTED_VALUE"""),43819.0)</f>
        <v>43819</v>
      </c>
      <c r="C106" s="115">
        <f>IFERROR(__xludf.DUMMYFUNCTION("""COMPUTED_VALUE"""),43859.0)</f>
        <v>43859</v>
      </c>
      <c r="D106" s="62" t="str">
        <f>IFERROR(__xludf.DUMMYFUNCTION("""COMPUTED_VALUE"""),"Yes")</f>
        <v>Yes</v>
      </c>
      <c r="E106" s="62" t="str">
        <f>IFERROR(__xludf.DUMMYFUNCTION("""COMPUTED_VALUE"""),"Yes")</f>
        <v>Yes</v>
      </c>
      <c r="F106" s="62" t="str">
        <f>IFERROR(__xludf.DUMMYFUNCTION("""COMPUTED_VALUE"""),"Variant Pathogenicity")</f>
        <v>Variant Pathogenicity</v>
      </c>
      <c r="G106" t="str">
        <f>IFERROR(__xludf.DUMMYFUNCTION("""COMPUTED_VALUE"""),"")</f>
        <v/>
      </c>
      <c r="H106" t="str">
        <f>IFERROR(__xludf.DUMMYFUNCTION("""COMPUTED_VALUE"""),"Prasad Rao Kopparapu")</f>
        <v>Prasad Rao Kopparapu</v>
      </c>
      <c r="I106" t="str">
        <f>IFERROR(__xludf.DUMMYFUNCTION("""COMPUTED_VALUE"""),"prasaad82@gmail.com")</f>
        <v>prasaad82@gmail.com</v>
      </c>
      <c r="J106" s="62" t="str">
        <f>IFERROR(__xludf.DUMMYFUNCTION("""COMPUTED_VALUE"""),"Comprehensive")</f>
        <v>Comprehensive</v>
      </c>
      <c r="K106" s="129" t="str">
        <f>IFERROR(__xludf.DUMMYFUNCTION("""COMPUTED_VALUE"""),"Variant Curation Expert Panels-TP53*, Somatic Cancer Working Group-Pediatric,")</f>
        <v>Variant Curation Expert Panels-TP53*, Somatic Cancer Working Group-Pediatric,</v>
      </c>
      <c r="L106" t="str">
        <f>IFERROR(__xludf.DUMMYFUNCTION("""COMPUTED_VALUE"""),"")</f>
        <v/>
      </c>
    </row>
    <row r="107">
      <c r="A107" t="str">
        <f>IFERROR(__xludf.DUMMYFUNCTION("""COMPUTED_VALUE"""),"Contacted")</f>
        <v>Contacted</v>
      </c>
      <c r="B107" s="116">
        <f>IFERROR(__xludf.DUMMYFUNCTION("""COMPUTED_VALUE"""),43819.0)</f>
        <v>43819</v>
      </c>
      <c r="C107" s="115">
        <f>IFERROR(__xludf.DUMMYFUNCTION("""COMPUTED_VALUE"""),43859.0)</f>
        <v>43859</v>
      </c>
      <c r="D107" s="62" t="str">
        <f>IFERROR(__xludf.DUMMYFUNCTION("""COMPUTED_VALUE"""),"Yes")</f>
        <v>Yes</v>
      </c>
      <c r="E107" s="62" t="str">
        <f>IFERROR(__xludf.DUMMYFUNCTION("""COMPUTED_VALUE"""),"Yes")</f>
        <v>Yes</v>
      </c>
      <c r="F107" s="62" t="str">
        <f>IFERROR(__xludf.DUMMYFUNCTION("""COMPUTED_VALUE"""),"Variant Pathogenicity")</f>
        <v>Variant Pathogenicity</v>
      </c>
      <c r="G107" t="str">
        <f>IFERROR(__xludf.DUMMYFUNCTION("""COMPUTED_VALUE"""),"")</f>
        <v/>
      </c>
      <c r="H107" t="str">
        <f>IFERROR(__xludf.DUMMYFUNCTION("""COMPUTED_VALUE"""),"Shawn Gessay")</f>
        <v>Shawn Gessay</v>
      </c>
      <c r="I107" t="str">
        <f>IFERROR(__xludf.DUMMYFUNCTION("""COMPUTED_VALUE"""),"gessays75@gmail.com")</f>
        <v>gessays75@gmail.com</v>
      </c>
      <c r="J107" s="62" t="str">
        <f>IFERROR(__xludf.DUMMYFUNCTION("""COMPUTED_VALUE"""),"Comprehensive")</f>
        <v>Comprehensive</v>
      </c>
      <c r="K107" s="129" t="str">
        <f>IFERROR(__xludf.DUMMYFUNCTION("""COMPUTED_VALUE"""),"RASopathy")</f>
        <v>RASopathy</v>
      </c>
      <c r="L107" t="str">
        <f>IFERROR(__xludf.DUMMYFUNCTION("""COMPUTED_VALUE"""),"No ")</f>
        <v>No </v>
      </c>
    </row>
    <row r="108">
      <c r="A108" t="str">
        <f>IFERROR(__xludf.DUMMYFUNCTION("""COMPUTED_VALUE"""),"Contacted")</f>
        <v>Contacted</v>
      </c>
      <c r="B108" s="116">
        <f>IFERROR(__xludf.DUMMYFUNCTION("""COMPUTED_VALUE"""),43819.0)</f>
        <v>43819</v>
      </c>
      <c r="C108" s="115">
        <f>IFERROR(__xludf.DUMMYFUNCTION("""COMPUTED_VALUE"""),43859.0)</f>
        <v>43859</v>
      </c>
      <c r="D108" s="62" t="str">
        <f>IFERROR(__xludf.DUMMYFUNCTION("""COMPUTED_VALUE"""),"Yes")</f>
        <v>Yes</v>
      </c>
      <c r="E108" s="62" t="str">
        <f>IFERROR(__xludf.DUMMYFUNCTION("""COMPUTED_VALUE"""),"Yes")</f>
        <v>Yes</v>
      </c>
      <c r="F108" s="62" t="str">
        <f>IFERROR(__xludf.DUMMYFUNCTION("""COMPUTED_VALUE"""),"Variant Pathogenicity")</f>
        <v>Variant Pathogenicity</v>
      </c>
      <c r="G108" t="str">
        <f>IFERROR(__xludf.DUMMYFUNCTION("""COMPUTED_VALUE"""),"")</f>
        <v/>
      </c>
      <c r="H108" t="str">
        <f>IFERROR(__xludf.DUMMYFUNCTION("""COMPUTED_VALUE"""),"Angela Hoang")</f>
        <v>Angela Hoang</v>
      </c>
      <c r="I108" t="str">
        <f>IFERROR(__xludf.DUMMYFUNCTION("""COMPUTED_VALUE"""),"ahoang18@students.kgi.edu")</f>
        <v>ahoang18@students.kgi.edu</v>
      </c>
      <c r="J108" s="62" t="str">
        <f>IFERROR(__xludf.DUMMYFUNCTION("""COMPUTED_VALUE"""),"Comprehensive")</f>
        <v>Comprehensive</v>
      </c>
      <c r="K108" s="129" t="str">
        <f>IFERROR(__xludf.DUMMYFUNCTION("""COMPUTED_VALUE"""),"N/A")</f>
        <v>N/A</v>
      </c>
      <c r="L108" t="str">
        <f>IFERROR(__xludf.DUMMYFUNCTION("""COMPUTED_VALUE"""),"Yes, I have educational experience with variant classification and gene-disease association. ")</f>
        <v>Yes, I have educational experience with variant classification and gene-disease association. </v>
      </c>
    </row>
    <row r="109">
      <c r="A109" t="str">
        <f>IFERROR(__xludf.DUMMYFUNCTION("""COMPUTED_VALUE"""),"Contacted")</f>
        <v>Contacted</v>
      </c>
      <c r="B109" s="116">
        <f>IFERROR(__xludf.DUMMYFUNCTION("""COMPUTED_VALUE"""),43819.0)</f>
        <v>43819</v>
      </c>
      <c r="C109" s="115">
        <f>IFERROR(__xludf.DUMMYFUNCTION("""COMPUTED_VALUE"""),43859.0)</f>
        <v>43859</v>
      </c>
      <c r="D109" s="62" t="str">
        <f>IFERROR(__xludf.DUMMYFUNCTION("""COMPUTED_VALUE"""),"Yes")</f>
        <v>Yes</v>
      </c>
      <c r="E109" s="62" t="str">
        <f>IFERROR(__xludf.DUMMYFUNCTION("""COMPUTED_VALUE"""),"Yes")</f>
        <v>Yes</v>
      </c>
      <c r="F109" s="62" t="str">
        <f>IFERROR(__xludf.DUMMYFUNCTION("""COMPUTED_VALUE"""),"Variant Pathogenicity")</f>
        <v>Variant Pathogenicity</v>
      </c>
      <c r="G109" t="str">
        <f>IFERROR(__xludf.DUMMYFUNCTION("""COMPUTED_VALUE"""),"")</f>
        <v/>
      </c>
      <c r="H109" t="str">
        <f>IFERROR(__xludf.DUMMYFUNCTION("""COMPUTED_VALUE"""),"Poornima Vijayan")</f>
        <v>Poornima Vijayan</v>
      </c>
      <c r="I109" t="str">
        <f>IFERROR(__xludf.DUMMYFUNCTION("""COMPUTED_VALUE"""),"poornima2785@gmail.com")</f>
        <v>poornima2785@gmail.com</v>
      </c>
      <c r="J109" s="62" t="str">
        <f>IFERROR(__xludf.DUMMYFUNCTION("""COMPUTED_VALUE"""),"Comprehensive")</f>
        <v>Comprehensive</v>
      </c>
      <c r="K109" s="129" t="str">
        <f>IFERROR(__xludf.DUMMYFUNCTION("""COMPUTED_VALUE"""),"")</f>
        <v/>
      </c>
      <c r="L109" t="str">
        <f>IFERROR(__xludf.DUMMYFUNCTION("""COMPUTED_VALUE"""),"I am a student of medical genomics")</f>
        <v>I am a student of medical genomics</v>
      </c>
    </row>
    <row r="110">
      <c r="A110" t="str">
        <f>IFERROR(__xludf.DUMMYFUNCTION("""COMPUTED_VALUE"""),"Contacted")</f>
        <v>Contacted</v>
      </c>
      <c r="B110" s="115">
        <f>IFERROR(__xludf.DUMMYFUNCTION("""COMPUTED_VALUE"""),43847.0)</f>
        <v>43847</v>
      </c>
      <c r="C110" s="115">
        <f>IFERROR(__xludf.DUMMYFUNCTION("""COMPUTED_VALUE"""),43859.0)</f>
        <v>43859</v>
      </c>
      <c r="D110" s="62" t="str">
        <f>IFERROR(__xludf.DUMMYFUNCTION("""COMPUTED_VALUE"""),"Yes")</f>
        <v>Yes</v>
      </c>
      <c r="E110" s="62" t="str">
        <f>IFERROR(__xludf.DUMMYFUNCTION("""COMPUTED_VALUE"""),"Yes")</f>
        <v>Yes</v>
      </c>
      <c r="F110" s="62" t="str">
        <f>IFERROR(__xludf.DUMMYFUNCTION("""COMPUTED_VALUE"""),"Variant Pathogenicity")</f>
        <v>Variant Pathogenicity</v>
      </c>
      <c r="G110" t="str">
        <f>IFERROR(__xludf.DUMMYFUNCTION("""COMPUTED_VALUE"""),"")</f>
        <v/>
      </c>
      <c r="H110" t="str">
        <f>IFERROR(__xludf.DUMMYFUNCTION("""COMPUTED_VALUE"""),"Kendrah Kidd")</f>
        <v>Kendrah Kidd</v>
      </c>
      <c r="I110" t="str">
        <f>IFERROR(__xludf.DUMMYFUNCTION("""COMPUTED_VALUE"""),"kkidd@wakehealth.edu")</f>
        <v>kkidd@wakehealth.edu</v>
      </c>
      <c r="J110" s="62" t="str">
        <f>IFERROR(__xludf.DUMMYFUNCTION("""COMPUTED_VALUE"""),"Comprehensive")</f>
        <v>Comprehensive</v>
      </c>
      <c r="K110" s="129" t="str">
        <f>IFERROR(__xludf.DUMMYFUNCTION("""COMPUTED_VALUE"""),"I would be interested in forming one for inherited kidney diseases ")</f>
        <v>I would be interested in forming one for inherited kidney diseases </v>
      </c>
      <c r="L110" t="str">
        <f>IFERROR(__xludf.DUMMYFUNCTION("""COMPUTED_VALUE"""),"Yes, I manage our Autosomal Dominant Tubulointerstitial Kidney Disease  pathogenic variant registry and have a database of variants found in families that have segregation and clinical data, as well as any literature associated with the variant.  ")</f>
        <v>Yes, I manage our Autosomal Dominant Tubulointerstitial Kidney Disease  pathogenic variant registry and have a database of variants found in families that have segregation and clinical data, as well as any literature associated with the variant.  </v>
      </c>
    </row>
    <row r="111">
      <c r="A111" t="str">
        <f>IFERROR(__xludf.DUMMYFUNCTION("""COMPUTED_VALUE"""),"Contacted")</f>
        <v>Contacted</v>
      </c>
      <c r="B111" s="115">
        <f>IFERROR(__xludf.DUMMYFUNCTION("""COMPUTED_VALUE"""),43482.0)</f>
        <v>43482</v>
      </c>
      <c r="C111" s="115">
        <f>IFERROR(__xludf.DUMMYFUNCTION("""COMPUTED_VALUE"""),43859.0)</f>
        <v>43859</v>
      </c>
      <c r="D111" s="62" t="str">
        <f>IFERROR(__xludf.DUMMYFUNCTION("""COMPUTED_VALUE"""),"Yes")</f>
        <v>Yes</v>
      </c>
      <c r="E111" s="62" t="str">
        <f>IFERROR(__xludf.DUMMYFUNCTION("""COMPUTED_VALUE"""),"Yes")</f>
        <v>Yes</v>
      </c>
      <c r="F111" s="62" t="str">
        <f>IFERROR(__xludf.DUMMYFUNCTION("""COMPUTED_VALUE"""),"Variant Pathogenicity")</f>
        <v>Variant Pathogenicity</v>
      </c>
      <c r="G111" t="str">
        <f>IFERROR(__xludf.DUMMYFUNCTION("""COMPUTED_VALUE"""),"")</f>
        <v/>
      </c>
      <c r="H111" t="str">
        <f>IFERROR(__xludf.DUMMYFUNCTION("""COMPUTED_VALUE"""),"Adriana Bastos Carvalho")</f>
        <v>Adriana Bastos Carvalho</v>
      </c>
      <c r="I111" t="str">
        <f>IFERROR(__xludf.DUMMYFUNCTION("""COMPUTED_VALUE"""),"carvalhoab@biof.ufrj.br")</f>
        <v>carvalhoab@biof.ufrj.br</v>
      </c>
      <c r="J111" s="62" t="str">
        <f>IFERROR(__xludf.DUMMYFUNCTION("""COMPUTED_VALUE"""),"Comprehensive")</f>
        <v>Comprehensive</v>
      </c>
      <c r="K111" s="129" t="str">
        <f>IFERROR(__xludf.DUMMYFUNCTION("""COMPUTED_VALUE"""),"Cardiomyopathy Variant Curation Expert Panel")</f>
        <v>Cardiomyopathy Variant Curation Expert Panel</v>
      </c>
      <c r="L111" t="str">
        <f>IFERROR(__xludf.DUMMYFUNCTION("""COMPUTED_VALUE"""),"No. Although I have never worked in curation activities, I work with in vitro models to investigate variant pathogenicity.")</f>
        <v>No. Although I have never worked in curation activities, I work with in vitro models to investigate variant pathogenicity.</v>
      </c>
    </row>
    <row r="112">
      <c r="A112" t="str">
        <f>IFERROR(__xludf.DUMMYFUNCTION("""COMPUTED_VALUE"""),"Unassigned")</f>
        <v>Unassigned</v>
      </c>
      <c r="B112" t="str">
        <f>IFERROR(__xludf.DUMMYFUNCTION("""COMPUTED_VALUE"""),"")</f>
        <v/>
      </c>
      <c r="C112" t="str">
        <f>IFERROR(__xludf.DUMMYFUNCTION("""COMPUTED_VALUE"""),"")</f>
        <v/>
      </c>
      <c r="D112" s="62" t="str">
        <f>IFERROR(__xludf.DUMMYFUNCTION("""COMPUTED_VALUE"""),"")</f>
        <v/>
      </c>
      <c r="E112" s="62" t="str">
        <f>IFERROR(__xludf.DUMMYFUNCTION("""COMPUTED_VALUE"""),"No")</f>
        <v>No</v>
      </c>
      <c r="F112" s="62" t="str">
        <f>IFERROR(__xludf.DUMMYFUNCTION("""COMPUTED_VALUE"""),"NA")</f>
        <v>NA</v>
      </c>
      <c r="G112" t="str">
        <f>IFERROR(__xludf.DUMMYFUNCTION("""COMPUTED_VALUE"""),"")</f>
        <v/>
      </c>
      <c r="H112" t="str">
        <f>IFERROR(__xludf.DUMMYFUNCTION("""COMPUTED_VALUE"""),"Emily Hansen-Kiss")</f>
        <v>Emily Hansen-Kiss</v>
      </c>
      <c r="I112" t="str">
        <f>IFERROR(__xludf.DUMMYFUNCTION("""COMPUTED_VALUE"""),"Emily.HansenKiss@uth.tmc.edu")</f>
        <v>Emily.HansenKiss@uth.tmc.edu</v>
      </c>
      <c r="J112" s="62" t="str">
        <f>IFERROR(__xludf.DUMMYFUNCTION("""COMPUTED_VALUE"""),"Comprehensive")</f>
        <v>Comprehensive</v>
      </c>
      <c r="K112" s="129" t="str">
        <f>IFERROR(__xludf.DUMMYFUNCTION("""COMPUTED_VALUE"""),"PTEN")</f>
        <v>PTEN</v>
      </c>
      <c r="L112" t="str">
        <f>IFERROR(__xludf.DUMMYFUNCTION("""COMPUTED_VALUE"""),"No official training or experience, but clinical experience working with patients with mutations within the PTEN gene and identifying when phenotype is a good match for genotype.")</f>
        <v>No official training or experience, but clinical experience working with patients with mutations within the PTEN gene and identifying when phenotype is a good match for genotype.</v>
      </c>
    </row>
    <row r="113">
      <c r="A113" t="str">
        <f>IFERROR(__xludf.DUMMYFUNCTION("""COMPUTED_VALUE"""),"Unassigned")</f>
        <v>Unassigned</v>
      </c>
      <c r="B113" t="str">
        <f>IFERROR(__xludf.DUMMYFUNCTION("""COMPUTED_VALUE"""),"")</f>
        <v/>
      </c>
      <c r="C113" t="str">
        <f>IFERROR(__xludf.DUMMYFUNCTION("""COMPUTED_VALUE"""),"")</f>
        <v/>
      </c>
      <c r="D113" s="62" t="str">
        <f>IFERROR(__xludf.DUMMYFUNCTION("""COMPUTED_VALUE"""),"")</f>
        <v/>
      </c>
      <c r="E113" s="62" t="str">
        <f>IFERROR(__xludf.DUMMYFUNCTION("""COMPUTED_VALUE"""),"No")</f>
        <v>No</v>
      </c>
      <c r="F113" s="62" t="str">
        <f>IFERROR(__xludf.DUMMYFUNCTION("""COMPUTED_VALUE"""),"NA")</f>
        <v>NA</v>
      </c>
      <c r="G113" t="str">
        <f>IFERROR(__xludf.DUMMYFUNCTION("""COMPUTED_VALUE"""),"")</f>
        <v/>
      </c>
      <c r="H113" t="str">
        <f>IFERROR(__xludf.DUMMYFUNCTION("""COMPUTED_VALUE"""),"Raiana Barbosa")</f>
        <v>Raiana Barbosa</v>
      </c>
      <c r="I113" t="str">
        <f>IFERROR(__xludf.DUMMYFUNCTION("""COMPUTED_VALUE"""),"rapa_andrade@hotmail.com")</f>
        <v>rapa_andrade@hotmail.com</v>
      </c>
      <c r="J113" s="62" t="str">
        <f>IFERROR(__xludf.DUMMYFUNCTION("""COMPUTED_VALUE"""),"Comprehensive")</f>
        <v>Comprehensive</v>
      </c>
      <c r="K113" s="129" t="str">
        <f>IFERROR(__xludf.DUMMYFUNCTION("""COMPUTED_VALUE"""),"Yes, I am interested in Familial Hypercholesterolemia and FBN1 panels.")</f>
        <v>Yes, I am interested in Familial Hypercholesterolemia and FBN1 panels.</v>
      </c>
      <c r="L113" t="str">
        <f>IFERROR(__xludf.DUMMYFUNCTION("""COMPUTED_VALUE"""),"No, I don't.")</f>
        <v>No, I don't.</v>
      </c>
    </row>
    <row r="114">
      <c r="A114" t="str">
        <f>IFERROR(__xludf.DUMMYFUNCTION("""COMPUTED_VALUE"""),"Unassigned")</f>
        <v>Unassigned</v>
      </c>
      <c r="B114" t="str">
        <f>IFERROR(__xludf.DUMMYFUNCTION("""COMPUTED_VALUE"""),"")</f>
        <v/>
      </c>
      <c r="C114" t="str">
        <f>IFERROR(__xludf.DUMMYFUNCTION("""COMPUTED_VALUE"""),"")</f>
        <v/>
      </c>
      <c r="D114" s="62" t="str">
        <f>IFERROR(__xludf.DUMMYFUNCTION("""COMPUTED_VALUE"""),"")</f>
        <v/>
      </c>
      <c r="E114" s="62" t="str">
        <f>IFERROR(__xludf.DUMMYFUNCTION("""COMPUTED_VALUE"""),"No")</f>
        <v>No</v>
      </c>
      <c r="F114" s="62" t="str">
        <f>IFERROR(__xludf.DUMMYFUNCTION("""COMPUTED_VALUE"""),"NA")</f>
        <v>NA</v>
      </c>
      <c r="G114" t="str">
        <f>IFERROR(__xludf.DUMMYFUNCTION("""COMPUTED_VALUE"""),"")</f>
        <v/>
      </c>
      <c r="H114" t="str">
        <f>IFERROR(__xludf.DUMMYFUNCTION("""COMPUTED_VALUE"""),"Sarada Gandhi Kolli")</f>
        <v>Sarada Gandhi Kolli</v>
      </c>
      <c r="I114" t="str">
        <f>IFERROR(__xludf.DUMMYFUNCTION("""COMPUTED_VALUE"""),"saradagandhikolli@mater.ie")</f>
        <v>saradagandhikolli@mater.ie</v>
      </c>
      <c r="J114" s="62" t="str">
        <f>IFERROR(__xludf.DUMMYFUNCTION("""COMPUTED_VALUE"""),"Comprehensive")</f>
        <v>Comprehensive</v>
      </c>
      <c r="K114" s="129" t="str">
        <f>IFERROR(__xludf.DUMMYFUNCTION("""COMPUTED_VALUE"""),"")</f>
        <v/>
      </c>
      <c r="L114" t="str">
        <f>IFERROR(__xludf.DUMMYFUNCTION("""COMPUTED_VALUE"""),"Our lab is currently working on classification of pathogenic variants. We are focusing on cardiac variants for now but plan on expanding the departments in the future.")</f>
        <v>Our lab is currently working on classification of pathogenic variants. We are focusing on cardiac variants for now but plan on expanding the departments in the future.</v>
      </c>
    </row>
    <row r="115">
      <c r="A115" t="str">
        <f>IFERROR(__xludf.DUMMYFUNCTION("""COMPUTED_VALUE"""),"Unassigned")</f>
        <v>Unassigned</v>
      </c>
      <c r="B115" t="str">
        <f>IFERROR(__xludf.DUMMYFUNCTION("""COMPUTED_VALUE"""),"")</f>
        <v/>
      </c>
      <c r="C115" t="str">
        <f>IFERROR(__xludf.DUMMYFUNCTION("""COMPUTED_VALUE"""),"")</f>
        <v/>
      </c>
      <c r="D115" s="62" t="str">
        <f>IFERROR(__xludf.DUMMYFUNCTION("""COMPUTED_VALUE"""),"")</f>
        <v/>
      </c>
      <c r="E115" s="62" t="str">
        <f>IFERROR(__xludf.DUMMYFUNCTION("""COMPUTED_VALUE"""),"No")</f>
        <v>No</v>
      </c>
      <c r="F115" s="62" t="str">
        <f>IFERROR(__xludf.DUMMYFUNCTION("""COMPUTED_VALUE"""),"NA")</f>
        <v>NA</v>
      </c>
      <c r="G115" t="str">
        <f>IFERROR(__xludf.DUMMYFUNCTION("""COMPUTED_VALUE"""),"")</f>
        <v/>
      </c>
      <c r="H115" t="str">
        <f>IFERROR(__xludf.DUMMYFUNCTION("""COMPUTED_VALUE"""),"Reza Semiromi Davoodi")</f>
        <v>Reza Semiromi Davoodi</v>
      </c>
      <c r="I115" t="str">
        <f>IFERROR(__xludf.DUMMYFUNCTION("""COMPUTED_VALUE"""),"davoodi_semiromi@yahoo.com")</f>
        <v>davoodi_semiromi@yahoo.com</v>
      </c>
      <c r="J115" s="62" t="str">
        <f>IFERROR(__xludf.DUMMYFUNCTION("""COMPUTED_VALUE"""),"Comprehensive")</f>
        <v>Comprehensive</v>
      </c>
      <c r="K115" s="129" t="str">
        <f>IFERROR(__xludf.DUMMYFUNCTION("""COMPUTED_VALUE"""),"Yes")</f>
        <v>Yes</v>
      </c>
      <c r="L115" t="str">
        <f>IFERROR(__xludf.DUMMYFUNCTION("""COMPUTED_VALUE"""),"I have several years of experience in direct DNA/RNA sequencing and have more than 50 hits in the GenBank and published 24 peer-reviewed papers.")</f>
        <v>I have several years of experience in direct DNA/RNA sequencing and have more than 50 hits in the GenBank and published 24 peer-reviewed papers.</v>
      </c>
    </row>
    <row r="116">
      <c r="D116" s="62"/>
      <c r="E116" s="62"/>
      <c r="F116" s="62"/>
      <c r="J116" s="62"/>
      <c r="K116" s="129"/>
    </row>
    <row r="117">
      <c r="D117" s="62"/>
      <c r="E117" s="62"/>
      <c r="F117" s="62"/>
      <c r="J117" s="62"/>
      <c r="K117" s="129"/>
    </row>
    <row r="118">
      <c r="D118" s="62"/>
      <c r="E118" s="62"/>
      <c r="F118" s="62"/>
      <c r="J118" s="62"/>
      <c r="K118" s="129"/>
    </row>
    <row r="119">
      <c r="D119" s="62"/>
      <c r="E119" s="62"/>
      <c r="F119" s="62"/>
      <c r="J119" s="62"/>
      <c r="K119" s="129"/>
    </row>
    <row r="120">
      <c r="D120" s="62"/>
      <c r="E120" s="62"/>
      <c r="F120" s="62"/>
      <c r="J120" s="62"/>
      <c r="K120" s="129"/>
    </row>
    <row r="121">
      <c r="D121" s="62"/>
      <c r="E121" s="62"/>
      <c r="F121" s="62"/>
      <c r="J121" s="62"/>
      <c r="K121" s="129"/>
    </row>
    <row r="122">
      <c r="D122" s="62"/>
      <c r="E122" s="62"/>
      <c r="F122" s="62"/>
      <c r="J122" s="62"/>
      <c r="K122" s="129"/>
    </row>
    <row r="123">
      <c r="D123" s="62"/>
      <c r="E123" s="62"/>
      <c r="F123" s="62"/>
      <c r="J123" s="62"/>
      <c r="K123" s="129"/>
    </row>
    <row r="124">
      <c r="D124" s="62"/>
      <c r="E124" s="62"/>
      <c r="F124" s="62"/>
      <c r="J124" s="62"/>
      <c r="K124" s="129"/>
    </row>
    <row r="125">
      <c r="D125" s="62"/>
      <c r="E125" s="62"/>
      <c r="F125" s="62"/>
      <c r="J125" s="62"/>
      <c r="K125" s="129"/>
    </row>
    <row r="126">
      <c r="D126" s="62"/>
      <c r="E126" s="62"/>
      <c r="F126" s="62"/>
      <c r="J126" s="62"/>
      <c r="K126" s="129"/>
    </row>
    <row r="127">
      <c r="D127" s="62"/>
      <c r="E127" s="62"/>
      <c r="F127" s="62"/>
      <c r="J127" s="62"/>
      <c r="K127" s="129"/>
    </row>
    <row r="128">
      <c r="D128" s="62"/>
      <c r="E128" s="62"/>
      <c r="F128" s="62"/>
      <c r="J128" s="62"/>
      <c r="K128" s="129"/>
    </row>
    <row r="129">
      <c r="D129" s="62"/>
      <c r="E129" s="62"/>
      <c r="F129" s="62"/>
      <c r="J129" s="62"/>
      <c r="K129" s="129"/>
    </row>
    <row r="130">
      <c r="D130" s="62"/>
      <c r="E130" s="62"/>
      <c r="F130" s="62"/>
      <c r="J130" s="62"/>
      <c r="K130" s="129"/>
    </row>
    <row r="131">
      <c r="D131" s="62"/>
      <c r="E131" s="62"/>
      <c r="F131" s="62"/>
      <c r="J131" s="62"/>
      <c r="K131" s="129"/>
    </row>
    <row r="132">
      <c r="D132" s="62"/>
      <c r="E132" s="62"/>
      <c r="F132" s="62"/>
      <c r="J132" s="62"/>
      <c r="K132" s="129"/>
    </row>
    <row r="133">
      <c r="D133" s="62"/>
      <c r="E133" s="62"/>
      <c r="F133" s="62"/>
      <c r="J133" s="62"/>
      <c r="K133" s="129"/>
    </row>
    <row r="134">
      <c r="D134" s="62"/>
      <c r="E134" s="62"/>
      <c r="F134" s="62"/>
      <c r="J134" s="62"/>
      <c r="K134" s="129"/>
    </row>
    <row r="135">
      <c r="D135" s="62"/>
      <c r="E135" s="62"/>
      <c r="F135" s="62"/>
      <c r="J135" s="62"/>
      <c r="K135" s="129"/>
    </row>
    <row r="136">
      <c r="D136" s="62"/>
      <c r="E136" s="62"/>
      <c r="F136" s="62"/>
      <c r="J136" s="62"/>
      <c r="K136" s="129"/>
    </row>
    <row r="137">
      <c r="D137" s="62"/>
      <c r="E137" s="62"/>
      <c r="F137" s="62"/>
      <c r="J137" s="62"/>
      <c r="K137" s="129"/>
    </row>
    <row r="138">
      <c r="D138" s="62"/>
      <c r="E138" s="62"/>
      <c r="F138" s="62"/>
      <c r="J138" s="62"/>
      <c r="K138" s="129"/>
    </row>
    <row r="139">
      <c r="D139" s="62"/>
      <c r="E139" s="62"/>
      <c r="F139" s="62"/>
      <c r="J139" s="62"/>
      <c r="K139" s="129"/>
    </row>
    <row r="140">
      <c r="D140" s="62"/>
      <c r="E140" s="62"/>
      <c r="F140" s="62"/>
      <c r="J140" s="62"/>
      <c r="K140" s="129"/>
    </row>
    <row r="141">
      <c r="D141" s="62"/>
      <c r="E141" s="62"/>
      <c r="F141" s="62"/>
      <c r="J141" s="62"/>
      <c r="K141" s="129"/>
    </row>
    <row r="142">
      <c r="D142" s="62"/>
      <c r="E142" s="62"/>
      <c r="F142" s="62"/>
      <c r="J142" s="62"/>
      <c r="K142" s="129"/>
    </row>
    <row r="143">
      <c r="D143" s="62"/>
      <c r="E143" s="62"/>
      <c r="F143" s="62"/>
      <c r="J143" s="62"/>
      <c r="K143" s="129"/>
    </row>
    <row r="144">
      <c r="D144" s="62"/>
      <c r="E144" s="62"/>
      <c r="F144" s="62"/>
      <c r="J144" s="62"/>
      <c r="K144" s="129"/>
    </row>
    <row r="145">
      <c r="D145" s="62"/>
      <c r="E145" s="62"/>
      <c r="F145" s="62"/>
      <c r="J145" s="62"/>
      <c r="K145" s="129"/>
    </row>
    <row r="146">
      <c r="D146" s="62"/>
      <c r="E146" s="62"/>
      <c r="F146" s="62"/>
      <c r="J146" s="62"/>
      <c r="K146" s="129"/>
    </row>
    <row r="147">
      <c r="D147" s="62"/>
      <c r="E147" s="62"/>
      <c r="F147" s="62"/>
      <c r="J147" s="62"/>
      <c r="K147" s="129"/>
    </row>
    <row r="148">
      <c r="D148" s="62"/>
      <c r="E148" s="62"/>
      <c r="F148" s="62"/>
      <c r="J148" s="62"/>
      <c r="K148" s="129"/>
    </row>
    <row r="149">
      <c r="D149" s="62"/>
      <c r="E149" s="62"/>
      <c r="F149" s="62"/>
      <c r="J149" s="62"/>
      <c r="K149" s="129"/>
    </row>
    <row r="150">
      <c r="D150" s="62"/>
      <c r="E150" s="62"/>
      <c r="F150" s="62"/>
      <c r="J150" s="62"/>
      <c r="K150" s="129"/>
    </row>
    <row r="151">
      <c r="D151" s="62"/>
      <c r="E151" s="62"/>
      <c r="F151" s="62"/>
      <c r="J151" s="62"/>
      <c r="K151" s="129"/>
    </row>
    <row r="152">
      <c r="D152" s="62"/>
      <c r="E152" s="62"/>
      <c r="F152" s="62"/>
      <c r="J152" s="62"/>
      <c r="K152" s="129"/>
    </row>
    <row r="153">
      <c r="D153" s="62"/>
      <c r="E153" s="62"/>
      <c r="F153" s="62"/>
      <c r="J153" s="62"/>
      <c r="K153" s="129"/>
    </row>
    <row r="154">
      <c r="D154" s="62"/>
      <c r="E154" s="62"/>
      <c r="F154" s="62"/>
      <c r="J154" s="62"/>
      <c r="K154" s="129"/>
    </row>
    <row r="155">
      <c r="D155" s="62"/>
      <c r="E155" s="62"/>
      <c r="F155" s="62"/>
      <c r="J155" s="62"/>
      <c r="K155" s="129"/>
    </row>
    <row r="156">
      <c r="D156" s="62"/>
      <c r="E156" s="62"/>
      <c r="F156" s="62"/>
      <c r="J156" s="62"/>
      <c r="K156" s="129"/>
    </row>
    <row r="157">
      <c r="D157" s="62"/>
      <c r="E157" s="62"/>
      <c r="F157" s="62"/>
      <c r="J157" s="62"/>
      <c r="K157" s="129"/>
    </row>
    <row r="158">
      <c r="D158" s="62"/>
      <c r="E158" s="62"/>
      <c r="F158" s="62"/>
      <c r="J158" s="62"/>
      <c r="K158" s="129"/>
    </row>
    <row r="159">
      <c r="D159" s="62"/>
      <c r="E159" s="62"/>
      <c r="F159" s="62"/>
      <c r="J159" s="62"/>
      <c r="K159" s="129"/>
    </row>
    <row r="160">
      <c r="D160" s="62"/>
      <c r="E160" s="62"/>
      <c r="F160" s="62"/>
      <c r="J160" s="62"/>
      <c r="K160" s="129"/>
    </row>
    <row r="161">
      <c r="D161" s="62"/>
      <c r="E161" s="62"/>
      <c r="F161" s="62"/>
      <c r="J161" s="62"/>
      <c r="K161" s="129"/>
    </row>
    <row r="162">
      <c r="D162" s="62"/>
      <c r="E162" s="62"/>
      <c r="F162" s="62"/>
      <c r="J162" s="62"/>
      <c r="K162" s="129"/>
    </row>
    <row r="163">
      <c r="D163" s="62"/>
      <c r="E163" s="62"/>
      <c r="F163" s="62"/>
      <c r="J163" s="62"/>
      <c r="K163" s="129"/>
    </row>
    <row r="164">
      <c r="D164" s="62"/>
      <c r="E164" s="62"/>
      <c r="F164" s="62"/>
      <c r="J164" s="62"/>
      <c r="K164" s="129"/>
    </row>
    <row r="165">
      <c r="D165" s="62"/>
      <c r="E165" s="62"/>
      <c r="F165" s="62"/>
      <c r="J165" s="62"/>
      <c r="K165" s="129"/>
    </row>
    <row r="166">
      <c r="D166" s="62"/>
      <c r="E166" s="62"/>
      <c r="F166" s="62"/>
      <c r="J166" s="62"/>
      <c r="K166" s="129"/>
    </row>
    <row r="167">
      <c r="D167" s="62"/>
      <c r="E167" s="62"/>
      <c r="F167" s="62"/>
      <c r="J167" s="62"/>
      <c r="K167" s="129"/>
    </row>
    <row r="168">
      <c r="D168" s="62"/>
      <c r="E168" s="62"/>
      <c r="F168" s="62"/>
      <c r="J168" s="62"/>
      <c r="K168" s="129"/>
    </row>
    <row r="169">
      <c r="D169" s="62"/>
      <c r="E169" s="62"/>
      <c r="F169" s="62"/>
      <c r="J169" s="62"/>
      <c r="K169" s="129"/>
    </row>
    <row r="170">
      <c r="D170" s="62"/>
      <c r="E170" s="62"/>
      <c r="F170" s="62"/>
      <c r="J170" s="62"/>
      <c r="K170" s="129"/>
    </row>
    <row r="171">
      <c r="D171" s="62"/>
      <c r="E171" s="62"/>
      <c r="F171" s="62"/>
      <c r="J171" s="62"/>
      <c r="K171" s="129"/>
    </row>
    <row r="172">
      <c r="D172" s="62"/>
      <c r="E172" s="62"/>
      <c r="F172" s="62"/>
      <c r="J172" s="62"/>
      <c r="K172" s="129"/>
    </row>
    <row r="173">
      <c r="D173" s="62"/>
      <c r="E173" s="62"/>
      <c r="F173" s="62"/>
      <c r="J173" s="62"/>
      <c r="K173" s="129"/>
    </row>
    <row r="174">
      <c r="D174" s="62"/>
      <c r="E174" s="62"/>
      <c r="F174" s="62"/>
      <c r="J174" s="62"/>
      <c r="K174" s="129"/>
    </row>
    <row r="175">
      <c r="D175" s="62"/>
      <c r="E175" s="62"/>
      <c r="F175" s="62"/>
      <c r="J175" s="62"/>
      <c r="K175" s="129"/>
    </row>
    <row r="176">
      <c r="D176" s="62"/>
      <c r="E176" s="62"/>
      <c r="F176" s="62"/>
      <c r="J176" s="62"/>
      <c r="K176" s="129"/>
    </row>
    <row r="177">
      <c r="D177" s="62"/>
      <c r="E177" s="62"/>
      <c r="F177" s="62"/>
      <c r="J177" s="62"/>
      <c r="K177" s="129"/>
    </row>
    <row r="178">
      <c r="D178" s="62"/>
      <c r="E178" s="62"/>
      <c r="F178" s="62"/>
      <c r="J178" s="62"/>
      <c r="K178" s="129"/>
    </row>
    <row r="179">
      <c r="D179" s="62"/>
      <c r="E179" s="62"/>
      <c r="F179" s="62"/>
      <c r="J179" s="62"/>
      <c r="K179" s="129"/>
    </row>
    <row r="180">
      <c r="D180" s="62"/>
      <c r="E180" s="62"/>
      <c r="F180" s="62"/>
      <c r="J180" s="62"/>
      <c r="K180" s="129"/>
    </row>
    <row r="181">
      <c r="D181" s="62"/>
      <c r="E181" s="62"/>
      <c r="F181" s="62"/>
      <c r="J181" s="62"/>
      <c r="K181" s="129"/>
    </row>
    <row r="182">
      <c r="D182" s="62"/>
      <c r="E182" s="62"/>
      <c r="F182" s="62"/>
      <c r="J182" s="62"/>
      <c r="K182" s="129"/>
    </row>
    <row r="183">
      <c r="D183" s="62"/>
      <c r="E183" s="62"/>
      <c r="F183" s="62"/>
      <c r="J183" s="62"/>
      <c r="K183" s="129"/>
    </row>
    <row r="184">
      <c r="D184" s="62"/>
      <c r="E184" s="62"/>
      <c r="F184" s="62"/>
      <c r="J184" s="62"/>
      <c r="K184" s="129"/>
    </row>
    <row r="185">
      <c r="D185" s="62"/>
      <c r="E185" s="62"/>
      <c r="F185" s="62"/>
      <c r="J185" s="62"/>
      <c r="K185" s="129"/>
    </row>
    <row r="186">
      <c r="D186" s="62"/>
      <c r="E186" s="62"/>
      <c r="F186" s="62"/>
      <c r="J186" s="62"/>
      <c r="K186" s="129"/>
    </row>
    <row r="187">
      <c r="D187" s="62"/>
      <c r="E187" s="62"/>
      <c r="F187" s="62"/>
      <c r="J187" s="62"/>
      <c r="K187" s="129"/>
    </row>
    <row r="188">
      <c r="D188" s="62"/>
      <c r="E188" s="62"/>
      <c r="F188" s="62"/>
      <c r="J188" s="62"/>
      <c r="K188" s="129"/>
    </row>
    <row r="189">
      <c r="D189" s="62"/>
      <c r="E189" s="62"/>
      <c r="F189" s="62"/>
      <c r="J189" s="62"/>
      <c r="K189" s="129"/>
    </row>
    <row r="190">
      <c r="D190" s="62"/>
      <c r="E190" s="62"/>
      <c r="F190" s="62"/>
      <c r="J190" s="62"/>
      <c r="K190" s="129"/>
    </row>
    <row r="191">
      <c r="D191" s="62"/>
      <c r="E191" s="62"/>
      <c r="F191" s="62"/>
      <c r="J191" s="62"/>
      <c r="K191" s="129"/>
    </row>
    <row r="192">
      <c r="D192" s="62"/>
      <c r="E192" s="62"/>
      <c r="F192" s="62"/>
      <c r="J192" s="62"/>
      <c r="K192" s="129"/>
    </row>
    <row r="193">
      <c r="D193" s="62"/>
      <c r="E193" s="62"/>
      <c r="F193" s="62"/>
      <c r="J193" s="62"/>
      <c r="K193" s="129"/>
    </row>
    <row r="194">
      <c r="D194" s="62"/>
      <c r="E194" s="62"/>
      <c r="F194" s="62"/>
      <c r="J194" s="62"/>
      <c r="K194" s="129"/>
    </row>
    <row r="195">
      <c r="D195" s="62"/>
      <c r="E195" s="62"/>
      <c r="F195" s="62"/>
      <c r="J195" s="62"/>
      <c r="K195" s="129"/>
    </row>
    <row r="196">
      <c r="D196" s="62"/>
      <c r="E196" s="62"/>
      <c r="F196" s="62"/>
      <c r="J196" s="62"/>
      <c r="K196" s="129"/>
    </row>
    <row r="197">
      <c r="D197" s="62"/>
      <c r="E197" s="62"/>
      <c r="F197" s="62"/>
      <c r="J197" s="62"/>
      <c r="K197" s="129"/>
    </row>
    <row r="198">
      <c r="D198" s="62"/>
      <c r="E198" s="62"/>
      <c r="F198" s="62"/>
      <c r="J198" s="62"/>
      <c r="K198" s="129"/>
    </row>
    <row r="199">
      <c r="D199" s="62"/>
      <c r="E199" s="62"/>
      <c r="F199" s="62"/>
      <c r="J199" s="62"/>
      <c r="K199" s="129"/>
    </row>
    <row r="200">
      <c r="D200" s="62"/>
      <c r="E200" s="62"/>
      <c r="F200" s="62"/>
      <c r="J200" s="62"/>
      <c r="K200" s="129"/>
    </row>
    <row r="201">
      <c r="D201" s="62"/>
      <c r="E201" s="62"/>
      <c r="F201" s="62"/>
      <c r="J201" s="62"/>
      <c r="K201" s="129"/>
    </row>
    <row r="202">
      <c r="D202" s="62"/>
      <c r="E202" s="62"/>
      <c r="F202" s="62"/>
      <c r="J202" s="62"/>
      <c r="K202" s="129"/>
    </row>
    <row r="203">
      <c r="D203" s="62"/>
      <c r="E203" s="62"/>
      <c r="F203" s="62"/>
      <c r="J203" s="62"/>
      <c r="K203" s="129"/>
    </row>
    <row r="204">
      <c r="D204" s="62"/>
      <c r="E204" s="62"/>
      <c r="F204" s="62"/>
      <c r="J204" s="62"/>
      <c r="K204" s="129"/>
    </row>
    <row r="205">
      <c r="D205" s="62"/>
      <c r="E205" s="62"/>
      <c r="F205" s="62"/>
      <c r="J205" s="62"/>
      <c r="K205" s="129"/>
    </row>
    <row r="206">
      <c r="D206" s="62"/>
      <c r="E206" s="62"/>
      <c r="F206" s="62"/>
      <c r="J206" s="62"/>
      <c r="K206" s="129"/>
    </row>
    <row r="207">
      <c r="D207" s="62"/>
      <c r="E207" s="62"/>
      <c r="F207" s="62"/>
      <c r="J207" s="62"/>
      <c r="K207" s="129"/>
    </row>
    <row r="208">
      <c r="D208" s="62"/>
      <c r="E208" s="62"/>
      <c r="F208" s="62"/>
      <c r="J208" s="62"/>
      <c r="K208" s="129"/>
    </row>
    <row r="209">
      <c r="D209" s="62"/>
      <c r="E209" s="62"/>
      <c r="F209" s="62"/>
      <c r="J209" s="62"/>
      <c r="K209" s="129"/>
    </row>
    <row r="210">
      <c r="D210" s="62"/>
      <c r="E210" s="62"/>
      <c r="F210" s="62"/>
      <c r="J210" s="62"/>
      <c r="K210" s="129"/>
    </row>
    <row r="211">
      <c r="D211" s="62"/>
      <c r="E211" s="62"/>
      <c r="F211" s="62"/>
      <c r="J211" s="62"/>
      <c r="K211" s="129"/>
    </row>
    <row r="212">
      <c r="D212" s="62"/>
      <c r="E212" s="62"/>
      <c r="F212" s="62"/>
      <c r="J212" s="62"/>
      <c r="K212" s="129"/>
    </row>
    <row r="213">
      <c r="D213" s="62"/>
      <c r="E213" s="62"/>
      <c r="F213" s="62"/>
      <c r="J213" s="62"/>
      <c r="K213" s="129"/>
    </row>
    <row r="214">
      <c r="D214" s="62"/>
      <c r="E214" s="62"/>
      <c r="F214" s="62"/>
      <c r="J214" s="62"/>
      <c r="K214" s="129"/>
    </row>
    <row r="215">
      <c r="D215" s="62"/>
      <c r="E215" s="62"/>
      <c r="F215" s="62"/>
      <c r="J215" s="62"/>
      <c r="K215" s="129"/>
    </row>
    <row r="216">
      <c r="D216" s="62"/>
      <c r="E216" s="62"/>
      <c r="F216" s="62"/>
      <c r="J216" s="62"/>
      <c r="K216" s="129"/>
    </row>
    <row r="217">
      <c r="D217" s="62"/>
      <c r="E217" s="62"/>
      <c r="F217" s="62"/>
      <c r="J217" s="62"/>
      <c r="K217" s="129"/>
    </row>
    <row r="218">
      <c r="D218" s="62"/>
      <c r="E218" s="62"/>
      <c r="F218" s="62"/>
      <c r="J218" s="62"/>
      <c r="K218" s="129"/>
    </row>
    <row r="219">
      <c r="D219" s="62"/>
      <c r="E219" s="62"/>
      <c r="F219" s="62"/>
      <c r="J219" s="62"/>
      <c r="K219" s="129"/>
    </row>
    <row r="220">
      <c r="D220" s="62"/>
      <c r="E220" s="62"/>
      <c r="F220" s="62"/>
      <c r="J220" s="62"/>
      <c r="K220" s="129"/>
    </row>
    <row r="221">
      <c r="D221" s="62"/>
      <c r="E221" s="62"/>
      <c r="F221" s="62"/>
      <c r="J221" s="62"/>
      <c r="K221" s="129"/>
    </row>
    <row r="222">
      <c r="D222" s="62"/>
      <c r="E222" s="62"/>
      <c r="F222" s="62"/>
      <c r="J222" s="62"/>
      <c r="K222" s="129"/>
    </row>
    <row r="223">
      <c r="D223" s="62"/>
      <c r="E223" s="62"/>
      <c r="F223" s="62"/>
      <c r="J223" s="62"/>
      <c r="K223" s="129"/>
    </row>
    <row r="224">
      <c r="D224" s="62"/>
      <c r="E224" s="62"/>
      <c r="F224" s="62"/>
      <c r="J224" s="62"/>
      <c r="K224" s="129"/>
    </row>
    <row r="225">
      <c r="D225" s="62"/>
      <c r="E225" s="62"/>
      <c r="F225" s="62"/>
      <c r="J225" s="62"/>
      <c r="K225" s="129"/>
    </row>
    <row r="226">
      <c r="D226" s="62"/>
      <c r="E226" s="62"/>
      <c r="F226" s="62"/>
      <c r="J226" s="62"/>
      <c r="K226" s="129"/>
    </row>
    <row r="227">
      <c r="D227" s="62"/>
      <c r="E227" s="62"/>
      <c r="F227" s="62"/>
      <c r="J227" s="62"/>
      <c r="K227" s="129"/>
    </row>
    <row r="228">
      <c r="D228" s="62"/>
      <c r="E228" s="62"/>
      <c r="F228" s="62"/>
      <c r="J228" s="62"/>
      <c r="K228" s="129"/>
    </row>
    <row r="229">
      <c r="D229" s="62"/>
      <c r="E229" s="62"/>
      <c r="F229" s="62"/>
      <c r="J229" s="62"/>
      <c r="K229" s="129"/>
    </row>
    <row r="230">
      <c r="D230" s="62"/>
      <c r="E230" s="62"/>
      <c r="F230" s="62"/>
      <c r="J230" s="62"/>
      <c r="K230" s="129"/>
    </row>
    <row r="231">
      <c r="D231" s="62"/>
      <c r="E231" s="62"/>
      <c r="F231" s="62"/>
      <c r="J231" s="62"/>
      <c r="K231" s="129"/>
    </row>
    <row r="232">
      <c r="D232" s="62"/>
      <c r="E232" s="62"/>
      <c r="F232" s="62"/>
      <c r="J232" s="62"/>
      <c r="K232" s="129"/>
    </row>
    <row r="233">
      <c r="D233" s="62"/>
      <c r="E233" s="62"/>
      <c r="F233" s="62"/>
      <c r="J233" s="62"/>
      <c r="K233" s="129"/>
    </row>
    <row r="234">
      <c r="D234" s="62"/>
      <c r="E234" s="62"/>
      <c r="F234" s="62"/>
      <c r="J234" s="62"/>
      <c r="K234" s="129"/>
    </row>
    <row r="235">
      <c r="D235" s="62"/>
      <c r="E235" s="62"/>
      <c r="F235" s="62"/>
      <c r="J235" s="62"/>
      <c r="K235" s="129"/>
    </row>
    <row r="236">
      <c r="D236" s="62"/>
      <c r="E236" s="62"/>
      <c r="F236" s="62"/>
      <c r="J236" s="62"/>
      <c r="K236" s="129"/>
    </row>
    <row r="237">
      <c r="D237" s="62"/>
      <c r="E237" s="62"/>
      <c r="F237" s="62"/>
      <c r="J237" s="62"/>
      <c r="K237" s="129"/>
    </row>
    <row r="238">
      <c r="D238" s="62"/>
      <c r="E238" s="62"/>
      <c r="F238" s="62"/>
      <c r="J238" s="62"/>
      <c r="K238" s="129"/>
    </row>
    <row r="239">
      <c r="D239" s="62"/>
      <c r="E239" s="62"/>
      <c r="F239" s="62"/>
      <c r="J239" s="62"/>
      <c r="K239" s="129"/>
    </row>
    <row r="240">
      <c r="D240" s="62"/>
      <c r="E240" s="62"/>
      <c r="F240" s="62"/>
      <c r="J240" s="62"/>
      <c r="K240" s="129"/>
    </row>
    <row r="241">
      <c r="D241" s="62"/>
      <c r="E241" s="62"/>
      <c r="F241" s="62"/>
      <c r="J241" s="62"/>
      <c r="K241" s="129"/>
    </row>
    <row r="242">
      <c r="D242" s="62"/>
      <c r="E242" s="62"/>
      <c r="F242" s="62"/>
      <c r="J242" s="62"/>
      <c r="K242" s="129"/>
    </row>
    <row r="243">
      <c r="D243" s="62"/>
      <c r="E243" s="62"/>
      <c r="F243" s="62"/>
      <c r="J243" s="62"/>
      <c r="K243" s="129"/>
    </row>
    <row r="244">
      <c r="D244" s="62"/>
      <c r="E244" s="62"/>
      <c r="F244" s="62"/>
      <c r="J244" s="62"/>
      <c r="K244" s="129"/>
    </row>
    <row r="245">
      <c r="D245" s="62"/>
      <c r="E245" s="62"/>
      <c r="F245" s="62"/>
      <c r="J245" s="62"/>
      <c r="K245" s="129"/>
    </row>
    <row r="246">
      <c r="D246" s="62"/>
      <c r="E246" s="62"/>
      <c r="F246" s="62"/>
      <c r="J246" s="62"/>
      <c r="K246" s="129"/>
    </row>
    <row r="247">
      <c r="D247" s="62"/>
      <c r="E247" s="62"/>
      <c r="F247" s="62"/>
      <c r="J247" s="62"/>
      <c r="K247" s="129"/>
    </row>
    <row r="248">
      <c r="D248" s="62"/>
      <c r="E248" s="62"/>
      <c r="F248" s="62"/>
      <c r="J248" s="62"/>
      <c r="K248" s="129"/>
    </row>
    <row r="249">
      <c r="D249" s="62"/>
      <c r="E249" s="62"/>
      <c r="F249" s="62"/>
      <c r="J249" s="62"/>
      <c r="K249" s="129"/>
    </row>
    <row r="250">
      <c r="D250" s="62"/>
      <c r="E250" s="62"/>
      <c r="F250" s="62"/>
      <c r="J250" s="62"/>
      <c r="K250" s="129"/>
    </row>
    <row r="251">
      <c r="D251" s="62"/>
      <c r="E251" s="62"/>
      <c r="F251" s="62"/>
      <c r="J251" s="62"/>
      <c r="K251" s="129"/>
    </row>
    <row r="252">
      <c r="D252" s="62"/>
      <c r="E252" s="62"/>
      <c r="F252" s="62"/>
      <c r="J252" s="62"/>
      <c r="K252" s="129"/>
    </row>
    <row r="253">
      <c r="D253" s="62"/>
      <c r="E253" s="62"/>
      <c r="F253" s="62"/>
      <c r="J253" s="62"/>
      <c r="K253" s="129"/>
    </row>
    <row r="254">
      <c r="D254" s="62"/>
      <c r="E254" s="62"/>
      <c r="F254" s="62"/>
      <c r="J254" s="62"/>
      <c r="K254" s="129"/>
    </row>
    <row r="255">
      <c r="D255" s="62"/>
      <c r="E255" s="62"/>
      <c r="F255" s="62"/>
      <c r="J255" s="62"/>
      <c r="K255" s="129"/>
    </row>
    <row r="256">
      <c r="D256" s="62"/>
      <c r="E256" s="62"/>
      <c r="F256" s="62"/>
      <c r="J256" s="62"/>
      <c r="K256" s="129"/>
    </row>
    <row r="257">
      <c r="D257" s="62"/>
      <c r="E257" s="62"/>
      <c r="F257" s="62"/>
      <c r="J257" s="62"/>
      <c r="K257" s="129"/>
    </row>
    <row r="258">
      <c r="D258" s="62"/>
      <c r="E258" s="62"/>
      <c r="F258" s="62"/>
      <c r="J258" s="62"/>
      <c r="K258" s="129"/>
    </row>
    <row r="259">
      <c r="D259" s="62"/>
      <c r="E259" s="62"/>
      <c r="F259" s="62"/>
      <c r="J259" s="62"/>
      <c r="K259" s="129"/>
    </row>
    <row r="260">
      <c r="D260" s="62"/>
      <c r="E260" s="62"/>
      <c r="F260" s="62"/>
      <c r="J260" s="62"/>
      <c r="K260" s="129"/>
    </row>
    <row r="261">
      <c r="D261" s="62"/>
      <c r="E261" s="62"/>
      <c r="F261" s="62"/>
      <c r="J261" s="62"/>
      <c r="K261" s="129"/>
    </row>
    <row r="262">
      <c r="D262" s="62"/>
      <c r="E262" s="62"/>
      <c r="F262" s="62"/>
      <c r="J262" s="62"/>
      <c r="K262" s="129"/>
    </row>
    <row r="263">
      <c r="D263" s="62"/>
      <c r="E263" s="62"/>
      <c r="F263" s="62"/>
      <c r="J263" s="62"/>
      <c r="K263" s="129"/>
    </row>
    <row r="264">
      <c r="D264" s="62"/>
      <c r="E264" s="62"/>
      <c r="F264" s="62"/>
      <c r="J264" s="62"/>
      <c r="K264" s="129"/>
    </row>
    <row r="265">
      <c r="D265" s="62"/>
      <c r="E265" s="62"/>
      <c r="F265" s="62"/>
      <c r="J265" s="62"/>
      <c r="K265" s="129"/>
    </row>
    <row r="266">
      <c r="D266" s="62"/>
      <c r="E266" s="62"/>
      <c r="F266" s="62"/>
      <c r="J266" s="62"/>
      <c r="K266" s="129"/>
    </row>
    <row r="267">
      <c r="D267" s="62"/>
      <c r="E267" s="62"/>
      <c r="F267" s="62"/>
      <c r="J267" s="62"/>
      <c r="K267" s="129"/>
    </row>
    <row r="268">
      <c r="D268" s="62"/>
      <c r="E268" s="62"/>
      <c r="F268" s="62"/>
      <c r="J268" s="62"/>
      <c r="K268" s="129"/>
    </row>
    <row r="269">
      <c r="D269" s="62"/>
      <c r="E269" s="62"/>
      <c r="F269" s="62"/>
      <c r="J269" s="62"/>
      <c r="K269" s="129"/>
    </row>
    <row r="270">
      <c r="D270" s="62"/>
      <c r="E270" s="62"/>
      <c r="F270" s="62"/>
      <c r="J270" s="62"/>
      <c r="K270" s="129"/>
    </row>
    <row r="271">
      <c r="D271" s="62"/>
      <c r="E271" s="62"/>
      <c r="F271" s="62"/>
      <c r="J271" s="62"/>
      <c r="K271" s="129"/>
    </row>
    <row r="272">
      <c r="D272" s="62"/>
      <c r="E272" s="62"/>
      <c r="F272" s="62"/>
      <c r="J272" s="62"/>
      <c r="K272" s="129"/>
    </row>
    <row r="273">
      <c r="D273" s="62"/>
      <c r="E273" s="62"/>
      <c r="F273" s="62"/>
      <c r="J273" s="62"/>
      <c r="K273" s="129"/>
    </row>
    <row r="274">
      <c r="D274" s="62"/>
      <c r="E274" s="62"/>
      <c r="F274" s="62"/>
      <c r="J274" s="62"/>
      <c r="K274" s="129"/>
    </row>
    <row r="275">
      <c r="D275" s="62"/>
      <c r="E275" s="62"/>
      <c r="F275" s="62"/>
      <c r="J275" s="62"/>
      <c r="K275" s="129"/>
    </row>
    <row r="276">
      <c r="D276" s="62"/>
      <c r="E276" s="62"/>
      <c r="F276" s="62"/>
      <c r="J276" s="62"/>
      <c r="K276" s="129"/>
    </row>
    <row r="277">
      <c r="D277" s="62"/>
      <c r="E277" s="62"/>
      <c r="F277" s="62"/>
      <c r="J277" s="62"/>
      <c r="K277" s="129"/>
    </row>
    <row r="278">
      <c r="D278" s="62"/>
      <c r="E278" s="62"/>
      <c r="F278" s="62"/>
      <c r="J278" s="62"/>
      <c r="K278" s="129"/>
    </row>
    <row r="279">
      <c r="D279" s="62"/>
      <c r="E279" s="62"/>
      <c r="F279" s="62"/>
      <c r="J279" s="62"/>
      <c r="K279" s="129"/>
    </row>
    <row r="280">
      <c r="D280" s="62"/>
      <c r="E280" s="62"/>
      <c r="F280" s="62"/>
      <c r="J280" s="62"/>
      <c r="K280" s="129"/>
    </row>
    <row r="281">
      <c r="D281" s="62"/>
      <c r="E281" s="62"/>
      <c r="F281" s="62"/>
      <c r="J281" s="62"/>
      <c r="K281" s="129"/>
    </row>
    <row r="282">
      <c r="D282" s="62"/>
      <c r="E282" s="62"/>
      <c r="F282" s="62"/>
      <c r="J282" s="62"/>
      <c r="K282" s="129"/>
    </row>
    <row r="283">
      <c r="D283" s="62"/>
      <c r="E283" s="62"/>
      <c r="F283" s="62"/>
      <c r="J283" s="62"/>
      <c r="K283" s="129"/>
    </row>
    <row r="284">
      <c r="D284" s="62"/>
      <c r="E284" s="62"/>
      <c r="F284" s="62"/>
      <c r="J284" s="62"/>
      <c r="K284" s="129"/>
    </row>
    <row r="285">
      <c r="D285" s="62"/>
      <c r="E285" s="62"/>
      <c r="F285" s="62"/>
      <c r="J285" s="62"/>
      <c r="K285" s="129"/>
    </row>
    <row r="286">
      <c r="D286" s="62"/>
      <c r="E286" s="62"/>
      <c r="F286" s="62"/>
      <c r="J286" s="62"/>
      <c r="K286" s="129"/>
    </row>
    <row r="287">
      <c r="D287" s="62"/>
      <c r="E287" s="62"/>
      <c r="F287" s="62"/>
      <c r="J287" s="62"/>
      <c r="K287" s="129"/>
    </row>
    <row r="288">
      <c r="D288" s="62"/>
      <c r="E288" s="62"/>
      <c r="F288" s="62"/>
      <c r="J288" s="62"/>
      <c r="K288" s="129"/>
    </row>
    <row r="289">
      <c r="D289" s="62"/>
      <c r="E289" s="62"/>
      <c r="F289" s="62"/>
      <c r="J289" s="62"/>
      <c r="K289" s="129"/>
    </row>
    <row r="290">
      <c r="D290" s="62"/>
      <c r="E290" s="62"/>
      <c r="F290" s="62"/>
      <c r="J290" s="62"/>
      <c r="K290" s="129"/>
    </row>
    <row r="291">
      <c r="D291" s="62"/>
      <c r="E291" s="62"/>
      <c r="F291" s="62"/>
      <c r="J291" s="62"/>
      <c r="K291" s="129"/>
    </row>
    <row r="292">
      <c r="D292" s="62"/>
      <c r="E292" s="62"/>
      <c r="F292" s="62"/>
      <c r="J292" s="62"/>
      <c r="K292" s="129"/>
    </row>
    <row r="293">
      <c r="D293" s="62"/>
      <c r="E293" s="62"/>
      <c r="F293" s="62"/>
      <c r="J293" s="62"/>
      <c r="K293" s="129"/>
    </row>
    <row r="294">
      <c r="D294" s="62"/>
      <c r="E294" s="62"/>
      <c r="F294" s="62"/>
      <c r="J294" s="62"/>
      <c r="K294" s="129"/>
    </row>
    <row r="295">
      <c r="D295" s="62"/>
      <c r="E295" s="62"/>
      <c r="F295" s="62"/>
      <c r="J295" s="62"/>
      <c r="K295" s="129"/>
    </row>
    <row r="296">
      <c r="D296" s="62"/>
      <c r="E296" s="62"/>
      <c r="F296" s="62"/>
      <c r="J296" s="62"/>
      <c r="K296" s="129"/>
    </row>
    <row r="297">
      <c r="D297" s="62"/>
      <c r="E297" s="62"/>
      <c r="F297" s="62"/>
      <c r="J297" s="62"/>
      <c r="K297" s="129"/>
    </row>
    <row r="298">
      <c r="D298" s="62"/>
      <c r="E298" s="62"/>
      <c r="F298" s="62"/>
      <c r="J298" s="62"/>
      <c r="K298" s="129"/>
    </row>
    <row r="299">
      <c r="D299" s="62"/>
      <c r="E299" s="62"/>
      <c r="F299" s="62"/>
      <c r="J299" s="62"/>
      <c r="K299" s="129"/>
    </row>
    <row r="300">
      <c r="D300" s="62"/>
      <c r="E300" s="62"/>
      <c r="F300" s="62"/>
      <c r="J300" s="62"/>
      <c r="K300" s="129"/>
    </row>
    <row r="301">
      <c r="D301" s="62"/>
      <c r="E301" s="62"/>
      <c r="F301" s="62"/>
      <c r="J301" s="62"/>
      <c r="K301" s="129"/>
    </row>
    <row r="302">
      <c r="D302" s="62"/>
      <c r="E302" s="62"/>
      <c r="F302" s="62"/>
      <c r="J302" s="62"/>
      <c r="K302" s="129"/>
    </row>
    <row r="303">
      <c r="D303" s="62"/>
      <c r="E303" s="62"/>
      <c r="F303" s="62"/>
      <c r="J303" s="62"/>
      <c r="K303" s="129"/>
    </row>
    <row r="304">
      <c r="D304" s="62"/>
      <c r="E304" s="62"/>
      <c r="F304" s="62"/>
      <c r="J304" s="62"/>
      <c r="K304" s="129"/>
    </row>
    <row r="305">
      <c r="D305" s="62"/>
      <c r="E305" s="62"/>
      <c r="F305" s="62"/>
      <c r="J305" s="62"/>
      <c r="K305" s="129"/>
    </row>
    <row r="306">
      <c r="D306" s="62"/>
      <c r="E306" s="62"/>
      <c r="F306" s="62"/>
      <c r="J306" s="62"/>
      <c r="K306" s="129"/>
    </row>
    <row r="307">
      <c r="D307" s="62"/>
      <c r="E307" s="62"/>
      <c r="F307" s="62"/>
      <c r="J307" s="62"/>
      <c r="K307" s="129"/>
    </row>
    <row r="308">
      <c r="D308" s="62"/>
      <c r="E308" s="62"/>
      <c r="F308" s="62"/>
      <c r="J308" s="62"/>
      <c r="K308" s="129"/>
    </row>
    <row r="309">
      <c r="D309" s="62"/>
      <c r="E309" s="62"/>
      <c r="F309" s="62"/>
      <c r="J309" s="62"/>
      <c r="K309" s="129"/>
    </row>
    <row r="310">
      <c r="D310" s="62"/>
      <c r="E310" s="62"/>
      <c r="F310" s="62"/>
      <c r="J310" s="62"/>
      <c r="K310" s="129"/>
    </row>
    <row r="311">
      <c r="D311" s="62"/>
      <c r="E311" s="62"/>
      <c r="F311" s="62"/>
      <c r="J311" s="62"/>
      <c r="K311" s="129"/>
    </row>
    <row r="312">
      <c r="D312" s="62"/>
      <c r="E312" s="62"/>
      <c r="F312" s="62"/>
      <c r="J312" s="62"/>
      <c r="K312" s="129"/>
    </row>
    <row r="313">
      <c r="D313" s="62"/>
      <c r="E313" s="62"/>
      <c r="F313" s="62"/>
      <c r="J313" s="62"/>
      <c r="K313" s="129"/>
    </row>
    <row r="314">
      <c r="D314" s="62"/>
      <c r="E314" s="62"/>
      <c r="F314" s="62"/>
      <c r="J314" s="62"/>
      <c r="K314" s="129"/>
    </row>
    <row r="315">
      <c r="D315" s="62"/>
      <c r="E315" s="62"/>
      <c r="F315" s="62"/>
      <c r="J315" s="62"/>
      <c r="K315" s="129"/>
    </row>
    <row r="316">
      <c r="D316" s="62"/>
      <c r="E316" s="62"/>
      <c r="F316" s="62"/>
      <c r="J316" s="62"/>
      <c r="K316" s="129"/>
    </row>
    <row r="317">
      <c r="D317" s="62"/>
      <c r="E317" s="62"/>
      <c r="F317" s="62"/>
      <c r="J317" s="62"/>
      <c r="K317" s="129"/>
    </row>
    <row r="318">
      <c r="D318" s="62"/>
      <c r="E318" s="62"/>
      <c r="F318" s="62"/>
      <c r="J318" s="62"/>
      <c r="K318" s="129"/>
    </row>
    <row r="319">
      <c r="D319" s="62"/>
      <c r="E319" s="62"/>
      <c r="F319" s="62"/>
      <c r="J319" s="62"/>
      <c r="K319" s="129"/>
    </row>
    <row r="320">
      <c r="D320" s="62"/>
      <c r="E320" s="62"/>
      <c r="F320" s="62"/>
      <c r="J320" s="62"/>
      <c r="K320" s="129"/>
    </row>
    <row r="321">
      <c r="D321" s="62"/>
      <c r="E321" s="62"/>
      <c r="F321" s="62"/>
      <c r="J321" s="62"/>
      <c r="K321" s="129"/>
    </row>
    <row r="322">
      <c r="D322" s="62"/>
      <c r="E322" s="62"/>
      <c r="F322" s="62"/>
      <c r="J322" s="62"/>
      <c r="K322" s="129"/>
    </row>
    <row r="323">
      <c r="D323" s="62"/>
      <c r="E323" s="62"/>
      <c r="F323" s="62"/>
      <c r="J323" s="62"/>
      <c r="K323" s="129"/>
    </row>
    <row r="324">
      <c r="D324" s="62"/>
      <c r="E324" s="62"/>
      <c r="F324" s="62"/>
      <c r="J324" s="62"/>
      <c r="K324" s="129"/>
    </row>
    <row r="325">
      <c r="D325" s="62"/>
      <c r="E325" s="62"/>
      <c r="F325" s="62"/>
      <c r="J325" s="62"/>
      <c r="K325" s="129"/>
    </row>
    <row r="326">
      <c r="D326" s="62"/>
      <c r="E326" s="62"/>
      <c r="F326" s="62"/>
      <c r="J326" s="62"/>
      <c r="K326" s="129"/>
    </row>
    <row r="327">
      <c r="D327" s="62"/>
      <c r="E327" s="62"/>
      <c r="F327" s="62"/>
      <c r="J327" s="62"/>
      <c r="K327" s="129"/>
    </row>
    <row r="328">
      <c r="D328" s="62"/>
      <c r="E328" s="62"/>
      <c r="F328" s="62"/>
      <c r="J328" s="62"/>
      <c r="K328" s="129"/>
    </row>
    <row r="329">
      <c r="D329" s="62"/>
      <c r="E329" s="62"/>
      <c r="F329" s="62"/>
      <c r="J329" s="62"/>
      <c r="K329" s="129"/>
    </row>
    <row r="330">
      <c r="D330" s="62"/>
      <c r="E330" s="62"/>
      <c r="F330" s="62"/>
      <c r="J330" s="62"/>
      <c r="K330" s="129"/>
    </row>
    <row r="331">
      <c r="D331" s="62"/>
      <c r="E331" s="62"/>
      <c r="F331" s="62"/>
      <c r="J331" s="62"/>
      <c r="K331" s="129"/>
    </row>
    <row r="332">
      <c r="D332" s="62"/>
      <c r="E332" s="62"/>
      <c r="F332" s="62"/>
      <c r="J332" s="62"/>
      <c r="K332" s="129"/>
    </row>
    <row r="333">
      <c r="D333" s="62"/>
      <c r="E333" s="62"/>
      <c r="F333" s="62"/>
      <c r="J333" s="62"/>
      <c r="K333" s="129"/>
    </row>
    <row r="334">
      <c r="D334" s="62"/>
      <c r="E334" s="62"/>
      <c r="F334" s="62"/>
      <c r="J334" s="62"/>
      <c r="K334" s="129"/>
    </row>
    <row r="335">
      <c r="D335" s="62"/>
      <c r="E335" s="62"/>
      <c r="F335" s="62"/>
      <c r="J335" s="62"/>
      <c r="K335" s="129"/>
    </row>
    <row r="336">
      <c r="D336" s="62"/>
      <c r="E336" s="62"/>
      <c r="F336" s="62"/>
      <c r="J336" s="62"/>
      <c r="K336" s="129"/>
    </row>
    <row r="337">
      <c r="D337" s="62"/>
      <c r="E337" s="62"/>
      <c r="F337" s="62"/>
      <c r="J337" s="62"/>
      <c r="K337" s="129"/>
    </row>
    <row r="338">
      <c r="D338" s="62"/>
      <c r="E338" s="62"/>
      <c r="F338" s="62"/>
      <c r="J338" s="62"/>
      <c r="K338" s="129"/>
    </row>
    <row r="339">
      <c r="D339" s="62"/>
      <c r="E339" s="62"/>
      <c r="F339" s="62"/>
      <c r="J339" s="62"/>
      <c r="K339" s="129"/>
    </row>
    <row r="340">
      <c r="D340" s="62"/>
      <c r="E340" s="62"/>
      <c r="F340" s="62"/>
      <c r="J340" s="62"/>
      <c r="K340" s="129"/>
    </row>
    <row r="341">
      <c r="D341" s="62"/>
      <c r="E341" s="62"/>
      <c r="F341" s="62"/>
      <c r="J341" s="62"/>
      <c r="K341" s="129"/>
    </row>
    <row r="342">
      <c r="D342" s="62"/>
      <c r="E342" s="62"/>
      <c r="F342" s="62"/>
      <c r="J342" s="62"/>
      <c r="K342" s="129"/>
    </row>
    <row r="343">
      <c r="D343" s="62"/>
      <c r="E343" s="62"/>
      <c r="F343" s="62"/>
      <c r="J343" s="62"/>
      <c r="K343" s="129"/>
    </row>
    <row r="344">
      <c r="D344" s="62"/>
      <c r="E344" s="62"/>
      <c r="F344" s="62"/>
      <c r="J344" s="62"/>
      <c r="K344" s="129"/>
    </row>
    <row r="345">
      <c r="D345" s="62"/>
      <c r="E345" s="62"/>
      <c r="F345" s="62"/>
      <c r="J345" s="62"/>
      <c r="K345" s="129"/>
    </row>
    <row r="346">
      <c r="D346" s="62"/>
      <c r="E346" s="62"/>
      <c r="F346" s="62"/>
      <c r="J346" s="62"/>
      <c r="K346" s="129"/>
    </row>
    <row r="347">
      <c r="D347" s="62"/>
      <c r="E347" s="62"/>
      <c r="F347" s="62"/>
      <c r="J347" s="62"/>
      <c r="K347" s="129"/>
    </row>
    <row r="348">
      <c r="D348" s="62"/>
      <c r="E348" s="62"/>
      <c r="F348" s="62"/>
      <c r="J348" s="62"/>
      <c r="K348" s="129"/>
    </row>
    <row r="349">
      <c r="D349" s="62"/>
      <c r="E349" s="62"/>
      <c r="F349" s="62"/>
      <c r="J349" s="62"/>
      <c r="K349" s="129"/>
    </row>
    <row r="350">
      <c r="D350" s="62"/>
      <c r="E350" s="62"/>
      <c r="F350" s="62"/>
      <c r="J350" s="62"/>
      <c r="K350" s="129"/>
    </row>
    <row r="351">
      <c r="D351" s="62"/>
      <c r="E351" s="62"/>
      <c r="F351" s="62"/>
      <c r="J351" s="62"/>
      <c r="K351" s="129"/>
    </row>
    <row r="352">
      <c r="D352" s="62"/>
      <c r="E352" s="62"/>
      <c r="F352" s="62"/>
      <c r="J352" s="62"/>
      <c r="K352" s="129"/>
    </row>
    <row r="353">
      <c r="D353" s="62"/>
      <c r="E353" s="62"/>
      <c r="F353" s="62"/>
      <c r="J353" s="62"/>
      <c r="K353" s="129"/>
    </row>
    <row r="354">
      <c r="D354" s="62"/>
      <c r="E354" s="62"/>
      <c r="F354" s="62"/>
      <c r="J354" s="62"/>
      <c r="K354" s="129"/>
    </row>
    <row r="355">
      <c r="D355" s="62"/>
      <c r="E355" s="62"/>
      <c r="F355" s="62"/>
      <c r="J355" s="62"/>
      <c r="K355" s="129"/>
    </row>
    <row r="356">
      <c r="D356" s="62"/>
      <c r="E356" s="62"/>
      <c r="F356" s="62"/>
      <c r="J356" s="62"/>
      <c r="K356" s="129"/>
    </row>
    <row r="357">
      <c r="D357" s="62"/>
      <c r="E357" s="62"/>
      <c r="F357" s="62"/>
      <c r="J357" s="62"/>
      <c r="K357" s="129"/>
    </row>
    <row r="358">
      <c r="D358" s="62"/>
      <c r="E358" s="62"/>
      <c r="F358" s="62"/>
      <c r="J358" s="62"/>
      <c r="K358" s="129"/>
    </row>
    <row r="359">
      <c r="D359" s="62"/>
      <c r="E359" s="62"/>
      <c r="F359" s="62"/>
      <c r="J359" s="62"/>
      <c r="K359" s="129"/>
    </row>
    <row r="360">
      <c r="D360" s="62"/>
      <c r="E360" s="62"/>
      <c r="F360" s="62"/>
      <c r="J360" s="62"/>
      <c r="K360" s="129"/>
    </row>
    <row r="361">
      <c r="D361" s="62"/>
      <c r="E361" s="62"/>
      <c r="F361" s="62"/>
      <c r="J361" s="62"/>
      <c r="K361" s="129"/>
    </row>
    <row r="362">
      <c r="D362" s="62"/>
      <c r="E362" s="62"/>
      <c r="F362" s="62"/>
      <c r="J362" s="62"/>
      <c r="K362" s="129"/>
    </row>
    <row r="363">
      <c r="D363" s="62"/>
      <c r="E363" s="62"/>
      <c r="F363" s="62"/>
      <c r="J363" s="62"/>
      <c r="K363" s="129"/>
    </row>
    <row r="364">
      <c r="D364" s="62"/>
      <c r="E364" s="62"/>
      <c r="F364" s="62"/>
      <c r="J364" s="62"/>
      <c r="K364" s="129"/>
    </row>
    <row r="365">
      <c r="D365" s="62"/>
      <c r="E365" s="62"/>
      <c r="F365" s="62"/>
      <c r="J365" s="62"/>
      <c r="K365" s="129"/>
    </row>
    <row r="366">
      <c r="D366" s="62"/>
      <c r="E366" s="62"/>
      <c r="F366" s="62"/>
      <c r="J366" s="62"/>
      <c r="K366" s="129"/>
    </row>
    <row r="367">
      <c r="D367" s="62"/>
      <c r="E367" s="62"/>
      <c r="F367" s="62"/>
      <c r="J367" s="62"/>
      <c r="K367" s="129"/>
    </row>
    <row r="368">
      <c r="D368" s="62"/>
      <c r="E368" s="62"/>
      <c r="F368" s="62"/>
      <c r="J368" s="62"/>
      <c r="K368" s="129"/>
    </row>
    <row r="369">
      <c r="D369" s="62"/>
      <c r="E369" s="62"/>
      <c r="F369" s="62"/>
      <c r="J369" s="62"/>
      <c r="K369" s="129"/>
    </row>
    <row r="370">
      <c r="D370" s="62"/>
      <c r="E370" s="62"/>
      <c r="F370" s="62"/>
      <c r="J370" s="62"/>
      <c r="K370" s="129"/>
    </row>
    <row r="371">
      <c r="D371" s="62"/>
      <c r="E371" s="62"/>
      <c r="F371" s="62"/>
      <c r="J371" s="62"/>
      <c r="K371" s="129"/>
    </row>
    <row r="372">
      <c r="D372" s="62"/>
      <c r="E372" s="62"/>
      <c r="F372" s="62"/>
      <c r="J372" s="62"/>
      <c r="K372" s="129"/>
    </row>
    <row r="373">
      <c r="D373" s="62"/>
      <c r="E373" s="62"/>
      <c r="F373" s="62"/>
      <c r="J373" s="62"/>
      <c r="K373" s="129"/>
    </row>
    <row r="374">
      <c r="D374" s="62"/>
      <c r="E374" s="62"/>
      <c r="F374" s="62"/>
      <c r="J374" s="62"/>
      <c r="K374" s="129"/>
    </row>
    <row r="375">
      <c r="D375" s="62"/>
      <c r="E375" s="62"/>
      <c r="F375" s="62"/>
      <c r="J375" s="62"/>
      <c r="K375" s="129"/>
    </row>
    <row r="376">
      <c r="D376" s="62"/>
      <c r="E376" s="62"/>
      <c r="F376" s="62"/>
      <c r="J376" s="62"/>
      <c r="K376" s="129"/>
    </row>
    <row r="377">
      <c r="D377" s="62"/>
      <c r="E377" s="62"/>
      <c r="F377" s="62"/>
      <c r="J377" s="62"/>
      <c r="K377" s="129"/>
    </row>
    <row r="378">
      <c r="D378" s="62"/>
      <c r="E378" s="62"/>
      <c r="F378" s="62"/>
      <c r="J378" s="62"/>
      <c r="K378" s="129"/>
    </row>
    <row r="379">
      <c r="D379" s="62"/>
      <c r="E379" s="62"/>
      <c r="F379" s="62"/>
      <c r="J379" s="62"/>
      <c r="K379" s="129"/>
    </row>
    <row r="380">
      <c r="D380" s="62"/>
      <c r="E380" s="62"/>
      <c r="F380" s="62"/>
      <c r="J380" s="62"/>
      <c r="K380" s="129"/>
    </row>
    <row r="381">
      <c r="D381" s="62"/>
      <c r="E381" s="62"/>
      <c r="F381" s="62"/>
      <c r="J381" s="62"/>
      <c r="K381" s="129"/>
    </row>
    <row r="382">
      <c r="D382" s="62"/>
      <c r="E382" s="62"/>
      <c r="F382" s="62"/>
      <c r="J382" s="62"/>
      <c r="K382" s="129"/>
    </row>
    <row r="383">
      <c r="D383" s="62"/>
      <c r="E383" s="62"/>
      <c r="F383" s="62"/>
      <c r="J383" s="62"/>
      <c r="K383" s="129"/>
    </row>
    <row r="384">
      <c r="D384" s="62"/>
      <c r="E384" s="62"/>
      <c r="F384" s="62"/>
      <c r="J384" s="62"/>
      <c r="K384" s="129"/>
    </row>
    <row r="385">
      <c r="D385" s="62"/>
      <c r="E385" s="62"/>
      <c r="F385" s="62"/>
      <c r="J385" s="62"/>
      <c r="K385" s="129"/>
    </row>
    <row r="386">
      <c r="D386" s="62"/>
      <c r="E386" s="62"/>
      <c r="F386" s="62"/>
      <c r="J386" s="62"/>
      <c r="K386" s="129"/>
    </row>
    <row r="387">
      <c r="D387" s="62"/>
      <c r="E387" s="62"/>
      <c r="F387" s="62"/>
      <c r="J387" s="62"/>
      <c r="K387" s="129"/>
    </row>
    <row r="388">
      <c r="D388" s="62"/>
      <c r="E388" s="62"/>
      <c r="F388" s="62"/>
      <c r="J388" s="62"/>
      <c r="K388" s="129"/>
    </row>
    <row r="389">
      <c r="D389" s="62"/>
      <c r="E389" s="62"/>
      <c r="F389" s="62"/>
      <c r="J389" s="62"/>
      <c r="K389" s="129"/>
    </row>
    <row r="390">
      <c r="D390" s="62"/>
      <c r="E390" s="62"/>
      <c r="F390" s="62"/>
      <c r="J390" s="62"/>
      <c r="K390" s="129"/>
    </row>
    <row r="391">
      <c r="D391" s="62"/>
      <c r="E391" s="62"/>
      <c r="F391" s="62"/>
      <c r="J391" s="62"/>
      <c r="K391" s="129"/>
    </row>
    <row r="392">
      <c r="D392" s="62"/>
      <c r="E392" s="62"/>
      <c r="F392" s="62"/>
      <c r="J392" s="62"/>
      <c r="K392" s="129"/>
    </row>
    <row r="393">
      <c r="D393" s="62"/>
      <c r="E393" s="62"/>
      <c r="F393" s="62"/>
      <c r="J393" s="62"/>
      <c r="K393" s="129"/>
    </row>
    <row r="394">
      <c r="D394" s="62"/>
      <c r="E394" s="62"/>
      <c r="F394" s="62"/>
      <c r="J394" s="62"/>
      <c r="K394" s="129"/>
    </row>
    <row r="395">
      <c r="D395" s="62"/>
      <c r="E395" s="62"/>
      <c r="F395" s="62"/>
      <c r="J395" s="62"/>
      <c r="K395" s="129"/>
    </row>
    <row r="396">
      <c r="D396" s="62"/>
      <c r="E396" s="62"/>
      <c r="F396" s="62"/>
      <c r="J396" s="62"/>
      <c r="K396" s="129"/>
    </row>
    <row r="397">
      <c r="D397" s="62"/>
      <c r="E397" s="62"/>
      <c r="F397" s="62"/>
      <c r="J397" s="62"/>
      <c r="K397" s="129"/>
    </row>
    <row r="398">
      <c r="D398" s="62"/>
      <c r="E398" s="62"/>
      <c r="F398" s="62"/>
      <c r="J398" s="62"/>
      <c r="K398" s="129"/>
    </row>
    <row r="399">
      <c r="D399" s="62"/>
      <c r="E399" s="62"/>
      <c r="F399" s="62"/>
      <c r="J399" s="62"/>
      <c r="K399" s="129"/>
    </row>
    <row r="400">
      <c r="D400" s="62"/>
      <c r="E400" s="62"/>
      <c r="F400" s="62"/>
      <c r="J400" s="62"/>
      <c r="K400" s="129"/>
    </row>
    <row r="401">
      <c r="D401" s="62"/>
      <c r="E401" s="62"/>
      <c r="F401" s="62"/>
      <c r="J401" s="62"/>
      <c r="K401" s="129"/>
    </row>
    <row r="402">
      <c r="D402" s="62"/>
      <c r="E402" s="62"/>
      <c r="F402" s="62"/>
      <c r="J402" s="62"/>
      <c r="K402" s="129"/>
    </row>
    <row r="403">
      <c r="D403" s="62"/>
      <c r="E403" s="62"/>
      <c r="F403" s="62"/>
      <c r="J403" s="62"/>
      <c r="K403" s="129"/>
    </row>
    <row r="404">
      <c r="D404" s="62"/>
      <c r="E404" s="62"/>
      <c r="F404" s="62"/>
      <c r="J404" s="62"/>
      <c r="K404" s="129"/>
    </row>
    <row r="405">
      <c r="D405" s="62"/>
      <c r="E405" s="62"/>
      <c r="F405" s="62"/>
      <c r="J405" s="62"/>
      <c r="K405" s="129"/>
    </row>
    <row r="406">
      <c r="D406" s="62"/>
      <c r="E406" s="62"/>
      <c r="F406" s="62"/>
      <c r="J406" s="62"/>
      <c r="K406" s="129"/>
    </row>
    <row r="407">
      <c r="D407" s="62"/>
      <c r="E407" s="62"/>
      <c r="F407" s="62"/>
      <c r="J407" s="62"/>
      <c r="K407" s="129"/>
    </row>
    <row r="408">
      <c r="D408" s="62"/>
      <c r="E408" s="62"/>
      <c r="F408" s="62"/>
      <c r="J408" s="62"/>
      <c r="K408" s="129"/>
    </row>
    <row r="409">
      <c r="D409" s="62"/>
      <c r="E409" s="62"/>
      <c r="F409" s="62"/>
      <c r="J409" s="62"/>
      <c r="K409" s="129"/>
    </row>
    <row r="410">
      <c r="D410" s="62"/>
      <c r="E410" s="62"/>
      <c r="F410" s="62"/>
      <c r="J410" s="62"/>
      <c r="K410" s="129"/>
    </row>
    <row r="411">
      <c r="D411" s="62"/>
      <c r="E411" s="62"/>
      <c r="F411" s="62"/>
      <c r="J411" s="62"/>
      <c r="K411" s="129"/>
    </row>
    <row r="412">
      <c r="D412" s="62"/>
      <c r="E412" s="62"/>
      <c r="F412" s="62"/>
      <c r="J412" s="62"/>
      <c r="K412" s="129"/>
    </row>
    <row r="413">
      <c r="D413" s="62"/>
      <c r="E413" s="62"/>
      <c r="F413" s="62"/>
      <c r="J413" s="62"/>
      <c r="K413" s="129"/>
    </row>
    <row r="414">
      <c r="D414" s="62"/>
      <c r="E414" s="62"/>
      <c r="F414" s="62"/>
      <c r="J414" s="62"/>
      <c r="K414" s="129"/>
    </row>
    <row r="415">
      <c r="D415" s="62"/>
      <c r="E415" s="62"/>
      <c r="F415" s="62"/>
      <c r="J415" s="62"/>
      <c r="K415" s="129"/>
    </row>
    <row r="416">
      <c r="D416" s="62"/>
      <c r="E416" s="62"/>
      <c r="F416" s="62"/>
      <c r="J416" s="62"/>
      <c r="K416" s="129"/>
    </row>
    <row r="417">
      <c r="D417" s="62"/>
      <c r="E417" s="62"/>
      <c r="F417" s="62"/>
      <c r="J417" s="62"/>
      <c r="K417" s="129"/>
    </row>
    <row r="418">
      <c r="D418" s="62"/>
      <c r="E418" s="62"/>
      <c r="F418" s="62"/>
      <c r="J418" s="62"/>
      <c r="K418" s="129"/>
    </row>
    <row r="419">
      <c r="D419" s="62"/>
      <c r="E419" s="62"/>
      <c r="F419" s="62"/>
      <c r="J419" s="62"/>
      <c r="K419" s="129"/>
    </row>
    <row r="420">
      <c r="D420" s="62"/>
      <c r="E420" s="62"/>
      <c r="F420" s="62"/>
      <c r="J420" s="62"/>
      <c r="K420" s="129"/>
    </row>
    <row r="421">
      <c r="D421" s="62"/>
      <c r="E421" s="62"/>
      <c r="F421" s="62"/>
      <c r="J421" s="62"/>
      <c r="K421" s="129"/>
    </row>
    <row r="422">
      <c r="D422" s="62"/>
      <c r="E422" s="62"/>
      <c r="F422" s="62"/>
      <c r="J422" s="62"/>
      <c r="K422" s="129"/>
    </row>
    <row r="423">
      <c r="D423" s="62"/>
      <c r="E423" s="62"/>
      <c r="F423" s="62"/>
      <c r="J423" s="62"/>
      <c r="K423" s="129"/>
    </row>
    <row r="424">
      <c r="D424" s="62"/>
      <c r="E424" s="62"/>
      <c r="F424" s="62"/>
      <c r="J424" s="62"/>
      <c r="K424" s="129"/>
    </row>
    <row r="425">
      <c r="D425" s="62"/>
      <c r="E425" s="62"/>
      <c r="F425" s="62"/>
      <c r="J425" s="62"/>
      <c r="K425" s="129"/>
    </row>
    <row r="426">
      <c r="D426" s="62"/>
      <c r="E426" s="62"/>
      <c r="F426" s="62"/>
      <c r="J426" s="62"/>
      <c r="K426" s="129"/>
    </row>
    <row r="427">
      <c r="D427" s="62"/>
      <c r="E427" s="62"/>
      <c r="F427" s="62"/>
      <c r="J427" s="62"/>
      <c r="K427" s="129"/>
    </row>
    <row r="428">
      <c r="D428" s="62"/>
      <c r="E428" s="62"/>
      <c r="F428" s="62"/>
      <c r="J428" s="62"/>
      <c r="K428" s="129"/>
    </row>
    <row r="429">
      <c r="D429" s="62"/>
      <c r="E429" s="62"/>
      <c r="F429" s="62"/>
      <c r="J429" s="62"/>
      <c r="K429" s="129"/>
    </row>
    <row r="430">
      <c r="D430" s="62"/>
      <c r="E430" s="62"/>
      <c r="F430" s="62"/>
      <c r="J430" s="62"/>
      <c r="K430" s="129"/>
    </row>
    <row r="431">
      <c r="D431" s="62"/>
      <c r="E431" s="62"/>
      <c r="F431" s="62"/>
      <c r="J431" s="62"/>
      <c r="K431" s="129"/>
    </row>
    <row r="432">
      <c r="D432" s="62"/>
      <c r="E432" s="62"/>
      <c r="F432" s="62"/>
      <c r="J432" s="62"/>
      <c r="K432" s="129"/>
    </row>
    <row r="433">
      <c r="D433" s="62"/>
      <c r="E433" s="62"/>
      <c r="F433" s="62"/>
      <c r="J433" s="62"/>
      <c r="K433" s="129"/>
    </row>
    <row r="434">
      <c r="D434" s="62"/>
      <c r="E434" s="62"/>
      <c r="F434" s="62"/>
      <c r="J434" s="62"/>
      <c r="K434" s="129"/>
    </row>
    <row r="435">
      <c r="D435" s="62"/>
      <c r="E435" s="62"/>
      <c r="F435" s="62"/>
      <c r="J435" s="62"/>
      <c r="K435" s="129"/>
    </row>
    <row r="436">
      <c r="D436" s="62"/>
      <c r="E436" s="62"/>
      <c r="F436" s="62"/>
      <c r="J436" s="62"/>
      <c r="K436" s="129"/>
    </row>
    <row r="437">
      <c r="D437" s="62"/>
      <c r="E437" s="62"/>
      <c r="F437" s="62"/>
      <c r="J437" s="62"/>
      <c r="K437" s="129"/>
    </row>
    <row r="438">
      <c r="D438" s="62"/>
      <c r="E438" s="62"/>
      <c r="F438" s="62"/>
      <c r="J438" s="62"/>
      <c r="K438" s="129"/>
    </row>
    <row r="439">
      <c r="D439" s="62"/>
      <c r="E439" s="62"/>
      <c r="F439" s="62"/>
      <c r="J439" s="62"/>
      <c r="K439" s="129"/>
    </row>
    <row r="440">
      <c r="D440" s="62"/>
      <c r="E440" s="62"/>
      <c r="F440" s="62"/>
      <c r="J440" s="62"/>
      <c r="K440" s="129"/>
    </row>
    <row r="441">
      <c r="D441" s="62"/>
      <c r="E441" s="62"/>
      <c r="F441" s="62"/>
      <c r="J441" s="62"/>
      <c r="K441" s="129"/>
    </row>
    <row r="442">
      <c r="D442" s="62"/>
      <c r="E442" s="62"/>
      <c r="F442" s="62"/>
      <c r="J442" s="62"/>
      <c r="K442" s="129"/>
    </row>
    <row r="443">
      <c r="D443" s="62"/>
      <c r="E443" s="62"/>
      <c r="F443" s="62"/>
      <c r="J443" s="62"/>
      <c r="K443" s="129"/>
    </row>
    <row r="444">
      <c r="D444" s="62"/>
      <c r="E444" s="62"/>
      <c r="F444" s="62"/>
      <c r="J444" s="62"/>
      <c r="K444" s="129"/>
    </row>
    <row r="445">
      <c r="D445" s="62"/>
      <c r="E445" s="62"/>
      <c r="F445" s="62"/>
      <c r="J445" s="62"/>
      <c r="K445" s="129"/>
    </row>
    <row r="446">
      <c r="D446" s="62"/>
      <c r="E446" s="62"/>
      <c r="F446" s="62"/>
      <c r="J446" s="62"/>
      <c r="K446" s="129"/>
    </row>
    <row r="447">
      <c r="D447" s="62"/>
      <c r="E447" s="62"/>
      <c r="F447" s="62"/>
      <c r="J447" s="62"/>
      <c r="K447" s="129"/>
    </row>
    <row r="448">
      <c r="D448" s="62"/>
      <c r="E448" s="62"/>
      <c r="F448" s="62"/>
      <c r="J448" s="62"/>
      <c r="K448" s="129"/>
    </row>
    <row r="449">
      <c r="D449" s="62"/>
      <c r="E449" s="62"/>
      <c r="F449" s="62"/>
      <c r="J449" s="62"/>
      <c r="K449" s="129"/>
    </row>
    <row r="450">
      <c r="D450" s="62"/>
      <c r="E450" s="62"/>
      <c r="F450" s="62"/>
      <c r="J450" s="62"/>
      <c r="K450" s="129"/>
    </row>
    <row r="451">
      <c r="D451" s="62"/>
      <c r="E451" s="62"/>
      <c r="F451" s="62"/>
      <c r="J451" s="62"/>
      <c r="K451" s="129"/>
    </row>
    <row r="452">
      <c r="D452" s="62"/>
      <c r="E452" s="62"/>
      <c r="F452" s="62"/>
      <c r="J452" s="62"/>
      <c r="K452" s="129"/>
    </row>
    <row r="453">
      <c r="D453" s="62"/>
      <c r="E453" s="62"/>
      <c r="F453" s="62"/>
      <c r="J453" s="62"/>
      <c r="K453" s="129"/>
    </row>
    <row r="454">
      <c r="D454" s="62"/>
      <c r="E454" s="62"/>
      <c r="F454" s="62"/>
      <c r="J454" s="62"/>
      <c r="K454" s="129"/>
    </row>
    <row r="455">
      <c r="D455" s="62"/>
      <c r="E455" s="62"/>
      <c r="F455" s="62"/>
      <c r="J455" s="62"/>
      <c r="K455" s="129"/>
    </row>
    <row r="456">
      <c r="D456" s="62"/>
      <c r="E456" s="62"/>
      <c r="F456" s="62"/>
      <c r="J456" s="62"/>
      <c r="K456" s="129"/>
    </row>
    <row r="457">
      <c r="D457" s="62"/>
      <c r="E457" s="62"/>
      <c r="F457" s="62"/>
      <c r="J457" s="62"/>
      <c r="K457" s="129"/>
    </row>
    <row r="458">
      <c r="D458" s="62"/>
      <c r="E458" s="62"/>
      <c r="F458" s="62"/>
      <c r="J458" s="62"/>
      <c r="K458" s="129"/>
    </row>
    <row r="459">
      <c r="D459" s="62"/>
      <c r="E459" s="62"/>
      <c r="F459" s="62"/>
      <c r="J459" s="62"/>
      <c r="K459" s="129"/>
    </row>
    <row r="460">
      <c r="D460" s="62"/>
      <c r="E460" s="62"/>
      <c r="F460" s="62"/>
      <c r="J460" s="62"/>
      <c r="K460" s="129"/>
    </row>
    <row r="461">
      <c r="D461" s="62"/>
      <c r="E461" s="62"/>
      <c r="F461" s="62"/>
      <c r="J461" s="62"/>
      <c r="K461" s="129"/>
    </row>
    <row r="462">
      <c r="D462" s="62"/>
      <c r="E462" s="62"/>
      <c r="F462" s="62"/>
      <c r="J462" s="62"/>
      <c r="K462" s="129"/>
    </row>
    <row r="463">
      <c r="D463" s="62"/>
      <c r="E463" s="62"/>
      <c r="F463" s="62"/>
      <c r="J463" s="62"/>
      <c r="K463" s="129"/>
    </row>
    <row r="464">
      <c r="D464" s="62"/>
      <c r="E464" s="62"/>
      <c r="F464" s="62"/>
      <c r="J464" s="62"/>
      <c r="K464" s="129"/>
    </row>
    <row r="465">
      <c r="D465" s="62"/>
      <c r="E465" s="62"/>
      <c r="F465" s="62"/>
      <c r="J465" s="62"/>
      <c r="K465" s="129"/>
    </row>
    <row r="466">
      <c r="D466" s="62"/>
      <c r="E466" s="62"/>
      <c r="F466" s="62"/>
      <c r="J466" s="62"/>
      <c r="K466" s="129"/>
    </row>
    <row r="467">
      <c r="D467" s="62"/>
      <c r="E467" s="62"/>
      <c r="F467" s="62"/>
      <c r="J467" s="62"/>
      <c r="K467" s="129"/>
    </row>
    <row r="468">
      <c r="D468" s="62"/>
      <c r="E468" s="62"/>
      <c r="F468" s="62"/>
      <c r="J468" s="62"/>
      <c r="K468" s="129"/>
    </row>
    <row r="469">
      <c r="D469" s="62"/>
      <c r="E469" s="62"/>
      <c r="F469" s="62"/>
      <c r="J469" s="62"/>
      <c r="K469" s="129"/>
    </row>
    <row r="470">
      <c r="D470" s="62"/>
      <c r="E470" s="62"/>
      <c r="F470" s="62"/>
      <c r="J470" s="62"/>
      <c r="K470" s="129"/>
    </row>
    <row r="471">
      <c r="D471" s="62"/>
      <c r="E471" s="62"/>
      <c r="F471" s="62"/>
      <c r="J471" s="62"/>
      <c r="K471" s="129"/>
    </row>
    <row r="472">
      <c r="D472" s="62"/>
      <c r="E472" s="62"/>
      <c r="F472" s="62"/>
      <c r="J472" s="62"/>
      <c r="K472" s="129"/>
    </row>
    <row r="473">
      <c r="D473" s="62"/>
      <c r="E473" s="62"/>
      <c r="F473" s="62"/>
      <c r="J473" s="62"/>
      <c r="K473" s="129"/>
    </row>
    <row r="474">
      <c r="D474" s="62"/>
      <c r="E474" s="62"/>
      <c r="F474" s="62"/>
      <c r="J474" s="62"/>
      <c r="K474" s="129"/>
    </row>
    <row r="475">
      <c r="D475" s="62"/>
      <c r="E475" s="62"/>
      <c r="F475" s="62"/>
      <c r="J475" s="62"/>
      <c r="K475" s="129"/>
    </row>
    <row r="476">
      <c r="D476" s="62"/>
      <c r="E476" s="62"/>
      <c r="F476" s="62"/>
      <c r="J476" s="62"/>
      <c r="K476" s="129"/>
    </row>
    <row r="477">
      <c r="D477" s="62"/>
      <c r="E477" s="62"/>
      <c r="F477" s="62"/>
      <c r="J477" s="62"/>
      <c r="K477" s="129"/>
    </row>
    <row r="478">
      <c r="D478" s="62"/>
      <c r="E478" s="62"/>
      <c r="F478" s="62"/>
      <c r="J478" s="62"/>
      <c r="K478" s="129"/>
    </row>
    <row r="479">
      <c r="D479" s="62"/>
      <c r="E479" s="62"/>
      <c r="F479" s="62"/>
      <c r="J479" s="62"/>
      <c r="K479" s="129"/>
    </row>
    <row r="480">
      <c r="D480" s="62"/>
      <c r="E480" s="62"/>
      <c r="F480" s="62"/>
      <c r="J480" s="62"/>
      <c r="K480" s="129"/>
    </row>
    <row r="481">
      <c r="D481" s="62"/>
      <c r="E481" s="62"/>
      <c r="F481" s="62"/>
      <c r="J481" s="62"/>
      <c r="K481" s="129"/>
    </row>
    <row r="482">
      <c r="D482" s="62"/>
      <c r="E482" s="62"/>
      <c r="F482" s="62"/>
      <c r="J482" s="62"/>
      <c r="K482" s="129"/>
    </row>
    <row r="483">
      <c r="D483" s="62"/>
      <c r="E483" s="62"/>
      <c r="F483" s="62"/>
      <c r="J483" s="62"/>
      <c r="K483" s="129"/>
    </row>
    <row r="484">
      <c r="D484" s="62"/>
      <c r="E484" s="62"/>
      <c r="F484" s="62"/>
      <c r="J484" s="62"/>
      <c r="K484" s="129"/>
    </row>
    <row r="485">
      <c r="D485" s="62"/>
      <c r="E485" s="62"/>
      <c r="F485" s="62"/>
      <c r="J485" s="62"/>
      <c r="K485" s="129"/>
    </row>
    <row r="486">
      <c r="D486" s="62"/>
      <c r="E486" s="62"/>
      <c r="F486" s="62"/>
      <c r="J486" s="62"/>
      <c r="K486" s="129"/>
    </row>
    <row r="487">
      <c r="D487" s="62"/>
      <c r="E487" s="62"/>
      <c r="F487" s="62"/>
      <c r="J487" s="62"/>
      <c r="K487" s="129"/>
    </row>
    <row r="488">
      <c r="D488" s="62"/>
      <c r="E488" s="62"/>
      <c r="F488" s="62"/>
      <c r="J488" s="62"/>
      <c r="K488" s="129"/>
    </row>
    <row r="489">
      <c r="D489" s="62"/>
      <c r="E489" s="62"/>
      <c r="F489" s="62"/>
      <c r="J489" s="62"/>
      <c r="K489" s="129"/>
    </row>
    <row r="490">
      <c r="D490" s="62"/>
      <c r="E490" s="62"/>
      <c r="F490" s="62"/>
      <c r="J490" s="62"/>
      <c r="K490" s="129"/>
    </row>
    <row r="491">
      <c r="D491" s="62"/>
      <c r="E491" s="62"/>
      <c r="F491" s="62"/>
      <c r="J491" s="62"/>
      <c r="K491" s="129"/>
    </row>
    <row r="492">
      <c r="D492" s="62"/>
      <c r="E492" s="62"/>
      <c r="F492" s="62"/>
      <c r="J492" s="62"/>
      <c r="K492" s="129"/>
    </row>
    <row r="493">
      <c r="D493" s="62"/>
      <c r="E493" s="62"/>
      <c r="F493" s="62"/>
      <c r="J493" s="62"/>
      <c r="K493" s="129"/>
    </row>
    <row r="494">
      <c r="D494" s="62"/>
      <c r="E494" s="62"/>
      <c r="F494" s="62"/>
      <c r="J494" s="62"/>
      <c r="K494" s="129"/>
    </row>
    <row r="495">
      <c r="D495" s="62"/>
      <c r="E495" s="62"/>
      <c r="F495" s="62"/>
      <c r="J495" s="62"/>
      <c r="K495" s="129"/>
    </row>
    <row r="496">
      <c r="D496" s="62"/>
      <c r="E496" s="62"/>
      <c r="F496" s="62"/>
      <c r="J496" s="62"/>
      <c r="K496" s="129"/>
    </row>
    <row r="497">
      <c r="D497" s="62"/>
      <c r="E497" s="62"/>
      <c r="F497" s="62"/>
      <c r="J497" s="62"/>
      <c r="K497" s="129"/>
    </row>
    <row r="498">
      <c r="D498" s="62"/>
      <c r="E498" s="62"/>
      <c r="F498" s="62"/>
      <c r="J498" s="62"/>
      <c r="K498" s="129"/>
    </row>
    <row r="499">
      <c r="D499" s="62"/>
      <c r="E499" s="62"/>
      <c r="F499" s="62"/>
      <c r="J499" s="62"/>
      <c r="K499" s="129"/>
    </row>
    <row r="500">
      <c r="D500" s="62"/>
      <c r="E500" s="62"/>
      <c r="F500" s="62"/>
      <c r="J500" s="62"/>
      <c r="K500" s="129"/>
    </row>
    <row r="501">
      <c r="D501" s="62"/>
      <c r="E501" s="62"/>
      <c r="F501" s="62"/>
      <c r="J501" s="62"/>
      <c r="K501" s="129"/>
    </row>
    <row r="502">
      <c r="D502" s="62"/>
      <c r="E502" s="62"/>
      <c r="F502" s="62"/>
      <c r="J502" s="62"/>
      <c r="K502" s="129"/>
    </row>
    <row r="503">
      <c r="D503" s="62"/>
      <c r="E503" s="62"/>
      <c r="F503" s="62"/>
      <c r="J503" s="62"/>
      <c r="K503" s="129"/>
    </row>
    <row r="504">
      <c r="D504" s="62"/>
      <c r="E504" s="62"/>
      <c r="F504" s="62"/>
      <c r="J504" s="62"/>
      <c r="K504" s="129"/>
    </row>
    <row r="505">
      <c r="D505" s="62"/>
      <c r="E505" s="62"/>
      <c r="F505" s="62"/>
      <c r="J505" s="62"/>
      <c r="K505" s="129"/>
    </row>
    <row r="506">
      <c r="D506" s="62"/>
      <c r="E506" s="62"/>
      <c r="F506" s="62"/>
      <c r="J506" s="62"/>
      <c r="K506" s="129"/>
    </row>
    <row r="507">
      <c r="D507" s="62"/>
      <c r="E507" s="62"/>
      <c r="F507" s="62"/>
      <c r="J507" s="62"/>
      <c r="K507" s="129"/>
    </row>
    <row r="508">
      <c r="D508" s="62"/>
      <c r="E508" s="62"/>
      <c r="F508" s="62"/>
      <c r="J508" s="62"/>
      <c r="K508" s="129"/>
    </row>
    <row r="509">
      <c r="D509" s="62"/>
      <c r="E509" s="62"/>
      <c r="F509" s="62"/>
      <c r="J509" s="62"/>
      <c r="K509" s="129"/>
    </row>
    <row r="510">
      <c r="D510" s="62"/>
      <c r="E510" s="62"/>
      <c r="F510" s="62"/>
      <c r="J510" s="62"/>
      <c r="K510" s="129"/>
    </row>
    <row r="511">
      <c r="D511" s="62"/>
      <c r="E511" s="62"/>
      <c r="F511" s="62"/>
      <c r="J511" s="62"/>
      <c r="K511" s="129"/>
    </row>
    <row r="512">
      <c r="D512" s="62"/>
      <c r="E512" s="62"/>
      <c r="F512" s="62"/>
      <c r="J512" s="62"/>
      <c r="K512" s="129"/>
    </row>
    <row r="513">
      <c r="D513" s="62"/>
      <c r="E513" s="62"/>
      <c r="F513" s="62"/>
      <c r="J513" s="62"/>
      <c r="K513" s="129"/>
    </row>
    <row r="514">
      <c r="D514" s="62"/>
      <c r="E514" s="62"/>
      <c r="F514" s="62"/>
      <c r="J514" s="62"/>
      <c r="K514" s="129"/>
    </row>
    <row r="515">
      <c r="D515" s="62"/>
      <c r="E515" s="62"/>
      <c r="F515" s="62"/>
      <c r="J515" s="62"/>
      <c r="K515" s="129"/>
    </row>
    <row r="516">
      <c r="D516" s="62"/>
      <c r="E516" s="62"/>
      <c r="F516" s="62"/>
      <c r="J516" s="62"/>
      <c r="K516" s="129"/>
    </row>
    <row r="517">
      <c r="D517" s="62"/>
      <c r="E517" s="62"/>
      <c r="F517" s="62"/>
      <c r="J517" s="62"/>
      <c r="K517" s="129"/>
    </row>
    <row r="518">
      <c r="D518" s="62"/>
      <c r="E518" s="62"/>
      <c r="F518" s="62"/>
      <c r="J518" s="62"/>
      <c r="K518" s="129"/>
    </row>
    <row r="519">
      <c r="D519" s="62"/>
      <c r="E519" s="62"/>
      <c r="F519" s="62"/>
      <c r="J519" s="62"/>
      <c r="K519" s="129"/>
    </row>
    <row r="520">
      <c r="D520" s="62"/>
      <c r="E520" s="62"/>
      <c r="F520" s="62"/>
      <c r="J520" s="62"/>
      <c r="K520" s="129"/>
    </row>
    <row r="521">
      <c r="D521" s="62"/>
      <c r="E521" s="62"/>
      <c r="F521" s="62"/>
      <c r="J521" s="62"/>
      <c r="K521" s="129"/>
    </row>
    <row r="522">
      <c r="D522" s="62"/>
      <c r="E522" s="62"/>
      <c r="F522" s="62"/>
      <c r="J522" s="62"/>
      <c r="K522" s="129"/>
    </row>
    <row r="523">
      <c r="D523" s="62"/>
      <c r="E523" s="62"/>
      <c r="F523" s="62"/>
      <c r="J523" s="62"/>
      <c r="K523" s="129"/>
    </row>
    <row r="524">
      <c r="D524" s="62"/>
      <c r="E524" s="62"/>
      <c r="F524" s="62"/>
      <c r="J524" s="62"/>
      <c r="K524" s="129"/>
    </row>
    <row r="525">
      <c r="D525" s="62"/>
      <c r="E525" s="62"/>
      <c r="F525" s="62"/>
      <c r="J525" s="62"/>
      <c r="K525" s="129"/>
    </row>
    <row r="526">
      <c r="D526" s="62"/>
      <c r="E526" s="62"/>
      <c r="F526" s="62"/>
      <c r="J526" s="62"/>
      <c r="K526" s="129"/>
    </row>
    <row r="527">
      <c r="D527" s="62"/>
      <c r="E527" s="62"/>
      <c r="F527" s="62"/>
      <c r="J527" s="62"/>
      <c r="K527" s="129"/>
    </row>
    <row r="528">
      <c r="D528" s="62"/>
      <c r="E528" s="62"/>
      <c r="F528" s="62"/>
      <c r="J528" s="62"/>
      <c r="K528" s="129"/>
    </row>
    <row r="529">
      <c r="D529" s="62"/>
      <c r="E529" s="62"/>
      <c r="F529" s="62"/>
      <c r="J529" s="62"/>
      <c r="K529" s="129"/>
    </row>
    <row r="530">
      <c r="D530" s="62"/>
      <c r="E530" s="62"/>
      <c r="F530" s="62"/>
      <c r="J530" s="62"/>
      <c r="K530" s="129"/>
    </row>
    <row r="531">
      <c r="D531" s="62"/>
      <c r="E531" s="62"/>
      <c r="F531" s="62"/>
      <c r="J531" s="62"/>
      <c r="K531" s="129"/>
    </row>
    <row r="532">
      <c r="D532" s="62"/>
      <c r="E532" s="62"/>
      <c r="F532" s="62"/>
      <c r="J532" s="62"/>
      <c r="K532" s="129"/>
    </row>
    <row r="533">
      <c r="D533" s="62"/>
      <c r="E533" s="62"/>
      <c r="F533" s="62"/>
      <c r="J533" s="62"/>
      <c r="K533" s="129"/>
    </row>
    <row r="534">
      <c r="D534" s="62"/>
      <c r="E534" s="62"/>
      <c r="F534" s="62"/>
      <c r="J534" s="62"/>
      <c r="K534" s="129"/>
    </row>
    <row r="535">
      <c r="D535" s="62"/>
      <c r="E535" s="62"/>
      <c r="F535" s="62"/>
      <c r="J535" s="62"/>
      <c r="K535" s="129"/>
    </row>
    <row r="536">
      <c r="D536" s="62"/>
      <c r="E536" s="62"/>
      <c r="F536" s="62"/>
      <c r="J536" s="62"/>
      <c r="K536" s="129"/>
    </row>
    <row r="537">
      <c r="D537" s="62"/>
      <c r="E537" s="62"/>
      <c r="F537" s="62"/>
      <c r="J537" s="62"/>
      <c r="K537" s="129"/>
    </row>
    <row r="538">
      <c r="D538" s="62"/>
      <c r="E538" s="62"/>
      <c r="F538" s="62"/>
      <c r="J538" s="62"/>
      <c r="K538" s="129"/>
    </row>
    <row r="539">
      <c r="D539" s="62"/>
      <c r="E539" s="62"/>
      <c r="F539" s="62"/>
      <c r="J539" s="62"/>
      <c r="K539" s="129"/>
    </row>
    <row r="540">
      <c r="D540" s="62"/>
      <c r="E540" s="62"/>
      <c r="F540" s="62"/>
      <c r="J540" s="62"/>
      <c r="K540" s="129"/>
    </row>
    <row r="541">
      <c r="D541" s="62"/>
      <c r="E541" s="62"/>
      <c r="F541" s="62"/>
      <c r="J541" s="62"/>
      <c r="K541" s="129"/>
    </row>
    <row r="542">
      <c r="D542" s="62"/>
      <c r="E542" s="62"/>
      <c r="F542" s="62"/>
      <c r="J542" s="62"/>
      <c r="K542" s="129"/>
    </row>
    <row r="543">
      <c r="D543" s="62"/>
      <c r="E543" s="62"/>
      <c r="F543" s="62"/>
      <c r="J543" s="62"/>
      <c r="K543" s="129"/>
    </row>
    <row r="544">
      <c r="D544" s="62"/>
      <c r="E544" s="62"/>
      <c r="F544" s="62"/>
      <c r="J544" s="62"/>
      <c r="K544" s="129"/>
    </row>
    <row r="545">
      <c r="D545" s="62"/>
      <c r="E545" s="62"/>
      <c r="F545" s="62"/>
      <c r="J545" s="62"/>
      <c r="K545" s="129"/>
    </row>
    <row r="546">
      <c r="D546" s="62"/>
      <c r="E546" s="62"/>
      <c r="F546" s="62"/>
      <c r="J546" s="62"/>
      <c r="K546" s="129"/>
    </row>
    <row r="547">
      <c r="D547" s="62"/>
      <c r="E547" s="62"/>
      <c r="F547" s="62"/>
      <c r="J547" s="62"/>
      <c r="K547" s="129"/>
    </row>
    <row r="548">
      <c r="D548" s="62"/>
      <c r="E548" s="62"/>
      <c r="F548" s="62"/>
      <c r="J548" s="62"/>
      <c r="K548" s="129"/>
    </row>
    <row r="549">
      <c r="D549" s="62"/>
      <c r="E549" s="62"/>
      <c r="F549" s="62"/>
      <c r="J549" s="62"/>
      <c r="K549" s="129"/>
    </row>
    <row r="550">
      <c r="D550" s="62"/>
      <c r="E550" s="62"/>
      <c r="F550" s="62"/>
      <c r="J550" s="62"/>
      <c r="K550" s="129"/>
    </row>
    <row r="551">
      <c r="D551" s="62"/>
      <c r="E551" s="62"/>
      <c r="F551" s="62"/>
      <c r="J551" s="62"/>
      <c r="K551" s="129"/>
    </row>
    <row r="552">
      <c r="D552" s="62"/>
      <c r="E552" s="62"/>
      <c r="F552" s="62"/>
      <c r="J552" s="62"/>
      <c r="K552" s="129"/>
    </row>
    <row r="553">
      <c r="D553" s="62"/>
      <c r="E553" s="62"/>
      <c r="F553" s="62"/>
      <c r="J553" s="62"/>
      <c r="K553" s="129"/>
    </row>
    <row r="554">
      <c r="D554" s="62"/>
      <c r="E554" s="62"/>
      <c r="F554" s="62"/>
      <c r="J554" s="62"/>
      <c r="K554" s="129"/>
    </row>
    <row r="555">
      <c r="D555" s="62"/>
      <c r="E555" s="62"/>
      <c r="F555" s="62"/>
      <c r="J555" s="62"/>
      <c r="K555" s="129"/>
    </row>
    <row r="556">
      <c r="D556" s="62"/>
      <c r="E556" s="62"/>
      <c r="F556" s="62"/>
      <c r="J556" s="62"/>
      <c r="K556" s="129"/>
    </row>
    <row r="557">
      <c r="D557" s="62"/>
      <c r="E557" s="62"/>
      <c r="F557" s="62"/>
      <c r="J557" s="62"/>
      <c r="K557" s="129"/>
    </row>
    <row r="558">
      <c r="D558" s="62"/>
      <c r="E558" s="62"/>
      <c r="F558" s="62"/>
      <c r="J558" s="62"/>
      <c r="K558" s="129"/>
    </row>
    <row r="559">
      <c r="D559" s="62"/>
      <c r="E559" s="62"/>
      <c r="F559" s="62"/>
      <c r="J559" s="62"/>
      <c r="K559" s="129"/>
    </row>
    <row r="560">
      <c r="D560" s="62"/>
      <c r="E560" s="62"/>
      <c r="F560" s="62"/>
      <c r="J560" s="62"/>
      <c r="K560" s="129"/>
    </row>
    <row r="561">
      <c r="D561" s="62"/>
      <c r="E561" s="62"/>
      <c r="F561" s="62"/>
      <c r="J561" s="62"/>
      <c r="K561" s="129"/>
    </row>
    <row r="562">
      <c r="D562" s="62"/>
      <c r="E562" s="62"/>
      <c r="F562" s="62"/>
      <c r="J562" s="62"/>
      <c r="K562" s="129"/>
    </row>
    <row r="563">
      <c r="D563" s="62"/>
      <c r="E563" s="62"/>
      <c r="F563" s="62"/>
      <c r="J563" s="62"/>
      <c r="K563" s="129"/>
    </row>
    <row r="564">
      <c r="D564" s="62"/>
      <c r="E564" s="62"/>
      <c r="F564" s="62"/>
      <c r="J564" s="62"/>
      <c r="K564" s="129"/>
    </row>
    <row r="565">
      <c r="D565" s="62"/>
      <c r="E565" s="62"/>
      <c r="F565" s="62"/>
      <c r="J565" s="62"/>
      <c r="K565" s="129"/>
    </row>
    <row r="566">
      <c r="D566" s="62"/>
      <c r="E566" s="62"/>
      <c r="F566" s="62"/>
      <c r="J566" s="62"/>
      <c r="K566" s="129"/>
    </row>
    <row r="567">
      <c r="D567" s="62"/>
      <c r="E567" s="62"/>
      <c r="F567" s="62"/>
      <c r="J567" s="62"/>
      <c r="K567" s="129"/>
    </row>
    <row r="568">
      <c r="D568" s="62"/>
      <c r="E568" s="62"/>
      <c r="F568" s="62"/>
      <c r="J568" s="62"/>
      <c r="K568" s="129"/>
    </row>
    <row r="569">
      <c r="D569" s="62"/>
      <c r="E569" s="62"/>
      <c r="F569" s="62"/>
      <c r="J569" s="62"/>
      <c r="K569" s="129"/>
    </row>
    <row r="570">
      <c r="D570" s="62"/>
      <c r="E570" s="62"/>
      <c r="F570" s="62"/>
      <c r="J570" s="62"/>
      <c r="K570" s="129"/>
    </row>
    <row r="571">
      <c r="D571" s="62"/>
      <c r="E571" s="62"/>
      <c r="F571" s="62"/>
      <c r="J571" s="62"/>
      <c r="K571" s="129"/>
    </row>
    <row r="572">
      <c r="D572" s="62"/>
      <c r="E572" s="62"/>
      <c r="F572" s="62"/>
      <c r="J572" s="62"/>
      <c r="K572" s="129"/>
    </row>
    <row r="573">
      <c r="D573" s="62"/>
      <c r="E573" s="62"/>
      <c r="F573" s="62"/>
      <c r="J573" s="62"/>
      <c r="K573" s="129"/>
    </row>
    <row r="574">
      <c r="D574" s="62"/>
      <c r="E574" s="62"/>
      <c r="F574" s="62"/>
      <c r="J574" s="62"/>
      <c r="K574" s="129"/>
    </row>
    <row r="575">
      <c r="D575" s="62"/>
      <c r="E575" s="62"/>
      <c r="F575" s="62"/>
      <c r="J575" s="62"/>
      <c r="K575" s="129"/>
    </row>
    <row r="576">
      <c r="D576" s="62"/>
      <c r="E576" s="62"/>
      <c r="F576" s="62"/>
      <c r="J576" s="62"/>
      <c r="K576" s="129"/>
    </row>
    <row r="577">
      <c r="D577" s="62"/>
      <c r="E577" s="62"/>
      <c r="F577" s="62"/>
      <c r="J577" s="62"/>
      <c r="K577" s="129"/>
    </row>
    <row r="578">
      <c r="D578" s="62"/>
      <c r="E578" s="62"/>
      <c r="F578" s="62"/>
      <c r="J578" s="62"/>
      <c r="K578" s="129"/>
    </row>
    <row r="579">
      <c r="D579" s="62"/>
      <c r="E579" s="62"/>
      <c r="F579" s="62"/>
      <c r="J579" s="62"/>
      <c r="K579" s="129"/>
    </row>
    <row r="580">
      <c r="D580" s="62"/>
      <c r="E580" s="62"/>
      <c r="F580" s="62"/>
      <c r="J580" s="62"/>
      <c r="K580" s="129"/>
    </row>
    <row r="581">
      <c r="D581" s="62"/>
      <c r="E581" s="62"/>
      <c r="F581" s="62"/>
      <c r="J581" s="62"/>
      <c r="K581" s="129"/>
    </row>
    <row r="582">
      <c r="D582" s="62"/>
      <c r="E582" s="62"/>
      <c r="F582" s="62"/>
      <c r="J582" s="62"/>
      <c r="K582" s="129"/>
    </row>
    <row r="583">
      <c r="D583" s="62"/>
      <c r="E583" s="62"/>
      <c r="F583" s="62"/>
      <c r="J583" s="62"/>
      <c r="K583" s="129"/>
    </row>
    <row r="584">
      <c r="D584" s="62"/>
      <c r="E584" s="62"/>
      <c r="F584" s="62"/>
      <c r="J584" s="62"/>
      <c r="K584" s="129"/>
    </row>
    <row r="585">
      <c r="D585" s="62"/>
      <c r="E585" s="62"/>
      <c r="F585" s="62"/>
      <c r="J585" s="62"/>
      <c r="K585" s="129"/>
    </row>
    <row r="586">
      <c r="D586" s="62"/>
      <c r="E586" s="62"/>
      <c r="F586" s="62"/>
      <c r="J586" s="62"/>
      <c r="K586" s="129"/>
    </row>
    <row r="587">
      <c r="D587" s="62"/>
      <c r="E587" s="62"/>
      <c r="F587" s="62"/>
      <c r="J587" s="62"/>
      <c r="K587" s="129"/>
    </row>
    <row r="588">
      <c r="D588" s="62"/>
      <c r="E588" s="62"/>
      <c r="F588" s="62"/>
      <c r="J588" s="62"/>
      <c r="K588" s="129"/>
    </row>
    <row r="589">
      <c r="D589" s="62"/>
      <c r="E589" s="62"/>
      <c r="F589" s="62"/>
      <c r="J589" s="62"/>
      <c r="K589" s="129"/>
    </row>
    <row r="590">
      <c r="D590" s="62"/>
      <c r="E590" s="62"/>
      <c r="F590" s="62"/>
      <c r="J590" s="62"/>
      <c r="K590" s="129"/>
    </row>
    <row r="591">
      <c r="D591" s="62"/>
      <c r="E591" s="62"/>
      <c r="F591" s="62"/>
      <c r="J591" s="62"/>
      <c r="K591" s="129"/>
    </row>
    <row r="592">
      <c r="D592" s="62"/>
      <c r="E592" s="62"/>
      <c r="F592" s="62"/>
      <c r="J592" s="62"/>
      <c r="K592" s="129"/>
    </row>
    <row r="593">
      <c r="D593" s="62"/>
      <c r="E593" s="62"/>
      <c r="F593" s="62"/>
      <c r="J593" s="62"/>
      <c r="K593" s="129"/>
    </row>
    <row r="594">
      <c r="D594" s="62"/>
      <c r="E594" s="62"/>
      <c r="F594" s="62"/>
      <c r="J594" s="62"/>
      <c r="K594" s="129"/>
    </row>
    <row r="595">
      <c r="D595" s="62"/>
      <c r="E595" s="62"/>
      <c r="F595" s="62"/>
      <c r="J595" s="62"/>
      <c r="K595" s="129"/>
    </row>
    <row r="596">
      <c r="D596" s="62"/>
      <c r="E596" s="62"/>
      <c r="F596" s="62"/>
      <c r="J596" s="62"/>
      <c r="K596" s="129"/>
    </row>
    <row r="597">
      <c r="D597" s="62"/>
      <c r="E597" s="62"/>
      <c r="F597" s="62"/>
      <c r="J597" s="62"/>
      <c r="K597" s="129"/>
    </row>
    <row r="598">
      <c r="D598" s="62"/>
      <c r="E598" s="62"/>
      <c r="F598" s="62"/>
      <c r="J598" s="62"/>
      <c r="K598" s="129"/>
    </row>
    <row r="599">
      <c r="D599" s="62"/>
      <c r="E599" s="62"/>
      <c r="F599" s="62"/>
      <c r="J599" s="62"/>
      <c r="K599" s="129"/>
    </row>
    <row r="600">
      <c r="D600" s="62"/>
      <c r="E600" s="62"/>
      <c r="F600" s="62"/>
      <c r="J600" s="62"/>
      <c r="K600" s="129"/>
    </row>
    <row r="601">
      <c r="D601" s="62"/>
      <c r="E601" s="62"/>
      <c r="F601" s="62"/>
      <c r="J601" s="62"/>
      <c r="K601" s="129"/>
    </row>
    <row r="602">
      <c r="D602" s="62"/>
      <c r="E602" s="62"/>
      <c r="F602" s="62"/>
      <c r="J602" s="62"/>
      <c r="K602" s="129"/>
    </row>
    <row r="603">
      <c r="D603" s="62"/>
      <c r="E603" s="62"/>
      <c r="F603" s="62"/>
      <c r="J603" s="62"/>
      <c r="K603" s="129"/>
    </row>
    <row r="604">
      <c r="D604" s="62"/>
      <c r="E604" s="62"/>
      <c r="F604" s="62"/>
      <c r="J604" s="62"/>
      <c r="K604" s="129"/>
    </row>
    <row r="605">
      <c r="D605" s="62"/>
      <c r="E605" s="62"/>
      <c r="F605" s="62"/>
      <c r="J605" s="62"/>
      <c r="K605" s="129"/>
    </row>
    <row r="606">
      <c r="D606" s="62"/>
      <c r="E606" s="62"/>
      <c r="F606" s="62"/>
      <c r="J606" s="62"/>
      <c r="K606" s="129"/>
    </row>
    <row r="607">
      <c r="D607" s="62"/>
      <c r="E607" s="62"/>
      <c r="F607" s="62"/>
      <c r="J607" s="62"/>
      <c r="K607" s="129"/>
    </row>
    <row r="608">
      <c r="D608" s="62"/>
      <c r="E608" s="62"/>
      <c r="F608" s="62"/>
      <c r="J608" s="62"/>
      <c r="K608" s="129"/>
    </row>
    <row r="609">
      <c r="D609" s="62"/>
      <c r="E609" s="62"/>
      <c r="F609" s="62"/>
      <c r="J609" s="62"/>
      <c r="K609" s="129"/>
    </row>
    <row r="610">
      <c r="D610" s="62"/>
      <c r="E610" s="62"/>
      <c r="F610" s="62"/>
      <c r="J610" s="62"/>
      <c r="K610" s="129"/>
    </row>
    <row r="611">
      <c r="D611" s="62"/>
      <c r="E611" s="62"/>
      <c r="F611" s="62"/>
      <c r="J611" s="62"/>
      <c r="K611" s="129"/>
    </row>
    <row r="612">
      <c r="D612" s="62"/>
      <c r="E612" s="62"/>
      <c r="F612" s="62"/>
      <c r="J612" s="62"/>
      <c r="K612" s="129"/>
    </row>
    <row r="613">
      <c r="D613" s="62"/>
      <c r="E613" s="62"/>
      <c r="F613" s="62"/>
      <c r="J613" s="62"/>
      <c r="K613" s="129"/>
    </row>
    <row r="614">
      <c r="D614" s="62"/>
      <c r="E614" s="62"/>
      <c r="F614" s="62"/>
      <c r="J614" s="62"/>
      <c r="K614" s="129"/>
    </row>
    <row r="615">
      <c r="D615" s="62"/>
      <c r="E615" s="62"/>
      <c r="F615" s="62"/>
      <c r="J615" s="62"/>
      <c r="K615" s="129"/>
    </row>
    <row r="616">
      <c r="D616" s="62"/>
      <c r="E616" s="62"/>
      <c r="F616" s="62"/>
      <c r="J616" s="62"/>
      <c r="K616" s="129"/>
    </row>
    <row r="617">
      <c r="D617" s="62"/>
      <c r="E617" s="62"/>
      <c r="F617" s="62"/>
      <c r="J617" s="62"/>
      <c r="K617" s="129"/>
    </row>
    <row r="618">
      <c r="D618" s="62"/>
      <c r="E618" s="62"/>
      <c r="F618" s="62"/>
      <c r="J618" s="62"/>
      <c r="K618" s="129"/>
    </row>
    <row r="619">
      <c r="D619" s="62"/>
      <c r="E619" s="62"/>
      <c r="F619" s="62"/>
      <c r="J619" s="62"/>
      <c r="K619" s="129"/>
    </row>
    <row r="620">
      <c r="D620" s="62"/>
      <c r="E620" s="62"/>
      <c r="F620" s="62"/>
      <c r="J620" s="62"/>
      <c r="K620" s="129"/>
    </row>
    <row r="621">
      <c r="D621" s="62"/>
      <c r="E621" s="62"/>
      <c r="F621" s="62"/>
      <c r="J621" s="62"/>
      <c r="K621" s="129"/>
    </row>
    <row r="622">
      <c r="D622" s="62"/>
      <c r="E622" s="62"/>
      <c r="F622" s="62"/>
      <c r="J622" s="62"/>
      <c r="K622" s="129"/>
    </row>
    <row r="623">
      <c r="D623" s="62"/>
      <c r="E623" s="62"/>
      <c r="F623" s="62"/>
      <c r="J623" s="62"/>
      <c r="K623" s="129"/>
    </row>
    <row r="624">
      <c r="D624" s="62"/>
      <c r="E624" s="62"/>
      <c r="F624" s="62"/>
      <c r="J624" s="62"/>
      <c r="K624" s="129"/>
    </row>
    <row r="625">
      <c r="D625" s="62"/>
      <c r="E625" s="62"/>
      <c r="F625" s="62"/>
      <c r="J625" s="62"/>
      <c r="K625" s="129"/>
    </row>
    <row r="626">
      <c r="D626" s="62"/>
      <c r="E626" s="62"/>
      <c r="F626" s="62"/>
      <c r="J626" s="62"/>
      <c r="K626" s="129"/>
    </row>
    <row r="627">
      <c r="D627" s="62"/>
      <c r="E627" s="62"/>
      <c r="F627" s="62"/>
      <c r="J627" s="62"/>
      <c r="K627" s="129"/>
    </row>
    <row r="628">
      <c r="D628" s="62"/>
      <c r="E628" s="62"/>
      <c r="F628" s="62"/>
      <c r="J628" s="62"/>
      <c r="K628" s="129"/>
    </row>
    <row r="629">
      <c r="D629" s="62"/>
      <c r="E629" s="62"/>
      <c r="F629" s="62"/>
      <c r="J629" s="62"/>
      <c r="K629" s="129"/>
    </row>
    <row r="630">
      <c r="D630" s="62"/>
      <c r="E630" s="62"/>
      <c r="F630" s="62"/>
      <c r="J630" s="62"/>
      <c r="K630" s="129"/>
    </row>
    <row r="631">
      <c r="D631" s="62"/>
      <c r="E631" s="62"/>
      <c r="F631" s="62"/>
      <c r="J631" s="62"/>
      <c r="K631" s="129"/>
    </row>
    <row r="632">
      <c r="D632" s="62"/>
      <c r="E632" s="62"/>
      <c r="F632" s="62"/>
      <c r="J632" s="62"/>
      <c r="K632" s="129"/>
    </row>
    <row r="633">
      <c r="D633" s="62"/>
      <c r="E633" s="62"/>
      <c r="F633" s="62"/>
      <c r="J633" s="62"/>
      <c r="K633" s="129"/>
    </row>
    <row r="634">
      <c r="D634" s="62"/>
      <c r="E634" s="62"/>
      <c r="F634" s="62"/>
      <c r="J634" s="62"/>
      <c r="K634" s="129"/>
    </row>
    <row r="635">
      <c r="D635" s="62"/>
      <c r="E635" s="62"/>
      <c r="F635" s="62"/>
      <c r="J635" s="62"/>
      <c r="K635" s="129"/>
    </row>
    <row r="636">
      <c r="D636" s="62"/>
      <c r="E636" s="62"/>
      <c r="F636" s="62"/>
      <c r="J636" s="62"/>
      <c r="K636" s="129"/>
    </row>
    <row r="637">
      <c r="D637" s="62"/>
      <c r="E637" s="62"/>
      <c r="F637" s="62"/>
      <c r="J637" s="62"/>
      <c r="K637" s="129"/>
    </row>
    <row r="638">
      <c r="D638" s="62"/>
      <c r="E638" s="62"/>
      <c r="F638" s="62"/>
      <c r="J638" s="62"/>
      <c r="K638" s="129"/>
    </row>
    <row r="639">
      <c r="D639" s="62"/>
      <c r="E639" s="62"/>
      <c r="F639" s="62"/>
      <c r="J639" s="62"/>
      <c r="K639" s="129"/>
    </row>
    <row r="640">
      <c r="D640" s="62"/>
      <c r="E640" s="62"/>
      <c r="F640" s="62"/>
      <c r="J640" s="62"/>
      <c r="K640" s="129"/>
    </row>
    <row r="641">
      <c r="D641" s="62"/>
      <c r="E641" s="62"/>
      <c r="F641" s="62"/>
      <c r="J641" s="62"/>
      <c r="K641" s="129"/>
    </row>
    <row r="642">
      <c r="D642" s="62"/>
      <c r="E642" s="62"/>
      <c r="F642" s="62"/>
      <c r="J642" s="62"/>
      <c r="K642" s="129"/>
    </row>
    <row r="643">
      <c r="D643" s="62"/>
      <c r="E643" s="62"/>
      <c r="F643" s="62"/>
      <c r="J643" s="62"/>
      <c r="K643" s="129"/>
    </row>
    <row r="644">
      <c r="D644" s="62"/>
      <c r="E644" s="62"/>
      <c r="F644" s="62"/>
      <c r="J644" s="62"/>
      <c r="K644" s="129"/>
    </row>
    <row r="645">
      <c r="D645" s="62"/>
      <c r="E645" s="62"/>
      <c r="F645" s="62"/>
      <c r="J645" s="62"/>
      <c r="K645" s="129"/>
    </row>
    <row r="646">
      <c r="D646" s="62"/>
      <c r="E646" s="62"/>
      <c r="F646" s="62"/>
      <c r="J646" s="62"/>
      <c r="K646" s="129"/>
    </row>
    <row r="647">
      <c r="D647" s="62"/>
      <c r="E647" s="62"/>
      <c r="F647" s="62"/>
      <c r="J647" s="62"/>
      <c r="K647" s="129"/>
    </row>
    <row r="648">
      <c r="D648" s="62"/>
      <c r="E648" s="62"/>
      <c r="F648" s="62"/>
      <c r="J648" s="62"/>
      <c r="K648" s="129"/>
    </row>
    <row r="649">
      <c r="D649" s="62"/>
      <c r="E649" s="62"/>
      <c r="F649" s="62"/>
      <c r="J649" s="62"/>
      <c r="K649" s="129"/>
    </row>
    <row r="650">
      <c r="D650" s="62"/>
      <c r="E650" s="62"/>
      <c r="F650" s="62"/>
      <c r="J650" s="62"/>
      <c r="K650" s="129"/>
    </row>
    <row r="651">
      <c r="D651" s="62"/>
      <c r="E651" s="62"/>
      <c r="F651" s="62"/>
      <c r="J651" s="62"/>
      <c r="K651" s="129"/>
    </row>
    <row r="652">
      <c r="D652" s="62"/>
      <c r="E652" s="62"/>
      <c r="F652" s="62"/>
      <c r="J652" s="62"/>
      <c r="K652" s="129"/>
    </row>
    <row r="653">
      <c r="D653" s="62"/>
      <c r="E653" s="62"/>
      <c r="F653" s="62"/>
      <c r="J653" s="62"/>
      <c r="K653" s="129"/>
    </row>
    <row r="654">
      <c r="D654" s="62"/>
      <c r="E654" s="62"/>
      <c r="F654" s="62"/>
      <c r="J654" s="62"/>
      <c r="K654" s="129"/>
    </row>
    <row r="655">
      <c r="D655" s="62"/>
      <c r="E655" s="62"/>
      <c r="F655" s="62"/>
      <c r="J655" s="62"/>
      <c r="K655" s="129"/>
    </row>
    <row r="656">
      <c r="D656" s="62"/>
      <c r="E656" s="62"/>
      <c r="F656" s="62"/>
      <c r="J656" s="62"/>
      <c r="K656" s="129"/>
    </row>
    <row r="657">
      <c r="D657" s="62"/>
      <c r="E657" s="62"/>
      <c r="F657" s="62"/>
      <c r="J657" s="62"/>
      <c r="K657" s="129"/>
    </row>
    <row r="658">
      <c r="D658" s="62"/>
      <c r="E658" s="62"/>
      <c r="F658" s="62"/>
      <c r="J658" s="62"/>
      <c r="K658" s="129"/>
    </row>
    <row r="659">
      <c r="D659" s="62"/>
      <c r="E659" s="62"/>
      <c r="F659" s="62"/>
      <c r="J659" s="62"/>
      <c r="K659" s="129"/>
    </row>
    <row r="660">
      <c r="D660" s="62"/>
      <c r="E660" s="62"/>
      <c r="F660" s="62"/>
      <c r="J660" s="62"/>
      <c r="K660" s="129"/>
    </row>
    <row r="661">
      <c r="D661" s="62"/>
      <c r="E661" s="62"/>
      <c r="F661" s="62"/>
      <c r="J661" s="62"/>
      <c r="K661" s="129"/>
    </row>
    <row r="662">
      <c r="D662" s="62"/>
      <c r="E662" s="62"/>
      <c r="F662" s="62"/>
      <c r="J662" s="62"/>
      <c r="K662" s="129"/>
    </row>
    <row r="663">
      <c r="D663" s="62"/>
      <c r="E663" s="62"/>
      <c r="F663" s="62"/>
      <c r="J663" s="62"/>
      <c r="K663" s="129"/>
    </row>
    <row r="664">
      <c r="D664" s="62"/>
      <c r="E664" s="62"/>
      <c r="F664" s="62"/>
      <c r="J664" s="62"/>
      <c r="K664" s="129"/>
    </row>
    <row r="665">
      <c r="D665" s="62"/>
      <c r="E665" s="62"/>
      <c r="F665" s="62"/>
      <c r="J665" s="62"/>
      <c r="K665" s="129"/>
    </row>
    <row r="666">
      <c r="D666" s="62"/>
      <c r="E666" s="62"/>
      <c r="F666" s="62"/>
      <c r="J666" s="62"/>
      <c r="K666" s="129"/>
    </row>
    <row r="667">
      <c r="D667" s="62"/>
      <c r="E667" s="62"/>
      <c r="F667" s="62"/>
      <c r="J667" s="62"/>
      <c r="K667" s="129"/>
    </row>
    <row r="668">
      <c r="D668" s="62"/>
      <c r="E668" s="62"/>
      <c r="F668" s="62"/>
      <c r="J668" s="62"/>
      <c r="K668" s="129"/>
    </row>
    <row r="669">
      <c r="D669" s="62"/>
      <c r="E669" s="62"/>
      <c r="F669" s="62"/>
      <c r="J669" s="62"/>
      <c r="K669" s="129"/>
    </row>
    <row r="670">
      <c r="D670" s="62"/>
      <c r="E670" s="62"/>
      <c r="F670" s="62"/>
      <c r="J670" s="62"/>
      <c r="K670" s="129"/>
    </row>
    <row r="671">
      <c r="D671" s="62"/>
      <c r="E671" s="62"/>
      <c r="F671" s="62"/>
      <c r="J671" s="62"/>
      <c r="K671" s="129"/>
    </row>
    <row r="672">
      <c r="D672" s="62"/>
      <c r="E672" s="62"/>
      <c r="F672" s="62"/>
      <c r="J672" s="62"/>
      <c r="K672" s="129"/>
    </row>
    <row r="673">
      <c r="D673" s="62"/>
      <c r="E673" s="62"/>
      <c r="F673" s="62"/>
      <c r="J673" s="62"/>
      <c r="K673" s="129"/>
    </row>
    <row r="674">
      <c r="D674" s="62"/>
      <c r="E674" s="62"/>
      <c r="F674" s="62"/>
      <c r="J674" s="62"/>
      <c r="K674" s="129"/>
    </row>
    <row r="675">
      <c r="D675" s="62"/>
      <c r="E675" s="62"/>
      <c r="F675" s="62"/>
      <c r="J675" s="62"/>
      <c r="K675" s="129"/>
    </row>
    <row r="676">
      <c r="D676" s="62"/>
      <c r="E676" s="62"/>
      <c r="F676" s="62"/>
      <c r="J676" s="62"/>
      <c r="K676" s="129"/>
    </row>
    <row r="677">
      <c r="D677" s="62"/>
      <c r="E677" s="62"/>
      <c r="F677" s="62"/>
      <c r="J677" s="62"/>
      <c r="K677" s="129"/>
    </row>
    <row r="678">
      <c r="D678" s="62"/>
      <c r="E678" s="62"/>
      <c r="F678" s="62"/>
      <c r="J678" s="62"/>
      <c r="K678" s="129"/>
    </row>
    <row r="679">
      <c r="D679" s="62"/>
      <c r="E679" s="62"/>
      <c r="F679" s="62"/>
      <c r="J679" s="62"/>
      <c r="K679" s="129"/>
    </row>
    <row r="680">
      <c r="D680" s="62"/>
      <c r="E680" s="62"/>
      <c r="F680" s="62"/>
      <c r="J680" s="62"/>
      <c r="K680" s="129"/>
    </row>
    <row r="681">
      <c r="D681" s="62"/>
      <c r="E681" s="62"/>
      <c r="F681" s="62"/>
      <c r="J681" s="62"/>
      <c r="K681" s="129"/>
    </row>
    <row r="682">
      <c r="D682" s="62"/>
      <c r="E682" s="62"/>
      <c r="F682" s="62"/>
      <c r="J682" s="62"/>
      <c r="K682" s="129"/>
    </row>
    <row r="683">
      <c r="D683" s="62"/>
      <c r="E683" s="62"/>
      <c r="F683" s="62"/>
      <c r="J683" s="62"/>
      <c r="K683" s="129"/>
    </row>
    <row r="684">
      <c r="D684" s="62"/>
      <c r="E684" s="62"/>
      <c r="F684" s="62"/>
      <c r="J684" s="62"/>
      <c r="K684" s="129"/>
    </row>
    <row r="685">
      <c r="D685" s="62"/>
      <c r="E685" s="62"/>
      <c r="F685" s="62"/>
      <c r="J685" s="62"/>
      <c r="K685" s="129"/>
    </row>
    <row r="686">
      <c r="D686" s="62"/>
      <c r="E686" s="62"/>
      <c r="F686" s="62"/>
      <c r="J686" s="62"/>
      <c r="K686" s="129"/>
    </row>
    <row r="687">
      <c r="D687" s="62"/>
      <c r="E687" s="62"/>
      <c r="F687" s="62"/>
      <c r="J687" s="62"/>
      <c r="K687" s="129"/>
    </row>
    <row r="688">
      <c r="D688" s="62"/>
      <c r="E688" s="62"/>
      <c r="F688" s="62"/>
      <c r="J688" s="62"/>
      <c r="K688" s="129"/>
    </row>
    <row r="689">
      <c r="D689" s="62"/>
      <c r="E689" s="62"/>
      <c r="F689" s="62"/>
      <c r="J689" s="62"/>
      <c r="K689" s="129"/>
    </row>
    <row r="690">
      <c r="D690" s="62"/>
      <c r="E690" s="62"/>
      <c r="F690" s="62"/>
      <c r="J690" s="62"/>
      <c r="K690" s="129"/>
    </row>
    <row r="691">
      <c r="D691" s="62"/>
      <c r="E691" s="62"/>
      <c r="F691" s="62"/>
      <c r="J691" s="62"/>
      <c r="K691" s="129"/>
    </row>
    <row r="692">
      <c r="D692" s="62"/>
      <c r="E692" s="62"/>
      <c r="F692" s="62"/>
      <c r="J692" s="62"/>
      <c r="K692" s="129"/>
    </row>
    <row r="693">
      <c r="D693" s="62"/>
      <c r="E693" s="62"/>
      <c r="F693" s="62"/>
      <c r="J693" s="62"/>
      <c r="K693" s="129"/>
    </row>
    <row r="694">
      <c r="D694" s="62"/>
      <c r="E694" s="62"/>
      <c r="F694" s="62"/>
      <c r="J694" s="62"/>
      <c r="K694" s="129"/>
    </row>
    <row r="695">
      <c r="D695" s="62"/>
      <c r="E695" s="62"/>
      <c r="F695" s="62"/>
      <c r="J695" s="62"/>
      <c r="K695" s="129"/>
    </row>
    <row r="696">
      <c r="D696" s="62"/>
      <c r="E696" s="62"/>
      <c r="F696" s="62"/>
      <c r="J696" s="62"/>
      <c r="K696" s="129"/>
    </row>
    <row r="697">
      <c r="D697" s="62"/>
      <c r="E697" s="62"/>
      <c r="F697" s="62"/>
      <c r="J697" s="62"/>
      <c r="K697" s="129"/>
    </row>
    <row r="698">
      <c r="D698" s="62"/>
      <c r="E698" s="62"/>
      <c r="F698" s="62"/>
      <c r="J698" s="62"/>
      <c r="K698" s="129"/>
    </row>
    <row r="699">
      <c r="D699" s="62"/>
      <c r="E699" s="62"/>
      <c r="F699" s="62"/>
      <c r="J699" s="62"/>
      <c r="K699" s="129"/>
    </row>
    <row r="700">
      <c r="D700" s="62"/>
      <c r="E700" s="62"/>
      <c r="F700" s="62"/>
      <c r="J700" s="62"/>
      <c r="K700" s="129"/>
    </row>
    <row r="701">
      <c r="D701" s="62"/>
      <c r="E701" s="62"/>
      <c r="F701" s="62"/>
      <c r="J701" s="62"/>
      <c r="K701" s="129"/>
    </row>
    <row r="702">
      <c r="D702" s="62"/>
      <c r="E702" s="62"/>
      <c r="F702" s="62"/>
      <c r="J702" s="62"/>
      <c r="K702" s="129"/>
    </row>
    <row r="703">
      <c r="D703" s="62"/>
      <c r="E703" s="62"/>
      <c r="F703" s="62"/>
      <c r="J703" s="62"/>
      <c r="K703" s="129"/>
    </row>
    <row r="704">
      <c r="D704" s="62"/>
      <c r="E704" s="62"/>
      <c r="F704" s="62"/>
      <c r="J704" s="62"/>
      <c r="K704" s="129"/>
    </row>
    <row r="705">
      <c r="D705" s="62"/>
      <c r="E705" s="62"/>
      <c r="F705" s="62"/>
      <c r="J705" s="62"/>
      <c r="K705" s="129"/>
    </row>
    <row r="706">
      <c r="D706" s="62"/>
      <c r="E706" s="62"/>
      <c r="F706" s="62"/>
      <c r="J706" s="62"/>
      <c r="K706" s="129"/>
    </row>
    <row r="707">
      <c r="D707" s="62"/>
      <c r="E707" s="62"/>
      <c r="F707" s="62"/>
      <c r="J707" s="62"/>
      <c r="K707" s="129"/>
    </row>
    <row r="708">
      <c r="D708" s="62"/>
      <c r="E708" s="62"/>
      <c r="F708" s="62"/>
      <c r="J708" s="62"/>
      <c r="K708" s="129"/>
    </row>
    <row r="709">
      <c r="D709" s="62"/>
      <c r="E709" s="62"/>
      <c r="F709" s="62"/>
      <c r="J709" s="62"/>
      <c r="K709" s="129"/>
    </row>
    <row r="710">
      <c r="D710" s="62"/>
      <c r="E710" s="62"/>
      <c r="F710" s="62"/>
      <c r="J710" s="62"/>
      <c r="K710" s="129"/>
    </row>
    <row r="711">
      <c r="D711" s="62"/>
      <c r="E711" s="62"/>
      <c r="F711" s="62"/>
      <c r="J711" s="62"/>
      <c r="K711" s="129"/>
    </row>
    <row r="712">
      <c r="D712" s="62"/>
      <c r="E712" s="62"/>
      <c r="F712" s="62"/>
      <c r="J712" s="62"/>
      <c r="K712" s="129"/>
    </row>
    <row r="713">
      <c r="D713" s="62"/>
      <c r="E713" s="62"/>
      <c r="F713" s="62"/>
      <c r="J713" s="62"/>
      <c r="K713" s="129"/>
    </row>
    <row r="714">
      <c r="D714" s="62"/>
      <c r="E714" s="62"/>
      <c r="F714" s="62"/>
      <c r="J714" s="62"/>
      <c r="K714" s="129"/>
    </row>
    <row r="715">
      <c r="D715" s="62"/>
      <c r="E715" s="62"/>
      <c r="F715" s="62"/>
      <c r="J715" s="62"/>
      <c r="K715" s="129"/>
    </row>
    <row r="716">
      <c r="D716" s="62"/>
      <c r="E716" s="62"/>
      <c r="F716" s="62"/>
      <c r="J716" s="62"/>
      <c r="K716" s="129"/>
    </row>
    <row r="717">
      <c r="D717" s="62"/>
      <c r="E717" s="62"/>
      <c r="F717" s="62"/>
      <c r="J717" s="62"/>
      <c r="K717" s="129"/>
    </row>
    <row r="718">
      <c r="D718" s="62"/>
      <c r="E718" s="62"/>
      <c r="F718" s="62"/>
      <c r="J718" s="62"/>
      <c r="K718" s="129"/>
    </row>
    <row r="719">
      <c r="D719" s="62"/>
      <c r="E719" s="62"/>
      <c r="F719" s="62"/>
      <c r="J719" s="62"/>
      <c r="K719" s="129"/>
    </row>
    <row r="720">
      <c r="D720" s="62"/>
      <c r="E720" s="62"/>
      <c r="F720" s="62"/>
      <c r="J720" s="62"/>
      <c r="K720" s="129"/>
    </row>
    <row r="721">
      <c r="D721" s="62"/>
      <c r="E721" s="62"/>
      <c r="F721" s="62"/>
      <c r="J721" s="62"/>
      <c r="K721" s="129"/>
    </row>
    <row r="722">
      <c r="D722" s="62"/>
      <c r="E722" s="62"/>
      <c r="F722" s="62"/>
      <c r="J722" s="62"/>
      <c r="K722" s="129"/>
    </row>
    <row r="723">
      <c r="D723" s="62"/>
      <c r="E723" s="62"/>
      <c r="F723" s="62"/>
      <c r="J723" s="62"/>
      <c r="K723" s="129"/>
    </row>
    <row r="724">
      <c r="D724" s="62"/>
      <c r="E724" s="62"/>
      <c r="F724" s="62"/>
      <c r="J724" s="62"/>
      <c r="K724" s="129"/>
    </row>
    <row r="725">
      <c r="D725" s="62"/>
      <c r="E725" s="62"/>
      <c r="F725" s="62"/>
      <c r="J725" s="62"/>
      <c r="K725" s="129"/>
    </row>
    <row r="726">
      <c r="D726" s="62"/>
      <c r="E726" s="62"/>
      <c r="F726" s="62"/>
      <c r="J726" s="62"/>
      <c r="K726" s="129"/>
    </row>
    <row r="727">
      <c r="D727" s="62"/>
      <c r="E727" s="62"/>
      <c r="F727" s="62"/>
      <c r="J727" s="62"/>
      <c r="K727" s="129"/>
    </row>
    <row r="728">
      <c r="D728" s="62"/>
      <c r="E728" s="62"/>
      <c r="F728" s="62"/>
      <c r="J728" s="62"/>
      <c r="K728" s="129"/>
    </row>
    <row r="729">
      <c r="D729" s="62"/>
      <c r="E729" s="62"/>
      <c r="F729" s="62"/>
      <c r="J729" s="62"/>
      <c r="K729" s="129"/>
    </row>
    <row r="730">
      <c r="D730" s="62"/>
      <c r="E730" s="62"/>
      <c r="F730" s="62"/>
      <c r="J730" s="62"/>
      <c r="K730" s="129"/>
    </row>
    <row r="731">
      <c r="D731" s="62"/>
      <c r="E731" s="62"/>
      <c r="F731" s="62"/>
      <c r="J731" s="62"/>
      <c r="K731" s="129"/>
    </row>
    <row r="732">
      <c r="D732" s="62"/>
      <c r="E732" s="62"/>
      <c r="F732" s="62"/>
      <c r="J732" s="62"/>
      <c r="K732" s="129"/>
    </row>
    <row r="733">
      <c r="D733" s="62"/>
      <c r="E733" s="62"/>
      <c r="F733" s="62"/>
      <c r="J733" s="62"/>
      <c r="K733" s="129"/>
    </row>
    <row r="734">
      <c r="D734" s="62"/>
      <c r="E734" s="62"/>
      <c r="F734" s="62"/>
      <c r="J734" s="62"/>
      <c r="K734" s="129"/>
    </row>
    <row r="735">
      <c r="D735" s="62"/>
      <c r="E735" s="62"/>
      <c r="F735" s="62"/>
      <c r="J735" s="62"/>
      <c r="K735" s="129"/>
    </row>
    <row r="736">
      <c r="D736" s="62"/>
      <c r="E736" s="62"/>
      <c r="F736" s="62"/>
      <c r="J736" s="62"/>
      <c r="K736" s="129"/>
    </row>
    <row r="737">
      <c r="D737" s="62"/>
      <c r="E737" s="62"/>
      <c r="F737" s="62"/>
      <c r="J737" s="62"/>
      <c r="K737" s="129"/>
    </row>
    <row r="738">
      <c r="D738" s="62"/>
      <c r="E738" s="62"/>
      <c r="F738" s="62"/>
      <c r="J738" s="62"/>
      <c r="K738" s="129"/>
    </row>
    <row r="739">
      <c r="D739" s="62"/>
      <c r="E739" s="62"/>
      <c r="F739" s="62"/>
      <c r="J739" s="62"/>
      <c r="K739" s="129"/>
    </row>
    <row r="740">
      <c r="D740" s="62"/>
      <c r="E740" s="62"/>
      <c r="F740" s="62"/>
      <c r="J740" s="62"/>
      <c r="K740" s="129"/>
    </row>
    <row r="741">
      <c r="D741" s="62"/>
      <c r="E741" s="62"/>
      <c r="F741" s="62"/>
      <c r="J741" s="62"/>
      <c r="K741" s="129"/>
    </row>
    <row r="742">
      <c r="D742" s="62"/>
      <c r="E742" s="62"/>
      <c r="F742" s="62"/>
      <c r="J742" s="62"/>
      <c r="K742" s="129"/>
    </row>
    <row r="743">
      <c r="D743" s="62"/>
      <c r="E743" s="62"/>
      <c r="F743" s="62"/>
      <c r="J743" s="62"/>
      <c r="K743" s="129"/>
    </row>
    <row r="744">
      <c r="D744" s="62"/>
      <c r="E744" s="62"/>
      <c r="F744" s="62"/>
      <c r="J744" s="62"/>
      <c r="K744" s="129"/>
    </row>
    <row r="745">
      <c r="D745" s="62"/>
      <c r="E745" s="62"/>
      <c r="F745" s="62"/>
      <c r="J745" s="62"/>
      <c r="K745" s="129"/>
    </row>
    <row r="746">
      <c r="D746" s="62"/>
      <c r="E746" s="62"/>
      <c r="F746" s="62"/>
      <c r="J746" s="62"/>
      <c r="K746" s="129"/>
    </row>
    <row r="747">
      <c r="D747" s="62"/>
      <c r="E747" s="62"/>
      <c r="F747" s="62"/>
      <c r="J747" s="62"/>
      <c r="K747" s="129"/>
    </row>
    <row r="748">
      <c r="D748" s="62"/>
      <c r="E748" s="62"/>
      <c r="F748" s="62"/>
      <c r="J748" s="62"/>
      <c r="K748" s="129"/>
    </row>
    <row r="749">
      <c r="D749" s="62"/>
      <c r="E749" s="62"/>
      <c r="F749" s="62"/>
      <c r="J749" s="62"/>
      <c r="K749" s="129"/>
    </row>
    <row r="750">
      <c r="D750" s="62"/>
      <c r="E750" s="62"/>
      <c r="F750" s="62"/>
      <c r="J750" s="62"/>
      <c r="K750" s="129"/>
    </row>
    <row r="751">
      <c r="D751" s="62"/>
      <c r="E751" s="62"/>
      <c r="F751" s="62"/>
      <c r="J751" s="62"/>
      <c r="K751" s="129"/>
    </row>
    <row r="752">
      <c r="D752" s="62"/>
      <c r="E752" s="62"/>
      <c r="F752" s="62"/>
      <c r="J752" s="62"/>
      <c r="K752" s="129"/>
    </row>
    <row r="753">
      <c r="D753" s="62"/>
      <c r="E753" s="62"/>
      <c r="F753" s="62"/>
      <c r="J753" s="62"/>
      <c r="K753" s="129"/>
    </row>
    <row r="754">
      <c r="D754" s="62"/>
      <c r="E754" s="62"/>
      <c r="F754" s="62"/>
      <c r="J754" s="62"/>
      <c r="K754" s="129"/>
    </row>
    <row r="755">
      <c r="D755" s="62"/>
      <c r="E755" s="62"/>
      <c r="F755" s="62"/>
      <c r="J755" s="62"/>
      <c r="K755" s="129"/>
    </row>
    <row r="756">
      <c r="D756" s="62"/>
      <c r="E756" s="62"/>
      <c r="F756" s="62"/>
      <c r="J756" s="62"/>
      <c r="K756" s="129"/>
    </row>
    <row r="757">
      <c r="D757" s="62"/>
      <c r="E757" s="62"/>
      <c r="F757" s="62"/>
      <c r="J757" s="62"/>
      <c r="K757" s="129"/>
    </row>
    <row r="758">
      <c r="D758" s="62"/>
      <c r="E758" s="62"/>
      <c r="F758" s="62"/>
      <c r="J758" s="62"/>
      <c r="K758" s="129"/>
    </row>
    <row r="759">
      <c r="D759" s="62"/>
      <c r="E759" s="62"/>
      <c r="F759" s="62"/>
      <c r="J759" s="62"/>
      <c r="K759" s="129"/>
    </row>
    <row r="760">
      <c r="D760" s="62"/>
      <c r="E760" s="62"/>
      <c r="F760" s="62"/>
      <c r="J760" s="62"/>
      <c r="K760" s="129"/>
    </row>
    <row r="761">
      <c r="D761" s="62"/>
      <c r="E761" s="62"/>
      <c r="F761" s="62"/>
      <c r="J761" s="62"/>
      <c r="K761" s="129"/>
    </row>
    <row r="762">
      <c r="D762" s="62"/>
      <c r="E762" s="62"/>
      <c r="F762" s="62"/>
      <c r="J762" s="62"/>
      <c r="K762" s="129"/>
    </row>
    <row r="763">
      <c r="D763" s="62"/>
      <c r="E763" s="62"/>
      <c r="F763" s="62"/>
      <c r="J763" s="62"/>
      <c r="K763" s="129"/>
    </row>
    <row r="764">
      <c r="D764" s="62"/>
      <c r="E764" s="62"/>
      <c r="F764" s="62"/>
      <c r="J764" s="62"/>
      <c r="K764" s="129"/>
    </row>
    <row r="765">
      <c r="D765" s="62"/>
      <c r="E765" s="62"/>
      <c r="F765" s="62"/>
      <c r="J765" s="62"/>
      <c r="K765" s="129"/>
    </row>
    <row r="766">
      <c r="D766" s="62"/>
      <c r="E766" s="62"/>
      <c r="F766" s="62"/>
      <c r="J766" s="62"/>
      <c r="K766" s="129"/>
    </row>
    <row r="767">
      <c r="D767" s="62"/>
      <c r="E767" s="62"/>
      <c r="F767" s="62"/>
      <c r="J767" s="62"/>
      <c r="K767" s="129"/>
    </row>
    <row r="768">
      <c r="D768" s="62"/>
      <c r="E768" s="62"/>
      <c r="F768" s="62"/>
      <c r="J768" s="62"/>
      <c r="K768" s="129"/>
    </row>
    <row r="769">
      <c r="D769" s="62"/>
      <c r="E769" s="62"/>
      <c r="F769" s="62"/>
      <c r="J769" s="62"/>
      <c r="K769" s="129"/>
    </row>
    <row r="770">
      <c r="D770" s="62"/>
      <c r="E770" s="62"/>
      <c r="F770" s="62"/>
      <c r="J770" s="62"/>
      <c r="K770" s="129"/>
    </row>
    <row r="771">
      <c r="D771" s="62"/>
      <c r="E771" s="62"/>
      <c r="F771" s="62"/>
      <c r="J771" s="62"/>
      <c r="K771" s="129"/>
    </row>
    <row r="772">
      <c r="D772" s="62"/>
      <c r="E772" s="62"/>
      <c r="F772" s="62"/>
      <c r="J772" s="62"/>
      <c r="K772" s="129"/>
    </row>
    <row r="773">
      <c r="D773" s="62"/>
      <c r="E773" s="62"/>
      <c r="F773" s="62"/>
      <c r="J773" s="62"/>
      <c r="K773" s="129"/>
    </row>
    <row r="774">
      <c r="D774" s="62"/>
      <c r="E774" s="62"/>
      <c r="F774" s="62"/>
      <c r="J774" s="62"/>
      <c r="K774" s="129"/>
    </row>
    <row r="775">
      <c r="D775" s="62"/>
      <c r="E775" s="62"/>
      <c r="F775" s="62"/>
      <c r="J775" s="62"/>
      <c r="K775" s="129"/>
    </row>
    <row r="776">
      <c r="D776" s="62"/>
      <c r="E776" s="62"/>
      <c r="F776" s="62"/>
      <c r="J776" s="62"/>
      <c r="K776" s="129"/>
    </row>
    <row r="777">
      <c r="D777" s="62"/>
      <c r="E777" s="62"/>
      <c r="F777" s="62"/>
      <c r="J777" s="62"/>
      <c r="K777" s="129"/>
    </row>
    <row r="778">
      <c r="D778" s="62"/>
      <c r="E778" s="62"/>
      <c r="F778" s="62"/>
      <c r="J778" s="62"/>
      <c r="K778" s="129"/>
    </row>
    <row r="779">
      <c r="D779" s="62"/>
      <c r="E779" s="62"/>
      <c r="F779" s="62"/>
      <c r="J779" s="62"/>
      <c r="K779" s="129"/>
    </row>
    <row r="780">
      <c r="D780" s="62"/>
      <c r="E780" s="62"/>
      <c r="F780" s="62"/>
      <c r="J780" s="62"/>
      <c r="K780" s="129"/>
    </row>
    <row r="781">
      <c r="D781" s="62"/>
      <c r="E781" s="62"/>
      <c r="F781" s="62"/>
      <c r="J781" s="62"/>
      <c r="K781" s="129"/>
    </row>
    <row r="782">
      <c r="D782" s="62"/>
      <c r="E782" s="62"/>
      <c r="F782" s="62"/>
      <c r="J782" s="62"/>
      <c r="K782" s="129"/>
    </row>
    <row r="783">
      <c r="D783" s="62"/>
      <c r="E783" s="62"/>
      <c r="F783" s="62"/>
      <c r="J783" s="62"/>
      <c r="K783" s="129"/>
    </row>
    <row r="784">
      <c r="D784" s="62"/>
      <c r="E784" s="62"/>
      <c r="F784" s="62"/>
      <c r="J784" s="62"/>
      <c r="K784" s="129"/>
    </row>
    <row r="785">
      <c r="D785" s="62"/>
      <c r="E785" s="62"/>
      <c r="F785" s="62"/>
      <c r="J785" s="62"/>
      <c r="K785" s="129"/>
    </row>
    <row r="786">
      <c r="D786" s="62"/>
      <c r="E786" s="62"/>
      <c r="F786" s="62"/>
      <c r="J786" s="62"/>
      <c r="K786" s="129"/>
    </row>
    <row r="787">
      <c r="D787" s="62"/>
      <c r="E787" s="62"/>
      <c r="F787" s="62"/>
      <c r="J787" s="62"/>
      <c r="K787" s="129"/>
    </row>
    <row r="788">
      <c r="D788" s="62"/>
      <c r="E788" s="62"/>
      <c r="F788" s="62"/>
      <c r="J788" s="62"/>
      <c r="K788" s="129"/>
    </row>
    <row r="789">
      <c r="D789" s="62"/>
      <c r="E789" s="62"/>
      <c r="F789" s="62"/>
      <c r="J789" s="62"/>
      <c r="K789" s="129"/>
    </row>
    <row r="790">
      <c r="D790" s="62"/>
      <c r="E790" s="62"/>
      <c r="F790" s="62"/>
      <c r="J790" s="62"/>
      <c r="K790" s="129"/>
    </row>
    <row r="791">
      <c r="D791" s="62"/>
      <c r="E791" s="62"/>
      <c r="F791" s="62"/>
      <c r="J791" s="62"/>
      <c r="K791" s="129"/>
    </row>
    <row r="792">
      <c r="D792" s="62"/>
      <c r="E792" s="62"/>
      <c r="F792" s="62"/>
      <c r="J792" s="62"/>
      <c r="K792" s="129"/>
    </row>
    <row r="793">
      <c r="D793" s="62"/>
      <c r="E793" s="62"/>
      <c r="F793" s="62"/>
      <c r="J793" s="62"/>
      <c r="K793" s="129"/>
    </row>
    <row r="794">
      <c r="D794" s="62"/>
      <c r="E794" s="62"/>
      <c r="F794" s="62"/>
      <c r="J794" s="62"/>
      <c r="K794" s="129"/>
    </row>
    <row r="795">
      <c r="D795" s="62"/>
      <c r="E795" s="62"/>
      <c r="F795" s="62"/>
      <c r="J795" s="62"/>
      <c r="K795" s="129"/>
    </row>
    <row r="796">
      <c r="D796" s="62"/>
      <c r="E796" s="62"/>
      <c r="F796" s="62"/>
      <c r="J796" s="62"/>
      <c r="K796" s="129"/>
    </row>
    <row r="797">
      <c r="D797" s="62"/>
      <c r="E797" s="62"/>
      <c r="F797" s="62"/>
      <c r="J797" s="62"/>
      <c r="K797" s="129"/>
    </row>
    <row r="798">
      <c r="D798" s="62"/>
      <c r="E798" s="62"/>
      <c r="F798" s="62"/>
      <c r="J798" s="62"/>
      <c r="K798" s="129"/>
    </row>
    <row r="799">
      <c r="D799" s="62"/>
      <c r="E799" s="62"/>
      <c r="F799" s="62"/>
      <c r="J799" s="62"/>
      <c r="K799" s="129"/>
    </row>
    <row r="800">
      <c r="D800" s="62"/>
      <c r="E800" s="62"/>
      <c r="F800" s="62"/>
      <c r="J800" s="62"/>
      <c r="K800" s="129"/>
    </row>
    <row r="801">
      <c r="D801" s="62"/>
      <c r="E801" s="62"/>
      <c r="F801" s="62"/>
      <c r="J801" s="62"/>
      <c r="K801" s="129"/>
    </row>
    <row r="802">
      <c r="D802" s="62"/>
      <c r="E802" s="62"/>
      <c r="F802" s="62"/>
      <c r="J802" s="62"/>
      <c r="K802" s="129"/>
    </row>
    <row r="803">
      <c r="D803" s="62"/>
      <c r="E803" s="62"/>
      <c r="F803" s="62"/>
      <c r="J803" s="62"/>
      <c r="K803" s="129"/>
    </row>
    <row r="804">
      <c r="D804" s="62"/>
      <c r="E804" s="62"/>
      <c r="F804" s="62"/>
      <c r="J804" s="62"/>
      <c r="K804" s="129"/>
    </row>
    <row r="805">
      <c r="D805" s="62"/>
      <c r="E805" s="62"/>
      <c r="F805" s="62"/>
      <c r="J805" s="62"/>
      <c r="K805" s="129"/>
    </row>
    <row r="806">
      <c r="D806" s="62"/>
      <c r="E806" s="62"/>
      <c r="F806" s="62"/>
      <c r="J806" s="62"/>
      <c r="K806" s="129"/>
    </row>
    <row r="807">
      <c r="D807" s="62"/>
      <c r="E807" s="62"/>
      <c r="F807" s="62"/>
      <c r="J807" s="62"/>
      <c r="K807" s="129"/>
    </row>
    <row r="808">
      <c r="D808" s="62"/>
      <c r="E808" s="62"/>
      <c r="F808" s="62"/>
      <c r="J808" s="62"/>
      <c r="K808" s="129"/>
    </row>
    <row r="809">
      <c r="D809" s="62"/>
      <c r="E809" s="62"/>
      <c r="F809" s="62"/>
      <c r="J809" s="62"/>
      <c r="K809" s="129"/>
    </row>
    <row r="810">
      <c r="D810" s="62"/>
      <c r="E810" s="62"/>
      <c r="F810" s="62"/>
      <c r="J810" s="62"/>
      <c r="K810" s="129"/>
    </row>
    <row r="811">
      <c r="D811" s="62"/>
      <c r="E811" s="62"/>
      <c r="F811" s="62"/>
      <c r="J811" s="62"/>
      <c r="K811" s="129"/>
    </row>
    <row r="812">
      <c r="D812" s="62"/>
      <c r="E812" s="62"/>
      <c r="F812" s="62"/>
      <c r="J812" s="62"/>
      <c r="K812" s="129"/>
    </row>
    <row r="813">
      <c r="D813" s="62"/>
      <c r="E813" s="62"/>
      <c r="F813" s="62"/>
      <c r="J813" s="62"/>
      <c r="K813" s="129"/>
    </row>
    <row r="814">
      <c r="D814" s="62"/>
      <c r="E814" s="62"/>
      <c r="F814" s="62"/>
      <c r="J814" s="62"/>
      <c r="K814" s="129"/>
    </row>
    <row r="815">
      <c r="D815" s="62"/>
      <c r="E815" s="62"/>
      <c r="F815" s="62"/>
      <c r="J815" s="62"/>
      <c r="K815" s="129"/>
    </row>
    <row r="816">
      <c r="D816" s="62"/>
      <c r="E816" s="62"/>
      <c r="F816" s="62"/>
      <c r="J816" s="62"/>
      <c r="K816" s="129"/>
    </row>
    <row r="817">
      <c r="D817" s="62"/>
      <c r="E817" s="62"/>
      <c r="F817" s="62"/>
      <c r="J817" s="62"/>
      <c r="K817" s="129"/>
    </row>
    <row r="818">
      <c r="D818" s="62"/>
      <c r="E818" s="62"/>
      <c r="F818" s="62"/>
      <c r="J818" s="62"/>
      <c r="K818" s="129"/>
    </row>
    <row r="819">
      <c r="D819" s="62"/>
      <c r="E819" s="62"/>
      <c r="F819" s="62"/>
      <c r="J819" s="62"/>
      <c r="K819" s="129"/>
    </row>
    <row r="820">
      <c r="D820" s="62"/>
      <c r="E820" s="62"/>
      <c r="F820" s="62"/>
      <c r="J820" s="62"/>
      <c r="K820" s="129"/>
    </row>
    <row r="821">
      <c r="D821" s="62"/>
      <c r="E821" s="62"/>
      <c r="F821" s="62"/>
      <c r="J821" s="62"/>
      <c r="K821" s="129"/>
    </row>
    <row r="822">
      <c r="D822" s="62"/>
      <c r="E822" s="62"/>
      <c r="F822" s="62"/>
      <c r="J822" s="62"/>
      <c r="K822" s="129"/>
    </row>
    <row r="823">
      <c r="D823" s="62"/>
      <c r="E823" s="62"/>
      <c r="F823" s="62"/>
      <c r="J823" s="62"/>
      <c r="K823" s="129"/>
    </row>
    <row r="824">
      <c r="D824" s="62"/>
      <c r="E824" s="62"/>
      <c r="F824" s="62"/>
      <c r="J824" s="62"/>
      <c r="K824" s="129"/>
    </row>
    <row r="825">
      <c r="D825" s="62"/>
      <c r="E825" s="62"/>
      <c r="F825" s="62"/>
      <c r="J825" s="62"/>
      <c r="K825" s="129"/>
    </row>
    <row r="826">
      <c r="D826" s="62"/>
      <c r="E826" s="62"/>
      <c r="F826" s="62"/>
      <c r="J826" s="62"/>
      <c r="K826" s="129"/>
    </row>
    <row r="827">
      <c r="D827" s="62"/>
      <c r="E827" s="62"/>
      <c r="F827" s="62"/>
      <c r="J827" s="62"/>
      <c r="K827" s="129"/>
    </row>
    <row r="828">
      <c r="D828" s="62"/>
      <c r="E828" s="62"/>
      <c r="F828" s="62"/>
      <c r="J828" s="62"/>
      <c r="K828" s="129"/>
    </row>
    <row r="829">
      <c r="D829" s="62"/>
      <c r="E829" s="62"/>
      <c r="F829" s="62"/>
      <c r="J829" s="62"/>
      <c r="K829" s="129"/>
    </row>
    <row r="830">
      <c r="D830" s="62"/>
      <c r="E830" s="62"/>
      <c r="F830" s="62"/>
      <c r="J830" s="62"/>
      <c r="K830" s="129"/>
    </row>
    <row r="831">
      <c r="D831" s="62"/>
      <c r="E831" s="62"/>
      <c r="F831" s="62"/>
      <c r="J831" s="62"/>
      <c r="K831" s="129"/>
    </row>
    <row r="832">
      <c r="D832" s="62"/>
      <c r="E832" s="62"/>
      <c r="F832" s="62"/>
      <c r="J832" s="62"/>
      <c r="K832" s="129"/>
    </row>
    <row r="833">
      <c r="D833" s="62"/>
      <c r="E833" s="62"/>
      <c r="F833" s="62"/>
      <c r="J833" s="62"/>
      <c r="K833" s="129"/>
    </row>
    <row r="834">
      <c r="D834" s="62"/>
      <c r="E834" s="62"/>
      <c r="F834" s="62"/>
      <c r="J834" s="62"/>
      <c r="K834" s="129"/>
    </row>
    <row r="835">
      <c r="D835" s="62"/>
      <c r="E835" s="62"/>
      <c r="F835" s="62"/>
      <c r="J835" s="62"/>
      <c r="K835" s="129"/>
    </row>
    <row r="836">
      <c r="D836" s="62"/>
      <c r="E836" s="62"/>
      <c r="F836" s="62"/>
      <c r="J836" s="62"/>
      <c r="K836" s="129"/>
    </row>
    <row r="837">
      <c r="D837" s="62"/>
      <c r="E837" s="62"/>
      <c r="F837" s="62"/>
      <c r="J837" s="62"/>
      <c r="K837" s="129"/>
    </row>
    <row r="838">
      <c r="D838" s="62"/>
      <c r="E838" s="62"/>
      <c r="F838" s="62"/>
      <c r="J838" s="62"/>
      <c r="K838" s="129"/>
    </row>
    <row r="839">
      <c r="D839" s="62"/>
      <c r="E839" s="62"/>
      <c r="F839" s="62"/>
      <c r="J839" s="62"/>
      <c r="K839" s="129"/>
    </row>
    <row r="840">
      <c r="D840" s="62"/>
      <c r="E840" s="62"/>
      <c r="F840" s="62"/>
      <c r="J840" s="62"/>
      <c r="K840" s="129"/>
    </row>
    <row r="841">
      <c r="D841" s="62"/>
      <c r="E841" s="62"/>
      <c r="F841" s="62"/>
      <c r="J841" s="62"/>
      <c r="K841" s="129"/>
    </row>
    <row r="842">
      <c r="D842" s="62"/>
      <c r="E842" s="62"/>
      <c r="F842" s="62"/>
      <c r="J842" s="62"/>
      <c r="K842" s="129"/>
    </row>
    <row r="843">
      <c r="D843" s="62"/>
      <c r="E843" s="62"/>
      <c r="F843" s="62"/>
      <c r="J843" s="62"/>
      <c r="K843" s="129"/>
    </row>
    <row r="844">
      <c r="D844" s="62"/>
      <c r="E844" s="62"/>
      <c r="F844" s="62"/>
      <c r="J844" s="62"/>
      <c r="K844" s="129"/>
    </row>
    <row r="845">
      <c r="D845" s="62"/>
      <c r="E845" s="62"/>
      <c r="F845" s="62"/>
      <c r="J845" s="62"/>
      <c r="K845" s="129"/>
    </row>
    <row r="846">
      <c r="D846" s="62"/>
      <c r="E846" s="62"/>
      <c r="F846" s="62"/>
      <c r="J846" s="62"/>
      <c r="K846" s="129"/>
    </row>
    <row r="847">
      <c r="D847" s="62"/>
      <c r="E847" s="62"/>
      <c r="F847" s="62"/>
      <c r="J847" s="62"/>
      <c r="K847" s="129"/>
    </row>
    <row r="848">
      <c r="D848" s="62"/>
      <c r="E848" s="62"/>
      <c r="F848" s="62"/>
      <c r="J848" s="62"/>
      <c r="K848" s="129"/>
    </row>
    <row r="849">
      <c r="D849" s="62"/>
      <c r="E849" s="62"/>
      <c r="F849" s="62"/>
      <c r="J849" s="62"/>
      <c r="K849" s="129"/>
    </row>
    <row r="850">
      <c r="D850" s="62"/>
      <c r="E850" s="62"/>
      <c r="F850" s="62"/>
      <c r="J850" s="62"/>
      <c r="K850" s="129"/>
    </row>
    <row r="851">
      <c r="D851" s="62"/>
      <c r="E851" s="62"/>
      <c r="F851" s="62"/>
      <c r="J851" s="62"/>
      <c r="K851" s="129"/>
    </row>
    <row r="852">
      <c r="D852" s="62"/>
      <c r="E852" s="62"/>
      <c r="F852" s="62"/>
      <c r="J852" s="62"/>
      <c r="K852" s="129"/>
    </row>
    <row r="853">
      <c r="D853" s="62"/>
      <c r="E853" s="62"/>
      <c r="F853" s="62"/>
      <c r="J853" s="62"/>
      <c r="K853" s="129"/>
    </row>
    <row r="854">
      <c r="D854" s="62"/>
      <c r="E854" s="62"/>
      <c r="F854" s="62"/>
      <c r="J854" s="62"/>
      <c r="K854" s="129"/>
    </row>
    <row r="855">
      <c r="D855" s="62"/>
      <c r="E855" s="62"/>
      <c r="F855" s="62"/>
      <c r="J855" s="62"/>
      <c r="K855" s="129"/>
    </row>
    <row r="856">
      <c r="D856" s="62"/>
      <c r="E856" s="62"/>
      <c r="F856" s="62"/>
      <c r="J856" s="62"/>
      <c r="K856" s="129"/>
    </row>
    <row r="857">
      <c r="D857" s="62"/>
      <c r="E857" s="62"/>
      <c r="F857" s="62"/>
      <c r="J857" s="62"/>
      <c r="K857" s="129"/>
    </row>
    <row r="858">
      <c r="D858" s="62"/>
      <c r="E858" s="62"/>
      <c r="F858" s="62"/>
      <c r="J858" s="62"/>
      <c r="K858" s="129"/>
    </row>
    <row r="859">
      <c r="D859" s="62"/>
      <c r="E859" s="62"/>
      <c r="F859" s="62"/>
      <c r="J859" s="62"/>
      <c r="K859" s="129"/>
    </row>
    <row r="860">
      <c r="D860" s="62"/>
      <c r="E860" s="62"/>
      <c r="F860" s="62"/>
      <c r="J860" s="62"/>
      <c r="K860" s="129"/>
    </row>
    <row r="861">
      <c r="D861" s="62"/>
      <c r="E861" s="62"/>
      <c r="F861" s="62"/>
      <c r="J861" s="62"/>
      <c r="K861" s="129"/>
    </row>
    <row r="862">
      <c r="D862" s="62"/>
      <c r="E862" s="62"/>
      <c r="F862" s="62"/>
      <c r="J862" s="62"/>
      <c r="K862" s="129"/>
    </row>
    <row r="863">
      <c r="D863" s="62"/>
      <c r="E863" s="62"/>
      <c r="F863" s="62"/>
      <c r="J863" s="62"/>
      <c r="K863" s="129"/>
    </row>
    <row r="864">
      <c r="D864" s="62"/>
      <c r="E864" s="62"/>
      <c r="F864" s="62"/>
      <c r="J864" s="62"/>
      <c r="K864" s="129"/>
    </row>
    <row r="865">
      <c r="D865" s="62"/>
      <c r="E865" s="62"/>
      <c r="F865" s="62"/>
      <c r="J865" s="62"/>
      <c r="K865" s="129"/>
    </row>
    <row r="866">
      <c r="D866" s="62"/>
      <c r="E866" s="62"/>
      <c r="F866" s="62"/>
      <c r="J866" s="62"/>
      <c r="K866" s="129"/>
    </row>
    <row r="867">
      <c r="D867" s="62"/>
      <c r="E867" s="62"/>
      <c r="F867" s="62"/>
      <c r="J867" s="62"/>
      <c r="K867" s="129"/>
    </row>
    <row r="868">
      <c r="D868" s="62"/>
      <c r="E868" s="62"/>
      <c r="F868" s="62"/>
      <c r="J868" s="62"/>
      <c r="K868" s="129"/>
    </row>
    <row r="869">
      <c r="D869" s="62"/>
      <c r="E869" s="62"/>
      <c r="F869" s="62"/>
      <c r="J869" s="62"/>
      <c r="K869" s="129"/>
    </row>
    <row r="870">
      <c r="D870" s="62"/>
      <c r="E870" s="62"/>
      <c r="F870" s="62"/>
      <c r="J870" s="62"/>
      <c r="K870" s="129"/>
    </row>
    <row r="871">
      <c r="D871" s="62"/>
      <c r="E871" s="62"/>
      <c r="F871" s="62"/>
      <c r="J871" s="62"/>
      <c r="K871" s="129"/>
    </row>
    <row r="872">
      <c r="D872" s="62"/>
      <c r="E872" s="62"/>
      <c r="F872" s="62"/>
      <c r="J872" s="62"/>
      <c r="K872" s="129"/>
    </row>
    <row r="873">
      <c r="D873" s="62"/>
      <c r="E873" s="62"/>
      <c r="F873" s="62"/>
      <c r="J873" s="62"/>
      <c r="K873" s="129"/>
    </row>
    <row r="874">
      <c r="D874" s="62"/>
      <c r="E874" s="62"/>
      <c r="F874" s="62"/>
      <c r="J874" s="62"/>
      <c r="K874" s="129"/>
    </row>
    <row r="875">
      <c r="D875" s="62"/>
      <c r="E875" s="62"/>
      <c r="F875" s="62"/>
      <c r="J875" s="62"/>
      <c r="K875" s="129"/>
    </row>
    <row r="876">
      <c r="D876" s="62"/>
      <c r="E876" s="62"/>
      <c r="F876" s="62"/>
      <c r="J876" s="62"/>
      <c r="K876" s="129"/>
    </row>
    <row r="877">
      <c r="D877" s="62"/>
      <c r="E877" s="62"/>
      <c r="F877" s="62"/>
      <c r="J877" s="62"/>
      <c r="K877" s="129"/>
    </row>
    <row r="878">
      <c r="D878" s="62"/>
      <c r="E878" s="62"/>
      <c r="F878" s="62"/>
      <c r="J878" s="62"/>
      <c r="K878" s="129"/>
    </row>
    <row r="879">
      <c r="D879" s="62"/>
      <c r="E879" s="62"/>
      <c r="F879" s="62"/>
      <c r="J879" s="62"/>
      <c r="K879" s="129"/>
    </row>
    <row r="880">
      <c r="D880" s="62"/>
      <c r="E880" s="62"/>
      <c r="F880" s="62"/>
      <c r="J880" s="62"/>
      <c r="K880" s="129"/>
    </row>
    <row r="881">
      <c r="D881" s="62"/>
      <c r="E881" s="62"/>
      <c r="F881" s="62"/>
      <c r="J881" s="62"/>
      <c r="K881" s="129"/>
    </row>
    <row r="882">
      <c r="D882" s="62"/>
      <c r="E882" s="62"/>
      <c r="F882" s="62"/>
      <c r="J882" s="62"/>
      <c r="K882" s="129"/>
    </row>
    <row r="883">
      <c r="D883" s="62"/>
      <c r="E883" s="62"/>
      <c r="F883" s="62"/>
      <c r="J883" s="62"/>
      <c r="K883" s="129"/>
    </row>
    <row r="884">
      <c r="D884" s="62"/>
      <c r="E884" s="62"/>
      <c r="F884" s="62"/>
      <c r="J884" s="62"/>
      <c r="K884" s="129"/>
    </row>
    <row r="885">
      <c r="D885" s="62"/>
      <c r="E885" s="62"/>
      <c r="F885" s="62"/>
      <c r="J885" s="62"/>
      <c r="K885" s="129"/>
    </row>
    <row r="886">
      <c r="D886" s="62"/>
      <c r="E886" s="62"/>
      <c r="F886" s="62"/>
      <c r="J886" s="62"/>
      <c r="K886" s="129"/>
    </row>
    <row r="887">
      <c r="D887" s="62"/>
      <c r="E887" s="62"/>
      <c r="F887" s="62"/>
      <c r="J887" s="62"/>
      <c r="K887" s="129"/>
    </row>
    <row r="888">
      <c r="D888" s="62"/>
      <c r="E888" s="62"/>
      <c r="F888" s="62"/>
      <c r="J888" s="62"/>
      <c r="K888" s="129"/>
    </row>
    <row r="889">
      <c r="D889" s="62"/>
      <c r="E889" s="62"/>
      <c r="F889" s="62"/>
      <c r="J889" s="62"/>
      <c r="K889" s="129"/>
    </row>
    <row r="890">
      <c r="D890" s="62"/>
      <c r="E890" s="62"/>
      <c r="F890" s="62"/>
      <c r="J890" s="62"/>
      <c r="K890" s="129"/>
    </row>
    <row r="891">
      <c r="D891" s="62"/>
      <c r="E891" s="62"/>
      <c r="F891" s="62"/>
      <c r="J891" s="62"/>
      <c r="K891" s="129"/>
    </row>
    <row r="892">
      <c r="D892" s="62"/>
      <c r="E892" s="62"/>
      <c r="F892" s="62"/>
      <c r="J892" s="62"/>
      <c r="K892" s="129"/>
    </row>
    <row r="893">
      <c r="D893" s="62"/>
      <c r="E893" s="62"/>
      <c r="F893" s="62"/>
      <c r="J893" s="62"/>
      <c r="K893" s="129"/>
    </row>
    <row r="894">
      <c r="D894" s="62"/>
      <c r="E894" s="62"/>
      <c r="F894" s="62"/>
      <c r="J894" s="62"/>
      <c r="K894" s="129"/>
    </row>
    <row r="895">
      <c r="D895" s="62"/>
      <c r="E895" s="62"/>
      <c r="F895" s="62"/>
      <c r="J895" s="62"/>
      <c r="K895" s="129"/>
    </row>
    <row r="896">
      <c r="D896" s="62"/>
      <c r="E896" s="62"/>
      <c r="F896" s="62"/>
      <c r="J896" s="62"/>
      <c r="K896" s="129"/>
    </row>
    <row r="897">
      <c r="D897" s="62"/>
      <c r="E897" s="62"/>
      <c r="F897" s="62"/>
      <c r="J897" s="62"/>
      <c r="K897" s="129"/>
    </row>
    <row r="898">
      <c r="D898" s="62"/>
      <c r="E898" s="62"/>
      <c r="F898" s="62"/>
      <c r="J898" s="62"/>
      <c r="K898" s="129"/>
    </row>
    <row r="899">
      <c r="D899" s="62"/>
      <c r="E899" s="62"/>
      <c r="F899" s="62"/>
      <c r="J899" s="62"/>
      <c r="K899" s="129"/>
    </row>
    <row r="900">
      <c r="D900" s="62"/>
      <c r="E900" s="62"/>
      <c r="F900" s="62"/>
      <c r="J900" s="62"/>
      <c r="K900" s="129"/>
    </row>
    <row r="901">
      <c r="D901" s="62"/>
      <c r="E901" s="62"/>
      <c r="F901" s="62"/>
      <c r="J901" s="62"/>
      <c r="K901" s="129"/>
    </row>
    <row r="902">
      <c r="D902" s="62"/>
      <c r="E902" s="62"/>
      <c r="F902" s="62"/>
      <c r="J902" s="62"/>
      <c r="K902" s="129"/>
    </row>
    <row r="903">
      <c r="D903" s="62"/>
      <c r="E903" s="62"/>
      <c r="F903" s="62"/>
      <c r="J903" s="62"/>
      <c r="K903" s="129"/>
    </row>
    <row r="904">
      <c r="D904" s="62"/>
      <c r="E904" s="62"/>
      <c r="F904" s="62"/>
      <c r="J904" s="62"/>
      <c r="K904" s="129"/>
    </row>
    <row r="905">
      <c r="D905" s="62"/>
      <c r="E905" s="62"/>
      <c r="F905" s="62"/>
      <c r="J905" s="62"/>
      <c r="K905" s="129"/>
    </row>
    <row r="906">
      <c r="D906" s="62"/>
      <c r="E906" s="62"/>
      <c r="F906" s="62"/>
      <c r="J906" s="62"/>
      <c r="K906" s="129"/>
    </row>
    <row r="907">
      <c r="D907" s="62"/>
      <c r="E907" s="62"/>
      <c r="F907" s="62"/>
      <c r="J907" s="62"/>
      <c r="K907" s="129"/>
    </row>
    <row r="908">
      <c r="D908" s="62"/>
      <c r="E908" s="62"/>
      <c r="F908" s="62"/>
      <c r="J908" s="62"/>
      <c r="K908" s="129"/>
    </row>
    <row r="909">
      <c r="D909" s="62"/>
      <c r="E909" s="62"/>
      <c r="F909" s="62"/>
      <c r="J909" s="62"/>
      <c r="K909" s="129"/>
    </row>
    <row r="910">
      <c r="D910" s="62"/>
      <c r="E910" s="62"/>
      <c r="F910" s="62"/>
      <c r="J910" s="62"/>
      <c r="K910" s="129"/>
    </row>
    <row r="911">
      <c r="D911" s="62"/>
      <c r="E911" s="62"/>
      <c r="F911" s="62"/>
      <c r="J911" s="62"/>
      <c r="K911" s="129"/>
    </row>
    <row r="912">
      <c r="D912" s="62"/>
      <c r="E912" s="62"/>
      <c r="F912" s="62"/>
      <c r="J912" s="62"/>
      <c r="K912" s="129"/>
    </row>
    <row r="913">
      <c r="D913" s="62"/>
      <c r="E913" s="62"/>
      <c r="F913" s="62"/>
      <c r="J913" s="62"/>
      <c r="K913" s="129"/>
    </row>
    <row r="914">
      <c r="D914" s="62"/>
      <c r="E914" s="62"/>
      <c r="F914" s="62"/>
      <c r="J914" s="62"/>
      <c r="K914" s="129"/>
    </row>
    <row r="915">
      <c r="D915" s="62"/>
      <c r="E915" s="62"/>
      <c r="F915" s="62"/>
      <c r="J915" s="62"/>
      <c r="K915" s="129"/>
    </row>
    <row r="916">
      <c r="D916" s="62"/>
      <c r="E916" s="62"/>
      <c r="F916" s="62"/>
      <c r="J916" s="62"/>
      <c r="K916" s="129"/>
    </row>
    <row r="917">
      <c r="D917" s="62"/>
      <c r="E917" s="62"/>
      <c r="F917" s="62"/>
      <c r="J917" s="62"/>
      <c r="K917" s="129"/>
    </row>
    <row r="918">
      <c r="D918" s="62"/>
      <c r="E918" s="62"/>
      <c r="F918" s="62"/>
      <c r="J918" s="62"/>
      <c r="K918" s="129"/>
    </row>
    <row r="919">
      <c r="D919" s="62"/>
      <c r="E919" s="62"/>
      <c r="F919" s="62"/>
      <c r="J919" s="62"/>
      <c r="K919" s="129"/>
    </row>
    <row r="920">
      <c r="D920" s="62"/>
      <c r="E920" s="62"/>
      <c r="F920" s="62"/>
      <c r="J920" s="62"/>
      <c r="K920" s="129"/>
    </row>
    <row r="921">
      <c r="D921" s="62"/>
      <c r="E921" s="62"/>
      <c r="F921" s="62"/>
      <c r="J921" s="62"/>
      <c r="K921" s="129"/>
    </row>
    <row r="922">
      <c r="D922" s="62"/>
      <c r="E922" s="62"/>
      <c r="F922" s="62"/>
      <c r="J922" s="62"/>
      <c r="K922" s="129"/>
    </row>
    <row r="923">
      <c r="D923" s="62"/>
      <c r="E923" s="62"/>
      <c r="F923" s="62"/>
      <c r="J923" s="62"/>
      <c r="K923" s="129"/>
    </row>
    <row r="924">
      <c r="D924" s="62"/>
      <c r="E924" s="62"/>
      <c r="F924" s="62"/>
      <c r="J924" s="62"/>
      <c r="K924" s="129"/>
    </row>
    <row r="925">
      <c r="D925" s="62"/>
      <c r="E925" s="62"/>
      <c r="F925" s="62"/>
      <c r="J925" s="62"/>
      <c r="K925" s="129"/>
    </row>
    <row r="926">
      <c r="D926" s="62"/>
      <c r="E926" s="62"/>
      <c r="F926" s="62"/>
      <c r="J926" s="62"/>
      <c r="K926" s="129"/>
    </row>
    <row r="927">
      <c r="D927" s="62"/>
      <c r="E927" s="62"/>
      <c r="F927" s="62"/>
      <c r="J927" s="62"/>
      <c r="K927" s="129"/>
    </row>
    <row r="928">
      <c r="D928" s="62"/>
      <c r="E928" s="62"/>
      <c r="F928" s="62"/>
      <c r="J928" s="62"/>
      <c r="K928" s="129"/>
    </row>
    <row r="929">
      <c r="D929" s="62"/>
      <c r="E929" s="62"/>
      <c r="F929" s="62"/>
      <c r="J929" s="62"/>
      <c r="K929" s="129"/>
    </row>
    <row r="930">
      <c r="D930" s="62"/>
      <c r="E930" s="62"/>
      <c r="F930" s="62"/>
      <c r="J930" s="62"/>
      <c r="K930" s="129"/>
    </row>
    <row r="931">
      <c r="D931" s="62"/>
      <c r="E931" s="62"/>
      <c r="F931" s="62"/>
      <c r="J931" s="62"/>
      <c r="K931" s="129"/>
    </row>
    <row r="932">
      <c r="D932" s="62"/>
      <c r="E932" s="62"/>
      <c r="F932" s="62"/>
      <c r="J932" s="62"/>
      <c r="K932" s="129"/>
    </row>
    <row r="933">
      <c r="D933" s="62"/>
      <c r="E933" s="62"/>
      <c r="F933" s="62"/>
      <c r="J933" s="62"/>
      <c r="K933" s="129"/>
    </row>
    <row r="934">
      <c r="D934" s="62"/>
      <c r="E934" s="62"/>
      <c r="F934" s="62"/>
      <c r="J934" s="62"/>
      <c r="K934" s="129"/>
    </row>
    <row r="935">
      <c r="D935" s="62"/>
      <c r="E935" s="62"/>
      <c r="F935" s="62"/>
      <c r="J935" s="62"/>
      <c r="K935" s="129"/>
    </row>
    <row r="936">
      <c r="D936" s="62"/>
      <c r="E936" s="62"/>
      <c r="F936" s="62"/>
      <c r="J936" s="62"/>
      <c r="K936" s="129"/>
    </row>
    <row r="937">
      <c r="D937" s="62"/>
      <c r="E937" s="62"/>
      <c r="F937" s="62"/>
      <c r="J937" s="62"/>
      <c r="K937" s="129"/>
    </row>
    <row r="938">
      <c r="D938" s="62"/>
      <c r="E938" s="62"/>
      <c r="F938" s="62"/>
      <c r="J938" s="62"/>
      <c r="K938" s="129"/>
    </row>
    <row r="939">
      <c r="D939" s="62"/>
      <c r="E939" s="62"/>
      <c r="F939" s="62"/>
      <c r="J939" s="62"/>
      <c r="K939" s="129"/>
    </row>
    <row r="940">
      <c r="D940" s="62"/>
      <c r="E940" s="62"/>
      <c r="F940" s="62"/>
      <c r="J940" s="62"/>
      <c r="K940" s="129"/>
    </row>
    <row r="941">
      <c r="D941" s="62"/>
      <c r="E941" s="62"/>
      <c r="F941" s="62"/>
      <c r="J941" s="62"/>
      <c r="K941" s="129"/>
    </row>
    <row r="942">
      <c r="D942" s="62"/>
      <c r="E942" s="62"/>
      <c r="F942" s="62"/>
      <c r="J942" s="62"/>
      <c r="K942" s="129"/>
    </row>
    <row r="943">
      <c r="D943" s="62"/>
      <c r="E943" s="62"/>
      <c r="F943" s="62"/>
      <c r="J943" s="62"/>
      <c r="K943" s="129"/>
    </row>
    <row r="944">
      <c r="D944" s="62"/>
      <c r="E944" s="62"/>
      <c r="F944" s="62"/>
      <c r="J944" s="62"/>
      <c r="K944" s="129"/>
    </row>
    <row r="945">
      <c r="D945" s="62"/>
      <c r="E945" s="62"/>
      <c r="F945" s="62"/>
      <c r="J945" s="62"/>
      <c r="K945" s="129"/>
    </row>
    <row r="946">
      <c r="D946" s="62"/>
      <c r="E946" s="62"/>
      <c r="F946" s="62"/>
      <c r="J946" s="62"/>
      <c r="K946" s="129"/>
    </row>
    <row r="947">
      <c r="D947" s="62"/>
      <c r="E947" s="62"/>
      <c r="F947" s="62"/>
      <c r="J947" s="62"/>
      <c r="K947" s="129"/>
    </row>
    <row r="948">
      <c r="D948" s="62"/>
      <c r="E948" s="62"/>
      <c r="F948" s="62"/>
      <c r="J948" s="62"/>
      <c r="K948" s="129"/>
    </row>
    <row r="949">
      <c r="D949" s="62"/>
      <c r="E949" s="62"/>
      <c r="F949" s="62"/>
      <c r="J949" s="62"/>
      <c r="K949" s="129"/>
    </row>
    <row r="950">
      <c r="D950" s="62"/>
      <c r="E950" s="62"/>
      <c r="F950" s="62"/>
      <c r="J950" s="62"/>
      <c r="K950" s="129"/>
    </row>
    <row r="951">
      <c r="D951" s="62"/>
      <c r="E951" s="62"/>
      <c r="F951" s="62"/>
      <c r="J951" s="62"/>
      <c r="K951" s="129"/>
    </row>
    <row r="952">
      <c r="D952" s="62"/>
      <c r="E952" s="62"/>
      <c r="F952" s="62"/>
      <c r="J952" s="62"/>
      <c r="K952" s="129"/>
    </row>
    <row r="953">
      <c r="D953" s="62"/>
      <c r="E953" s="62"/>
      <c r="F953" s="62"/>
      <c r="J953" s="62"/>
      <c r="K953" s="129"/>
    </row>
    <row r="954">
      <c r="D954" s="62"/>
      <c r="E954" s="62"/>
      <c r="F954" s="62"/>
      <c r="J954" s="62"/>
      <c r="K954" s="129"/>
    </row>
    <row r="955">
      <c r="D955" s="62"/>
      <c r="E955" s="62"/>
      <c r="F955" s="62"/>
      <c r="J955" s="62"/>
      <c r="K955" s="129"/>
    </row>
    <row r="956">
      <c r="D956" s="62"/>
      <c r="E956" s="62"/>
      <c r="F956" s="62"/>
      <c r="J956" s="62"/>
      <c r="K956" s="129"/>
    </row>
    <row r="957">
      <c r="D957" s="62"/>
      <c r="E957" s="62"/>
      <c r="F957" s="62"/>
      <c r="J957" s="62"/>
      <c r="K957" s="129"/>
    </row>
    <row r="958">
      <c r="D958" s="62"/>
      <c r="E958" s="62"/>
      <c r="F958" s="62"/>
      <c r="J958" s="62"/>
      <c r="K958" s="129"/>
    </row>
    <row r="959">
      <c r="D959" s="62"/>
      <c r="E959" s="62"/>
      <c r="F959" s="62"/>
      <c r="J959" s="62"/>
      <c r="K959" s="129"/>
    </row>
    <row r="960">
      <c r="D960" s="62"/>
      <c r="E960" s="62"/>
      <c r="F960" s="62"/>
      <c r="J960" s="62"/>
      <c r="K960" s="129"/>
    </row>
    <row r="961">
      <c r="D961" s="62"/>
      <c r="E961" s="62"/>
      <c r="F961" s="62"/>
      <c r="J961" s="62"/>
      <c r="K961" s="129"/>
    </row>
    <row r="962">
      <c r="D962" s="62"/>
      <c r="E962" s="62"/>
      <c r="F962" s="62"/>
      <c r="J962" s="62"/>
      <c r="K962" s="129"/>
    </row>
    <row r="963">
      <c r="D963" s="62"/>
      <c r="E963" s="62"/>
      <c r="F963" s="62"/>
      <c r="J963" s="62"/>
      <c r="K963" s="129"/>
    </row>
    <row r="964">
      <c r="D964" s="62"/>
      <c r="E964" s="62"/>
      <c r="F964" s="62"/>
      <c r="J964" s="62"/>
      <c r="K964" s="129"/>
    </row>
    <row r="965">
      <c r="D965" s="62"/>
      <c r="E965" s="62"/>
      <c r="F965" s="62"/>
      <c r="J965" s="62"/>
      <c r="K965" s="129"/>
    </row>
    <row r="966">
      <c r="D966" s="62"/>
      <c r="E966" s="62"/>
      <c r="F966" s="62"/>
      <c r="J966" s="62"/>
      <c r="K966" s="129"/>
    </row>
    <row r="967">
      <c r="D967" s="62"/>
      <c r="E967" s="62"/>
      <c r="F967" s="62"/>
      <c r="J967" s="62"/>
      <c r="K967" s="129"/>
    </row>
    <row r="968">
      <c r="D968" s="62"/>
      <c r="E968" s="62"/>
      <c r="F968" s="62"/>
      <c r="J968" s="62"/>
      <c r="K968" s="129"/>
    </row>
    <row r="969">
      <c r="D969" s="62"/>
      <c r="E969" s="62"/>
      <c r="F969" s="62"/>
      <c r="J969" s="62"/>
      <c r="K969" s="129"/>
    </row>
    <row r="970">
      <c r="D970" s="62"/>
      <c r="E970" s="62"/>
      <c r="F970" s="62"/>
      <c r="J970" s="62"/>
      <c r="K970" s="129"/>
    </row>
    <row r="971">
      <c r="D971" s="62"/>
      <c r="E971" s="62"/>
      <c r="F971" s="62"/>
      <c r="J971" s="62"/>
      <c r="K971" s="129"/>
    </row>
    <row r="972">
      <c r="D972" s="62"/>
      <c r="E972" s="62"/>
      <c r="F972" s="62"/>
      <c r="J972" s="62"/>
      <c r="K972" s="129"/>
    </row>
    <row r="973">
      <c r="D973" s="62"/>
      <c r="E973" s="62"/>
      <c r="F973" s="62"/>
      <c r="J973" s="62"/>
      <c r="K973" s="129"/>
    </row>
    <row r="974">
      <c r="D974" s="62"/>
      <c r="E974" s="62"/>
      <c r="F974" s="62"/>
      <c r="J974" s="62"/>
      <c r="K974" s="129"/>
    </row>
    <row r="975">
      <c r="D975" s="62"/>
      <c r="E975" s="62"/>
      <c r="F975" s="62"/>
      <c r="J975" s="62"/>
      <c r="K975" s="129"/>
    </row>
    <row r="976">
      <c r="D976" s="62"/>
      <c r="E976" s="62"/>
      <c r="F976" s="62"/>
      <c r="J976" s="62"/>
      <c r="K976" s="129"/>
    </row>
    <row r="977">
      <c r="D977" s="62"/>
      <c r="E977" s="62"/>
      <c r="F977" s="62"/>
      <c r="J977" s="62"/>
      <c r="K977" s="129"/>
    </row>
    <row r="978">
      <c r="D978" s="62"/>
      <c r="E978" s="62"/>
      <c r="F978" s="62"/>
      <c r="J978" s="62"/>
      <c r="K978" s="129"/>
    </row>
    <row r="979">
      <c r="D979" s="62"/>
      <c r="E979" s="62"/>
      <c r="F979" s="62"/>
      <c r="J979" s="62"/>
      <c r="K979" s="129"/>
    </row>
    <row r="980">
      <c r="D980" s="62"/>
      <c r="E980" s="62"/>
      <c r="F980" s="62"/>
      <c r="J980" s="62"/>
      <c r="K980" s="129"/>
    </row>
    <row r="981">
      <c r="D981" s="62"/>
      <c r="E981" s="62"/>
      <c r="F981" s="62"/>
      <c r="J981" s="62"/>
      <c r="K981" s="129"/>
    </row>
    <row r="982">
      <c r="D982" s="62"/>
      <c r="E982" s="62"/>
      <c r="F982" s="62"/>
      <c r="J982" s="62"/>
      <c r="K982" s="129"/>
    </row>
    <row r="983">
      <c r="D983" s="62"/>
      <c r="E983" s="62"/>
      <c r="F983" s="62"/>
      <c r="J983" s="62"/>
      <c r="K983" s="129"/>
    </row>
    <row r="984">
      <c r="D984" s="62"/>
      <c r="E984" s="62"/>
      <c r="F984" s="62"/>
      <c r="J984" s="62"/>
      <c r="K984" s="129"/>
    </row>
    <row r="985">
      <c r="D985" s="62"/>
      <c r="E985" s="62"/>
      <c r="F985" s="62"/>
      <c r="J985" s="62"/>
      <c r="K985" s="129"/>
    </row>
    <row r="986">
      <c r="D986" s="62"/>
      <c r="E986" s="62"/>
      <c r="F986" s="62"/>
      <c r="J986" s="62"/>
      <c r="K986" s="129"/>
    </row>
    <row r="987">
      <c r="D987" s="62"/>
      <c r="E987" s="62"/>
      <c r="F987" s="62"/>
      <c r="J987" s="62"/>
      <c r="K987" s="129"/>
    </row>
    <row r="988">
      <c r="D988" s="62"/>
      <c r="E988" s="62"/>
      <c r="F988" s="62"/>
      <c r="J988" s="62"/>
      <c r="K988" s="129"/>
    </row>
    <row r="989">
      <c r="D989" s="62"/>
      <c r="E989" s="62"/>
      <c r="F989" s="62"/>
      <c r="J989" s="62"/>
      <c r="K989" s="129"/>
    </row>
    <row r="990">
      <c r="D990" s="62"/>
      <c r="E990" s="62"/>
      <c r="F990" s="62"/>
      <c r="J990" s="62"/>
      <c r="K990" s="129"/>
    </row>
    <row r="991">
      <c r="D991" s="62"/>
      <c r="E991" s="62"/>
      <c r="F991" s="62"/>
      <c r="J991" s="62"/>
      <c r="K991" s="129"/>
    </row>
    <row r="992">
      <c r="D992" s="62"/>
      <c r="E992" s="62"/>
      <c r="F992" s="62"/>
      <c r="J992" s="62"/>
      <c r="K992" s="129"/>
    </row>
    <row r="993">
      <c r="D993" s="62"/>
      <c r="E993" s="62"/>
      <c r="F993" s="62"/>
      <c r="J993" s="62"/>
      <c r="K993" s="129"/>
    </row>
    <row r="994">
      <c r="D994" s="62"/>
      <c r="E994" s="62"/>
      <c r="F994" s="62"/>
      <c r="J994" s="62"/>
      <c r="K994" s="129"/>
    </row>
    <row r="995">
      <c r="D995" s="62"/>
      <c r="E995" s="62"/>
      <c r="F995" s="62"/>
      <c r="J995" s="62"/>
      <c r="K995" s="129"/>
    </row>
    <row r="996">
      <c r="D996" s="62"/>
      <c r="E996" s="62"/>
      <c r="F996" s="62"/>
      <c r="J996" s="62"/>
      <c r="K996" s="129"/>
    </row>
    <row r="997">
      <c r="D997" s="62"/>
      <c r="E997" s="62"/>
      <c r="F997" s="62"/>
      <c r="J997" s="62"/>
      <c r="K997" s="129"/>
    </row>
    <row r="998">
      <c r="D998" s="62"/>
      <c r="E998" s="62"/>
      <c r="F998" s="62"/>
      <c r="J998" s="62"/>
      <c r="K998" s="129"/>
    </row>
    <row r="999">
      <c r="D999" s="62"/>
      <c r="E999" s="62"/>
      <c r="F999" s="62"/>
      <c r="J999" s="62"/>
      <c r="K999" s="129"/>
    </row>
    <row r="1000">
      <c r="D1000" s="62"/>
      <c r="E1000" s="62"/>
      <c r="F1000" s="62"/>
      <c r="J1000" s="62"/>
      <c r="K1000" s="129"/>
    </row>
  </sheetData>
  <mergeCells count="2">
    <mergeCell ref="A1:G1"/>
    <mergeCell ref="H1:K1"/>
  </mergeCells>
  <conditionalFormatting sqref="A1:A1000">
    <cfRule type="containsText" dxfId="0" priority="1" operator="containsText" text="Unassigned">
      <formula>NOT(ISERROR(SEARCH(("Unassigned"),(A1))))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15.0"/>
    <col customWidth="1" min="3" max="3" width="13.86"/>
    <col customWidth="1" min="4" max="4" width="18.86"/>
    <col customWidth="1" min="5" max="5" width="19.57"/>
    <col customWidth="1" min="6" max="6" width="28.0"/>
    <col customWidth="1" min="7" max="7" width="23.29"/>
    <col customWidth="1" min="8" max="8" width="19.29"/>
    <col customWidth="1" min="9" max="9" width="19.43"/>
    <col customWidth="1" min="10" max="10" width="27.57"/>
    <col customWidth="1" min="11" max="11" width="37.43"/>
  </cols>
  <sheetData>
    <row r="1">
      <c r="A1" s="8" t="s">
        <v>12</v>
      </c>
      <c r="B1" s="9"/>
      <c r="C1" s="9"/>
      <c r="D1" s="9"/>
      <c r="E1" s="9"/>
      <c r="F1" s="9"/>
      <c r="G1" s="10"/>
      <c r="H1" s="107" t="s">
        <v>25</v>
      </c>
    </row>
    <row r="2">
      <c r="A2" s="108" t="s">
        <v>0</v>
      </c>
      <c r="B2" s="109" t="s">
        <v>73</v>
      </c>
      <c r="C2" s="109" t="s">
        <v>74</v>
      </c>
      <c r="D2" s="110" t="s">
        <v>75</v>
      </c>
      <c r="E2" s="110" t="s">
        <v>329</v>
      </c>
      <c r="F2" s="110" t="s">
        <v>330</v>
      </c>
      <c r="G2" s="109" t="s">
        <v>199</v>
      </c>
      <c r="H2" s="111" t="s">
        <v>331</v>
      </c>
      <c r="I2" s="112" t="s">
        <v>332</v>
      </c>
      <c r="J2" s="112" t="s">
        <v>333</v>
      </c>
      <c r="K2" s="113" t="s">
        <v>334</v>
      </c>
    </row>
    <row r="3">
      <c r="A3" t="str">
        <f>IFERROR(__xludf.DUMMYFUNCTION("filter(Assignments!B3:B1000,Assignments!P3:P1000=""Dosage Sensitivity"",Assignments!O3:O1000=""Comprehensive"")"),"Assigned")</f>
        <v>Assigned</v>
      </c>
      <c r="B3" t="str">
        <f>IFERROR(__xludf.DUMMYFUNCTION("filter(Assignments!C3:C1000,Assignments!P3:P1000=""Dosage Sensitivity"",Assignments!O3:O1000=""Comprehensive"")"),"")</f>
        <v/>
      </c>
      <c r="C3" s="138">
        <f>IFERROR(__xludf.DUMMYFUNCTION("filter(Assignments!D3:D1000,Assignments!P3:P1000=""Dosage Sensitivity"",Assignments!O3:O1000=""Comprehensive"")"),43580.0)</f>
        <v>43580</v>
      </c>
      <c r="D3" s="67" t="str">
        <f>IFERROR(__xludf.DUMMYFUNCTION("filter(Assignments!E3:E1000,Assignments!P3:P1000=""Dosage Sensitivity"",Assignments!O3:O1000=""Comprehensive"")"),"Yes")</f>
        <v>Yes</v>
      </c>
      <c r="E3" s="67" t="str">
        <f>IFERROR(__xludf.DUMMYFUNCTION("filter(Assignments!F3:F1000,Assignments!P3:P1000=""Dosage Sensitivity"",Assignments!O3:O1000=""Comprehensive"")"),"Yes")</f>
        <v>Yes</v>
      </c>
      <c r="F3" s="62" t="str">
        <f>IFERROR(__xludf.DUMMYFUNCTION("filter(Assignments!G3:G1000,Assignments!P3:P1000=""Dosage Sensitivity"",Assignments!O3:O1000=""Comprehensive"")"),"Dosage Sensitivity")</f>
        <v>Dosage Sensitivity</v>
      </c>
      <c r="G3" t="str">
        <f>IFERROR(__xludf.DUMMYFUNCTION("filter(Assignments!H3:H1000,Assignments!P3:P1000=""Dosage Sensitivity"",Assignments!O3:O1000=""Comprehensive"")"),"Recurrent CNVs")</f>
        <v>Recurrent CNVs</v>
      </c>
      <c r="H3" t="str">
        <f>IFERROR(__xludf.DUMMYFUNCTION("filter(Assignments!L3:L1000,Assignments!P3:P1000=""Dosage Sensitivity"",Assignments!O3:O1000=""Comprehensive"")"),"Justin Schleede Phd")</f>
        <v>Justin Schleede Phd</v>
      </c>
      <c r="I3" t="str">
        <f>IFERROR(__xludf.DUMMYFUNCTION("filter(Assignments!M3:M1000,Assignments!P3:P1000=""Dosage Sensitivity"",Assignments!O3:O1000=""Comprehensive"")"),"schleej@labcorp.com")</f>
        <v>schleej@labcorp.com</v>
      </c>
      <c r="J3" s="62" t="str">
        <f>IFERROR(__xludf.DUMMYFUNCTION("filter(Assignments!O3:O1000,Assignments!P3:P1000=""Dosage Sensitivity"",Assignments!O3:O1000=""Comprehensive"")"),"Comprehensive")</f>
        <v>Comprehensive</v>
      </c>
      <c r="K3" t="str">
        <f>IFERROR(__xludf.DUMMYFUNCTION("filter(Assignments!W3:W1000,Assignments!P3:P1000=""Dosage Sensitivity"",Assignments!O3:O1000=""Comprehensive"")"),"")</f>
        <v/>
      </c>
    </row>
    <row r="4">
      <c r="A4" t="str">
        <f>IFERROR(__xludf.DUMMYFUNCTION("""COMPUTED_VALUE"""),"Contacted")</f>
        <v>Contacted</v>
      </c>
      <c r="B4" t="str">
        <f>IFERROR(__xludf.DUMMYFUNCTION("""COMPUTED_VALUE"""),"")</f>
        <v/>
      </c>
      <c r="C4" s="114">
        <f>IFERROR(__xludf.DUMMYFUNCTION("""COMPUTED_VALUE"""),43580.0)</f>
        <v>43580</v>
      </c>
      <c r="D4" s="62" t="str">
        <f>IFERROR(__xludf.DUMMYFUNCTION("""COMPUTED_VALUE"""),"Yes")</f>
        <v>Yes</v>
      </c>
      <c r="E4" s="62" t="str">
        <f>IFERROR(__xludf.DUMMYFUNCTION("""COMPUTED_VALUE"""),"Yes")</f>
        <v>Yes</v>
      </c>
      <c r="F4" s="62" t="str">
        <f>IFERROR(__xludf.DUMMYFUNCTION("""COMPUTED_VALUE"""),"Dosage Sensitivity")</f>
        <v>Dosage Sensitivity</v>
      </c>
      <c r="G4" t="str">
        <f>IFERROR(__xludf.DUMMYFUNCTION("""COMPUTED_VALUE"""),"")</f>
        <v/>
      </c>
      <c r="H4" t="str">
        <f>IFERROR(__xludf.DUMMYFUNCTION("""COMPUTED_VALUE"""),"Shulin Zhang")</f>
        <v>Shulin Zhang</v>
      </c>
      <c r="I4" t="str">
        <f>IFERROR(__xludf.DUMMYFUNCTION("""COMPUTED_VALUE"""),"shulin.zhang@uky.edu")</f>
        <v>shulin.zhang@uky.edu</v>
      </c>
      <c r="J4" s="62" t="str">
        <f>IFERROR(__xludf.DUMMYFUNCTION("""COMPUTED_VALUE"""),"Comprehensive")</f>
        <v>Comprehensive</v>
      </c>
      <c r="K4" t="str">
        <f>IFERROR(__xludf.DUMMYFUNCTION("""COMPUTED_VALUE"""),"1) Dosage sensitivity working group expert panel (inherited cancers) 2) Colorectal cancer 3) mitochondrial diseases")</f>
        <v>1) Dosage sensitivity working group expert panel (inherited cancers) 2) Colorectal cancer 3) mitochondrial diseases</v>
      </c>
    </row>
    <row r="5">
      <c r="A5" t="str">
        <f>IFERROR(__xludf.DUMMYFUNCTION("""COMPUTED_VALUE"""),"Assigned")</f>
        <v>Assigned</v>
      </c>
      <c r="B5" s="115">
        <f>IFERROR(__xludf.DUMMYFUNCTION("""COMPUTED_VALUE"""),43411.0)</f>
        <v>43411</v>
      </c>
      <c r="C5" s="116">
        <f>IFERROR(__xludf.DUMMYFUNCTION("""COMPUTED_VALUE"""),43453.0)</f>
        <v>43453</v>
      </c>
      <c r="D5" s="62" t="str">
        <f>IFERROR(__xludf.DUMMYFUNCTION("""COMPUTED_VALUE"""),"Yes")</f>
        <v>Yes</v>
      </c>
      <c r="E5" s="62" t="str">
        <f>IFERROR(__xludf.DUMMYFUNCTION("""COMPUTED_VALUE"""),"Yes")</f>
        <v>Yes</v>
      </c>
      <c r="F5" s="62" t="str">
        <f>IFERROR(__xludf.DUMMYFUNCTION("""COMPUTED_VALUE"""),"Dosage Sensitivity")</f>
        <v>Dosage Sensitivity</v>
      </c>
      <c r="G5" t="str">
        <f>IFERROR(__xludf.DUMMYFUNCTION("""COMPUTED_VALUE"""),"")</f>
        <v/>
      </c>
      <c r="H5" t="str">
        <f>IFERROR(__xludf.DUMMYFUNCTION("""COMPUTED_VALUE"""),"Preti Jain")</f>
        <v>Preti Jain</v>
      </c>
      <c r="I5" t="str">
        <f>IFERROR(__xludf.DUMMYFUNCTION("""COMPUTED_VALUE"""),"preti.jain@yale.edu")</f>
        <v>preti.jain@yale.edu</v>
      </c>
      <c r="J5" s="62" t="str">
        <f>IFERROR(__xludf.DUMMYFUNCTION("""COMPUTED_VALUE"""),"Comprehensive")</f>
        <v>Comprehensive</v>
      </c>
      <c r="K5" t="str">
        <f>IFERROR(__xludf.DUMMYFUNCTION("""COMPUTED_VALUE"""),"cardiomyopathy, Somatic/Germline Variant Curation, Hereditary Cancer")</f>
        <v>cardiomyopathy, Somatic/Germline Variant Curation, Hereditary Cancer</v>
      </c>
    </row>
    <row r="6">
      <c r="A6" t="str">
        <f>IFERROR(__xludf.DUMMYFUNCTION("""COMPUTED_VALUE"""),"Assigned")</f>
        <v>Assigned</v>
      </c>
      <c r="B6" s="115">
        <f>IFERROR(__xludf.DUMMYFUNCTION("""COMPUTED_VALUE"""),43356.0)</f>
        <v>43356</v>
      </c>
      <c r="C6" s="115">
        <f>IFERROR(__xludf.DUMMYFUNCTION("""COMPUTED_VALUE"""),43341.0)</f>
        <v>43341</v>
      </c>
      <c r="D6" s="62" t="str">
        <f>IFERROR(__xludf.DUMMYFUNCTION("""COMPUTED_VALUE"""),"Yes")</f>
        <v>Yes</v>
      </c>
      <c r="E6" s="62" t="str">
        <f>IFERROR(__xludf.DUMMYFUNCTION("""COMPUTED_VALUE"""),"Yes")</f>
        <v>Yes</v>
      </c>
      <c r="F6" s="62" t="str">
        <f>IFERROR(__xludf.DUMMYFUNCTION("""COMPUTED_VALUE"""),"Dosage Sensitivity")</f>
        <v>Dosage Sensitivity</v>
      </c>
      <c r="G6" t="str">
        <f>IFERROR(__xludf.DUMMYFUNCTION("""COMPUTED_VALUE"""),"")</f>
        <v/>
      </c>
      <c r="H6" t="str">
        <f>IFERROR(__xludf.DUMMYFUNCTION("""COMPUTED_VALUE"""),"Andrea Vaags")</f>
        <v>Andrea Vaags</v>
      </c>
      <c r="I6" t="str">
        <f>IFERROR(__xludf.DUMMYFUNCTION("""COMPUTED_VALUE"""),"andrea.vaags@thp.ca")</f>
        <v>andrea.vaags@thp.ca</v>
      </c>
      <c r="J6" s="62" t="str">
        <f>IFERROR(__xludf.DUMMYFUNCTION("""COMPUTED_VALUE"""),"Comprehensive")</f>
        <v>Comprehensive</v>
      </c>
      <c r="K6" t="str">
        <f>IFERROR(__xludf.DUMMYFUNCTION("""COMPUTED_VALUE"""),"Somatic/Germline Variant Curation Group (In progress); Breast and Ovarian Cancer Gene Curation Expert Panel; Hereditary Cancer Gene Curation Expert Panel (In progress); Somatic/Germline Variant Curation Group (In progress)")</f>
        <v>Somatic/Germline Variant Curation Group (In progress); Breast and Ovarian Cancer Gene Curation Expert Panel; Hereditary Cancer Gene Curation Expert Panel (In progress); Somatic/Germline Variant Curation Group (In progress)</v>
      </c>
    </row>
    <row r="7">
      <c r="A7" t="str">
        <f>IFERROR(__xludf.DUMMYFUNCTION("""COMPUTED_VALUE"""),"Assigned")</f>
        <v>Assigned</v>
      </c>
      <c r="B7" s="115">
        <f>IFERROR(__xludf.DUMMYFUNCTION("""COMPUTED_VALUE"""),43411.0)</f>
        <v>43411</v>
      </c>
      <c r="C7" s="116">
        <f>IFERROR(__xludf.DUMMYFUNCTION("""COMPUTED_VALUE"""),43453.0)</f>
        <v>43453</v>
      </c>
      <c r="D7" s="62" t="str">
        <f>IFERROR(__xludf.DUMMYFUNCTION("""COMPUTED_VALUE"""),"Yes")</f>
        <v>Yes</v>
      </c>
      <c r="E7" s="62" t="str">
        <f>IFERROR(__xludf.DUMMYFUNCTION("""COMPUTED_VALUE"""),"Yes")</f>
        <v>Yes</v>
      </c>
      <c r="F7" s="62" t="str">
        <f>IFERROR(__xludf.DUMMYFUNCTION("""COMPUTED_VALUE"""),"Dosage Sensitivity")</f>
        <v>Dosage Sensitivity</v>
      </c>
      <c r="G7" t="str">
        <f>IFERROR(__xludf.DUMMYFUNCTION("""COMPUTED_VALUE"""),"")</f>
        <v/>
      </c>
      <c r="H7" t="str">
        <f>IFERROR(__xludf.DUMMYFUNCTION("""COMPUTED_VALUE"""),"George Burghel")</f>
        <v>George Burghel</v>
      </c>
      <c r="I7" t="str">
        <f>IFERROR(__xludf.DUMMYFUNCTION("""COMPUTED_VALUE"""),"george.burghel@mft.nhs.uk")</f>
        <v>george.burghel@mft.nhs.uk</v>
      </c>
      <c r="J7" s="62" t="str">
        <f>IFERROR(__xludf.DUMMYFUNCTION("""COMPUTED_VALUE"""),"Comprehensive")</f>
        <v>Comprehensive</v>
      </c>
      <c r="K7" t="str">
        <f>IFERROR(__xludf.DUMMYFUNCTION("""COMPUTED_VALUE"""),"Experience with Dosage sensistivy but not curation. ")</f>
        <v>Experience with Dosage sensistivy but not curation. </v>
      </c>
    </row>
    <row r="8">
      <c r="A8" t="str">
        <f>IFERROR(__xludf.DUMMYFUNCTION("""COMPUTED_VALUE"""),"Assigned")</f>
        <v>Assigned</v>
      </c>
      <c r="B8" s="116">
        <f>IFERROR(__xludf.DUMMYFUNCTION("""COMPUTED_VALUE"""),43430.0)</f>
        <v>43430</v>
      </c>
      <c r="C8" s="116">
        <f>IFERROR(__xludf.DUMMYFUNCTION("""COMPUTED_VALUE"""),43453.0)</f>
        <v>43453</v>
      </c>
      <c r="D8" s="62" t="str">
        <f>IFERROR(__xludf.DUMMYFUNCTION("""COMPUTED_VALUE"""),"Yes")</f>
        <v>Yes</v>
      </c>
      <c r="E8" s="62" t="str">
        <f>IFERROR(__xludf.DUMMYFUNCTION("""COMPUTED_VALUE"""),"Yes")</f>
        <v>Yes</v>
      </c>
      <c r="F8" s="62" t="str">
        <f>IFERROR(__xludf.DUMMYFUNCTION("""COMPUTED_VALUE"""),"Dosage Sensitivity")</f>
        <v>Dosage Sensitivity</v>
      </c>
      <c r="G8" t="str">
        <f>IFERROR(__xludf.DUMMYFUNCTION("""COMPUTED_VALUE"""),"")</f>
        <v/>
      </c>
      <c r="H8" t="str">
        <f>IFERROR(__xludf.DUMMYFUNCTION("""COMPUTED_VALUE"""),"Coumarane Mani")</f>
        <v>Coumarane Mani</v>
      </c>
      <c r="I8" t="str">
        <f>IFERROR(__xludf.DUMMYFUNCTION("""COMPUTED_VALUE"""),"coumarane.mani@aruplab.com")</f>
        <v>coumarane.mani@aruplab.com</v>
      </c>
      <c r="J8" s="62" t="str">
        <f>IFERROR(__xludf.DUMMYFUNCTION("""COMPUTED_VALUE"""),"Comprehensive")</f>
        <v>Comprehensive</v>
      </c>
      <c r="K8" t="str">
        <f>IFERROR(__xludf.DUMMYFUNCTION("""COMPUTED_VALUE"""),"1. Somatic/Germline Variant Curation Group 2. Myeloid Malignancy Variant Curation Expert Panel")</f>
        <v>1. Somatic/Germline Variant Curation Group 2. Myeloid Malignancy Variant Curation Expert Panel</v>
      </c>
    </row>
    <row r="9">
      <c r="A9" t="str">
        <f>IFERROR(__xludf.DUMMYFUNCTION("""COMPUTED_VALUE"""),"Assigned")</f>
        <v>Assigned</v>
      </c>
      <c r="B9" t="str">
        <f>IFERROR(__xludf.DUMMYFUNCTION("""COMPUTED_VALUE"""),"")</f>
        <v/>
      </c>
      <c r="C9" s="116">
        <f>IFERROR(__xludf.DUMMYFUNCTION("""COMPUTED_VALUE"""),43453.0)</f>
        <v>43453</v>
      </c>
      <c r="D9" s="62" t="str">
        <f>IFERROR(__xludf.DUMMYFUNCTION("""COMPUTED_VALUE"""),"Yes")</f>
        <v>Yes</v>
      </c>
      <c r="E9" s="62" t="str">
        <f>IFERROR(__xludf.DUMMYFUNCTION("""COMPUTED_VALUE"""),"Yes")</f>
        <v>Yes</v>
      </c>
      <c r="F9" s="62" t="str">
        <f>IFERROR(__xludf.DUMMYFUNCTION("""COMPUTED_VALUE"""),"Dosage Sensitivity")</f>
        <v>Dosage Sensitivity</v>
      </c>
      <c r="G9" t="str">
        <f>IFERROR(__xludf.DUMMYFUNCTION("""COMPUTED_VALUE"""),"")</f>
        <v/>
      </c>
      <c r="H9" t="str">
        <f>IFERROR(__xludf.DUMMYFUNCTION("""COMPUTED_VALUE"""),"Mahesh Iddawela")</f>
        <v>Mahesh Iddawela</v>
      </c>
      <c r="I9" t="str">
        <f>IFERROR(__xludf.DUMMYFUNCTION("""COMPUTED_VALUE"""),"mahesh.iddawela@monash.edu")</f>
        <v>mahesh.iddawela@monash.edu</v>
      </c>
      <c r="J9" s="62" t="str">
        <f>IFERROR(__xludf.DUMMYFUNCTION("""COMPUTED_VALUE"""),"Comprehensive")</f>
        <v>Comprehensive</v>
      </c>
      <c r="K9" t="str">
        <f>IFERROR(__xludf.DUMMYFUNCTION("""COMPUTED_VALUE"""),"Somatic Cancer (TP53), Breast/Ovarian cancer")</f>
        <v>Somatic Cancer (TP53), Breast/Ovarian cancer</v>
      </c>
    </row>
    <row r="10">
      <c r="A10" t="str">
        <f>IFERROR(__xludf.DUMMYFUNCTION("""COMPUTED_VALUE"""),"Assigned")</f>
        <v>Assigned</v>
      </c>
      <c r="B10" t="str">
        <f>IFERROR(__xludf.DUMMYFUNCTION("""COMPUTED_VALUE"""),"")</f>
        <v/>
      </c>
      <c r="C10" s="116">
        <f>IFERROR(__xludf.DUMMYFUNCTION("""COMPUTED_VALUE"""),43453.0)</f>
        <v>43453</v>
      </c>
      <c r="D10" s="62" t="str">
        <f>IFERROR(__xludf.DUMMYFUNCTION("""COMPUTED_VALUE"""),"Yes")</f>
        <v>Yes</v>
      </c>
      <c r="E10" s="62" t="str">
        <f>IFERROR(__xludf.DUMMYFUNCTION("""COMPUTED_VALUE"""),"Yes")</f>
        <v>Yes</v>
      </c>
      <c r="F10" s="62" t="str">
        <f>IFERROR(__xludf.DUMMYFUNCTION("""COMPUTED_VALUE"""),"Dosage Sensitivity")</f>
        <v>Dosage Sensitivity</v>
      </c>
      <c r="G10" t="str">
        <f>IFERROR(__xludf.DUMMYFUNCTION("""COMPUTED_VALUE"""),"")</f>
        <v/>
      </c>
      <c r="H10" t="str">
        <f>IFERROR(__xludf.DUMMYFUNCTION("""COMPUTED_VALUE"""),"Diogo Ventura Lovato")</f>
        <v>Diogo Ventura Lovato</v>
      </c>
      <c r="I10" t="str">
        <f>IFERROR(__xludf.DUMMYFUNCTION("""COMPUTED_VALUE"""),"diogo.v.lovato@gmail.com")</f>
        <v>diogo.v.lovato@gmail.com</v>
      </c>
      <c r="J10" s="62" t="str">
        <f>IFERROR(__xludf.DUMMYFUNCTION("""COMPUTED_VALUE"""),"Comprehensive")</f>
        <v>Comprehensive</v>
      </c>
      <c r="K10" t="str">
        <f>IFERROR(__xludf.DUMMYFUNCTION("""COMPUTED_VALUE"""),"Autism and Intellectual Disability, Epilepsy")</f>
        <v>Autism and Intellectual Disability, Epilepsy</v>
      </c>
    </row>
    <row r="11">
      <c r="A11" t="str">
        <f>IFERROR(__xludf.DUMMYFUNCTION("""COMPUTED_VALUE"""),"Unresponsive")</f>
        <v>Unresponsive</v>
      </c>
      <c r="B11" s="115">
        <f>IFERROR(__xludf.DUMMYFUNCTION("""COMPUTED_VALUE"""),43109.0)</f>
        <v>43109</v>
      </c>
      <c r="C11" t="str">
        <f>IFERROR(__xludf.DUMMYFUNCTION("""COMPUTED_VALUE"""),"")</f>
        <v/>
      </c>
      <c r="D11" s="62" t="str">
        <f>IFERROR(__xludf.DUMMYFUNCTION("""COMPUTED_VALUE"""),"No")</f>
        <v>No</v>
      </c>
      <c r="E11" s="62" t="str">
        <f>IFERROR(__xludf.DUMMYFUNCTION("""COMPUTED_VALUE"""),"No")</f>
        <v>No</v>
      </c>
      <c r="F11" s="62" t="str">
        <f>IFERROR(__xludf.DUMMYFUNCTION("""COMPUTED_VALUE"""),"Dosage Sensitivity")</f>
        <v>Dosage Sensitivity</v>
      </c>
      <c r="G11" t="str">
        <f>IFERROR(__xludf.DUMMYFUNCTION("""COMPUTED_VALUE"""),"")</f>
        <v/>
      </c>
      <c r="H11" t="str">
        <f>IFERROR(__xludf.DUMMYFUNCTION("""COMPUTED_VALUE"""),"Jenna Guiltinan")</f>
        <v>Jenna Guiltinan</v>
      </c>
      <c r="I11" t="str">
        <f>IFERROR(__xludf.DUMMYFUNCTION("""COMPUTED_VALUE"""),"jenna.guiltinan@invitae.com")</f>
        <v>jenna.guiltinan@invitae.com</v>
      </c>
      <c r="J11" s="62" t="str">
        <f>IFERROR(__xludf.DUMMYFUNCTION("""COMPUTED_VALUE"""),"Comprehensive")</f>
        <v>Comprehensive</v>
      </c>
      <c r="K11" t="str">
        <f>IFERROR(__xludf.DUMMYFUNCTION("""COMPUTED_VALUE"""),"Dosage- Hereditary Cancer sounds the most interesting to me, but any of the dosage sensitivity working groups would be great!")</f>
        <v>Dosage- Hereditary Cancer sounds the most interesting to me, but any of the dosage sensitivity working groups would be great!</v>
      </c>
    </row>
    <row r="12">
      <c r="A12" t="str">
        <f>IFERROR(__xludf.DUMMYFUNCTION("""COMPUTED_VALUE"""),"Contacted")</f>
        <v>Contacted</v>
      </c>
      <c r="B12" t="str">
        <f>IFERROR(__xludf.DUMMYFUNCTION("""COMPUTED_VALUE"""),"")</f>
        <v/>
      </c>
      <c r="C12" s="114">
        <f>IFERROR(__xludf.DUMMYFUNCTION("""COMPUTED_VALUE"""),43580.0)</f>
        <v>43580</v>
      </c>
      <c r="D12" s="62" t="str">
        <f>IFERROR(__xludf.DUMMYFUNCTION("""COMPUTED_VALUE"""),"Yes")</f>
        <v>Yes</v>
      </c>
      <c r="E12" s="62" t="str">
        <f>IFERROR(__xludf.DUMMYFUNCTION("""COMPUTED_VALUE"""),"Yes")</f>
        <v>Yes</v>
      </c>
      <c r="F12" s="62" t="str">
        <f>IFERROR(__xludf.DUMMYFUNCTION("""COMPUTED_VALUE"""),"Dosage Sensitivity")</f>
        <v>Dosage Sensitivity</v>
      </c>
      <c r="G12" t="str">
        <f>IFERROR(__xludf.DUMMYFUNCTION("""COMPUTED_VALUE"""),"")</f>
        <v/>
      </c>
      <c r="H12" t="str">
        <f>IFERROR(__xludf.DUMMYFUNCTION("""COMPUTED_VALUE"""),"Nan Jiang")</f>
        <v>Nan Jiang</v>
      </c>
      <c r="I12" t="str">
        <f>IFERROR(__xludf.DUMMYFUNCTION("""COMPUTED_VALUE"""),"naj018@ucsd.edu")</f>
        <v>naj018@ucsd.edu</v>
      </c>
      <c r="J12" s="62" t="str">
        <f>IFERROR(__xludf.DUMMYFUNCTION("""COMPUTED_VALUE"""),"Comprehensive")</f>
        <v>Comprehensive</v>
      </c>
      <c r="K12" t="str">
        <f>IFERROR(__xludf.DUMMYFUNCTION("""COMPUTED_VALUE"""),"I am particularly interested in the variant and gene curation expert panels under dosage sensitivity working group. ")</f>
        <v>I am particularly interested in the variant and gene curation expert panels under dosage sensitivity working group. </v>
      </c>
    </row>
    <row r="13" ht="18.0" customHeight="1">
      <c r="A13" t="str">
        <f>IFERROR(__xludf.DUMMYFUNCTION("""COMPUTED_VALUE"""),"Unresponsive")</f>
        <v>Unresponsive</v>
      </c>
      <c r="B13" t="str">
        <f>IFERROR(__xludf.DUMMYFUNCTION("""COMPUTED_VALUE"""),"")</f>
        <v/>
      </c>
      <c r="C13" t="str">
        <f>IFERROR(__xludf.DUMMYFUNCTION("""COMPUTED_VALUE"""),"")</f>
        <v/>
      </c>
      <c r="D13" s="62" t="str">
        <f>IFERROR(__xludf.DUMMYFUNCTION("""COMPUTED_VALUE"""),"No")</f>
        <v>No</v>
      </c>
      <c r="E13" s="62" t="str">
        <f>IFERROR(__xludf.DUMMYFUNCTION("""COMPUTED_VALUE"""),"No")</f>
        <v>No</v>
      </c>
      <c r="F13" s="62" t="str">
        <f>IFERROR(__xludf.DUMMYFUNCTION("""COMPUTED_VALUE"""),"Dosage Sensitivity")</f>
        <v>Dosage Sensitivity</v>
      </c>
      <c r="G13" t="str">
        <f>IFERROR(__xludf.DUMMYFUNCTION("""COMPUTED_VALUE"""),"")</f>
        <v/>
      </c>
      <c r="H13" t="str">
        <f>IFERROR(__xludf.DUMMYFUNCTION("""COMPUTED_VALUE"""),"Elizabeth Spiteri")</f>
        <v>Elizabeth Spiteri</v>
      </c>
      <c r="I13" t="str">
        <f>IFERROR(__xludf.DUMMYFUNCTION("""COMPUTED_VALUE"""),"espiteri@gmail.com")</f>
        <v>espiteri@gmail.com</v>
      </c>
      <c r="J13" s="62" t="str">
        <f>IFERROR(__xludf.DUMMYFUNCTION("""COMPUTED_VALUE"""),"Comprehensive")</f>
        <v>Comprehensive</v>
      </c>
      <c r="K13" t="str">
        <f>IFERROR(__xludf.DUMMYFUNCTION("""COMPUTED_VALUE"""),"In addition to the somatic panel curation I would also be interested in Breast/Ovarian or Colon Cancer Expert panels ")</f>
        <v>In addition to the somatic panel curation I would also be interested in Breast/Ovarian or Colon Cancer Expert panels </v>
      </c>
    </row>
    <row r="14">
      <c r="A14" t="str">
        <f>IFERROR(__xludf.DUMMYFUNCTION("""COMPUTED_VALUE"""),"Unresponsive")</f>
        <v>Unresponsive</v>
      </c>
      <c r="B14" t="str">
        <f>IFERROR(__xludf.DUMMYFUNCTION("""COMPUTED_VALUE"""),"")</f>
        <v/>
      </c>
      <c r="C14" t="str">
        <f>IFERROR(__xludf.DUMMYFUNCTION("""COMPUTED_VALUE"""),"")</f>
        <v/>
      </c>
      <c r="D14" s="62" t="str">
        <f>IFERROR(__xludf.DUMMYFUNCTION("""COMPUTED_VALUE"""),"No")</f>
        <v>No</v>
      </c>
      <c r="E14" s="62" t="str">
        <f>IFERROR(__xludf.DUMMYFUNCTION("""COMPUTED_VALUE"""),"No")</f>
        <v>No</v>
      </c>
      <c r="F14" s="62" t="str">
        <f>IFERROR(__xludf.DUMMYFUNCTION("""COMPUTED_VALUE"""),"Dosage Sensitivity")</f>
        <v>Dosage Sensitivity</v>
      </c>
      <c r="G14" t="str">
        <f>IFERROR(__xludf.DUMMYFUNCTION("""COMPUTED_VALUE"""),"")</f>
        <v/>
      </c>
      <c r="H14" t="str">
        <f>IFERROR(__xludf.DUMMYFUNCTION("""COMPUTED_VALUE"""),"Hafsa Amtul")</f>
        <v>Hafsa Amtul</v>
      </c>
      <c r="I14" t="str">
        <f>IFERROR(__xludf.DUMMYFUNCTION("""COMPUTED_VALUE"""),"hafsa.amtul2502@gmail.com")</f>
        <v>hafsa.amtul2502@gmail.com</v>
      </c>
      <c r="J14" s="62" t="str">
        <f>IFERROR(__xludf.DUMMYFUNCTION("""COMPUTED_VALUE"""),"Comprehensive")</f>
        <v>Comprehensive</v>
      </c>
      <c r="K14" t="str">
        <f>IFERROR(__xludf.DUMMYFUNCTION("""COMPUTED_VALUE"""),"Dosage- Neurodevelopemental, Pediatric, Nonsmall cell lung cancer, 
Somatic TP53 ")</f>
        <v>Dosage- Neurodevelopemental, Pediatric, Nonsmall cell lung cancer, 
Somatic TP53 </v>
      </c>
    </row>
    <row r="15">
      <c r="A15" t="str">
        <f>IFERROR(__xludf.DUMMYFUNCTION("""COMPUTED_VALUE"""),"Contacted")</f>
        <v>Contacted</v>
      </c>
      <c r="B15" t="str">
        <f>IFERROR(__xludf.DUMMYFUNCTION("""COMPUTED_VALUE"""),"")</f>
        <v/>
      </c>
      <c r="C15" s="114">
        <f>IFERROR(__xludf.DUMMYFUNCTION("""COMPUTED_VALUE"""),43580.0)</f>
        <v>43580</v>
      </c>
      <c r="D15" s="62" t="str">
        <f>IFERROR(__xludf.DUMMYFUNCTION("""COMPUTED_VALUE"""),"Yes")</f>
        <v>Yes</v>
      </c>
      <c r="E15" s="62" t="str">
        <f>IFERROR(__xludf.DUMMYFUNCTION("""COMPUTED_VALUE"""),"Yes")</f>
        <v>Yes</v>
      </c>
      <c r="F15" s="62" t="str">
        <f>IFERROR(__xludf.DUMMYFUNCTION("""COMPUTED_VALUE"""),"Dosage Sensitivity")</f>
        <v>Dosage Sensitivity</v>
      </c>
      <c r="G15" t="str">
        <f>IFERROR(__xludf.DUMMYFUNCTION("""COMPUTED_VALUE"""),"")</f>
        <v/>
      </c>
      <c r="H15" t="str">
        <f>IFERROR(__xludf.DUMMYFUNCTION("""COMPUTED_VALUE"""),"Christine Preston")</f>
        <v>Christine Preston</v>
      </c>
      <c r="I15" t="str">
        <f>IFERROR(__xludf.DUMMYFUNCTION("""COMPUTED_VALUE"""),"christip@stanford.edu")</f>
        <v>christip@stanford.edu</v>
      </c>
      <c r="J15" s="62" t="str">
        <f>IFERROR(__xludf.DUMMYFUNCTION("""COMPUTED_VALUE"""),"Comprehensive")</f>
        <v>Comprehensive</v>
      </c>
      <c r="K15" t="str">
        <f>IFERROR(__xludf.DUMMYFUNCTION("""COMPUTED_VALUE"""),"Dosage Sensitivity Working Group")</f>
        <v>Dosage Sensitivity Working Group</v>
      </c>
    </row>
    <row r="16">
      <c r="A16" t="str">
        <f>IFERROR(__xludf.DUMMYFUNCTION("""COMPUTED_VALUE"""),"Unassigned")</f>
        <v>Unassigned</v>
      </c>
      <c r="B16" t="str">
        <f>IFERROR(__xludf.DUMMYFUNCTION("""COMPUTED_VALUE"""),"")</f>
        <v/>
      </c>
      <c r="C16" t="str">
        <f>IFERROR(__xludf.DUMMYFUNCTION("""COMPUTED_VALUE"""),"")</f>
        <v/>
      </c>
      <c r="D16" s="62" t="str">
        <f>IFERROR(__xludf.DUMMYFUNCTION("""COMPUTED_VALUE"""),"")</f>
        <v/>
      </c>
      <c r="E16" s="62" t="str">
        <f>IFERROR(__xludf.DUMMYFUNCTION("""COMPUTED_VALUE"""),"No")</f>
        <v>No</v>
      </c>
      <c r="F16" s="62" t="str">
        <f>IFERROR(__xludf.DUMMYFUNCTION("""COMPUTED_VALUE"""),"Baseline")</f>
        <v>Baseline</v>
      </c>
      <c r="G16" t="str">
        <f>IFERROR(__xludf.DUMMYFUNCTION("""COMPUTED_VALUE"""),"")</f>
        <v/>
      </c>
      <c r="H16" t="str">
        <f>IFERROR(__xludf.DUMMYFUNCTION("""COMPUTED_VALUE"""),"Michelle Paczosa")</f>
        <v>Michelle Paczosa</v>
      </c>
      <c r="I16" t="str">
        <f>IFERROR(__xludf.DUMMYFUNCTION("""COMPUTED_VALUE"""),"Michelle.K.Paczosa@questdiagnostics.com")</f>
        <v>Michelle.K.Paczosa@questdiagnostics.com</v>
      </c>
      <c r="J16" s="62" t="str">
        <f>IFERROR(__xludf.DUMMYFUNCTION("""COMPUTED_VALUE"""),"Comprehensive")</f>
        <v>Comprehensive</v>
      </c>
      <c r="K16" t="str">
        <f>IFERROR(__xludf.DUMMYFUNCTION("""COMPUTED_VALUE"""),"1. Recurrent 2. Neurodevelopmental 3. Cancer 4. Mitochondrial 5.Hereditary Cancer 6. Monogenic Diabetes")</f>
        <v>1. Recurrent 2. Neurodevelopmental 3. Cancer 4. Mitochondrial 5.Hereditary Cancer 6. Monogenic Diabetes</v>
      </c>
    </row>
    <row r="17">
      <c r="A17" t="str">
        <f>IFERROR(__xludf.DUMMYFUNCTION("""COMPUTED_VALUE"""),"Unassigned")</f>
        <v>Unassigned</v>
      </c>
      <c r="B17" t="str">
        <f>IFERROR(__xludf.DUMMYFUNCTION("""COMPUTED_VALUE"""),"")</f>
        <v/>
      </c>
      <c r="C17" t="str">
        <f>IFERROR(__xludf.DUMMYFUNCTION("""COMPUTED_VALUE"""),"")</f>
        <v/>
      </c>
      <c r="D17" s="62" t="str">
        <f>IFERROR(__xludf.DUMMYFUNCTION("""COMPUTED_VALUE"""),"")</f>
        <v/>
      </c>
      <c r="E17" s="62" t="str">
        <f>IFERROR(__xludf.DUMMYFUNCTION("""COMPUTED_VALUE"""),"No")</f>
        <v>No</v>
      </c>
      <c r="F17" s="62" t="str">
        <f>IFERROR(__xludf.DUMMYFUNCTION("""COMPUTED_VALUE"""),"Dosage Sensitivity")</f>
        <v>Dosage Sensitivity</v>
      </c>
      <c r="G17" t="str">
        <f>IFERROR(__xludf.DUMMYFUNCTION("""COMPUTED_VALUE"""),"")</f>
        <v/>
      </c>
      <c r="H17" t="str">
        <f>IFERROR(__xludf.DUMMYFUNCTION("""COMPUTED_VALUE"""),"Laura Sack")</f>
        <v>Laura Sack</v>
      </c>
      <c r="I17" t="str">
        <f>IFERROR(__xludf.DUMMYFUNCTION("""COMPUTED_VALUE"""),"laura@sack.io")</f>
        <v>laura@sack.io</v>
      </c>
      <c r="J17" s="62" t="str">
        <f>IFERROR(__xludf.DUMMYFUNCTION("""COMPUTED_VALUE"""),"Comprehensive")</f>
        <v>Comprehensive</v>
      </c>
      <c r="K17" t="str">
        <f>IFERROR(__xludf.DUMMYFUNCTION("""COMPUTED_VALUE"""),"Dosage-Recurrent Regions, Dosage- Neurodevelopemental, Hereditary Cancer, Intellectual Disability and Autism, Epilepsy")</f>
        <v>Dosage-Recurrent Regions, Dosage- Neurodevelopemental, Hereditary Cancer, Intellectual Disability and Autism, Epilepsy</v>
      </c>
    </row>
    <row r="18">
      <c r="A18" t="str">
        <f>IFERROR(__xludf.DUMMYFUNCTION("""COMPUTED_VALUE"""),"Unassigned")</f>
        <v>Unassigned</v>
      </c>
      <c r="B18" t="str">
        <f>IFERROR(__xludf.DUMMYFUNCTION("""COMPUTED_VALUE"""),"")</f>
        <v/>
      </c>
      <c r="C18" t="str">
        <f>IFERROR(__xludf.DUMMYFUNCTION("""COMPUTED_VALUE"""),"")</f>
        <v/>
      </c>
      <c r="D18" s="62" t="str">
        <f>IFERROR(__xludf.DUMMYFUNCTION("""COMPUTED_VALUE"""),"")</f>
        <v/>
      </c>
      <c r="E18" s="62" t="str">
        <f>IFERROR(__xludf.DUMMYFUNCTION("""COMPUTED_VALUE"""),"No")</f>
        <v>No</v>
      </c>
      <c r="F18" s="62" t="str">
        <f>IFERROR(__xludf.DUMMYFUNCTION("""COMPUTED_VALUE"""),"Dosage Sensitivity")</f>
        <v>Dosage Sensitivity</v>
      </c>
      <c r="G18" t="str">
        <f>IFERROR(__xludf.DUMMYFUNCTION("""COMPUTED_VALUE"""),"")</f>
        <v/>
      </c>
      <c r="H18" t="str">
        <f>IFERROR(__xludf.DUMMYFUNCTION("""COMPUTED_VALUE"""),"Niroshi Senaratne")</f>
        <v>Niroshi Senaratne</v>
      </c>
      <c r="I18" t="str">
        <f>IFERROR(__xludf.DUMMYFUNCTION("""COMPUTED_VALUE"""),"niroshi.senaratne@gmail.com")</f>
        <v>niroshi.senaratne@gmail.com</v>
      </c>
      <c r="J18" s="62" t="str">
        <f>IFERROR(__xludf.DUMMYFUNCTION("""COMPUTED_VALUE"""),"Comprehensive")</f>
        <v>Comprehensive</v>
      </c>
      <c r="K18" t="str">
        <f>IFERROR(__xludf.DUMMYFUNCTION("""COMPUTED_VALUE"""),"Dosage sensitivity (neurodevelopmental genes subgroup)")</f>
        <v>Dosage sensitivity (neurodevelopmental genes subgroup)</v>
      </c>
    </row>
    <row r="19">
      <c r="A19" t="str">
        <f>IFERROR(__xludf.DUMMYFUNCTION("""COMPUTED_VALUE"""),"Unassigned")</f>
        <v>Unassigned</v>
      </c>
      <c r="B19" t="str">
        <f>IFERROR(__xludf.DUMMYFUNCTION("""COMPUTED_VALUE"""),"")</f>
        <v/>
      </c>
      <c r="C19" t="str">
        <f>IFERROR(__xludf.DUMMYFUNCTION("""COMPUTED_VALUE"""),"")</f>
        <v/>
      </c>
      <c r="D19" s="62" t="str">
        <f>IFERROR(__xludf.DUMMYFUNCTION("""COMPUTED_VALUE"""),"")</f>
        <v/>
      </c>
      <c r="E19" s="62" t="str">
        <f>IFERROR(__xludf.DUMMYFUNCTION("""COMPUTED_VALUE"""),"No")</f>
        <v>No</v>
      </c>
      <c r="F19" s="62" t="str">
        <f>IFERROR(__xludf.DUMMYFUNCTION("""COMPUTED_VALUE"""),"Dosage Sensitivity")</f>
        <v>Dosage Sensitivity</v>
      </c>
      <c r="G19" t="str">
        <f>IFERROR(__xludf.DUMMYFUNCTION("""COMPUTED_VALUE"""),"")</f>
        <v/>
      </c>
      <c r="H19" t="str">
        <f>IFERROR(__xludf.DUMMYFUNCTION("""COMPUTED_VALUE"""),"Ankita Patel")</f>
        <v>Ankita Patel</v>
      </c>
      <c r="I19" t="str">
        <f>IFERROR(__xludf.DUMMYFUNCTION("""COMPUTED_VALUE"""),"aspatel1@yahoo.com")</f>
        <v>aspatel1@yahoo.com</v>
      </c>
      <c r="J19" s="62" t="str">
        <f>IFERROR(__xludf.DUMMYFUNCTION("""COMPUTED_VALUE"""),"Comprehensive")</f>
        <v>Comprehensive</v>
      </c>
      <c r="K19" t="str">
        <f>IFERROR(__xludf.DUMMYFUNCTION("""COMPUTED_VALUE"""),"no- can owrk on where there is need")</f>
        <v>no- can owrk on where there is need</v>
      </c>
    </row>
    <row r="20">
      <c r="A20" t="str">
        <f>IFERROR(__xludf.DUMMYFUNCTION("""COMPUTED_VALUE"""),"Unassigned")</f>
        <v>Unassigned</v>
      </c>
      <c r="B20" t="str">
        <f>IFERROR(__xludf.DUMMYFUNCTION("""COMPUTED_VALUE"""),"")</f>
        <v/>
      </c>
      <c r="C20" t="str">
        <f>IFERROR(__xludf.DUMMYFUNCTION("""COMPUTED_VALUE"""),"")</f>
        <v/>
      </c>
      <c r="D20" s="62" t="str">
        <f>IFERROR(__xludf.DUMMYFUNCTION("""COMPUTED_VALUE"""),"")</f>
        <v/>
      </c>
      <c r="E20" s="62" t="str">
        <f>IFERROR(__xludf.DUMMYFUNCTION("""COMPUTED_VALUE"""),"No")</f>
        <v>No</v>
      </c>
      <c r="F20" s="62" t="str">
        <f>IFERROR(__xludf.DUMMYFUNCTION("""COMPUTED_VALUE"""),"NA")</f>
        <v>NA</v>
      </c>
      <c r="G20" t="str">
        <f>IFERROR(__xludf.DUMMYFUNCTION("""COMPUTED_VALUE"""),"")</f>
        <v/>
      </c>
      <c r="H20" t="str">
        <f>IFERROR(__xludf.DUMMYFUNCTION("""COMPUTED_VALUE"""),"Cassandra Barrett")</f>
        <v>Cassandra Barrett</v>
      </c>
      <c r="I20" t="str">
        <f>IFERROR(__xludf.DUMMYFUNCTION("""COMPUTED_VALUE"""),"cas9bar@gmail.com")</f>
        <v>cas9bar@gmail.com</v>
      </c>
      <c r="J20" s="62" t="str">
        <f>IFERROR(__xludf.DUMMYFUNCTION("""COMPUTED_VALUE"""),"Comprehensive")</f>
        <v>Comprehensive</v>
      </c>
      <c r="K20" t="str">
        <f>IFERROR(__xludf.DUMMYFUNCTION("""COMPUTED_VALUE"""),"")</f>
        <v/>
      </c>
    </row>
    <row r="21">
      <c r="A21" t="str">
        <f>IFERROR(__xludf.DUMMYFUNCTION("""COMPUTED_VALUE"""),"Unassigned")</f>
        <v>Unassigned</v>
      </c>
      <c r="B21" t="str">
        <f>IFERROR(__xludf.DUMMYFUNCTION("""COMPUTED_VALUE"""),"")</f>
        <v/>
      </c>
      <c r="C21" t="str">
        <f>IFERROR(__xludf.DUMMYFUNCTION("""COMPUTED_VALUE"""),"")</f>
        <v/>
      </c>
      <c r="D21" s="62" t="str">
        <f>IFERROR(__xludf.DUMMYFUNCTION("""COMPUTED_VALUE"""),"")</f>
        <v/>
      </c>
      <c r="E21" s="62" t="str">
        <f>IFERROR(__xludf.DUMMYFUNCTION("""COMPUTED_VALUE"""),"No")</f>
        <v>No</v>
      </c>
      <c r="F21" s="62" t="str">
        <f>IFERROR(__xludf.DUMMYFUNCTION("""COMPUTED_VALUE"""),"NA")</f>
        <v>NA</v>
      </c>
      <c r="G21" t="str">
        <f>IFERROR(__xludf.DUMMYFUNCTION("""COMPUTED_VALUE"""),"")</f>
        <v/>
      </c>
      <c r="H21" t="str">
        <f>IFERROR(__xludf.DUMMYFUNCTION("""COMPUTED_VALUE"""),"Ekaterini Iordanou")</f>
        <v>Ekaterini Iordanou</v>
      </c>
      <c r="I21" t="str">
        <f>IFERROR(__xludf.DUMMYFUNCTION("""COMPUTED_VALUE"""),"iordanoue@childrensdayton.org")</f>
        <v>iordanoue@childrensdayton.org</v>
      </c>
      <c r="J21" s="62" t="str">
        <f>IFERROR(__xludf.DUMMYFUNCTION("""COMPUTED_VALUE"""),"Comprehensive")</f>
        <v>Comprehensive</v>
      </c>
      <c r="K21" t="str">
        <f>IFERROR(__xludf.DUMMYFUNCTION("""COMPUTED_VALUE"""),"")</f>
        <v/>
      </c>
    </row>
    <row r="22">
      <c r="A22" t="str">
        <f>IFERROR(__xludf.DUMMYFUNCTION("""COMPUTED_VALUE"""),"Unassigned")</f>
        <v>Unassigned</v>
      </c>
      <c r="B22" t="str">
        <f>IFERROR(__xludf.DUMMYFUNCTION("""COMPUTED_VALUE"""),"")</f>
        <v/>
      </c>
      <c r="C22" t="str">
        <f>IFERROR(__xludf.DUMMYFUNCTION("""COMPUTED_VALUE"""),"")</f>
        <v/>
      </c>
      <c r="D22" s="62" t="str">
        <f>IFERROR(__xludf.DUMMYFUNCTION("""COMPUTED_VALUE"""),"")</f>
        <v/>
      </c>
      <c r="E22" s="62" t="str">
        <f>IFERROR(__xludf.DUMMYFUNCTION("""COMPUTED_VALUE"""),"No")</f>
        <v>No</v>
      </c>
      <c r="F22" s="62" t="str">
        <f>IFERROR(__xludf.DUMMYFUNCTION("""COMPUTED_VALUE"""),"NA")</f>
        <v>NA</v>
      </c>
      <c r="G22" t="str">
        <f>IFERROR(__xludf.DUMMYFUNCTION("""COMPUTED_VALUE"""),"")</f>
        <v/>
      </c>
      <c r="H22" t="str">
        <f>IFERROR(__xludf.DUMMYFUNCTION("""COMPUTED_VALUE"""),"Benjamin Clyde")</f>
        <v>Benjamin Clyde</v>
      </c>
      <c r="I22" t="str">
        <f>IFERROR(__xludf.DUMMYFUNCTION("""COMPUTED_VALUE"""),"benjamin.clyde@aruplab.com")</f>
        <v>benjamin.clyde@aruplab.com</v>
      </c>
      <c r="J22" s="62" t="str">
        <f>IFERROR(__xludf.DUMMYFUNCTION("""COMPUTED_VALUE"""),"Comprehensive")</f>
        <v>Comprehensive</v>
      </c>
      <c r="K22" t="str">
        <f>IFERROR(__xludf.DUMMYFUNCTION("""COMPUTED_VALUE"""),"Hereditary Cancer Dosage Sensitivity Subgroup")</f>
        <v>Hereditary Cancer Dosage Sensitivity Subgroup</v>
      </c>
    </row>
    <row r="23">
      <c r="A23" t="str">
        <f>IFERROR(__xludf.DUMMYFUNCTION("""COMPUTED_VALUE"""),"Unassigned")</f>
        <v>Unassigned</v>
      </c>
      <c r="B23" t="str">
        <f>IFERROR(__xludf.DUMMYFUNCTION("""COMPUTED_VALUE"""),"")</f>
        <v/>
      </c>
      <c r="C23" t="str">
        <f>IFERROR(__xludf.DUMMYFUNCTION("""COMPUTED_VALUE"""),"")</f>
        <v/>
      </c>
      <c r="D23" s="62" t="str">
        <f>IFERROR(__xludf.DUMMYFUNCTION("""COMPUTED_VALUE"""),"")</f>
        <v/>
      </c>
      <c r="E23" s="62" t="str">
        <f>IFERROR(__xludf.DUMMYFUNCTION("""COMPUTED_VALUE"""),"No")</f>
        <v>No</v>
      </c>
      <c r="F23" s="62" t="str">
        <f>IFERROR(__xludf.DUMMYFUNCTION("""COMPUTED_VALUE"""),"NA")</f>
        <v>NA</v>
      </c>
      <c r="G23" t="str">
        <f>IFERROR(__xludf.DUMMYFUNCTION("""COMPUTED_VALUE"""),"")</f>
        <v/>
      </c>
      <c r="H23" t="str">
        <f>IFERROR(__xludf.DUMMYFUNCTION("""COMPUTED_VALUE"""),"Jaime Nagy")</f>
        <v>Jaime Nagy</v>
      </c>
      <c r="I23" t="str">
        <f>IFERROR(__xludf.DUMMYFUNCTION("""COMPUTED_VALUE"""),"jaime-nagy@uiowa.edu")</f>
        <v>jaime-nagy@uiowa.edu</v>
      </c>
      <c r="J23" s="62" t="str">
        <f>IFERROR(__xludf.DUMMYFUNCTION("""COMPUTED_VALUE"""),"Comprehensive")</f>
        <v>Comprehensive</v>
      </c>
      <c r="K23" t="str">
        <f>IFERROR(__xludf.DUMMYFUNCTION("""COMPUTED_VALUE"""),"Dosage Sensitivity working group")</f>
        <v>Dosage Sensitivity working group</v>
      </c>
    </row>
    <row r="24">
      <c r="A24" t="str">
        <f>IFERROR(__xludf.DUMMYFUNCTION("""COMPUTED_VALUE"""),"Unassigned")</f>
        <v>Unassigned</v>
      </c>
      <c r="B24" t="str">
        <f>IFERROR(__xludf.DUMMYFUNCTION("""COMPUTED_VALUE"""),"")</f>
        <v/>
      </c>
      <c r="C24" t="str">
        <f>IFERROR(__xludf.DUMMYFUNCTION("""COMPUTED_VALUE"""),"")</f>
        <v/>
      </c>
      <c r="D24" s="62" t="str">
        <f>IFERROR(__xludf.DUMMYFUNCTION("""COMPUTED_VALUE"""),"")</f>
        <v/>
      </c>
      <c r="E24" s="62" t="str">
        <f>IFERROR(__xludf.DUMMYFUNCTION("""COMPUTED_VALUE"""),"No")</f>
        <v>No</v>
      </c>
      <c r="F24" s="62" t="str">
        <f>IFERROR(__xludf.DUMMYFUNCTION("""COMPUTED_VALUE"""),"NA")</f>
        <v>NA</v>
      </c>
      <c r="G24" t="str">
        <f>IFERROR(__xludf.DUMMYFUNCTION("""COMPUTED_VALUE"""),"")</f>
        <v/>
      </c>
      <c r="H24" t="str">
        <f>IFERROR(__xludf.DUMMYFUNCTION("""COMPUTED_VALUE"""),"Adele fairclough")</f>
        <v>Adele fairclough</v>
      </c>
      <c r="I24" t="str">
        <f>IFERROR(__xludf.DUMMYFUNCTION("""COMPUTED_VALUE"""),"Adele.fairclough@mft.nhs.uk")</f>
        <v>Adele.fairclough@mft.nhs.uk</v>
      </c>
      <c r="J24" s="62" t="str">
        <f>IFERROR(__xludf.DUMMYFUNCTION("""COMPUTED_VALUE"""),"Comprehensive")</f>
        <v>Comprehensive</v>
      </c>
      <c r="K24" t="str">
        <f>IFERROR(__xludf.DUMMYFUNCTION("""COMPUTED_VALUE"""),"dosage")</f>
        <v>dosage</v>
      </c>
    </row>
    <row r="25">
      <c r="D25" s="62"/>
      <c r="E25" s="62"/>
      <c r="F25" s="62"/>
      <c r="J25" s="62"/>
    </row>
    <row r="26">
      <c r="D26" s="62"/>
      <c r="E26" s="62"/>
      <c r="F26" s="62"/>
      <c r="J26" s="62"/>
    </row>
    <row r="27">
      <c r="D27" s="62"/>
      <c r="E27" s="62"/>
      <c r="F27" s="62"/>
      <c r="J27" s="62"/>
    </row>
    <row r="28">
      <c r="D28" s="62"/>
      <c r="E28" s="62"/>
      <c r="F28" s="62"/>
      <c r="J28" s="62"/>
    </row>
    <row r="29">
      <c r="D29" s="62"/>
      <c r="E29" s="62"/>
      <c r="F29" s="62"/>
      <c r="J29" s="62"/>
    </row>
    <row r="30">
      <c r="D30" s="62"/>
      <c r="E30" s="62"/>
      <c r="F30" s="62"/>
      <c r="J30" s="62"/>
    </row>
    <row r="31">
      <c r="D31" s="62"/>
      <c r="E31" s="62"/>
      <c r="F31" s="62"/>
      <c r="J31" s="62"/>
    </row>
    <row r="32">
      <c r="D32" s="62"/>
      <c r="E32" s="62"/>
      <c r="F32" s="62"/>
      <c r="J32" s="62"/>
    </row>
    <row r="33">
      <c r="D33" s="62"/>
      <c r="E33" s="62"/>
      <c r="F33" s="62"/>
      <c r="J33" s="62"/>
    </row>
    <row r="34">
      <c r="D34" s="62"/>
      <c r="E34" s="62"/>
      <c r="F34" s="62"/>
      <c r="J34" s="62"/>
    </row>
    <row r="35">
      <c r="D35" s="62"/>
      <c r="E35" s="62"/>
      <c r="F35" s="62"/>
      <c r="J35" s="62"/>
    </row>
    <row r="36">
      <c r="D36" s="62"/>
      <c r="E36" s="62"/>
      <c r="F36" s="62"/>
      <c r="J36" s="62"/>
    </row>
    <row r="37">
      <c r="D37" s="62"/>
      <c r="E37" s="62"/>
      <c r="F37" s="62"/>
      <c r="J37" s="62"/>
    </row>
    <row r="38">
      <c r="D38" s="62"/>
      <c r="E38" s="62"/>
      <c r="F38" s="62"/>
      <c r="J38" s="62"/>
    </row>
    <row r="39">
      <c r="D39" s="62"/>
      <c r="E39" s="62"/>
      <c r="F39" s="62"/>
      <c r="J39" s="62"/>
    </row>
    <row r="40">
      <c r="D40" s="62"/>
      <c r="E40" s="62"/>
      <c r="F40" s="62"/>
      <c r="J40" s="62"/>
    </row>
    <row r="41">
      <c r="D41" s="62"/>
      <c r="E41" s="62"/>
      <c r="F41" s="62"/>
      <c r="J41" s="62"/>
    </row>
    <row r="42">
      <c r="D42" s="62"/>
      <c r="E42" s="62"/>
      <c r="F42" s="62"/>
      <c r="J42" s="62"/>
    </row>
    <row r="43">
      <c r="D43" s="62"/>
      <c r="E43" s="62"/>
      <c r="F43" s="62"/>
      <c r="J43" s="62"/>
    </row>
    <row r="44">
      <c r="D44" s="62"/>
      <c r="E44" s="62"/>
      <c r="F44" s="62"/>
      <c r="J44" s="62"/>
    </row>
    <row r="45">
      <c r="D45" s="62"/>
      <c r="E45" s="62"/>
      <c r="F45" s="62"/>
      <c r="J45" s="62"/>
    </row>
    <row r="46">
      <c r="D46" s="62"/>
      <c r="E46" s="62"/>
      <c r="F46" s="62"/>
      <c r="J46" s="62"/>
    </row>
    <row r="47">
      <c r="D47" s="62"/>
      <c r="E47" s="62"/>
      <c r="F47" s="62"/>
      <c r="J47" s="62"/>
    </row>
    <row r="48">
      <c r="D48" s="62"/>
      <c r="E48" s="62"/>
      <c r="F48" s="62"/>
      <c r="J48" s="62"/>
    </row>
    <row r="49">
      <c r="D49" s="62"/>
      <c r="E49" s="62"/>
      <c r="F49" s="62"/>
      <c r="J49" s="62"/>
    </row>
    <row r="50">
      <c r="D50" s="62"/>
      <c r="E50" s="62"/>
      <c r="F50" s="62"/>
      <c r="J50" s="62"/>
    </row>
    <row r="51">
      <c r="D51" s="62"/>
      <c r="E51" s="62"/>
      <c r="F51" s="62"/>
      <c r="J51" s="62"/>
    </row>
    <row r="52">
      <c r="D52" s="62"/>
      <c r="E52" s="62"/>
      <c r="F52" s="62"/>
      <c r="J52" s="62"/>
    </row>
    <row r="53">
      <c r="D53" s="62"/>
      <c r="E53" s="62"/>
      <c r="F53" s="62"/>
      <c r="J53" s="62"/>
    </row>
    <row r="54">
      <c r="D54" s="62"/>
      <c r="E54" s="62"/>
      <c r="F54" s="62"/>
      <c r="J54" s="62"/>
    </row>
    <row r="55">
      <c r="D55" s="62"/>
      <c r="E55" s="62"/>
      <c r="F55" s="62"/>
      <c r="J55" s="62"/>
    </row>
    <row r="56">
      <c r="D56" s="62"/>
      <c r="E56" s="62"/>
      <c r="F56" s="62"/>
      <c r="J56" s="62"/>
    </row>
    <row r="57">
      <c r="D57" s="62"/>
      <c r="E57" s="62"/>
      <c r="F57" s="62"/>
      <c r="J57" s="62"/>
    </row>
    <row r="58">
      <c r="D58" s="62"/>
      <c r="E58" s="62"/>
      <c r="F58" s="62"/>
      <c r="J58" s="62"/>
    </row>
    <row r="59">
      <c r="D59" s="62"/>
      <c r="E59" s="62"/>
      <c r="F59" s="62"/>
      <c r="J59" s="62"/>
    </row>
    <row r="60">
      <c r="D60" s="62"/>
      <c r="E60" s="62"/>
      <c r="F60" s="62"/>
      <c r="J60" s="62"/>
    </row>
    <row r="61">
      <c r="D61" s="62"/>
      <c r="E61" s="62"/>
      <c r="F61" s="62"/>
      <c r="J61" s="62"/>
    </row>
    <row r="62">
      <c r="D62" s="62"/>
      <c r="E62" s="62"/>
      <c r="F62" s="62"/>
      <c r="J62" s="62"/>
    </row>
    <row r="63">
      <c r="D63" s="62"/>
      <c r="E63" s="62"/>
      <c r="F63" s="62"/>
      <c r="J63" s="62"/>
    </row>
    <row r="64">
      <c r="D64" s="62"/>
      <c r="E64" s="62"/>
      <c r="F64" s="62"/>
      <c r="J64" s="62"/>
    </row>
    <row r="65">
      <c r="D65" s="62"/>
      <c r="E65" s="62"/>
      <c r="F65" s="62"/>
      <c r="J65" s="62"/>
    </row>
    <row r="66">
      <c r="D66" s="62"/>
      <c r="E66" s="62"/>
      <c r="F66" s="62"/>
      <c r="J66" s="62"/>
    </row>
    <row r="67">
      <c r="D67" s="62"/>
      <c r="E67" s="62"/>
      <c r="F67" s="62"/>
      <c r="J67" s="62"/>
    </row>
    <row r="68">
      <c r="D68" s="62"/>
      <c r="E68" s="62"/>
      <c r="F68" s="62"/>
      <c r="J68" s="62"/>
    </row>
    <row r="69">
      <c r="D69" s="62"/>
      <c r="E69" s="62"/>
      <c r="F69" s="62"/>
      <c r="J69" s="62"/>
    </row>
    <row r="70">
      <c r="D70" s="62"/>
      <c r="E70" s="62"/>
      <c r="F70" s="62"/>
      <c r="J70" s="62"/>
    </row>
    <row r="71">
      <c r="D71" s="62"/>
      <c r="E71" s="62"/>
      <c r="F71" s="62"/>
      <c r="J71" s="62"/>
    </row>
    <row r="72">
      <c r="D72" s="62"/>
      <c r="E72" s="62"/>
      <c r="F72" s="62"/>
      <c r="J72" s="62"/>
    </row>
    <row r="73">
      <c r="D73" s="62"/>
      <c r="E73" s="62"/>
      <c r="F73" s="62"/>
      <c r="J73" s="62"/>
    </row>
    <row r="74">
      <c r="D74" s="62"/>
      <c r="E74" s="62"/>
      <c r="F74" s="62"/>
      <c r="J74" s="62"/>
    </row>
    <row r="75">
      <c r="D75" s="62"/>
      <c r="E75" s="62"/>
      <c r="F75" s="62"/>
      <c r="J75" s="62"/>
    </row>
    <row r="76">
      <c r="D76" s="62"/>
      <c r="E76" s="62"/>
      <c r="F76" s="62"/>
      <c r="J76" s="62"/>
    </row>
    <row r="77">
      <c r="D77" s="62"/>
      <c r="E77" s="62"/>
      <c r="F77" s="62"/>
      <c r="J77" s="62"/>
    </row>
    <row r="78">
      <c r="D78" s="62"/>
      <c r="E78" s="62"/>
      <c r="F78" s="62"/>
      <c r="J78" s="62"/>
    </row>
    <row r="79">
      <c r="D79" s="62"/>
      <c r="E79" s="62"/>
      <c r="F79" s="62"/>
      <c r="J79" s="62"/>
    </row>
    <row r="80">
      <c r="D80" s="62"/>
      <c r="E80" s="62"/>
      <c r="F80" s="62"/>
      <c r="J80" s="62"/>
    </row>
    <row r="81">
      <c r="D81" s="62"/>
      <c r="E81" s="62"/>
      <c r="F81" s="62"/>
      <c r="J81" s="62"/>
    </row>
    <row r="82">
      <c r="D82" s="62"/>
      <c r="E82" s="62"/>
      <c r="F82" s="62"/>
      <c r="J82" s="62"/>
    </row>
    <row r="83">
      <c r="D83" s="62"/>
      <c r="E83" s="62"/>
      <c r="F83" s="62"/>
      <c r="J83" s="62"/>
    </row>
    <row r="84">
      <c r="D84" s="62"/>
      <c r="E84" s="62"/>
      <c r="F84" s="62"/>
      <c r="J84" s="62"/>
    </row>
    <row r="85">
      <c r="D85" s="62"/>
      <c r="E85" s="62"/>
      <c r="F85" s="62"/>
      <c r="J85" s="62"/>
    </row>
    <row r="86">
      <c r="D86" s="62"/>
      <c r="E86" s="62"/>
      <c r="F86" s="62"/>
      <c r="J86" s="62"/>
    </row>
    <row r="87">
      <c r="D87" s="62"/>
      <c r="E87" s="62"/>
      <c r="F87" s="62"/>
      <c r="J87" s="62"/>
    </row>
    <row r="88">
      <c r="D88" s="62"/>
      <c r="E88" s="62"/>
      <c r="F88" s="62"/>
      <c r="J88" s="62"/>
    </row>
    <row r="89">
      <c r="D89" s="62"/>
      <c r="E89" s="62"/>
      <c r="F89" s="62"/>
      <c r="J89" s="62"/>
    </row>
    <row r="90">
      <c r="D90" s="62"/>
      <c r="E90" s="62"/>
      <c r="F90" s="62"/>
      <c r="J90" s="62"/>
    </row>
    <row r="91">
      <c r="D91" s="62"/>
      <c r="E91" s="62"/>
      <c r="F91" s="62"/>
      <c r="J91" s="62"/>
    </row>
    <row r="92">
      <c r="D92" s="62"/>
      <c r="E92" s="62"/>
      <c r="F92" s="62"/>
      <c r="J92" s="62"/>
    </row>
    <row r="93">
      <c r="D93" s="62"/>
      <c r="E93" s="62"/>
      <c r="F93" s="62"/>
      <c r="J93" s="62"/>
    </row>
    <row r="94">
      <c r="D94" s="62"/>
      <c r="E94" s="62"/>
      <c r="F94" s="62"/>
      <c r="J94" s="62"/>
    </row>
    <row r="95">
      <c r="D95" s="62"/>
      <c r="E95" s="62"/>
      <c r="F95" s="62"/>
      <c r="J95" s="62"/>
    </row>
    <row r="96">
      <c r="D96" s="62"/>
      <c r="E96" s="62"/>
      <c r="F96" s="62"/>
      <c r="J96" s="62"/>
    </row>
    <row r="97">
      <c r="D97" s="62"/>
      <c r="E97" s="62"/>
      <c r="F97" s="62"/>
      <c r="J97" s="62"/>
    </row>
    <row r="98">
      <c r="D98" s="62"/>
      <c r="E98" s="62"/>
      <c r="F98" s="62"/>
      <c r="J98" s="62"/>
    </row>
    <row r="99">
      <c r="D99" s="62"/>
      <c r="E99" s="62"/>
      <c r="F99" s="62"/>
      <c r="J99" s="62"/>
    </row>
    <row r="100">
      <c r="D100" s="62"/>
      <c r="E100" s="62"/>
      <c r="F100" s="62"/>
      <c r="J100" s="62"/>
    </row>
    <row r="101">
      <c r="D101" s="62"/>
      <c r="E101" s="62"/>
      <c r="F101" s="62"/>
      <c r="J101" s="62"/>
    </row>
    <row r="102">
      <c r="D102" s="62"/>
      <c r="E102" s="62"/>
      <c r="F102" s="62"/>
      <c r="J102" s="62"/>
    </row>
    <row r="103">
      <c r="D103" s="62"/>
      <c r="E103" s="62"/>
      <c r="F103" s="62"/>
      <c r="J103" s="62"/>
    </row>
    <row r="104">
      <c r="D104" s="62"/>
      <c r="E104" s="62"/>
      <c r="F104" s="62"/>
      <c r="J104" s="62"/>
    </row>
    <row r="105">
      <c r="D105" s="62"/>
      <c r="E105" s="62"/>
      <c r="F105" s="62"/>
      <c r="J105" s="62"/>
    </row>
    <row r="106">
      <c r="D106" s="62"/>
      <c r="E106" s="62"/>
      <c r="F106" s="62"/>
      <c r="J106" s="62"/>
    </row>
    <row r="107">
      <c r="D107" s="62"/>
      <c r="E107" s="62"/>
      <c r="F107" s="62"/>
      <c r="J107" s="62"/>
    </row>
    <row r="108">
      <c r="D108" s="62"/>
      <c r="E108" s="62"/>
      <c r="F108" s="62"/>
      <c r="J108" s="62"/>
    </row>
    <row r="109">
      <c r="D109" s="62"/>
      <c r="E109" s="62"/>
      <c r="F109" s="62"/>
      <c r="J109" s="62"/>
    </row>
    <row r="110">
      <c r="D110" s="62"/>
      <c r="E110" s="62"/>
      <c r="F110" s="62"/>
      <c r="J110" s="62"/>
    </row>
    <row r="111">
      <c r="D111" s="62"/>
      <c r="E111" s="62"/>
      <c r="F111" s="62"/>
      <c r="J111" s="62"/>
    </row>
    <row r="112">
      <c r="D112" s="62"/>
      <c r="E112" s="62"/>
      <c r="F112" s="62"/>
      <c r="J112" s="62"/>
    </row>
    <row r="113">
      <c r="D113" s="62"/>
      <c r="E113" s="62"/>
      <c r="F113" s="62"/>
      <c r="J113" s="62"/>
    </row>
    <row r="114">
      <c r="D114" s="62"/>
      <c r="E114" s="62"/>
      <c r="F114" s="62"/>
      <c r="J114" s="62"/>
    </row>
    <row r="115">
      <c r="D115" s="62"/>
      <c r="E115" s="62"/>
      <c r="F115" s="62"/>
      <c r="J115" s="62"/>
    </row>
    <row r="116">
      <c r="D116" s="62"/>
      <c r="E116" s="62"/>
      <c r="F116" s="62"/>
      <c r="J116" s="62"/>
    </row>
    <row r="117">
      <c r="D117" s="62"/>
      <c r="E117" s="62"/>
      <c r="F117" s="62"/>
      <c r="J117" s="62"/>
    </row>
    <row r="118">
      <c r="D118" s="62"/>
      <c r="E118" s="62"/>
      <c r="F118" s="62"/>
      <c r="J118" s="62"/>
    </row>
    <row r="119">
      <c r="D119" s="62"/>
      <c r="E119" s="62"/>
      <c r="F119" s="62"/>
      <c r="J119" s="62"/>
    </row>
    <row r="120">
      <c r="D120" s="62"/>
      <c r="E120" s="62"/>
      <c r="F120" s="62"/>
      <c r="J120" s="62"/>
    </row>
    <row r="121">
      <c r="D121" s="62"/>
      <c r="E121" s="62"/>
      <c r="F121" s="62"/>
      <c r="J121" s="62"/>
    </row>
    <row r="122">
      <c r="D122" s="62"/>
      <c r="E122" s="62"/>
      <c r="F122" s="62"/>
      <c r="J122" s="62"/>
    </row>
    <row r="123">
      <c r="D123" s="62"/>
      <c r="E123" s="62"/>
      <c r="F123" s="62"/>
      <c r="J123" s="62"/>
    </row>
    <row r="124">
      <c r="D124" s="62"/>
      <c r="E124" s="62"/>
      <c r="F124" s="62"/>
      <c r="J124" s="62"/>
    </row>
    <row r="125">
      <c r="D125" s="62"/>
      <c r="E125" s="62"/>
      <c r="F125" s="62"/>
      <c r="J125" s="62"/>
    </row>
    <row r="126">
      <c r="D126" s="62"/>
      <c r="E126" s="62"/>
      <c r="F126" s="62"/>
      <c r="J126" s="62"/>
    </row>
    <row r="127">
      <c r="D127" s="62"/>
      <c r="E127" s="62"/>
      <c r="F127" s="62"/>
      <c r="J127" s="62"/>
    </row>
    <row r="128">
      <c r="D128" s="62"/>
      <c r="E128" s="62"/>
      <c r="F128" s="62"/>
      <c r="J128" s="62"/>
    </row>
    <row r="129">
      <c r="D129" s="62"/>
      <c r="E129" s="62"/>
      <c r="F129" s="62"/>
      <c r="J129" s="62"/>
    </row>
    <row r="130">
      <c r="D130" s="62"/>
      <c r="E130" s="62"/>
      <c r="F130" s="62"/>
      <c r="J130" s="62"/>
    </row>
    <row r="131">
      <c r="D131" s="62"/>
      <c r="E131" s="62"/>
      <c r="F131" s="62"/>
      <c r="J131" s="62"/>
    </row>
    <row r="132">
      <c r="D132" s="62"/>
      <c r="E132" s="62"/>
      <c r="F132" s="62"/>
      <c r="J132" s="62"/>
    </row>
    <row r="133">
      <c r="D133" s="62"/>
      <c r="E133" s="62"/>
      <c r="F133" s="62"/>
      <c r="J133" s="62"/>
    </row>
    <row r="134">
      <c r="D134" s="62"/>
      <c r="E134" s="62"/>
      <c r="F134" s="62"/>
      <c r="J134" s="62"/>
    </row>
    <row r="135">
      <c r="D135" s="62"/>
      <c r="E135" s="62"/>
      <c r="F135" s="62"/>
      <c r="J135" s="62"/>
    </row>
    <row r="136">
      <c r="D136" s="62"/>
      <c r="E136" s="62"/>
      <c r="F136" s="62"/>
      <c r="J136" s="62"/>
    </row>
    <row r="137">
      <c r="D137" s="62"/>
      <c r="E137" s="62"/>
      <c r="F137" s="62"/>
      <c r="J137" s="62"/>
    </row>
    <row r="138">
      <c r="D138" s="62"/>
      <c r="E138" s="62"/>
      <c r="F138" s="62"/>
      <c r="J138" s="62"/>
    </row>
    <row r="139">
      <c r="D139" s="62"/>
      <c r="E139" s="62"/>
      <c r="F139" s="62"/>
      <c r="J139" s="62"/>
    </row>
    <row r="140">
      <c r="D140" s="62"/>
      <c r="E140" s="62"/>
      <c r="F140" s="62"/>
      <c r="J140" s="62"/>
    </row>
    <row r="141">
      <c r="D141" s="62"/>
      <c r="E141" s="62"/>
      <c r="F141" s="62"/>
      <c r="J141" s="62"/>
    </row>
    <row r="142">
      <c r="D142" s="62"/>
      <c r="E142" s="62"/>
      <c r="F142" s="62"/>
      <c r="J142" s="62"/>
    </row>
    <row r="143">
      <c r="D143" s="62"/>
      <c r="E143" s="62"/>
      <c r="F143" s="62"/>
      <c r="J143" s="62"/>
    </row>
    <row r="144">
      <c r="D144" s="62"/>
      <c r="E144" s="62"/>
      <c r="F144" s="62"/>
      <c r="J144" s="62"/>
    </row>
    <row r="145">
      <c r="D145" s="62"/>
      <c r="E145" s="62"/>
      <c r="F145" s="62"/>
      <c r="J145" s="62"/>
    </row>
    <row r="146">
      <c r="D146" s="62"/>
      <c r="E146" s="62"/>
      <c r="F146" s="62"/>
      <c r="J146" s="62"/>
    </row>
    <row r="147">
      <c r="D147" s="62"/>
      <c r="E147" s="62"/>
      <c r="F147" s="62"/>
      <c r="J147" s="62"/>
    </row>
    <row r="148">
      <c r="D148" s="62"/>
      <c r="E148" s="62"/>
      <c r="F148" s="62"/>
      <c r="J148" s="62"/>
    </row>
    <row r="149">
      <c r="D149" s="62"/>
      <c r="E149" s="62"/>
      <c r="F149" s="62"/>
      <c r="J149" s="62"/>
    </row>
    <row r="150">
      <c r="D150" s="62"/>
      <c r="E150" s="62"/>
      <c r="F150" s="62"/>
      <c r="J150" s="62"/>
    </row>
    <row r="151">
      <c r="D151" s="62"/>
      <c r="E151" s="62"/>
      <c r="F151" s="62"/>
      <c r="J151" s="62"/>
    </row>
    <row r="152">
      <c r="D152" s="62"/>
      <c r="E152" s="62"/>
      <c r="F152" s="62"/>
      <c r="J152" s="62"/>
    </row>
    <row r="153">
      <c r="D153" s="62"/>
      <c r="E153" s="62"/>
      <c r="F153" s="62"/>
      <c r="J153" s="62"/>
    </row>
    <row r="154">
      <c r="D154" s="62"/>
      <c r="E154" s="62"/>
      <c r="F154" s="62"/>
      <c r="J154" s="62"/>
    </row>
    <row r="155">
      <c r="D155" s="62"/>
      <c r="E155" s="62"/>
      <c r="F155" s="62"/>
      <c r="J155" s="62"/>
    </row>
    <row r="156">
      <c r="D156" s="62"/>
      <c r="E156" s="62"/>
      <c r="F156" s="62"/>
      <c r="J156" s="62"/>
    </row>
    <row r="157">
      <c r="D157" s="62"/>
      <c r="E157" s="62"/>
      <c r="F157" s="62"/>
      <c r="J157" s="62"/>
    </row>
    <row r="158">
      <c r="D158" s="62"/>
      <c r="E158" s="62"/>
      <c r="F158" s="62"/>
      <c r="J158" s="62"/>
    </row>
    <row r="159">
      <c r="D159" s="62"/>
      <c r="E159" s="62"/>
      <c r="F159" s="62"/>
      <c r="J159" s="62"/>
    </row>
    <row r="160">
      <c r="D160" s="62"/>
      <c r="E160" s="62"/>
      <c r="F160" s="62"/>
      <c r="J160" s="62"/>
    </row>
    <row r="161">
      <c r="D161" s="62"/>
      <c r="E161" s="62"/>
      <c r="F161" s="62"/>
      <c r="J161" s="62"/>
    </row>
    <row r="162">
      <c r="D162" s="62"/>
      <c r="E162" s="62"/>
      <c r="F162" s="62"/>
      <c r="J162" s="62"/>
    </row>
    <row r="163">
      <c r="D163" s="62"/>
      <c r="E163" s="62"/>
      <c r="F163" s="62"/>
      <c r="J163" s="62"/>
    </row>
    <row r="164">
      <c r="D164" s="62"/>
      <c r="E164" s="62"/>
      <c r="F164" s="62"/>
      <c r="J164" s="62"/>
    </row>
    <row r="165">
      <c r="D165" s="62"/>
      <c r="E165" s="62"/>
      <c r="F165" s="62"/>
      <c r="J165" s="62"/>
    </row>
    <row r="166">
      <c r="D166" s="62"/>
      <c r="E166" s="62"/>
      <c r="F166" s="62"/>
      <c r="J166" s="62"/>
    </row>
    <row r="167">
      <c r="D167" s="62"/>
      <c r="E167" s="62"/>
      <c r="F167" s="62"/>
      <c r="J167" s="62"/>
    </row>
    <row r="168">
      <c r="D168" s="62"/>
      <c r="E168" s="62"/>
      <c r="F168" s="62"/>
      <c r="J168" s="62"/>
    </row>
    <row r="169">
      <c r="D169" s="62"/>
      <c r="E169" s="62"/>
      <c r="F169" s="62"/>
      <c r="J169" s="62"/>
    </row>
    <row r="170">
      <c r="D170" s="62"/>
      <c r="E170" s="62"/>
      <c r="F170" s="62"/>
      <c r="J170" s="62"/>
    </row>
    <row r="171">
      <c r="D171" s="62"/>
      <c r="E171" s="62"/>
      <c r="F171" s="62"/>
      <c r="J171" s="62"/>
    </row>
    <row r="172">
      <c r="D172" s="62"/>
      <c r="E172" s="62"/>
      <c r="F172" s="62"/>
      <c r="J172" s="62"/>
    </row>
    <row r="173">
      <c r="D173" s="62"/>
      <c r="E173" s="62"/>
      <c r="F173" s="62"/>
      <c r="J173" s="62"/>
    </row>
    <row r="174">
      <c r="D174" s="62"/>
      <c r="E174" s="62"/>
      <c r="F174" s="62"/>
      <c r="J174" s="62"/>
    </row>
    <row r="175">
      <c r="D175" s="62"/>
      <c r="E175" s="62"/>
      <c r="F175" s="62"/>
      <c r="J175" s="62"/>
    </row>
    <row r="176">
      <c r="D176" s="62"/>
      <c r="E176" s="62"/>
      <c r="F176" s="62"/>
      <c r="J176" s="62"/>
    </row>
    <row r="177">
      <c r="D177" s="62"/>
      <c r="E177" s="62"/>
      <c r="F177" s="62"/>
      <c r="J177" s="62"/>
    </row>
    <row r="178">
      <c r="D178" s="62"/>
      <c r="E178" s="62"/>
      <c r="F178" s="62"/>
      <c r="J178" s="62"/>
    </row>
    <row r="179">
      <c r="D179" s="62"/>
      <c r="E179" s="62"/>
      <c r="F179" s="62"/>
      <c r="J179" s="62"/>
    </row>
    <row r="180">
      <c r="D180" s="62"/>
      <c r="E180" s="62"/>
      <c r="F180" s="62"/>
      <c r="J180" s="62"/>
    </row>
    <row r="181">
      <c r="D181" s="62"/>
      <c r="E181" s="62"/>
      <c r="F181" s="62"/>
      <c r="J181" s="62"/>
    </row>
    <row r="182">
      <c r="D182" s="62"/>
      <c r="E182" s="62"/>
      <c r="F182" s="62"/>
      <c r="J182" s="62"/>
    </row>
    <row r="183">
      <c r="D183" s="62"/>
      <c r="E183" s="62"/>
      <c r="F183" s="62"/>
      <c r="J183" s="62"/>
    </row>
    <row r="184">
      <c r="D184" s="62"/>
      <c r="E184" s="62"/>
      <c r="F184" s="62"/>
      <c r="J184" s="62"/>
    </row>
    <row r="185">
      <c r="D185" s="62"/>
      <c r="E185" s="62"/>
      <c r="F185" s="62"/>
      <c r="J185" s="62"/>
    </row>
    <row r="186">
      <c r="D186" s="62"/>
      <c r="E186" s="62"/>
      <c r="F186" s="62"/>
      <c r="J186" s="62"/>
    </row>
    <row r="187">
      <c r="D187" s="62"/>
      <c r="E187" s="62"/>
      <c r="F187" s="62"/>
      <c r="J187" s="62"/>
    </row>
    <row r="188">
      <c r="D188" s="62"/>
      <c r="E188" s="62"/>
      <c r="F188" s="62"/>
      <c r="J188" s="62"/>
    </row>
    <row r="189">
      <c r="D189" s="62"/>
      <c r="E189" s="62"/>
      <c r="F189" s="62"/>
      <c r="J189" s="62"/>
    </row>
    <row r="190">
      <c r="D190" s="62"/>
      <c r="E190" s="62"/>
      <c r="F190" s="62"/>
      <c r="J190" s="62"/>
    </row>
    <row r="191">
      <c r="D191" s="62"/>
      <c r="E191" s="62"/>
      <c r="F191" s="62"/>
      <c r="J191" s="62"/>
    </row>
    <row r="192">
      <c r="D192" s="62"/>
      <c r="E192" s="62"/>
      <c r="F192" s="62"/>
      <c r="J192" s="62"/>
    </row>
    <row r="193">
      <c r="D193" s="62"/>
      <c r="E193" s="62"/>
      <c r="F193" s="62"/>
      <c r="J193" s="62"/>
    </row>
    <row r="194">
      <c r="D194" s="62"/>
      <c r="E194" s="62"/>
      <c r="F194" s="62"/>
      <c r="J194" s="62"/>
    </row>
    <row r="195">
      <c r="D195" s="62"/>
      <c r="E195" s="62"/>
      <c r="F195" s="62"/>
      <c r="J195" s="62"/>
    </row>
    <row r="196">
      <c r="D196" s="62"/>
      <c r="E196" s="62"/>
      <c r="F196" s="62"/>
      <c r="J196" s="62"/>
    </row>
    <row r="197">
      <c r="D197" s="62"/>
      <c r="E197" s="62"/>
      <c r="F197" s="62"/>
      <c r="J197" s="62"/>
    </row>
    <row r="198">
      <c r="D198" s="62"/>
      <c r="E198" s="62"/>
      <c r="F198" s="62"/>
      <c r="J198" s="62"/>
    </row>
    <row r="199">
      <c r="D199" s="62"/>
      <c r="E199" s="62"/>
      <c r="F199" s="62"/>
      <c r="J199" s="62"/>
    </row>
    <row r="200">
      <c r="D200" s="62"/>
      <c r="E200" s="62"/>
      <c r="F200" s="62"/>
      <c r="J200" s="62"/>
    </row>
    <row r="201">
      <c r="D201" s="62"/>
      <c r="E201" s="62"/>
      <c r="F201" s="62"/>
      <c r="J201" s="62"/>
    </row>
    <row r="202">
      <c r="D202" s="62"/>
      <c r="E202" s="62"/>
      <c r="F202" s="62"/>
      <c r="J202" s="62"/>
    </row>
    <row r="203">
      <c r="D203" s="62"/>
      <c r="E203" s="62"/>
      <c r="F203" s="62"/>
      <c r="J203" s="62"/>
    </row>
    <row r="204">
      <c r="D204" s="62"/>
      <c r="E204" s="62"/>
      <c r="F204" s="62"/>
      <c r="J204" s="62"/>
    </row>
    <row r="205">
      <c r="D205" s="62"/>
      <c r="E205" s="62"/>
      <c r="F205" s="62"/>
      <c r="J205" s="62"/>
    </row>
    <row r="206">
      <c r="D206" s="62"/>
      <c r="E206" s="62"/>
      <c r="F206" s="62"/>
      <c r="J206" s="62"/>
    </row>
    <row r="207">
      <c r="D207" s="62"/>
      <c r="E207" s="62"/>
      <c r="F207" s="62"/>
      <c r="J207" s="62"/>
    </row>
    <row r="208">
      <c r="D208" s="62"/>
      <c r="E208" s="62"/>
      <c r="F208" s="62"/>
      <c r="J208" s="62"/>
    </row>
    <row r="209">
      <c r="D209" s="62"/>
      <c r="E209" s="62"/>
      <c r="F209" s="62"/>
      <c r="J209" s="62"/>
    </row>
    <row r="210">
      <c r="D210" s="62"/>
      <c r="E210" s="62"/>
      <c r="F210" s="62"/>
      <c r="J210" s="62"/>
    </row>
    <row r="211">
      <c r="D211" s="62"/>
      <c r="E211" s="62"/>
      <c r="F211" s="62"/>
      <c r="J211" s="62"/>
    </row>
    <row r="212">
      <c r="D212" s="62"/>
      <c r="E212" s="62"/>
      <c r="F212" s="62"/>
      <c r="J212" s="62"/>
    </row>
    <row r="213">
      <c r="D213" s="62"/>
      <c r="E213" s="62"/>
      <c r="F213" s="62"/>
      <c r="J213" s="62"/>
    </row>
    <row r="214">
      <c r="D214" s="62"/>
      <c r="E214" s="62"/>
      <c r="F214" s="62"/>
      <c r="J214" s="62"/>
    </row>
    <row r="215">
      <c r="D215" s="62"/>
      <c r="E215" s="62"/>
      <c r="F215" s="62"/>
      <c r="J215" s="62"/>
    </row>
    <row r="216">
      <c r="D216" s="62"/>
      <c r="E216" s="62"/>
      <c r="F216" s="62"/>
      <c r="J216" s="62"/>
    </row>
    <row r="217">
      <c r="D217" s="62"/>
      <c r="E217" s="62"/>
      <c r="F217" s="62"/>
      <c r="J217" s="62"/>
    </row>
    <row r="218">
      <c r="D218" s="62"/>
      <c r="E218" s="62"/>
      <c r="F218" s="62"/>
      <c r="J218" s="62"/>
    </row>
    <row r="219">
      <c r="D219" s="62"/>
      <c r="E219" s="62"/>
      <c r="F219" s="62"/>
      <c r="J219" s="62"/>
    </row>
    <row r="220">
      <c r="D220" s="62"/>
      <c r="E220" s="62"/>
      <c r="F220" s="62"/>
      <c r="J220" s="62"/>
    </row>
    <row r="221">
      <c r="D221" s="62"/>
      <c r="E221" s="62"/>
      <c r="F221" s="62"/>
      <c r="J221" s="62"/>
    </row>
    <row r="222">
      <c r="D222" s="62"/>
      <c r="E222" s="62"/>
      <c r="F222" s="62"/>
      <c r="J222" s="62"/>
    </row>
    <row r="223">
      <c r="D223" s="62"/>
      <c r="E223" s="62"/>
      <c r="F223" s="62"/>
      <c r="J223" s="62"/>
    </row>
    <row r="224">
      <c r="D224" s="62"/>
      <c r="E224" s="62"/>
      <c r="F224" s="62"/>
      <c r="J224" s="62"/>
    </row>
    <row r="225">
      <c r="D225" s="62"/>
      <c r="E225" s="62"/>
      <c r="F225" s="62"/>
      <c r="J225" s="62"/>
    </row>
    <row r="226">
      <c r="D226" s="62"/>
      <c r="E226" s="62"/>
      <c r="F226" s="62"/>
      <c r="J226" s="62"/>
    </row>
    <row r="227">
      <c r="D227" s="62"/>
      <c r="E227" s="62"/>
      <c r="F227" s="62"/>
      <c r="J227" s="62"/>
    </row>
    <row r="228">
      <c r="D228" s="62"/>
      <c r="E228" s="62"/>
      <c r="F228" s="62"/>
      <c r="J228" s="62"/>
    </row>
    <row r="229">
      <c r="D229" s="62"/>
      <c r="E229" s="62"/>
      <c r="F229" s="62"/>
      <c r="J229" s="62"/>
    </row>
    <row r="230">
      <c r="D230" s="62"/>
      <c r="E230" s="62"/>
      <c r="F230" s="62"/>
      <c r="J230" s="62"/>
    </row>
    <row r="231">
      <c r="D231" s="62"/>
      <c r="E231" s="62"/>
      <c r="F231" s="62"/>
      <c r="J231" s="62"/>
    </row>
    <row r="232">
      <c r="D232" s="62"/>
      <c r="E232" s="62"/>
      <c r="F232" s="62"/>
      <c r="J232" s="62"/>
    </row>
    <row r="233">
      <c r="D233" s="62"/>
      <c r="E233" s="62"/>
      <c r="F233" s="62"/>
      <c r="J233" s="62"/>
    </row>
    <row r="234">
      <c r="D234" s="62"/>
      <c r="E234" s="62"/>
      <c r="F234" s="62"/>
      <c r="J234" s="62"/>
    </row>
    <row r="235">
      <c r="D235" s="62"/>
      <c r="E235" s="62"/>
      <c r="F235" s="62"/>
      <c r="J235" s="62"/>
    </row>
    <row r="236">
      <c r="D236" s="62"/>
      <c r="E236" s="62"/>
      <c r="F236" s="62"/>
      <c r="J236" s="62"/>
    </row>
    <row r="237">
      <c r="D237" s="62"/>
      <c r="E237" s="62"/>
      <c r="F237" s="62"/>
      <c r="J237" s="62"/>
    </row>
    <row r="238">
      <c r="D238" s="62"/>
      <c r="E238" s="62"/>
      <c r="F238" s="62"/>
      <c r="J238" s="62"/>
    </row>
    <row r="239">
      <c r="D239" s="62"/>
      <c r="E239" s="62"/>
      <c r="F239" s="62"/>
      <c r="J239" s="62"/>
    </row>
    <row r="240">
      <c r="D240" s="62"/>
      <c r="E240" s="62"/>
      <c r="F240" s="62"/>
      <c r="J240" s="62"/>
    </row>
    <row r="241">
      <c r="D241" s="62"/>
      <c r="E241" s="62"/>
      <c r="F241" s="62"/>
      <c r="J241" s="62"/>
    </row>
    <row r="242">
      <c r="D242" s="62"/>
      <c r="E242" s="62"/>
      <c r="F242" s="62"/>
      <c r="J242" s="62"/>
    </row>
    <row r="243">
      <c r="D243" s="62"/>
      <c r="E243" s="62"/>
      <c r="F243" s="62"/>
      <c r="J243" s="62"/>
    </row>
    <row r="244">
      <c r="D244" s="62"/>
      <c r="E244" s="62"/>
      <c r="F244" s="62"/>
      <c r="J244" s="62"/>
    </row>
    <row r="245">
      <c r="D245" s="62"/>
      <c r="E245" s="62"/>
      <c r="F245" s="62"/>
      <c r="J245" s="62"/>
    </row>
    <row r="246">
      <c r="D246" s="62"/>
      <c r="E246" s="62"/>
      <c r="F246" s="62"/>
      <c r="J246" s="62"/>
    </row>
    <row r="247">
      <c r="D247" s="62"/>
      <c r="E247" s="62"/>
      <c r="F247" s="62"/>
      <c r="J247" s="62"/>
    </row>
    <row r="248">
      <c r="D248" s="62"/>
      <c r="E248" s="62"/>
      <c r="F248" s="62"/>
      <c r="J248" s="62"/>
    </row>
    <row r="249">
      <c r="D249" s="62"/>
      <c r="E249" s="62"/>
      <c r="F249" s="62"/>
      <c r="J249" s="62"/>
    </row>
    <row r="250">
      <c r="D250" s="62"/>
      <c r="E250" s="62"/>
      <c r="F250" s="62"/>
      <c r="J250" s="62"/>
    </row>
    <row r="251">
      <c r="D251" s="62"/>
      <c r="E251" s="62"/>
      <c r="F251" s="62"/>
      <c r="J251" s="62"/>
    </row>
    <row r="252">
      <c r="D252" s="62"/>
      <c r="E252" s="62"/>
      <c r="F252" s="62"/>
      <c r="J252" s="62"/>
    </row>
    <row r="253">
      <c r="D253" s="62"/>
      <c r="E253" s="62"/>
      <c r="F253" s="62"/>
      <c r="J253" s="62"/>
    </row>
    <row r="254">
      <c r="D254" s="62"/>
      <c r="E254" s="62"/>
      <c r="F254" s="62"/>
      <c r="J254" s="62"/>
    </row>
    <row r="255">
      <c r="D255" s="62"/>
      <c r="E255" s="62"/>
      <c r="F255" s="62"/>
      <c r="J255" s="62"/>
    </row>
    <row r="256">
      <c r="D256" s="62"/>
      <c r="E256" s="62"/>
      <c r="F256" s="62"/>
      <c r="J256" s="62"/>
    </row>
    <row r="257">
      <c r="D257" s="62"/>
      <c r="E257" s="62"/>
      <c r="F257" s="62"/>
      <c r="J257" s="62"/>
    </row>
    <row r="258">
      <c r="D258" s="62"/>
      <c r="E258" s="62"/>
      <c r="F258" s="62"/>
      <c r="J258" s="62"/>
    </row>
    <row r="259">
      <c r="D259" s="62"/>
      <c r="E259" s="62"/>
      <c r="F259" s="62"/>
      <c r="J259" s="62"/>
    </row>
    <row r="260">
      <c r="D260" s="62"/>
      <c r="E260" s="62"/>
      <c r="F260" s="62"/>
      <c r="J260" s="62"/>
    </row>
    <row r="261">
      <c r="D261" s="62"/>
      <c r="E261" s="62"/>
      <c r="F261" s="62"/>
      <c r="J261" s="62"/>
    </row>
    <row r="262">
      <c r="D262" s="62"/>
      <c r="E262" s="62"/>
      <c r="F262" s="62"/>
      <c r="J262" s="62"/>
    </row>
    <row r="263">
      <c r="D263" s="62"/>
      <c r="E263" s="62"/>
      <c r="F263" s="62"/>
      <c r="J263" s="62"/>
    </row>
    <row r="264">
      <c r="D264" s="62"/>
      <c r="E264" s="62"/>
      <c r="F264" s="62"/>
      <c r="J264" s="62"/>
    </row>
    <row r="265">
      <c r="D265" s="62"/>
      <c r="E265" s="62"/>
      <c r="F265" s="62"/>
      <c r="J265" s="62"/>
    </row>
    <row r="266">
      <c r="D266" s="62"/>
      <c r="E266" s="62"/>
      <c r="F266" s="62"/>
      <c r="J266" s="62"/>
    </row>
    <row r="267">
      <c r="D267" s="62"/>
      <c r="E267" s="62"/>
      <c r="F267" s="62"/>
      <c r="J267" s="62"/>
    </row>
    <row r="268">
      <c r="D268" s="62"/>
      <c r="E268" s="62"/>
      <c r="F268" s="62"/>
      <c r="J268" s="62"/>
    </row>
    <row r="269">
      <c r="D269" s="62"/>
      <c r="E269" s="62"/>
      <c r="F269" s="62"/>
      <c r="J269" s="62"/>
    </row>
    <row r="270">
      <c r="D270" s="62"/>
      <c r="E270" s="62"/>
      <c r="F270" s="62"/>
      <c r="J270" s="62"/>
    </row>
    <row r="271">
      <c r="D271" s="62"/>
      <c r="E271" s="62"/>
      <c r="F271" s="62"/>
      <c r="J271" s="62"/>
    </row>
    <row r="272">
      <c r="D272" s="62"/>
      <c r="E272" s="62"/>
      <c r="F272" s="62"/>
      <c r="J272" s="62"/>
    </row>
    <row r="273">
      <c r="D273" s="62"/>
      <c r="E273" s="62"/>
      <c r="F273" s="62"/>
      <c r="J273" s="62"/>
    </row>
    <row r="274">
      <c r="D274" s="62"/>
      <c r="E274" s="62"/>
      <c r="F274" s="62"/>
      <c r="J274" s="62"/>
    </row>
    <row r="275">
      <c r="D275" s="62"/>
      <c r="E275" s="62"/>
      <c r="F275" s="62"/>
      <c r="J275" s="62"/>
    </row>
    <row r="276">
      <c r="D276" s="62"/>
      <c r="E276" s="62"/>
      <c r="F276" s="62"/>
      <c r="J276" s="62"/>
    </row>
    <row r="277">
      <c r="D277" s="62"/>
      <c r="E277" s="62"/>
      <c r="F277" s="62"/>
      <c r="J277" s="62"/>
    </row>
    <row r="278">
      <c r="D278" s="62"/>
      <c r="E278" s="62"/>
      <c r="F278" s="62"/>
      <c r="J278" s="62"/>
    </row>
    <row r="279">
      <c r="D279" s="62"/>
      <c r="E279" s="62"/>
      <c r="F279" s="62"/>
      <c r="J279" s="62"/>
    </row>
    <row r="280">
      <c r="D280" s="62"/>
      <c r="E280" s="62"/>
      <c r="F280" s="62"/>
      <c r="J280" s="62"/>
    </row>
    <row r="281">
      <c r="D281" s="62"/>
      <c r="E281" s="62"/>
      <c r="F281" s="62"/>
      <c r="J281" s="62"/>
    </row>
    <row r="282">
      <c r="D282" s="62"/>
      <c r="E282" s="62"/>
      <c r="F282" s="62"/>
      <c r="J282" s="62"/>
    </row>
    <row r="283">
      <c r="D283" s="62"/>
      <c r="E283" s="62"/>
      <c r="F283" s="62"/>
      <c r="J283" s="62"/>
    </row>
    <row r="284">
      <c r="D284" s="62"/>
      <c r="E284" s="62"/>
      <c r="F284" s="62"/>
      <c r="J284" s="62"/>
    </row>
    <row r="285">
      <c r="D285" s="62"/>
      <c r="E285" s="62"/>
      <c r="F285" s="62"/>
      <c r="J285" s="62"/>
    </row>
    <row r="286">
      <c r="D286" s="62"/>
      <c r="E286" s="62"/>
      <c r="F286" s="62"/>
      <c r="J286" s="62"/>
    </row>
    <row r="287">
      <c r="D287" s="62"/>
      <c r="E287" s="62"/>
      <c r="F287" s="62"/>
      <c r="J287" s="62"/>
    </row>
    <row r="288">
      <c r="D288" s="62"/>
      <c r="E288" s="62"/>
      <c r="F288" s="62"/>
      <c r="J288" s="62"/>
    </row>
    <row r="289">
      <c r="D289" s="62"/>
      <c r="E289" s="62"/>
      <c r="F289" s="62"/>
      <c r="J289" s="62"/>
    </row>
    <row r="290">
      <c r="D290" s="62"/>
      <c r="E290" s="62"/>
      <c r="F290" s="62"/>
      <c r="J290" s="62"/>
    </row>
    <row r="291">
      <c r="D291" s="62"/>
      <c r="E291" s="62"/>
      <c r="F291" s="62"/>
      <c r="J291" s="62"/>
    </row>
    <row r="292">
      <c r="D292" s="62"/>
      <c r="E292" s="62"/>
      <c r="F292" s="62"/>
      <c r="J292" s="62"/>
    </row>
    <row r="293">
      <c r="D293" s="62"/>
      <c r="E293" s="62"/>
      <c r="F293" s="62"/>
      <c r="J293" s="62"/>
    </row>
    <row r="294">
      <c r="D294" s="62"/>
      <c r="E294" s="62"/>
      <c r="F294" s="62"/>
      <c r="J294" s="62"/>
    </row>
    <row r="295">
      <c r="D295" s="62"/>
      <c r="E295" s="62"/>
      <c r="F295" s="62"/>
      <c r="J295" s="62"/>
    </row>
    <row r="296">
      <c r="D296" s="62"/>
      <c r="E296" s="62"/>
      <c r="F296" s="62"/>
      <c r="J296" s="62"/>
    </row>
    <row r="297">
      <c r="D297" s="62"/>
      <c r="E297" s="62"/>
      <c r="F297" s="62"/>
      <c r="J297" s="62"/>
    </row>
    <row r="298">
      <c r="D298" s="62"/>
      <c r="E298" s="62"/>
      <c r="F298" s="62"/>
      <c r="J298" s="62"/>
    </row>
    <row r="299">
      <c r="D299" s="62"/>
      <c r="E299" s="62"/>
      <c r="F299" s="62"/>
      <c r="J299" s="62"/>
    </row>
    <row r="300">
      <c r="D300" s="62"/>
      <c r="E300" s="62"/>
      <c r="F300" s="62"/>
      <c r="J300" s="62"/>
    </row>
    <row r="301">
      <c r="D301" s="62"/>
      <c r="E301" s="62"/>
      <c r="F301" s="62"/>
      <c r="J301" s="62"/>
    </row>
    <row r="302">
      <c r="D302" s="62"/>
      <c r="E302" s="62"/>
      <c r="F302" s="62"/>
      <c r="J302" s="62"/>
    </row>
    <row r="303">
      <c r="D303" s="62"/>
      <c r="E303" s="62"/>
      <c r="F303" s="62"/>
      <c r="J303" s="62"/>
    </row>
    <row r="304">
      <c r="D304" s="62"/>
      <c r="E304" s="62"/>
      <c r="F304" s="62"/>
      <c r="J304" s="62"/>
    </row>
    <row r="305">
      <c r="D305" s="62"/>
      <c r="E305" s="62"/>
      <c r="F305" s="62"/>
      <c r="J305" s="62"/>
    </row>
    <row r="306">
      <c r="D306" s="62"/>
      <c r="E306" s="62"/>
      <c r="F306" s="62"/>
      <c r="J306" s="62"/>
    </row>
    <row r="307">
      <c r="D307" s="62"/>
      <c r="E307" s="62"/>
      <c r="F307" s="62"/>
      <c r="J307" s="62"/>
    </row>
    <row r="308">
      <c r="D308" s="62"/>
      <c r="E308" s="62"/>
      <c r="F308" s="62"/>
      <c r="J308" s="62"/>
    </row>
    <row r="309">
      <c r="D309" s="62"/>
      <c r="E309" s="62"/>
      <c r="F309" s="62"/>
      <c r="J309" s="62"/>
    </row>
    <row r="310">
      <c r="D310" s="62"/>
      <c r="E310" s="62"/>
      <c r="F310" s="62"/>
      <c r="J310" s="62"/>
    </row>
    <row r="311">
      <c r="D311" s="62"/>
      <c r="E311" s="62"/>
      <c r="F311" s="62"/>
      <c r="J311" s="62"/>
    </row>
    <row r="312">
      <c r="D312" s="62"/>
      <c r="E312" s="62"/>
      <c r="F312" s="62"/>
      <c r="J312" s="62"/>
    </row>
    <row r="313">
      <c r="D313" s="62"/>
      <c r="E313" s="62"/>
      <c r="F313" s="62"/>
      <c r="J313" s="62"/>
    </row>
    <row r="314">
      <c r="D314" s="62"/>
      <c r="E314" s="62"/>
      <c r="F314" s="62"/>
      <c r="J314" s="62"/>
    </row>
    <row r="315">
      <c r="D315" s="62"/>
      <c r="E315" s="62"/>
      <c r="F315" s="62"/>
      <c r="J315" s="62"/>
    </row>
    <row r="316">
      <c r="D316" s="62"/>
      <c r="E316" s="62"/>
      <c r="F316" s="62"/>
      <c r="J316" s="62"/>
    </row>
    <row r="317">
      <c r="D317" s="62"/>
      <c r="E317" s="62"/>
      <c r="F317" s="62"/>
      <c r="J317" s="62"/>
    </row>
    <row r="318">
      <c r="D318" s="62"/>
      <c r="E318" s="62"/>
      <c r="F318" s="62"/>
      <c r="J318" s="62"/>
    </row>
    <row r="319">
      <c r="D319" s="62"/>
      <c r="E319" s="62"/>
      <c r="F319" s="62"/>
      <c r="J319" s="62"/>
    </row>
    <row r="320">
      <c r="D320" s="62"/>
      <c r="E320" s="62"/>
      <c r="F320" s="62"/>
      <c r="J320" s="62"/>
    </row>
    <row r="321">
      <c r="D321" s="62"/>
      <c r="E321" s="62"/>
      <c r="F321" s="62"/>
      <c r="J321" s="62"/>
    </row>
    <row r="322">
      <c r="D322" s="62"/>
      <c r="E322" s="62"/>
      <c r="F322" s="62"/>
      <c r="J322" s="62"/>
    </row>
    <row r="323">
      <c r="D323" s="62"/>
      <c r="E323" s="62"/>
      <c r="F323" s="62"/>
      <c r="J323" s="62"/>
    </row>
    <row r="324">
      <c r="D324" s="62"/>
      <c r="E324" s="62"/>
      <c r="F324" s="62"/>
      <c r="J324" s="62"/>
    </row>
    <row r="325">
      <c r="D325" s="62"/>
      <c r="E325" s="62"/>
      <c r="F325" s="62"/>
      <c r="J325" s="62"/>
    </row>
    <row r="326">
      <c r="D326" s="62"/>
      <c r="E326" s="62"/>
      <c r="F326" s="62"/>
      <c r="J326" s="62"/>
    </row>
    <row r="327">
      <c r="D327" s="62"/>
      <c r="E327" s="62"/>
      <c r="F327" s="62"/>
      <c r="J327" s="62"/>
    </row>
    <row r="328">
      <c r="D328" s="62"/>
      <c r="E328" s="62"/>
      <c r="F328" s="62"/>
      <c r="J328" s="62"/>
    </row>
    <row r="329">
      <c r="D329" s="62"/>
      <c r="E329" s="62"/>
      <c r="F329" s="62"/>
      <c r="J329" s="62"/>
    </row>
    <row r="330">
      <c r="D330" s="62"/>
      <c r="E330" s="62"/>
      <c r="F330" s="62"/>
      <c r="J330" s="62"/>
    </row>
    <row r="331">
      <c r="D331" s="62"/>
      <c r="E331" s="62"/>
      <c r="F331" s="62"/>
      <c r="J331" s="62"/>
    </row>
    <row r="332">
      <c r="D332" s="62"/>
      <c r="E332" s="62"/>
      <c r="F332" s="62"/>
      <c r="J332" s="62"/>
    </row>
    <row r="333">
      <c r="D333" s="62"/>
      <c r="E333" s="62"/>
      <c r="F333" s="62"/>
      <c r="J333" s="62"/>
    </row>
    <row r="334">
      <c r="D334" s="62"/>
      <c r="E334" s="62"/>
      <c r="F334" s="62"/>
      <c r="J334" s="62"/>
    </row>
    <row r="335">
      <c r="D335" s="62"/>
      <c r="E335" s="62"/>
      <c r="F335" s="62"/>
      <c r="J335" s="62"/>
    </row>
    <row r="336">
      <c r="D336" s="62"/>
      <c r="E336" s="62"/>
      <c r="F336" s="62"/>
      <c r="J336" s="62"/>
    </row>
    <row r="337">
      <c r="D337" s="62"/>
      <c r="E337" s="62"/>
      <c r="F337" s="62"/>
      <c r="J337" s="62"/>
    </row>
    <row r="338">
      <c r="D338" s="62"/>
      <c r="E338" s="62"/>
      <c r="F338" s="62"/>
      <c r="J338" s="62"/>
    </row>
    <row r="339">
      <c r="D339" s="62"/>
      <c r="E339" s="62"/>
      <c r="F339" s="62"/>
      <c r="J339" s="62"/>
    </row>
    <row r="340">
      <c r="D340" s="62"/>
      <c r="E340" s="62"/>
      <c r="F340" s="62"/>
      <c r="J340" s="62"/>
    </row>
    <row r="341">
      <c r="D341" s="62"/>
      <c r="E341" s="62"/>
      <c r="F341" s="62"/>
      <c r="J341" s="62"/>
    </row>
    <row r="342">
      <c r="D342" s="62"/>
      <c r="E342" s="62"/>
      <c r="F342" s="62"/>
      <c r="J342" s="62"/>
    </row>
    <row r="343">
      <c r="D343" s="62"/>
      <c r="E343" s="62"/>
      <c r="F343" s="62"/>
      <c r="J343" s="62"/>
    </row>
    <row r="344">
      <c r="D344" s="62"/>
      <c r="E344" s="62"/>
      <c r="F344" s="62"/>
      <c r="J344" s="62"/>
    </row>
    <row r="345">
      <c r="D345" s="62"/>
      <c r="E345" s="62"/>
      <c r="F345" s="62"/>
      <c r="J345" s="62"/>
    </row>
    <row r="346">
      <c r="D346" s="62"/>
      <c r="E346" s="62"/>
      <c r="F346" s="62"/>
      <c r="J346" s="62"/>
    </row>
    <row r="347">
      <c r="D347" s="62"/>
      <c r="E347" s="62"/>
      <c r="F347" s="62"/>
      <c r="J347" s="62"/>
    </row>
    <row r="348">
      <c r="D348" s="62"/>
      <c r="E348" s="62"/>
      <c r="F348" s="62"/>
      <c r="J348" s="62"/>
    </row>
    <row r="349">
      <c r="D349" s="62"/>
      <c r="E349" s="62"/>
      <c r="F349" s="62"/>
      <c r="J349" s="62"/>
    </row>
    <row r="350">
      <c r="D350" s="62"/>
      <c r="E350" s="62"/>
      <c r="F350" s="62"/>
      <c r="J350" s="62"/>
    </row>
    <row r="351">
      <c r="D351" s="62"/>
      <c r="E351" s="62"/>
      <c r="F351" s="62"/>
      <c r="J351" s="62"/>
    </row>
    <row r="352">
      <c r="D352" s="62"/>
      <c r="E352" s="62"/>
      <c r="F352" s="62"/>
      <c r="J352" s="62"/>
    </row>
    <row r="353">
      <c r="D353" s="62"/>
      <c r="E353" s="62"/>
      <c r="F353" s="62"/>
      <c r="J353" s="62"/>
    </row>
    <row r="354">
      <c r="D354" s="62"/>
      <c r="E354" s="62"/>
      <c r="F354" s="62"/>
      <c r="J354" s="62"/>
    </row>
    <row r="355">
      <c r="D355" s="62"/>
      <c r="E355" s="62"/>
      <c r="F355" s="62"/>
      <c r="J355" s="62"/>
    </row>
    <row r="356">
      <c r="D356" s="62"/>
      <c r="E356" s="62"/>
      <c r="F356" s="62"/>
      <c r="J356" s="62"/>
    </row>
    <row r="357">
      <c r="D357" s="62"/>
      <c r="E357" s="62"/>
      <c r="F357" s="62"/>
      <c r="J357" s="62"/>
    </row>
    <row r="358">
      <c r="D358" s="62"/>
      <c r="E358" s="62"/>
      <c r="F358" s="62"/>
      <c r="J358" s="62"/>
    </row>
    <row r="359">
      <c r="D359" s="62"/>
      <c r="E359" s="62"/>
      <c r="F359" s="62"/>
      <c r="J359" s="62"/>
    </row>
    <row r="360">
      <c r="D360" s="62"/>
      <c r="E360" s="62"/>
      <c r="F360" s="62"/>
      <c r="J360" s="62"/>
    </row>
    <row r="361">
      <c r="D361" s="62"/>
      <c r="E361" s="62"/>
      <c r="F361" s="62"/>
      <c r="J361" s="62"/>
    </row>
    <row r="362">
      <c r="D362" s="62"/>
      <c r="E362" s="62"/>
      <c r="F362" s="62"/>
      <c r="J362" s="62"/>
    </row>
    <row r="363">
      <c r="D363" s="62"/>
      <c r="E363" s="62"/>
      <c r="F363" s="62"/>
      <c r="J363" s="62"/>
    </row>
    <row r="364">
      <c r="D364" s="62"/>
      <c r="E364" s="62"/>
      <c r="F364" s="62"/>
      <c r="J364" s="62"/>
    </row>
    <row r="365">
      <c r="D365" s="62"/>
      <c r="E365" s="62"/>
      <c r="F365" s="62"/>
      <c r="J365" s="62"/>
    </row>
    <row r="366">
      <c r="D366" s="62"/>
      <c r="E366" s="62"/>
      <c r="F366" s="62"/>
      <c r="J366" s="62"/>
    </row>
    <row r="367">
      <c r="D367" s="62"/>
      <c r="E367" s="62"/>
      <c r="F367" s="62"/>
      <c r="J367" s="62"/>
    </row>
    <row r="368">
      <c r="D368" s="62"/>
      <c r="E368" s="62"/>
      <c r="F368" s="62"/>
      <c r="J368" s="62"/>
    </row>
    <row r="369">
      <c r="D369" s="62"/>
      <c r="E369" s="62"/>
      <c r="F369" s="62"/>
      <c r="J369" s="62"/>
    </row>
    <row r="370">
      <c r="D370" s="62"/>
      <c r="E370" s="62"/>
      <c r="F370" s="62"/>
      <c r="J370" s="62"/>
    </row>
    <row r="371">
      <c r="D371" s="62"/>
      <c r="E371" s="62"/>
      <c r="F371" s="62"/>
      <c r="J371" s="62"/>
    </row>
    <row r="372">
      <c r="D372" s="62"/>
      <c r="E372" s="62"/>
      <c r="F372" s="62"/>
      <c r="J372" s="62"/>
    </row>
    <row r="373">
      <c r="D373" s="62"/>
      <c r="E373" s="62"/>
      <c r="F373" s="62"/>
      <c r="J373" s="62"/>
    </row>
    <row r="374">
      <c r="D374" s="62"/>
      <c r="E374" s="62"/>
      <c r="F374" s="62"/>
      <c r="J374" s="62"/>
    </row>
    <row r="375">
      <c r="D375" s="62"/>
      <c r="E375" s="62"/>
      <c r="F375" s="62"/>
      <c r="J375" s="62"/>
    </row>
    <row r="376">
      <c r="D376" s="62"/>
      <c r="E376" s="62"/>
      <c r="F376" s="62"/>
      <c r="J376" s="62"/>
    </row>
    <row r="377">
      <c r="D377" s="62"/>
      <c r="E377" s="62"/>
      <c r="F377" s="62"/>
      <c r="J377" s="62"/>
    </row>
    <row r="378">
      <c r="D378" s="62"/>
      <c r="E378" s="62"/>
      <c r="F378" s="62"/>
      <c r="J378" s="62"/>
    </row>
    <row r="379">
      <c r="D379" s="62"/>
      <c r="E379" s="62"/>
      <c r="F379" s="62"/>
      <c r="J379" s="62"/>
    </row>
    <row r="380">
      <c r="D380" s="62"/>
      <c r="E380" s="62"/>
      <c r="F380" s="62"/>
      <c r="J380" s="62"/>
    </row>
    <row r="381">
      <c r="D381" s="62"/>
      <c r="E381" s="62"/>
      <c r="F381" s="62"/>
      <c r="J381" s="62"/>
    </row>
    <row r="382">
      <c r="D382" s="62"/>
      <c r="E382" s="62"/>
      <c r="F382" s="62"/>
      <c r="J382" s="62"/>
    </row>
    <row r="383">
      <c r="D383" s="62"/>
      <c r="E383" s="62"/>
      <c r="F383" s="62"/>
      <c r="J383" s="62"/>
    </row>
    <row r="384">
      <c r="D384" s="62"/>
      <c r="E384" s="62"/>
      <c r="F384" s="62"/>
      <c r="J384" s="62"/>
    </row>
    <row r="385">
      <c r="D385" s="62"/>
      <c r="E385" s="62"/>
      <c r="F385" s="62"/>
      <c r="J385" s="62"/>
    </row>
    <row r="386">
      <c r="D386" s="62"/>
      <c r="E386" s="62"/>
      <c r="F386" s="62"/>
      <c r="J386" s="62"/>
    </row>
    <row r="387">
      <c r="D387" s="62"/>
      <c r="E387" s="62"/>
      <c r="F387" s="62"/>
      <c r="J387" s="62"/>
    </row>
    <row r="388">
      <c r="D388" s="62"/>
      <c r="E388" s="62"/>
      <c r="F388" s="62"/>
      <c r="J388" s="62"/>
    </row>
    <row r="389">
      <c r="D389" s="62"/>
      <c r="E389" s="62"/>
      <c r="F389" s="62"/>
      <c r="J389" s="62"/>
    </row>
    <row r="390">
      <c r="D390" s="62"/>
      <c r="E390" s="62"/>
      <c r="F390" s="62"/>
      <c r="J390" s="62"/>
    </row>
    <row r="391">
      <c r="D391" s="62"/>
      <c r="E391" s="62"/>
      <c r="F391" s="62"/>
      <c r="J391" s="62"/>
    </row>
    <row r="392">
      <c r="D392" s="62"/>
      <c r="E392" s="62"/>
      <c r="F392" s="62"/>
      <c r="J392" s="62"/>
    </row>
    <row r="393">
      <c r="D393" s="62"/>
      <c r="E393" s="62"/>
      <c r="F393" s="62"/>
      <c r="J393" s="62"/>
    </row>
    <row r="394">
      <c r="D394" s="62"/>
      <c r="E394" s="62"/>
      <c r="F394" s="62"/>
      <c r="J394" s="62"/>
    </row>
    <row r="395">
      <c r="D395" s="62"/>
      <c r="E395" s="62"/>
      <c r="F395" s="62"/>
      <c r="J395" s="62"/>
    </row>
    <row r="396">
      <c r="D396" s="62"/>
      <c r="E396" s="62"/>
      <c r="F396" s="62"/>
      <c r="J396" s="62"/>
    </row>
    <row r="397">
      <c r="D397" s="62"/>
      <c r="E397" s="62"/>
      <c r="F397" s="62"/>
      <c r="J397" s="62"/>
    </row>
    <row r="398">
      <c r="D398" s="62"/>
      <c r="E398" s="62"/>
      <c r="F398" s="62"/>
      <c r="J398" s="62"/>
    </row>
    <row r="399">
      <c r="D399" s="62"/>
      <c r="E399" s="62"/>
      <c r="F399" s="62"/>
      <c r="J399" s="62"/>
    </row>
    <row r="400">
      <c r="D400" s="62"/>
      <c r="E400" s="62"/>
      <c r="F400" s="62"/>
      <c r="J400" s="62"/>
    </row>
    <row r="401">
      <c r="D401" s="62"/>
      <c r="E401" s="62"/>
      <c r="F401" s="62"/>
      <c r="J401" s="62"/>
    </row>
    <row r="402">
      <c r="D402" s="62"/>
      <c r="E402" s="62"/>
      <c r="F402" s="62"/>
      <c r="J402" s="62"/>
    </row>
    <row r="403">
      <c r="D403" s="62"/>
      <c r="E403" s="62"/>
      <c r="F403" s="62"/>
      <c r="J403" s="62"/>
    </row>
    <row r="404">
      <c r="D404" s="62"/>
      <c r="E404" s="62"/>
      <c r="F404" s="62"/>
      <c r="J404" s="62"/>
    </row>
    <row r="405">
      <c r="D405" s="62"/>
      <c r="E405" s="62"/>
      <c r="F405" s="62"/>
      <c r="J405" s="62"/>
    </row>
    <row r="406">
      <c r="D406" s="62"/>
      <c r="E406" s="62"/>
      <c r="F406" s="62"/>
      <c r="J406" s="62"/>
    </row>
    <row r="407">
      <c r="D407" s="62"/>
      <c r="E407" s="62"/>
      <c r="F407" s="62"/>
      <c r="J407" s="62"/>
    </row>
    <row r="408">
      <c r="D408" s="62"/>
      <c r="E408" s="62"/>
      <c r="F408" s="62"/>
      <c r="J408" s="62"/>
    </row>
    <row r="409">
      <c r="D409" s="62"/>
      <c r="E409" s="62"/>
      <c r="F409" s="62"/>
      <c r="J409" s="62"/>
    </row>
    <row r="410">
      <c r="D410" s="62"/>
      <c r="E410" s="62"/>
      <c r="F410" s="62"/>
      <c r="J410" s="62"/>
    </row>
    <row r="411">
      <c r="D411" s="62"/>
      <c r="E411" s="62"/>
      <c r="F411" s="62"/>
      <c r="J411" s="62"/>
    </row>
    <row r="412">
      <c r="D412" s="62"/>
      <c r="E412" s="62"/>
      <c r="F412" s="62"/>
      <c r="J412" s="62"/>
    </row>
    <row r="413">
      <c r="D413" s="62"/>
      <c r="E413" s="62"/>
      <c r="F413" s="62"/>
      <c r="J413" s="62"/>
    </row>
    <row r="414">
      <c r="D414" s="62"/>
      <c r="E414" s="62"/>
      <c r="F414" s="62"/>
      <c r="J414" s="62"/>
    </row>
    <row r="415">
      <c r="D415" s="62"/>
      <c r="E415" s="62"/>
      <c r="F415" s="62"/>
      <c r="J415" s="62"/>
    </row>
    <row r="416">
      <c r="D416" s="62"/>
      <c r="E416" s="62"/>
      <c r="F416" s="62"/>
      <c r="J416" s="62"/>
    </row>
    <row r="417">
      <c r="D417" s="62"/>
      <c r="E417" s="62"/>
      <c r="F417" s="62"/>
      <c r="J417" s="62"/>
    </row>
    <row r="418">
      <c r="D418" s="62"/>
      <c r="E418" s="62"/>
      <c r="F418" s="62"/>
      <c r="J418" s="62"/>
    </row>
    <row r="419">
      <c r="D419" s="62"/>
      <c r="E419" s="62"/>
      <c r="F419" s="62"/>
      <c r="J419" s="62"/>
    </row>
    <row r="420">
      <c r="D420" s="62"/>
      <c r="E420" s="62"/>
      <c r="F420" s="62"/>
      <c r="J420" s="62"/>
    </row>
    <row r="421">
      <c r="D421" s="62"/>
      <c r="E421" s="62"/>
      <c r="F421" s="62"/>
      <c r="J421" s="62"/>
    </row>
    <row r="422">
      <c r="D422" s="62"/>
      <c r="E422" s="62"/>
      <c r="F422" s="62"/>
      <c r="J422" s="62"/>
    </row>
    <row r="423">
      <c r="D423" s="62"/>
      <c r="E423" s="62"/>
      <c r="F423" s="62"/>
      <c r="J423" s="62"/>
    </row>
    <row r="424">
      <c r="D424" s="62"/>
      <c r="E424" s="62"/>
      <c r="F424" s="62"/>
      <c r="J424" s="62"/>
    </row>
    <row r="425">
      <c r="D425" s="62"/>
      <c r="E425" s="62"/>
      <c r="F425" s="62"/>
      <c r="J425" s="62"/>
    </row>
    <row r="426">
      <c r="D426" s="62"/>
      <c r="E426" s="62"/>
      <c r="F426" s="62"/>
      <c r="J426" s="62"/>
    </row>
    <row r="427">
      <c r="D427" s="62"/>
      <c r="E427" s="62"/>
      <c r="F427" s="62"/>
      <c r="J427" s="62"/>
    </row>
    <row r="428">
      <c r="D428" s="62"/>
      <c r="E428" s="62"/>
      <c r="F428" s="62"/>
      <c r="J428" s="62"/>
    </row>
    <row r="429">
      <c r="D429" s="62"/>
      <c r="E429" s="62"/>
      <c r="F429" s="62"/>
      <c r="J429" s="62"/>
    </row>
    <row r="430">
      <c r="D430" s="62"/>
      <c r="E430" s="62"/>
      <c r="F430" s="62"/>
      <c r="J430" s="62"/>
    </row>
    <row r="431">
      <c r="D431" s="62"/>
      <c r="E431" s="62"/>
      <c r="F431" s="62"/>
      <c r="J431" s="62"/>
    </row>
    <row r="432">
      <c r="D432" s="62"/>
      <c r="E432" s="62"/>
      <c r="F432" s="62"/>
      <c r="J432" s="62"/>
    </row>
    <row r="433">
      <c r="D433" s="62"/>
      <c r="E433" s="62"/>
      <c r="F433" s="62"/>
      <c r="J433" s="62"/>
    </row>
    <row r="434">
      <c r="D434" s="62"/>
      <c r="E434" s="62"/>
      <c r="F434" s="62"/>
      <c r="J434" s="62"/>
    </row>
    <row r="435">
      <c r="D435" s="62"/>
      <c r="E435" s="62"/>
      <c r="F435" s="62"/>
      <c r="J435" s="62"/>
    </row>
    <row r="436">
      <c r="D436" s="62"/>
      <c r="E436" s="62"/>
      <c r="F436" s="62"/>
      <c r="J436" s="62"/>
    </row>
    <row r="437">
      <c r="D437" s="62"/>
      <c r="E437" s="62"/>
      <c r="F437" s="62"/>
      <c r="J437" s="62"/>
    </row>
    <row r="438">
      <c r="D438" s="62"/>
      <c r="E438" s="62"/>
      <c r="F438" s="62"/>
      <c r="J438" s="62"/>
    </row>
    <row r="439">
      <c r="D439" s="62"/>
      <c r="E439" s="62"/>
      <c r="F439" s="62"/>
      <c r="J439" s="62"/>
    </row>
    <row r="440">
      <c r="D440" s="62"/>
      <c r="E440" s="62"/>
      <c r="F440" s="62"/>
      <c r="J440" s="62"/>
    </row>
    <row r="441">
      <c r="D441" s="62"/>
      <c r="E441" s="62"/>
      <c r="F441" s="62"/>
      <c r="J441" s="62"/>
    </row>
    <row r="442">
      <c r="D442" s="62"/>
      <c r="E442" s="62"/>
      <c r="F442" s="62"/>
      <c r="J442" s="62"/>
    </row>
    <row r="443">
      <c r="D443" s="62"/>
      <c r="E443" s="62"/>
      <c r="F443" s="62"/>
      <c r="J443" s="62"/>
    </row>
    <row r="444">
      <c r="D444" s="62"/>
      <c r="E444" s="62"/>
      <c r="F444" s="62"/>
      <c r="J444" s="62"/>
    </row>
    <row r="445">
      <c r="D445" s="62"/>
      <c r="E445" s="62"/>
      <c r="F445" s="62"/>
      <c r="J445" s="62"/>
    </row>
    <row r="446">
      <c r="D446" s="62"/>
      <c r="E446" s="62"/>
      <c r="F446" s="62"/>
      <c r="J446" s="62"/>
    </row>
    <row r="447">
      <c r="D447" s="62"/>
      <c r="E447" s="62"/>
      <c r="F447" s="62"/>
      <c r="J447" s="62"/>
    </row>
    <row r="448">
      <c r="D448" s="62"/>
      <c r="E448" s="62"/>
      <c r="F448" s="62"/>
      <c r="J448" s="62"/>
    </row>
    <row r="449">
      <c r="D449" s="62"/>
      <c r="E449" s="62"/>
      <c r="F449" s="62"/>
      <c r="J449" s="62"/>
    </row>
    <row r="450">
      <c r="D450" s="62"/>
      <c r="E450" s="62"/>
      <c r="F450" s="62"/>
      <c r="J450" s="62"/>
    </row>
    <row r="451">
      <c r="D451" s="62"/>
      <c r="E451" s="62"/>
      <c r="F451" s="62"/>
      <c r="J451" s="62"/>
    </row>
    <row r="452">
      <c r="D452" s="62"/>
      <c r="E452" s="62"/>
      <c r="F452" s="62"/>
      <c r="J452" s="62"/>
    </row>
    <row r="453">
      <c r="D453" s="62"/>
      <c r="E453" s="62"/>
      <c r="F453" s="62"/>
      <c r="J453" s="62"/>
    </row>
    <row r="454">
      <c r="D454" s="62"/>
      <c r="E454" s="62"/>
      <c r="F454" s="62"/>
      <c r="J454" s="62"/>
    </row>
    <row r="455">
      <c r="D455" s="62"/>
      <c r="E455" s="62"/>
      <c r="F455" s="62"/>
      <c r="J455" s="62"/>
    </row>
    <row r="456">
      <c r="D456" s="62"/>
      <c r="E456" s="62"/>
      <c r="F456" s="62"/>
      <c r="J456" s="62"/>
    </row>
    <row r="457">
      <c r="D457" s="62"/>
      <c r="E457" s="62"/>
      <c r="F457" s="62"/>
      <c r="J457" s="62"/>
    </row>
    <row r="458">
      <c r="D458" s="62"/>
      <c r="E458" s="62"/>
      <c r="F458" s="62"/>
      <c r="J458" s="62"/>
    </row>
    <row r="459">
      <c r="D459" s="62"/>
      <c r="E459" s="62"/>
      <c r="F459" s="62"/>
      <c r="J459" s="62"/>
    </row>
    <row r="460">
      <c r="D460" s="62"/>
      <c r="E460" s="62"/>
      <c r="F460" s="62"/>
      <c r="J460" s="62"/>
    </row>
    <row r="461">
      <c r="D461" s="62"/>
      <c r="E461" s="62"/>
      <c r="F461" s="62"/>
      <c r="J461" s="62"/>
    </row>
    <row r="462">
      <c r="D462" s="62"/>
      <c r="E462" s="62"/>
      <c r="F462" s="62"/>
      <c r="J462" s="62"/>
    </row>
    <row r="463">
      <c r="D463" s="62"/>
      <c r="E463" s="62"/>
      <c r="F463" s="62"/>
      <c r="J463" s="62"/>
    </row>
    <row r="464">
      <c r="D464" s="62"/>
      <c r="E464" s="62"/>
      <c r="F464" s="62"/>
      <c r="J464" s="62"/>
    </row>
    <row r="465">
      <c r="D465" s="62"/>
      <c r="E465" s="62"/>
      <c r="F465" s="62"/>
      <c r="J465" s="62"/>
    </row>
    <row r="466">
      <c r="D466" s="62"/>
      <c r="E466" s="62"/>
      <c r="F466" s="62"/>
      <c r="J466" s="62"/>
    </row>
    <row r="467">
      <c r="D467" s="62"/>
      <c r="E467" s="62"/>
      <c r="F467" s="62"/>
      <c r="J467" s="62"/>
    </row>
    <row r="468">
      <c r="D468" s="62"/>
      <c r="E468" s="62"/>
      <c r="F468" s="62"/>
      <c r="J468" s="62"/>
    </row>
    <row r="469">
      <c r="D469" s="62"/>
      <c r="E469" s="62"/>
      <c r="F469" s="62"/>
      <c r="J469" s="62"/>
    </row>
    <row r="470">
      <c r="D470" s="62"/>
      <c r="E470" s="62"/>
      <c r="F470" s="62"/>
      <c r="J470" s="62"/>
    </row>
    <row r="471">
      <c r="D471" s="62"/>
      <c r="E471" s="62"/>
      <c r="F471" s="62"/>
      <c r="J471" s="62"/>
    </row>
    <row r="472">
      <c r="D472" s="62"/>
      <c r="E472" s="62"/>
      <c r="F472" s="62"/>
      <c r="J472" s="62"/>
    </row>
    <row r="473">
      <c r="D473" s="62"/>
      <c r="E473" s="62"/>
      <c r="F473" s="62"/>
      <c r="J473" s="62"/>
    </row>
    <row r="474">
      <c r="D474" s="62"/>
      <c r="E474" s="62"/>
      <c r="F474" s="62"/>
      <c r="J474" s="62"/>
    </row>
    <row r="475">
      <c r="D475" s="62"/>
      <c r="E475" s="62"/>
      <c r="F475" s="62"/>
      <c r="J475" s="62"/>
    </row>
    <row r="476">
      <c r="D476" s="62"/>
      <c r="E476" s="62"/>
      <c r="F476" s="62"/>
      <c r="J476" s="62"/>
    </row>
    <row r="477">
      <c r="D477" s="62"/>
      <c r="E477" s="62"/>
      <c r="F477" s="62"/>
      <c r="J477" s="62"/>
    </row>
    <row r="478">
      <c r="D478" s="62"/>
      <c r="E478" s="62"/>
      <c r="F478" s="62"/>
      <c r="J478" s="62"/>
    </row>
    <row r="479">
      <c r="D479" s="62"/>
      <c r="E479" s="62"/>
      <c r="F479" s="62"/>
      <c r="J479" s="62"/>
    </row>
    <row r="480">
      <c r="D480" s="62"/>
      <c r="E480" s="62"/>
      <c r="F480" s="62"/>
      <c r="J480" s="62"/>
    </row>
    <row r="481">
      <c r="D481" s="62"/>
      <c r="E481" s="62"/>
      <c r="F481" s="62"/>
      <c r="J481" s="62"/>
    </row>
    <row r="482">
      <c r="D482" s="62"/>
      <c r="E482" s="62"/>
      <c r="F482" s="62"/>
      <c r="J482" s="62"/>
    </row>
    <row r="483">
      <c r="D483" s="62"/>
      <c r="E483" s="62"/>
      <c r="F483" s="62"/>
      <c r="J483" s="62"/>
    </row>
    <row r="484">
      <c r="D484" s="62"/>
      <c r="E484" s="62"/>
      <c r="F484" s="62"/>
      <c r="J484" s="62"/>
    </row>
    <row r="485">
      <c r="D485" s="62"/>
      <c r="E485" s="62"/>
      <c r="F485" s="62"/>
      <c r="J485" s="62"/>
    </row>
    <row r="486">
      <c r="D486" s="62"/>
      <c r="E486" s="62"/>
      <c r="F486" s="62"/>
      <c r="J486" s="62"/>
    </row>
    <row r="487">
      <c r="D487" s="62"/>
      <c r="E487" s="62"/>
      <c r="F487" s="62"/>
      <c r="J487" s="62"/>
    </row>
    <row r="488">
      <c r="D488" s="62"/>
      <c r="E488" s="62"/>
      <c r="F488" s="62"/>
      <c r="J488" s="62"/>
    </row>
    <row r="489">
      <c r="D489" s="62"/>
      <c r="E489" s="62"/>
      <c r="F489" s="62"/>
      <c r="J489" s="62"/>
    </row>
    <row r="490">
      <c r="D490" s="62"/>
      <c r="E490" s="62"/>
      <c r="F490" s="62"/>
      <c r="J490" s="62"/>
    </row>
    <row r="491">
      <c r="D491" s="62"/>
      <c r="E491" s="62"/>
      <c r="F491" s="62"/>
      <c r="J491" s="62"/>
    </row>
    <row r="492">
      <c r="D492" s="62"/>
      <c r="E492" s="62"/>
      <c r="F492" s="62"/>
      <c r="J492" s="62"/>
    </row>
    <row r="493">
      <c r="D493" s="62"/>
      <c r="E493" s="62"/>
      <c r="F493" s="62"/>
      <c r="J493" s="62"/>
    </row>
    <row r="494">
      <c r="D494" s="62"/>
      <c r="E494" s="62"/>
      <c r="F494" s="62"/>
      <c r="J494" s="62"/>
    </row>
    <row r="495">
      <c r="D495" s="62"/>
      <c r="E495" s="62"/>
      <c r="F495" s="62"/>
      <c r="J495" s="62"/>
    </row>
    <row r="496">
      <c r="D496" s="62"/>
      <c r="E496" s="62"/>
      <c r="F496" s="62"/>
      <c r="J496" s="62"/>
    </row>
    <row r="497">
      <c r="D497" s="62"/>
      <c r="E497" s="62"/>
      <c r="F497" s="62"/>
      <c r="J497" s="62"/>
    </row>
    <row r="498">
      <c r="D498" s="62"/>
      <c r="E498" s="62"/>
      <c r="F498" s="62"/>
      <c r="J498" s="62"/>
    </row>
    <row r="499">
      <c r="D499" s="62"/>
      <c r="E499" s="62"/>
      <c r="F499" s="62"/>
      <c r="J499" s="62"/>
    </row>
    <row r="500">
      <c r="D500" s="62"/>
      <c r="E500" s="62"/>
      <c r="F500" s="62"/>
      <c r="J500" s="62"/>
    </row>
    <row r="501">
      <c r="D501" s="62"/>
      <c r="E501" s="62"/>
      <c r="F501" s="62"/>
      <c r="J501" s="62"/>
    </row>
    <row r="502">
      <c r="D502" s="62"/>
      <c r="E502" s="62"/>
      <c r="F502" s="62"/>
      <c r="J502" s="62"/>
    </row>
    <row r="503">
      <c r="D503" s="62"/>
      <c r="E503" s="62"/>
      <c r="F503" s="62"/>
      <c r="J503" s="62"/>
    </row>
    <row r="504">
      <c r="D504" s="62"/>
      <c r="E504" s="62"/>
      <c r="F504" s="62"/>
      <c r="J504" s="62"/>
    </row>
    <row r="505">
      <c r="D505" s="62"/>
      <c r="E505" s="62"/>
      <c r="F505" s="62"/>
      <c r="J505" s="62"/>
    </row>
    <row r="506">
      <c r="D506" s="62"/>
      <c r="E506" s="62"/>
      <c r="F506" s="62"/>
      <c r="J506" s="62"/>
    </row>
    <row r="507">
      <c r="D507" s="62"/>
      <c r="E507" s="62"/>
      <c r="F507" s="62"/>
      <c r="J507" s="62"/>
    </row>
    <row r="508">
      <c r="D508" s="62"/>
      <c r="E508" s="62"/>
      <c r="F508" s="62"/>
      <c r="J508" s="62"/>
    </row>
    <row r="509">
      <c r="D509" s="62"/>
      <c r="E509" s="62"/>
      <c r="F509" s="62"/>
      <c r="J509" s="62"/>
    </row>
    <row r="510">
      <c r="D510" s="62"/>
      <c r="E510" s="62"/>
      <c r="F510" s="62"/>
      <c r="J510" s="62"/>
    </row>
    <row r="511">
      <c r="D511" s="62"/>
      <c r="E511" s="62"/>
      <c r="F511" s="62"/>
      <c r="J511" s="62"/>
    </row>
    <row r="512">
      <c r="D512" s="62"/>
      <c r="E512" s="62"/>
      <c r="F512" s="62"/>
      <c r="J512" s="62"/>
    </row>
    <row r="513">
      <c r="D513" s="62"/>
      <c r="E513" s="62"/>
      <c r="F513" s="62"/>
      <c r="J513" s="62"/>
    </row>
    <row r="514">
      <c r="D514" s="62"/>
      <c r="E514" s="62"/>
      <c r="F514" s="62"/>
      <c r="J514" s="62"/>
    </row>
    <row r="515">
      <c r="D515" s="62"/>
      <c r="E515" s="62"/>
      <c r="F515" s="62"/>
      <c r="J515" s="62"/>
    </row>
    <row r="516">
      <c r="D516" s="62"/>
      <c r="E516" s="62"/>
      <c r="F516" s="62"/>
      <c r="J516" s="62"/>
    </row>
    <row r="517">
      <c r="D517" s="62"/>
      <c r="E517" s="62"/>
      <c r="F517" s="62"/>
      <c r="J517" s="62"/>
    </row>
    <row r="518">
      <c r="D518" s="62"/>
      <c r="E518" s="62"/>
      <c r="F518" s="62"/>
      <c r="J518" s="62"/>
    </row>
    <row r="519">
      <c r="D519" s="62"/>
      <c r="E519" s="62"/>
      <c r="F519" s="62"/>
      <c r="J519" s="62"/>
    </row>
    <row r="520">
      <c r="D520" s="62"/>
      <c r="E520" s="62"/>
      <c r="F520" s="62"/>
      <c r="J520" s="62"/>
    </row>
    <row r="521">
      <c r="D521" s="62"/>
      <c r="E521" s="62"/>
      <c r="F521" s="62"/>
      <c r="J521" s="62"/>
    </row>
    <row r="522">
      <c r="D522" s="62"/>
      <c r="E522" s="62"/>
      <c r="F522" s="62"/>
      <c r="J522" s="62"/>
    </row>
    <row r="523">
      <c r="D523" s="62"/>
      <c r="E523" s="62"/>
      <c r="F523" s="62"/>
      <c r="J523" s="62"/>
    </row>
    <row r="524">
      <c r="D524" s="62"/>
      <c r="E524" s="62"/>
      <c r="F524" s="62"/>
      <c r="J524" s="62"/>
    </row>
    <row r="525">
      <c r="D525" s="62"/>
      <c r="E525" s="62"/>
      <c r="F525" s="62"/>
      <c r="J525" s="62"/>
    </row>
    <row r="526">
      <c r="D526" s="62"/>
      <c r="E526" s="62"/>
      <c r="F526" s="62"/>
      <c r="J526" s="62"/>
    </row>
    <row r="527">
      <c r="D527" s="62"/>
      <c r="E527" s="62"/>
      <c r="F527" s="62"/>
      <c r="J527" s="62"/>
    </row>
    <row r="528">
      <c r="D528" s="62"/>
      <c r="E528" s="62"/>
      <c r="F528" s="62"/>
      <c r="J528" s="62"/>
    </row>
    <row r="529">
      <c r="D529" s="62"/>
      <c r="E529" s="62"/>
      <c r="F529" s="62"/>
      <c r="J529" s="62"/>
    </row>
    <row r="530">
      <c r="D530" s="62"/>
      <c r="E530" s="62"/>
      <c r="F530" s="62"/>
      <c r="J530" s="62"/>
    </row>
    <row r="531">
      <c r="D531" s="62"/>
      <c r="E531" s="62"/>
      <c r="F531" s="62"/>
      <c r="J531" s="62"/>
    </row>
    <row r="532">
      <c r="D532" s="62"/>
      <c r="E532" s="62"/>
      <c r="F532" s="62"/>
      <c r="J532" s="62"/>
    </row>
    <row r="533">
      <c r="D533" s="62"/>
      <c r="E533" s="62"/>
      <c r="F533" s="62"/>
      <c r="J533" s="62"/>
    </row>
    <row r="534">
      <c r="D534" s="62"/>
      <c r="E534" s="62"/>
      <c r="F534" s="62"/>
      <c r="J534" s="62"/>
    </row>
    <row r="535">
      <c r="D535" s="62"/>
      <c r="E535" s="62"/>
      <c r="F535" s="62"/>
      <c r="J535" s="62"/>
    </row>
    <row r="536">
      <c r="D536" s="62"/>
      <c r="E536" s="62"/>
      <c r="F536" s="62"/>
      <c r="J536" s="62"/>
    </row>
    <row r="537">
      <c r="D537" s="62"/>
      <c r="E537" s="62"/>
      <c r="F537" s="62"/>
      <c r="J537" s="62"/>
    </row>
    <row r="538">
      <c r="D538" s="62"/>
      <c r="E538" s="62"/>
      <c r="F538" s="62"/>
      <c r="J538" s="62"/>
    </row>
    <row r="539">
      <c r="D539" s="62"/>
      <c r="E539" s="62"/>
      <c r="F539" s="62"/>
      <c r="J539" s="62"/>
    </row>
    <row r="540">
      <c r="D540" s="62"/>
      <c r="E540" s="62"/>
      <c r="F540" s="62"/>
      <c r="J540" s="62"/>
    </row>
    <row r="541">
      <c r="D541" s="62"/>
      <c r="E541" s="62"/>
      <c r="F541" s="62"/>
      <c r="J541" s="62"/>
    </row>
    <row r="542">
      <c r="D542" s="62"/>
      <c r="E542" s="62"/>
      <c r="F542" s="62"/>
      <c r="J542" s="62"/>
    </row>
    <row r="543">
      <c r="D543" s="62"/>
      <c r="E543" s="62"/>
      <c r="F543" s="62"/>
      <c r="J543" s="62"/>
    </row>
    <row r="544">
      <c r="D544" s="62"/>
      <c r="E544" s="62"/>
      <c r="F544" s="62"/>
      <c r="J544" s="62"/>
    </row>
    <row r="545">
      <c r="D545" s="62"/>
      <c r="E545" s="62"/>
      <c r="F545" s="62"/>
      <c r="J545" s="62"/>
    </row>
    <row r="546">
      <c r="D546" s="62"/>
      <c r="E546" s="62"/>
      <c r="F546" s="62"/>
      <c r="J546" s="62"/>
    </row>
    <row r="547">
      <c r="D547" s="62"/>
      <c r="E547" s="62"/>
      <c r="F547" s="62"/>
      <c r="J547" s="62"/>
    </row>
    <row r="548">
      <c r="D548" s="62"/>
      <c r="E548" s="62"/>
      <c r="F548" s="62"/>
      <c r="J548" s="62"/>
    </row>
    <row r="549">
      <c r="D549" s="62"/>
      <c r="E549" s="62"/>
      <c r="F549" s="62"/>
      <c r="J549" s="62"/>
    </row>
    <row r="550">
      <c r="D550" s="62"/>
      <c r="E550" s="62"/>
      <c r="F550" s="62"/>
      <c r="J550" s="62"/>
    </row>
    <row r="551">
      <c r="D551" s="62"/>
      <c r="E551" s="62"/>
      <c r="F551" s="62"/>
      <c r="J551" s="62"/>
    </row>
    <row r="552">
      <c r="D552" s="62"/>
      <c r="E552" s="62"/>
      <c r="F552" s="62"/>
      <c r="J552" s="62"/>
    </row>
    <row r="553">
      <c r="D553" s="62"/>
      <c r="E553" s="62"/>
      <c r="F553" s="62"/>
      <c r="J553" s="62"/>
    </row>
    <row r="554">
      <c r="D554" s="62"/>
      <c r="E554" s="62"/>
      <c r="F554" s="62"/>
      <c r="J554" s="62"/>
    </row>
    <row r="555">
      <c r="D555" s="62"/>
      <c r="E555" s="62"/>
      <c r="F555" s="62"/>
      <c r="J555" s="62"/>
    </row>
    <row r="556">
      <c r="D556" s="62"/>
      <c r="E556" s="62"/>
      <c r="F556" s="62"/>
      <c r="J556" s="62"/>
    </row>
    <row r="557">
      <c r="D557" s="62"/>
      <c r="E557" s="62"/>
      <c r="F557" s="62"/>
      <c r="J557" s="62"/>
    </row>
    <row r="558">
      <c r="D558" s="62"/>
      <c r="E558" s="62"/>
      <c r="F558" s="62"/>
      <c r="J558" s="62"/>
    </row>
    <row r="559">
      <c r="D559" s="62"/>
      <c r="E559" s="62"/>
      <c r="F559" s="62"/>
      <c r="J559" s="62"/>
    </row>
    <row r="560">
      <c r="D560" s="62"/>
      <c r="E560" s="62"/>
      <c r="F560" s="62"/>
      <c r="J560" s="62"/>
    </row>
    <row r="561">
      <c r="D561" s="62"/>
      <c r="E561" s="62"/>
      <c r="F561" s="62"/>
      <c r="J561" s="62"/>
    </row>
    <row r="562">
      <c r="D562" s="62"/>
      <c r="E562" s="62"/>
      <c r="F562" s="62"/>
      <c r="J562" s="62"/>
    </row>
    <row r="563">
      <c r="D563" s="62"/>
      <c r="E563" s="62"/>
      <c r="F563" s="62"/>
      <c r="J563" s="62"/>
    </row>
    <row r="564">
      <c r="D564" s="62"/>
      <c r="E564" s="62"/>
      <c r="F564" s="62"/>
      <c r="J564" s="62"/>
    </row>
    <row r="565">
      <c r="D565" s="62"/>
      <c r="E565" s="62"/>
      <c r="F565" s="62"/>
      <c r="J565" s="62"/>
    </row>
    <row r="566">
      <c r="D566" s="62"/>
      <c r="E566" s="62"/>
      <c r="F566" s="62"/>
      <c r="J566" s="62"/>
    </row>
    <row r="567">
      <c r="D567" s="62"/>
      <c r="E567" s="62"/>
      <c r="F567" s="62"/>
      <c r="J567" s="62"/>
    </row>
    <row r="568">
      <c r="D568" s="62"/>
      <c r="E568" s="62"/>
      <c r="F568" s="62"/>
      <c r="J568" s="62"/>
    </row>
    <row r="569">
      <c r="D569" s="62"/>
      <c r="E569" s="62"/>
      <c r="F569" s="62"/>
      <c r="J569" s="62"/>
    </row>
    <row r="570">
      <c r="D570" s="62"/>
      <c r="E570" s="62"/>
      <c r="F570" s="62"/>
      <c r="J570" s="62"/>
    </row>
    <row r="571">
      <c r="D571" s="62"/>
      <c r="E571" s="62"/>
      <c r="F571" s="62"/>
      <c r="J571" s="62"/>
    </row>
    <row r="572">
      <c r="D572" s="62"/>
      <c r="E572" s="62"/>
      <c r="F572" s="62"/>
      <c r="J572" s="62"/>
    </row>
    <row r="573">
      <c r="D573" s="62"/>
      <c r="E573" s="62"/>
      <c r="F573" s="62"/>
      <c r="J573" s="62"/>
    </row>
    <row r="574">
      <c r="D574" s="62"/>
      <c r="E574" s="62"/>
      <c r="F574" s="62"/>
      <c r="J574" s="62"/>
    </row>
    <row r="575">
      <c r="D575" s="62"/>
      <c r="E575" s="62"/>
      <c r="F575" s="62"/>
      <c r="J575" s="62"/>
    </row>
    <row r="576">
      <c r="D576" s="62"/>
      <c r="E576" s="62"/>
      <c r="F576" s="62"/>
      <c r="J576" s="62"/>
    </row>
    <row r="577">
      <c r="D577" s="62"/>
      <c r="E577" s="62"/>
      <c r="F577" s="62"/>
      <c r="J577" s="62"/>
    </row>
    <row r="578">
      <c r="D578" s="62"/>
      <c r="E578" s="62"/>
      <c r="F578" s="62"/>
      <c r="J578" s="62"/>
    </row>
    <row r="579">
      <c r="D579" s="62"/>
      <c r="E579" s="62"/>
      <c r="F579" s="62"/>
      <c r="J579" s="62"/>
    </row>
    <row r="580">
      <c r="D580" s="62"/>
      <c r="E580" s="62"/>
      <c r="F580" s="62"/>
      <c r="J580" s="62"/>
    </row>
    <row r="581">
      <c r="D581" s="62"/>
      <c r="E581" s="62"/>
      <c r="F581" s="62"/>
      <c r="J581" s="62"/>
    </row>
    <row r="582">
      <c r="D582" s="62"/>
      <c r="E582" s="62"/>
      <c r="F582" s="62"/>
      <c r="J582" s="62"/>
    </row>
    <row r="583">
      <c r="D583" s="62"/>
      <c r="E583" s="62"/>
      <c r="F583" s="62"/>
      <c r="J583" s="62"/>
    </row>
    <row r="584">
      <c r="D584" s="62"/>
      <c r="E584" s="62"/>
      <c r="F584" s="62"/>
      <c r="J584" s="62"/>
    </row>
    <row r="585">
      <c r="D585" s="62"/>
      <c r="E585" s="62"/>
      <c r="F585" s="62"/>
      <c r="J585" s="62"/>
    </row>
    <row r="586">
      <c r="D586" s="62"/>
      <c r="E586" s="62"/>
      <c r="F586" s="62"/>
      <c r="J586" s="62"/>
    </row>
    <row r="587">
      <c r="D587" s="62"/>
      <c r="E587" s="62"/>
      <c r="F587" s="62"/>
      <c r="J587" s="62"/>
    </row>
    <row r="588">
      <c r="D588" s="62"/>
      <c r="E588" s="62"/>
      <c r="F588" s="62"/>
      <c r="J588" s="62"/>
    </row>
    <row r="589">
      <c r="D589" s="62"/>
      <c r="E589" s="62"/>
      <c r="F589" s="62"/>
      <c r="J589" s="62"/>
    </row>
    <row r="590">
      <c r="D590" s="62"/>
      <c r="E590" s="62"/>
      <c r="F590" s="62"/>
      <c r="J590" s="62"/>
    </row>
    <row r="591">
      <c r="D591" s="62"/>
      <c r="E591" s="62"/>
      <c r="F591" s="62"/>
      <c r="J591" s="62"/>
    </row>
    <row r="592">
      <c r="D592" s="62"/>
      <c r="E592" s="62"/>
      <c r="F592" s="62"/>
      <c r="J592" s="62"/>
    </row>
    <row r="593">
      <c r="D593" s="62"/>
      <c r="E593" s="62"/>
      <c r="F593" s="62"/>
      <c r="J593" s="62"/>
    </row>
    <row r="594">
      <c r="D594" s="62"/>
      <c r="E594" s="62"/>
      <c r="F594" s="62"/>
      <c r="J594" s="62"/>
    </row>
    <row r="595">
      <c r="D595" s="62"/>
      <c r="E595" s="62"/>
      <c r="F595" s="62"/>
      <c r="J595" s="62"/>
    </row>
    <row r="596">
      <c r="D596" s="62"/>
      <c r="E596" s="62"/>
      <c r="F596" s="62"/>
      <c r="J596" s="62"/>
    </row>
    <row r="597">
      <c r="D597" s="62"/>
      <c r="E597" s="62"/>
      <c r="F597" s="62"/>
      <c r="J597" s="62"/>
    </row>
    <row r="598">
      <c r="D598" s="62"/>
      <c r="E598" s="62"/>
      <c r="F598" s="62"/>
      <c r="J598" s="62"/>
    </row>
    <row r="599">
      <c r="D599" s="62"/>
      <c r="E599" s="62"/>
      <c r="F599" s="62"/>
      <c r="J599" s="62"/>
    </row>
    <row r="600">
      <c r="D600" s="62"/>
      <c r="E600" s="62"/>
      <c r="F600" s="62"/>
      <c r="J600" s="62"/>
    </row>
    <row r="601">
      <c r="D601" s="62"/>
      <c r="E601" s="62"/>
      <c r="F601" s="62"/>
      <c r="J601" s="62"/>
    </row>
    <row r="602">
      <c r="D602" s="62"/>
      <c r="E602" s="62"/>
      <c r="F602" s="62"/>
      <c r="J602" s="62"/>
    </row>
    <row r="603">
      <c r="D603" s="62"/>
      <c r="E603" s="62"/>
      <c r="F603" s="62"/>
      <c r="J603" s="62"/>
    </row>
    <row r="604">
      <c r="D604" s="62"/>
      <c r="E604" s="62"/>
      <c r="F604" s="62"/>
      <c r="J604" s="62"/>
    </row>
    <row r="605">
      <c r="D605" s="62"/>
      <c r="E605" s="62"/>
      <c r="F605" s="62"/>
      <c r="J605" s="62"/>
    </row>
    <row r="606">
      <c r="D606" s="62"/>
      <c r="E606" s="62"/>
      <c r="F606" s="62"/>
      <c r="J606" s="62"/>
    </row>
    <row r="607">
      <c r="D607" s="62"/>
      <c r="E607" s="62"/>
      <c r="F607" s="62"/>
      <c r="J607" s="62"/>
    </row>
    <row r="608">
      <c r="D608" s="62"/>
      <c r="E608" s="62"/>
      <c r="F608" s="62"/>
      <c r="J608" s="62"/>
    </row>
    <row r="609">
      <c r="D609" s="62"/>
      <c r="E609" s="62"/>
      <c r="F609" s="62"/>
      <c r="J609" s="62"/>
    </row>
    <row r="610">
      <c r="D610" s="62"/>
      <c r="E610" s="62"/>
      <c r="F610" s="62"/>
      <c r="J610" s="62"/>
    </row>
    <row r="611">
      <c r="D611" s="62"/>
      <c r="E611" s="62"/>
      <c r="F611" s="62"/>
      <c r="J611" s="62"/>
    </row>
    <row r="612">
      <c r="D612" s="62"/>
      <c r="E612" s="62"/>
      <c r="F612" s="62"/>
      <c r="J612" s="62"/>
    </row>
    <row r="613">
      <c r="D613" s="62"/>
      <c r="E613" s="62"/>
      <c r="F613" s="62"/>
      <c r="J613" s="62"/>
    </row>
    <row r="614">
      <c r="D614" s="62"/>
      <c r="E614" s="62"/>
      <c r="F614" s="62"/>
      <c r="J614" s="62"/>
    </row>
    <row r="615">
      <c r="D615" s="62"/>
      <c r="E615" s="62"/>
      <c r="F615" s="62"/>
      <c r="J615" s="62"/>
    </row>
    <row r="616">
      <c r="D616" s="62"/>
      <c r="E616" s="62"/>
      <c r="F616" s="62"/>
      <c r="J616" s="62"/>
    </row>
    <row r="617">
      <c r="D617" s="62"/>
      <c r="E617" s="62"/>
      <c r="F617" s="62"/>
      <c r="J617" s="62"/>
    </row>
    <row r="618">
      <c r="D618" s="62"/>
      <c r="E618" s="62"/>
      <c r="F618" s="62"/>
      <c r="J618" s="62"/>
    </row>
    <row r="619">
      <c r="D619" s="62"/>
      <c r="E619" s="62"/>
      <c r="F619" s="62"/>
      <c r="J619" s="62"/>
    </row>
    <row r="620">
      <c r="D620" s="62"/>
      <c r="E620" s="62"/>
      <c r="F620" s="62"/>
      <c r="J620" s="62"/>
    </row>
    <row r="621">
      <c r="D621" s="62"/>
      <c r="E621" s="62"/>
      <c r="F621" s="62"/>
      <c r="J621" s="62"/>
    </row>
    <row r="622">
      <c r="D622" s="62"/>
      <c r="E622" s="62"/>
      <c r="F622" s="62"/>
      <c r="J622" s="62"/>
    </row>
    <row r="623">
      <c r="D623" s="62"/>
      <c r="E623" s="62"/>
      <c r="F623" s="62"/>
      <c r="J623" s="62"/>
    </row>
    <row r="624">
      <c r="D624" s="62"/>
      <c r="E624" s="62"/>
      <c r="F624" s="62"/>
      <c r="J624" s="62"/>
    </row>
    <row r="625">
      <c r="D625" s="62"/>
      <c r="E625" s="62"/>
      <c r="F625" s="62"/>
      <c r="J625" s="62"/>
    </row>
    <row r="626">
      <c r="D626" s="62"/>
      <c r="E626" s="62"/>
      <c r="F626" s="62"/>
      <c r="J626" s="62"/>
    </row>
    <row r="627">
      <c r="D627" s="62"/>
      <c r="E627" s="62"/>
      <c r="F627" s="62"/>
      <c r="J627" s="62"/>
    </row>
    <row r="628">
      <c r="D628" s="62"/>
      <c r="E628" s="62"/>
      <c r="F628" s="62"/>
      <c r="J628" s="62"/>
    </row>
    <row r="629">
      <c r="D629" s="62"/>
      <c r="E629" s="62"/>
      <c r="F629" s="62"/>
      <c r="J629" s="62"/>
    </row>
    <row r="630">
      <c r="D630" s="62"/>
      <c r="E630" s="62"/>
      <c r="F630" s="62"/>
      <c r="J630" s="62"/>
    </row>
    <row r="631">
      <c r="D631" s="62"/>
      <c r="E631" s="62"/>
      <c r="F631" s="62"/>
      <c r="J631" s="62"/>
    </row>
    <row r="632">
      <c r="D632" s="62"/>
      <c r="E632" s="62"/>
      <c r="F632" s="62"/>
      <c r="J632" s="62"/>
    </row>
    <row r="633">
      <c r="D633" s="62"/>
      <c r="E633" s="62"/>
      <c r="F633" s="62"/>
      <c r="J633" s="62"/>
    </row>
    <row r="634">
      <c r="D634" s="62"/>
      <c r="E634" s="62"/>
      <c r="F634" s="62"/>
      <c r="J634" s="62"/>
    </row>
    <row r="635">
      <c r="D635" s="62"/>
      <c r="E635" s="62"/>
      <c r="F635" s="62"/>
      <c r="J635" s="62"/>
    </row>
    <row r="636">
      <c r="D636" s="62"/>
      <c r="E636" s="62"/>
      <c r="F636" s="62"/>
      <c r="J636" s="62"/>
    </row>
    <row r="637">
      <c r="D637" s="62"/>
      <c r="E637" s="62"/>
      <c r="F637" s="62"/>
      <c r="J637" s="62"/>
    </row>
    <row r="638">
      <c r="D638" s="62"/>
      <c r="E638" s="62"/>
      <c r="F638" s="62"/>
      <c r="J638" s="62"/>
    </row>
    <row r="639">
      <c r="D639" s="62"/>
      <c r="E639" s="62"/>
      <c r="F639" s="62"/>
      <c r="J639" s="62"/>
    </row>
    <row r="640">
      <c r="D640" s="62"/>
      <c r="E640" s="62"/>
      <c r="F640" s="62"/>
      <c r="J640" s="62"/>
    </row>
    <row r="641">
      <c r="D641" s="62"/>
      <c r="E641" s="62"/>
      <c r="F641" s="62"/>
      <c r="J641" s="62"/>
    </row>
    <row r="642">
      <c r="D642" s="62"/>
      <c r="E642" s="62"/>
      <c r="F642" s="62"/>
      <c r="J642" s="62"/>
    </row>
    <row r="643">
      <c r="D643" s="62"/>
      <c r="E643" s="62"/>
      <c r="F643" s="62"/>
      <c r="J643" s="62"/>
    </row>
    <row r="644">
      <c r="D644" s="62"/>
      <c r="E644" s="62"/>
      <c r="F644" s="62"/>
      <c r="J644" s="62"/>
    </row>
    <row r="645">
      <c r="D645" s="62"/>
      <c r="E645" s="62"/>
      <c r="F645" s="62"/>
      <c r="J645" s="62"/>
    </row>
    <row r="646">
      <c r="D646" s="62"/>
      <c r="E646" s="62"/>
      <c r="F646" s="62"/>
      <c r="J646" s="62"/>
    </row>
    <row r="647">
      <c r="D647" s="62"/>
      <c r="E647" s="62"/>
      <c r="F647" s="62"/>
      <c r="J647" s="62"/>
    </row>
    <row r="648">
      <c r="D648" s="62"/>
      <c r="E648" s="62"/>
      <c r="F648" s="62"/>
      <c r="J648" s="62"/>
    </row>
    <row r="649">
      <c r="D649" s="62"/>
      <c r="E649" s="62"/>
      <c r="F649" s="62"/>
      <c r="J649" s="62"/>
    </row>
    <row r="650">
      <c r="D650" s="62"/>
      <c r="E650" s="62"/>
      <c r="F650" s="62"/>
      <c r="J650" s="62"/>
    </row>
    <row r="651">
      <c r="D651" s="62"/>
      <c r="E651" s="62"/>
      <c r="F651" s="62"/>
      <c r="J651" s="62"/>
    </row>
    <row r="652">
      <c r="D652" s="62"/>
      <c r="E652" s="62"/>
      <c r="F652" s="62"/>
      <c r="J652" s="62"/>
    </row>
    <row r="653">
      <c r="D653" s="62"/>
      <c r="E653" s="62"/>
      <c r="F653" s="62"/>
      <c r="J653" s="62"/>
    </row>
    <row r="654">
      <c r="D654" s="62"/>
      <c r="E654" s="62"/>
      <c r="F654" s="62"/>
      <c r="J654" s="62"/>
    </row>
    <row r="655">
      <c r="D655" s="62"/>
      <c r="E655" s="62"/>
      <c r="F655" s="62"/>
      <c r="J655" s="62"/>
    </row>
    <row r="656">
      <c r="D656" s="62"/>
      <c r="E656" s="62"/>
      <c r="F656" s="62"/>
      <c r="J656" s="62"/>
    </row>
    <row r="657">
      <c r="D657" s="62"/>
      <c r="E657" s="62"/>
      <c r="F657" s="62"/>
      <c r="J657" s="62"/>
    </row>
    <row r="658">
      <c r="D658" s="62"/>
      <c r="E658" s="62"/>
      <c r="F658" s="62"/>
      <c r="J658" s="62"/>
    </row>
    <row r="659">
      <c r="D659" s="62"/>
      <c r="E659" s="62"/>
      <c r="F659" s="62"/>
      <c r="J659" s="62"/>
    </row>
    <row r="660">
      <c r="D660" s="62"/>
      <c r="E660" s="62"/>
      <c r="F660" s="62"/>
      <c r="J660" s="62"/>
    </row>
    <row r="661">
      <c r="D661" s="62"/>
      <c r="E661" s="62"/>
      <c r="F661" s="62"/>
      <c r="J661" s="62"/>
    </row>
    <row r="662">
      <c r="D662" s="62"/>
      <c r="E662" s="62"/>
      <c r="F662" s="62"/>
      <c r="J662" s="62"/>
    </row>
    <row r="663">
      <c r="D663" s="62"/>
      <c r="E663" s="62"/>
      <c r="F663" s="62"/>
      <c r="J663" s="62"/>
    </row>
    <row r="664">
      <c r="D664" s="62"/>
      <c r="E664" s="62"/>
      <c r="F664" s="62"/>
      <c r="J664" s="62"/>
    </row>
    <row r="665">
      <c r="D665" s="62"/>
      <c r="E665" s="62"/>
      <c r="F665" s="62"/>
      <c r="J665" s="62"/>
    </row>
    <row r="666">
      <c r="D666" s="62"/>
      <c r="E666" s="62"/>
      <c r="F666" s="62"/>
      <c r="J666" s="62"/>
    </row>
    <row r="667">
      <c r="D667" s="62"/>
      <c r="E667" s="62"/>
      <c r="F667" s="62"/>
      <c r="J667" s="62"/>
    </row>
    <row r="668">
      <c r="D668" s="62"/>
      <c r="E668" s="62"/>
      <c r="F668" s="62"/>
      <c r="J668" s="62"/>
    </row>
    <row r="669">
      <c r="D669" s="62"/>
      <c r="E669" s="62"/>
      <c r="F669" s="62"/>
      <c r="J669" s="62"/>
    </row>
    <row r="670">
      <c r="D670" s="62"/>
      <c r="E670" s="62"/>
      <c r="F670" s="62"/>
      <c r="J670" s="62"/>
    </row>
    <row r="671">
      <c r="D671" s="62"/>
      <c r="E671" s="62"/>
      <c r="F671" s="62"/>
      <c r="J671" s="62"/>
    </row>
    <row r="672">
      <c r="D672" s="62"/>
      <c r="E672" s="62"/>
      <c r="F672" s="62"/>
      <c r="J672" s="62"/>
    </row>
    <row r="673">
      <c r="D673" s="62"/>
      <c r="E673" s="62"/>
      <c r="F673" s="62"/>
      <c r="J673" s="62"/>
    </row>
    <row r="674">
      <c r="D674" s="62"/>
      <c r="E674" s="62"/>
      <c r="F674" s="62"/>
      <c r="J674" s="62"/>
    </row>
    <row r="675">
      <c r="D675" s="62"/>
      <c r="E675" s="62"/>
      <c r="F675" s="62"/>
      <c r="J675" s="62"/>
    </row>
    <row r="676">
      <c r="D676" s="62"/>
      <c r="E676" s="62"/>
      <c r="F676" s="62"/>
      <c r="J676" s="62"/>
    </row>
    <row r="677">
      <c r="D677" s="62"/>
      <c r="E677" s="62"/>
      <c r="F677" s="62"/>
      <c r="J677" s="62"/>
    </row>
    <row r="678">
      <c r="D678" s="62"/>
      <c r="E678" s="62"/>
      <c r="F678" s="62"/>
      <c r="J678" s="62"/>
    </row>
    <row r="679">
      <c r="D679" s="62"/>
      <c r="E679" s="62"/>
      <c r="F679" s="62"/>
      <c r="J679" s="62"/>
    </row>
    <row r="680">
      <c r="D680" s="62"/>
      <c r="E680" s="62"/>
      <c r="F680" s="62"/>
      <c r="J680" s="62"/>
    </row>
    <row r="681">
      <c r="D681" s="62"/>
      <c r="E681" s="62"/>
      <c r="F681" s="62"/>
      <c r="J681" s="62"/>
    </row>
    <row r="682">
      <c r="D682" s="62"/>
      <c r="E682" s="62"/>
      <c r="F682" s="62"/>
      <c r="J682" s="62"/>
    </row>
    <row r="683">
      <c r="D683" s="62"/>
      <c r="E683" s="62"/>
      <c r="F683" s="62"/>
      <c r="J683" s="62"/>
    </row>
    <row r="684">
      <c r="D684" s="62"/>
      <c r="E684" s="62"/>
      <c r="F684" s="62"/>
      <c r="J684" s="62"/>
    </row>
    <row r="685">
      <c r="D685" s="62"/>
      <c r="E685" s="62"/>
      <c r="F685" s="62"/>
      <c r="J685" s="62"/>
    </row>
    <row r="686">
      <c r="D686" s="62"/>
      <c r="E686" s="62"/>
      <c r="F686" s="62"/>
      <c r="J686" s="62"/>
    </row>
    <row r="687">
      <c r="D687" s="62"/>
      <c r="E687" s="62"/>
      <c r="F687" s="62"/>
      <c r="J687" s="62"/>
    </row>
    <row r="688">
      <c r="D688" s="62"/>
      <c r="E688" s="62"/>
      <c r="F688" s="62"/>
      <c r="J688" s="62"/>
    </row>
    <row r="689">
      <c r="D689" s="62"/>
      <c r="E689" s="62"/>
      <c r="F689" s="62"/>
      <c r="J689" s="62"/>
    </row>
    <row r="690">
      <c r="D690" s="62"/>
      <c r="E690" s="62"/>
      <c r="F690" s="62"/>
      <c r="J690" s="62"/>
    </row>
    <row r="691">
      <c r="D691" s="62"/>
      <c r="E691" s="62"/>
      <c r="F691" s="62"/>
      <c r="J691" s="62"/>
    </row>
    <row r="692">
      <c r="D692" s="62"/>
      <c r="E692" s="62"/>
      <c r="F692" s="62"/>
      <c r="J692" s="62"/>
    </row>
    <row r="693">
      <c r="D693" s="62"/>
      <c r="E693" s="62"/>
      <c r="F693" s="62"/>
      <c r="J693" s="62"/>
    </row>
    <row r="694">
      <c r="D694" s="62"/>
      <c r="E694" s="62"/>
      <c r="F694" s="62"/>
      <c r="J694" s="62"/>
    </row>
    <row r="695">
      <c r="D695" s="62"/>
      <c r="E695" s="62"/>
      <c r="F695" s="62"/>
      <c r="J695" s="62"/>
    </row>
    <row r="696">
      <c r="D696" s="62"/>
      <c r="E696" s="62"/>
      <c r="F696" s="62"/>
      <c r="J696" s="62"/>
    </row>
    <row r="697">
      <c r="D697" s="62"/>
      <c r="E697" s="62"/>
      <c r="F697" s="62"/>
      <c r="J697" s="62"/>
    </row>
    <row r="698">
      <c r="D698" s="62"/>
      <c r="E698" s="62"/>
      <c r="F698" s="62"/>
      <c r="J698" s="62"/>
    </row>
    <row r="699">
      <c r="D699" s="62"/>
      <c r="E699" s="62"/>
      <c r="F699" s="62"/>
      <c r="J699" s="62"/>
    </row>
    <row r="700">
      <c r="D700" s="62"/>
      <c r="E700" s="62"/>
      <c r="F700" s="62"/>
      <c r="J700" s="62"/>
    </row>
    <row r="701">
      <c r="D701" s="62"/>
      <c r="E701" s="62"/>
      <c r="F701" s="62"/>
      <c r="J701" s="62"/>
    </row>
    <row r="702">
      <c r="D702" s="62"/>
      <c r="E702" s="62"/>
      <c r="F702" s="62"/>
      <c r="J702" s="62"/>
    </row>
    <row r="703">
      <c r="D703" s="62"/>
      <c r="E703" s="62"/>
      <c r="F703" s="62"/>
      <c r="J703" s="62"/>
    </row>
    <row r="704">
      <c r="D704" s="62"/>
      <c r="E704" s="62"/>
      <c r="F704" s="62"/>
      <c r="J704" s="62"/>
    </row>
    <row r="705">
      <c r="D705" s="62"/>
      <c r="E705" s="62"/>
      <c r="F705" s="62"/>
      <c r="J705" s="62"/>
    </row>
    <row r="706">
      <c r="D706" s="62"/>
      <c r="E706" s="62"/>
      <c r="F706" s="62"/>
      <c r="J706" s="62"/>
    </row>
    <row r="707">
      <c r="D707" s="62"/>
      <c r="E707" s="62"/>
      <c r="F707" s="62"/>
      <c r="J707" s="62"/>
    </row>
    <row r="708">
      <c r="D708" s="62"/>
      <c r="E708" s="62"/>
      <c r="F708" s="62"/>
      <c r="J708" s="62"/>
    </row>
    <row r="709">
      <c r="D709" s="62"/>
      <c r="E709" s="62"/>
      <c r="F709" s="62"/>
      <c r="J709" s="62"/>
    </row>
    <row r="710">
      <c r="D710" s="62"/>
      <c r="E710" s="62"/>
      <c r="F710" s="62"/>
      <c r="J710" s="62"/>
    </row>
    <row r="711">
      <c r="D711" s="62"/>
      <c r="E711" s="62"/>
      <c r="F711" s="62"/>
      <c r="J711" s="62"/>
    </row>
    <row r="712">
      <c r="D712" s="62"/>
      <c r="E712" s="62"/>
      <c r="F712" s="62"/>
      <c r="J712" s="62"/>
    </row>
    <row r="713">
      <c r="D713" s="62"/>
      <c r="E713" s="62"/>
      <c r="F713" s="62"/>
      <c r="J713" s="62"/>
    </row>
    <row r="714">
      <c r="D714" s="62"/>
      <c r="E714" s="62"/>
      <c r="F714" s="62"/>
      <c r="J714" s="62"/>
    </row>
    <row r="715">
      <c r="D715" s="62"/>
      <c r="E715" s="62"/>
      <c r="F715" s="62"/>
      <c r="J715" s="62"/>
    </row>
    <row r="716">
      <c r="D716" s="62"/>
      <c r="E716" s="62"/>
      <c r="F716" s="62"/>
      <c r="J716" s="62"/>
    </row>
    <row r="717">
      <c r="D717" s="62"/>
      <c r="E717" s="62"/>
      <c r="F717" s="62"/>
      <c r="J717" s="62"/>
    </row>
    <row r="718">
      <c r="D718" s="62"/>
      <c r="E718" s="62"/>
      <c r="F718" s="62"/>
      <c r="J718" s="62"/>
    </row>
    <row r="719">
      <c r="D719" s="62"/>
      <c r="E719" s="62"/>
      <c r="F719" s="62"/>
      <c r="J719" s="62"/>
    </row>
    <row r="720">
      <c r="D720" s="62"/>
      <c r="E720" s="62"/>
      <c r="F720" s="62"/>
      <c r="J720" s="62"/>
    </row>
    <row r="721">
      <c r="D721" s="62"/>
      <c r="E721" s="62"/>
      <c r="F721" s="62"/>
      <c r="J721" s="62"/>
    </row>
    <row r="722">
      <c r="D722" s="62"/>
      <c r="E722" s="62"/>
      <c r="F722" s="62"/>
      <c r="J722" s="62"/>
    </row>
    <row r="723">
      <c r="D723" s="62"/>
      <c r="E723" s="62"/>
      <c r="F723" s="62"/>
      <c r="J723" s="62"/>
    </row>
    <row r="724">
      <c r="D724" s="62"/>
      <c r="E724" s="62"/>
      <c r="F724" s="62"/>
      <c r="J724" s="62"/>
    </row>
    <row r="725">
      <c r="D725" s="62"/>
      <c r="E725" s="62"/>
      <c r="F725" s="62"/>
      <c r="J725" s="62"/>
    </row>
    <row r="726">
      <c r="D726" s="62"/>
      <c r="E726" s="62"/>
      <c r="F726" s="62"/>
      <c r="J726" s="62"/>
    </row>
    <row r="727">
      <c r="D727" s="62"/>
      <c r="E727" s="62"/>
      <c r="F727" s="62"/>
      <c r="J727" s="62"/>
    </row>
    <row r="728">
      <c r="D728" s="62"/>
      <c r="E728" s="62"/>
      <c r="F728" s="62"/>
      <c r="J728" s="62"/>
    </row>
    <row r="729">
      <c r="D729" s="62"/>
      <c r="E729" s="62"/>
      <c r="F729" s="62"/>
      <c r="J729" s="62"/>
    </row>
    <row r="730">
      <c r="D730" s="62"/>
      <c r="E730" s="62"/>
      <c r="F730" s="62"/>
      <c r="J730" s="62"/>
    </row>
    <row r="731">
      <c r="D731" s="62"/>
      <c r="E731" s="62"/>
      <c r="F731" s="62"/>
      <c r="J731" s="62"/>
    </row>
    <row r="732">
      <c r="D732" s="62"/>
      <c r="E732" s="62"/>
      <c r="F732" s="62"/>
      <c r="J732" s="62"/>
    </row>
    <row r="733">
      <c r="D733" s="62"/>
      <c r="E733" s="62"/>
      <c r="F733" s="62"/>
      <c r="J733" s="62"/>
    </row>
    <row r="734">
      <c r="D734" s="62"/>
      <c r="E734" s="62"/>
      <c r="F734" s="62"/>
      <c r="J734" s="62"/>
    </row>
    <row r="735">
      <c r="D735" s="62"/>
      <c r="E735" s="62"/>
      <c r="F735" s="62"/>
      <c r="J735" s="62"/>
    </row>
    <row r="736">
      <c r="D736" s="62"/>
      <c r="E736" s="62"/>
      <c r="F736" s="62"/>
      <c r="J736" s="62"/>
    </row>
    <row r="737">
      <c r="D737" s="62"/>
      <c r="E737" s="62"/>
      <c r="F737" s="62"/>
      <c r="J737" s="62"/>
    </row>
    <row r="738">
      <c r="D738" s="62"/>
      <c r="E738" s="62"/>
      <c r="F738" s="62"/>
      <c r="J738" s="62"/>
    </row>
    <row r="739">
      <c r="D739" s="62"/>
      <c r="E739" s="62"/>
      <c r="F739" s="62"/>
      <c r="J739" s="62"/>
    </row>
    <row r="740">
      <c r="D740" s="62"/>
      <c r="E740" s="62"/>
      <c r="F740" s="62"/>
      <c r="J740" s="62"/>
    </row>
    <row r="741">
      <c r="D741" s="62"/>
      <c r="E741" s="62"/>
      <c r="F741" s="62"/>
      <c r="J741" s="62"/>
    </row>
    <row r="742">
      <c r="D742" s="62"/>
      <c r="E742" s="62"/>
      <c r="F742" s="62"/>
      <c r="J742" s="62"/>
    </row>
    <row r="743">
      <c r="D743" s="62"/>
      <c r="E743" s="62"/>
      <c r="F743" s="62"/>
      <c r="J743" s="62"/>
    </row>
    <row r="744">
      <c r="D744" s="62"/>
      <c r="E744" s="62"/>
      <c r="F744" s="62"/>
      <c r="J744" s="62"/>
    </row>
    <row r="745">
      <c r="D745" s="62"/>
      <c r="E745" s="62"/>
      <c r="F745" s="62"/>
      <c r="J745" s="62"/>
    </row>
    <row r="746">
      <c r="D746" s="62"/>
      <c r="E746" s="62"/>
      <c r="F746" s="62"/>
      <c r="J746" s="62"/>
    </row>
    <row r="747">
      <c r="D747" s="62"/>
      <c r="E747" s="62"/>
      <c r="F747" s="62"/>
      <c r="J747" s="62"/>
    </row>
    <row r="748">
      <c r="D748" s="62"/>
      <c r="E748" s="62"/>
      <c r="F748" s="62"/>
      <c r="J748" s="62"/>
    </row>
    <row r="749">
      <c r="D749" s="62"/>
      <c r="E749" s="62"/>
      <c r="F749" s="62"/>
      <c r="J749" s="62"/>
    </row>
    <row r="750">
      <c r="D750" s="62"/>
      <c r="E750" s="62"/>
      <c r="F750" s="62"/>
      <c r="J750" s="62"/>
    </row>
    <row r="751">
      <c r="D751" s="62"/>
      <c r="E751" s="62"/>
      <c r="F751" s="62"/>
      <c r="J751" s="62"/>
    </row>
    <row r="752">
      <c r="D752" s="62"/>
      <c r="E752" s="62"/>
      <c r="F752" s="62"/>
      <c r="J752" s="62"/>
    </row>
    <row r="753">
      <c r="D753" s="62"/>
      <c r="E753" s="62"/>
      <c r="F753" s="62"/>
      <c r="J753" s="62"/>
    </row>
    <row r="754">
      <c r="D754" s="62"/>
      <c r="E754" s="62"/>
      <c r="F754" s="62"/>
      <c r="J754" s="62"/>
    </row>
    <row r="755">
      <c r="D755" s="62"/>
      <c r="E755" s="62"/>
      <c r="F755" s="62"/>
      <c r="J755" s="62"/>
    </row>
    <row r="756">
      <c r="D756" s="62"/>
      <c r="E756" s="62"/>
      <c r="F756" s="62"/>
      <c r="J756" s="62"/>
    </row>
    <row r="757">
      <c r="D757" s="62"/>
      <c r="E757" s="62"/>
      <c r="F757" s="62"/>
      <c r="J757" s="62"/>
    </row>
    <row r="758">
      <c r="D758" s="62"/>
      <c r="E758" s="62"/>
      <c r="F758" s="62"/>
      <c r="J758" s="62"/>
    </row>
    <row r="759">
      <c r="D759" s="62"/>
      <c r="E759" s="62"/>
      <c r="F759" s="62"/>
      <c r="J759" s="62"/>
    </row>
    <row r="760">
      <c r="D760" s="62"/>
      <c r="E760" s="62"/>
      <c r="F760" s="62"/>
      <c r="J760" s="62"/>
    </row>
    <row r="761">
      <c r="D761" s="62"/>
      <c r="E761" s="62"/>
      <c r="F761" s="62"/>
      <c r="J761" s="62"/>
    </row>
    <row r="762">
      <c r="D762" s="62"/>
      <c r="E762" s="62"/>
      <c r="F762" s="62"/>
      <c r="J762" s="62"/>
    </row>
    <row r="763">
      <c r="D763" s="62"/>
      <c r="E763" s="62"/>
      <c r="F763" s="62"/>
      <c r="J763" s="62"/>
    </row>
    <row r="764">
      <c r="D764" s="62"/>
      <c r="E764" s="62"/>
      <c r="F764" s="62"/>
      <c r="J764" s="62"/>
    </row>
    <row r="765">
      <c r="D765" s="62"/>
      <c r="E765" s="62"/>
      <c r="F765" s="62"/>
      <c r="J765" s="62"/>
    </row>
    <row r="766">
      <c r="D766" s="62"/>
      <c r="E766" s="62"/>
      <c r="F766" s="62"/>
      <c r="J766" s="62"/>
    </row>
    <row r="767">
      <c r="D767" s="62"/>
      <c r="E767" s="62"/>
      <c r="F767" s="62"/>
      <c r="J767" s="62"/>
    </row>
    <row r="768">
      <c r="D768" s="62"/>
      <c r="E768" s="62"/>
      <c r="F768" s="62"/>
      <c r="J768" s="62"/>
    </row>
    <row r="769">
      <c r="D769" s="62"/>
      <c r="E769" s="62"/>
      <c r="F769" s="62"/>
      <c r="J769" s="62"/>
    </row>
    <row r="770">
      <c r="D770" s="62"/>
      <c r="E770" s="62"/>
      <c r="F770" s="62"/>
      <c r="J770" s="62"/>
    </row>
    <row r="771">
      <c r="D771" s="62"/>
      <c r="E771" s="62"/>
      <c r="F771" s="62"/>
      <c r="J771" s="62"/>
    </row>
    <row r="772">
      <c r="D772" s="62"/>
      <c r="E772" s="62"/>
      <c r="F772" s="62"/>
      <c r="J772" s="62"/>
    </row>
    <row r="773">
      <c r="D773" s="62"/>
      <c r="E773" s="62"/>
      <c r="F773" s="62"/>
      <c r="J773" s="62"/>
    </row>
    <row r="774">
      <c r="D774" s="62"/>
      <c r="E774" s="62"/>
      <c r="F774" s="62"/>
      <c r="J774" s="62"/>
    </row>
    <row r="775">
      <c r="D775" s="62"/>
      <c r="E775" s="62"/>
      <c r="F775" s="62"/>
      <c r="J775" s="62"/>
    </row>
    <row r="776">
      <c r="D776" s="62"/>
      <c r="E776" s="62"/>
      <c r="F776" s="62"/>
      <c r="J776" s="62"/>
    </row>
    <row r="777">
      <c r="D777" s="62"/>
      <c r="E777" s="62"/>
      <c r="F777" s="62"/>
      <c r="J777" s="62"/>
    </row>
    <row r="778">
      <c r="D778" s="62"/>
      <c r="E778" s="62"/>
      <c r="F778" s="62"/>
      <c r="J778" s="62"/>
    </row>
    <row r="779">
      <c r="D779" s="62"/>
      <c r="E779" s="62"/>
      <c r="F779" s="62"/>
      <c r="J779" s="62"/>
    </row>
    <row r="780">
      <c r="D780" s="62"/>
      <c r="E780" s="62"/>
      <c r="F780" s="62"/>
      <c r="J780" s="62"/>
    </row>
    <row r="781">
      <c r="D781" s="62"/>
      <c r="E781" s="62"/>
      <c r="F781" s="62"/>
      <c r="J781" s="62"/>
    </row>
    <row r="782">
      <c r="D782" s="62"/>
      <c r="E782" s="62"/>
      <c r="F782" s="62"/>
      <c r="J782" s="62"/>
    </row>
    <row r="783">
      <c r="D783" s="62"/>
      <c r="E783" s="62"/>
      <c r="F783" s="62"/>
      <c r="J783" s="62"/>
    </row>
    <row r="784">
      <c r="D784" s="62"/>
      <c r="E784" s="62"/>
      <c r="F784" s="62"/>
      <c r="J784" s="62"/>
    </row>
    <row r="785">
      <c r="D785" s="62"/>
      <c r="E785" s="62"/>
      <c r="F785" s="62"/>
      <c r="J785" s="62"/>
    </row>
    <row r="786">
      <c r="D786" s="62"/>
      <c r="E786" s="62"/>
      <c r="F786" s="62"/>
      <c r="J786" s="62"/>
    </row>
    <row r="787">
      <c r="D787" s="62"/>
      <c r="E787" s="62"/>
      <c r="F787" s="62"/>
      <c r="J787" s="62"/>
    </row>
    <row r="788">
      <c r="D788" s="62"/>
      <c r="E788" s="62"/>
      <c r="F788" s="62"/>
      <c r="J788" s="62"/>
    </row>
    <row r="789">
      <c r="D789" s="62"/>
      <c r="E789" s="62"/>
      <c r="F789" s="62"/>
      <c r="J789" s="62"/>
    </row>
    <row r="790">
      <c r="D790" s="62"/>
      <c r="E790" s="62"/>
      <c r="F790" s="62"/>
      <c r="J790" s="62"/>
    </row>
    <row r="791">
      <c r="D791" s="62"/>
      <c r="E791" s="62"/>
      <c r="F791" s="62"/>
      <c r="J791" s="62"/>
    </row>
    <row r="792">
      <c r="D792" s="62"/>
      <c r="E792" s="62"/>
      <c r="F792" s="62"/>
      <c r="J792" s="62"/>
    </row>
    <row r="793">
      <c r="D793" s="62"/>
      <c r="E793" s="62"/>
      <c r="F793" s="62"/>
      <c r="J793" s="62"/>
    </row>
    <row r="794">
      <c r="D794" s="62"/>
      <c r="E794" s="62"/>
      <c r="F794" s="62"/>
      <c r="J794" s="62"/>
    </row>
    <row r="795">
      <c r="D795" s="62"/>
      <c r="E795" s="62"/>
      <c r="F795" s="62"/>
      <c r="J795" s="62"/>
    </row>
    <row r="796">
      <c r="D796" s="62"/>
      <c r="E796" s="62"/>
      <c r="F796" s="62"/>
      <c r="J796" s="62"/>
    </row>
    <row r="797">
      <c r="D797" s="62"/>
      <c r="E797" s="62"/>
      <c r="F797" s="62"/>
      <c r="J797" s="62"/>
    </row>
    <row r="798">
      <c r="D798" s="62"/>
      <c r="E798" s="62"/>
      <c r="F798" s="62"/>
      <c r="J798" s="62"/>
    </row>
    <row r="799">
      <c r="D799" s="62"/>
      <c r="E799" s="62"/>
      <c r="F799" s="62"/>
      <c r="J799" s="62"/>
    </row>
    <row r="800">
      <c r="D800" s="62"/>
      <c r="E800" s="62"/>
      <c r="F800" s="62"/>
      <c r="J800" s="62"/>
    </row>
    <row r="801">
      <c r="D801" s="62"/>
      <c r="E801" s="62"/>
      <c r="F801" s="62"/>
      <c r="J801" s="62"/>
    </row>
    <row r="802">
      <c r="D802" s="62"/>
      <c r="E802" s="62"/>
      <c r="F802" s="62"/>
      <c r="J802" s="62"/>
    </row>
    <row r="803">
      <c r="D803" s="62"/>
      <c r="E803" s="62"/>
      <c r="F803" s="62"/>
      <c r="J803" s="62"/>
    </row>
    <row r="804">
      <c r="D804" s="62"/>
      <c r="E804" s="62"/>
      <c r="F804" s="62"/>
      <c r="J804" s="62"/>
    </row>
    <row r="805">
      <c r="D805" s="62"/>
      <c r="E805" s="62"/>
      <c r="F805" s="62"/>
      <c r="J805" s="62"/>
    </row>
    <row r="806">
      <c r="D806" s="62"/>
      <c r="E806" s="62"/>
      <c r="F806" s="62"/>
      <c r="J806" s="62"/>
    </row>
    <row r="807">
      <c r="D807" s="62"/>
      <c r="E807" s="62"/>
      <c r="F807" s="62"/>
      <c r="J807" s="62"/>
    </row>
    <row r="808">
      <c r="D808" s="62"/>
      <c r="E808" s="62"/>
      <c r="F808" s="62"/>
      <c r="J808" s="62"/>
    </row>
    <row r="809">
      <c r="D809" s="62"/>
      <c r="E809" s="62"/>
      <c r="F809" s="62"/>
      <c r="J809" s="62"/>
    </row>
    <row r="810">
      <c r="D810" s="62"/>
      <c r="E810" s="62"/>
      <c r="F810" s="62"/>
      <c r="J810" s="62"/>
    </row>
    <row r="811">
      <c r="D811" s="62"/>
      <c r="E811" s="62"/>
      <c r="F811" s="62"/>
      <c r="J811" s="62"/>
    </row>
    <row r="812">
      <c r="D812" s="62"/>
      <c r="E812" s="62"/>
      <c r="F812" s="62"/>
      <c r="J812" s="62"/>
    </row>
    <row r="813">
      <c r="D813" s="62"/>
      <c r="E813" s="62"/>
      <c r="F813" s="62"/>
      <c r="J813" s="62"/>
    </row>
    <row r="814">
      <c r="D814" s="62"/>
      <c r="E814" s="62"/>
      <c r="F814" s="62"/>
      <c r="J814" s="62"/>
    </row>
    <row r="815">
      <c r="D815" s="62"/>
      <c r="E815" s="62"/>
      <c r="F815" s="62"/>
      <c r="J815" s="62"/>
    </row>
    <row r="816">
      <c r="D816" s="62"/>
      <c r="E816" s="62"/>
      <c r="F816" s="62"/>
      <c r="J816" s="62"/>
    </row>
    <row r="817">
      <c r="D817" s="62"/>
      <c r="E817" s="62"/>
      <c r="F817" s="62"/>
      <c r="J817" s="62"/>
    </row>
    <row r="818">
      <c r="D818" s="62"/>
      <c r="E818" s="62"/>
      <c r="F818" s="62"/>
      <c r="J818" s="62"/>
    </row>
    <row r="819">
      <c r="D819" s="62"/>
      <c r="E819" s="62"/>
      <c r="F819" s="62"/>
      <c r="J819" s="62"/>
    </row>
    <row r="820">
      <c r="D820" s="62"/>
      <c r="E820" s="62"/>
      <c r="F820" s="62"/>
      <c r="J820" s="62"/>
    </row>
    <row r="821">
      <c r="D821" s="62"/>
      <c r="E821" s="62"/>
      <c r="F821" s="62"/>
      <c r="J821" s="62"/>
    </row>
    <row r="822">
      <c r="D822" s="62"/>
      <c r="E822" s="62"/>
      <c r="F822" s="62"/>
      <c r="J822" s="62"/>
    </row>
    <row r="823">
      <c r="D823" s="62"/>
      <c r="E823" s="62"/>
      <c r="F823" s="62"/>
      <c r="J823" s="62"/>
    </row>
    <row r="824">
      <c r="D824" s="62"/>
      <c r="E824" s="62"/>
      <c r="F824" s="62"/>
      <c r="J824" s="62"/>
    </row>
    <row r="825">
      <c r="D825" s="62"/>
      <c r="E825" s="62"/>
      <c r="F825" s="62"/>
      <c r="J825" s="62"/>
    </row>
    <row r="826">
      <c r="D826" s="62"/>
      <c r="E826" s="62"/>
      <c r="F826" s="62"/>
      <c r="J826" s="62"/>
    </row>
    <row r="827">
      <c r="D827" s="62"/>
      <c r="E827" s="62"/>
      <c r="F827" s="62"/>
      <c r="J827" s="62"/>
    </row>
    <row r="828">
      <c r="D828" s="62"/>
      <c r="E828" s="62"/>
      <c r="F828" s="62"/>
      <c r="J828" s="62"/>
    </row>
    <row r="829">
      <c r="D829" s="62"/>
      <c r="E829" s="62"/>
      <c r="F829" s="62"/>
      <c r="J829" s="62"/>
    </row>
    <row r="830">
      <c r="D830" s="62"/>
      <c r="E830" s="62"/>
      <c r="F830" s="62"/>
      <c r="J830" s="62"/>
    </row>
    <row r="831">
      <c r="D831" s="62"/>
      <c r="E831" s="62"/>
      <c r="F831" s="62"/>
      <c r="J831" s="62"/>
    </row>
    <row r="832">
      <c r="D832" s="62"/>
      <c r="E832" s="62"/>
      <c r="F832" s="62"/>
      <c r="J832" s="62"/>
    </row>
    <row r="833">
      <c r="D833" s="62"/>
      <c r="E833" s="62"/>
      <c r="F833" s="62"/>
      <c r="J833" s="62"/>
    </row>
    <row r="834">
      <c r="D834" s="62"/>
      <c r="E834" s="62"/>
      <c r="F834" s="62"/>
      <c r="J834" s="62"/>
    </row>
    <row r="835">
      <c r="D835" s="62"/>
      <c r="E835" s="62"/>
      <c r="F835" s="62"/>
      <c r="J835" s="62"/>
    </row>
    <row r="836">
      <c r="D836" s="62"/>
      <c r="E836" s="62"/>
      <c r="F836" s="62"/>
      <c r="J836" s="62"/>
    </row>
    <row r="837">
      <c r="D837" s="62"/>
      <c r="E837" s="62"/>
      <c r="F837" s="62"/>
      <c r="J837" s="62"/>
    </row>
    <row r="838">
      <c r="D838" s="62"/>
      <c r="E838" s="62"/>
      <c r="F838" s="62"/>
      <c r="J838" s="62"/>
    </row>
    <row r="839">
      <c r="D839" s="62"/>
      <c r="E839" s="62"/>
      <c r="F839" s="62"/>
      <c r="J839" s="62"/>
    </row>
    <row r="840">
      <c r="D840" s="62"/>
      <c r="E840" s="62"/>
      <c r="F840" s="62"/>
      <c r="J840" s="62"/>
    </row>
    <row r="841">
      <c r="D841" s="62"/>
      <c r="E841" s="62"/>
      <c r="F841" s="62"/>
      <c r="J841" s="62"/>
    </row>
    <row r="842">
      <c r="D842" s="62"/>
      <c r="E842" s="62"/>
      <c r="F842" s="62"/>
      <c r="J842" s="62"/>
    </row>
    <row r="843">
      <c r="D843" s="62"/>
      <c r="E843" s="62"/>
      <c r="F843" s="62"/>
      <c r="J843" s="62"/>
    </row>
    <row r="844">
      <c r="D844" s="62"/>
      <c r="E844" s="62"/>
      <c r="F844" s="62"/>
      <c r="J844" s="62"/>
    </row>
    <row r="845">
      <c r="D845" s="62"/>
      <c r="E845" s="62"/>
      <c r="F845" s="62"/>
      <c r="J845" s="62"/>
    </row>
    <row r="846">
      <c r="D846" s="62"/>
      <c r="E846" s="62"/>
      <c r="F846" s="62"/>
      <c r="J846" s="62"/>
    </row>
    <row r="847">
      <c r="D847" s="62"/>
      <c r="E847" s="62"/>
      <c r="F847" s="62"/>
      <c r="J847" s="62"/>
    </row>
    <row r="848">
      <c r="D848" s="62"/>
      <c r="E848" s="62"/>
      <c r="F848" s="62"/>
      <c r="J848" s="62"/>
    </row>
    <row r="849">
      <c r="D849" s="62"/>
      <c r="E849" s="62"/>
      <c r="F849" s="62"/>
      <c r="J849" s="62"/>
    </row>
    <row r="850">
      <c r="D850" s="62"/>
      <c r="E850" s="62"/>
      <c r="F850" s="62"/>
      <c r="J850" s="62"/>
    </row>
    <row r="851">
      <c r="D851" s="62"/>
      <c r="E851" s="62"/>
      <c r="F851" s="62"/>
      <c r="J851" s="62"/>
    </row>
    <row r="852">
      <c r="D852" s="62"/>
      <c r="E852" s="62"/>
      <c r="F852" s="62"/>
      <c r="J852" s="62"/>
    </row>
    <row r="853">
      <c r="D853" s="62"/>
      <c r="E853" s="62"/>
      <c r="F853" s="62"/>
      <c r="J853" s="62"/>
    </row>
    <row r="854">
      <c r="D854" s="62"/>
      <c r="E854" s="62"/>
      <c r="F854" s="62"/>
      <c r="J854" s="62"/>
    </row>
    <row r="855">
      <c r="D855" s="62"/>
      <c r="E855" s="62"/>
      <c r="F855" s="62"/>
      <c r="J855" s="62"/>
    </row>
    <row r="856">
      <c r="D856" s="62"/>
      <c r="E856" s="62"/>
      <c r="F856" s="62"/>
      <c r="J856" s="62"/>
    </row>
    <row r="857">
      <c r="D857" s="62"/>
      <c r="E857" s="62"/>
      <c r="F857" s="62"/>
      <c r="J857" s="62"/>
    </row>
    <row r="858">
      <c r="D858" s="62"/>
      <c r="E858" s="62"/>
      <c r="F858" s="62"/>
      <c r="J858" s="62"/>
    </row>
    <row r="859">
      <c r="D859" s="62"/>
      <c r="E859" s="62"/>
      <c r="F859" s="62"/>
      <c r="J859" s="62"/>
    </row>
    <row r="860">
      <c r="D860" s="62"/>
      <c r="E860" s="62"/>
      <c r="F860" s="62"/>
      <c r="J860" s="62"/>
    </row>
    <row r="861">
      <c r="D861" s="62"/>
      <c r="E861" s="62"/>
      <c r="F861" s="62"/>
      <c r="J861" s="62"/>
    </row>
    <row r="862">
      <c r="D862" s="62"/>
      <c r="E862" s="62"/>
      <c r="F862" s="62"/>
      <c r="J862" s="62"/>
    </row>
    <row r="863">
      <c r="D863" s="62"/>
      <c r="E863" s="62"/>
      <c r="F863" s="62"/>
      <c r="J863" s="62"/>
    </row>
    <row r="864">
      <c r="D864" s="62"/>
      <c r="E864" s="62"/>
      <c r="F864" s="62"/>
      <c r="J864" s="62"/>
    </row>
    <row r="865">
      <c r="D865" s="62"/>
      <c r="E865" s="62"/>
      <c r="F865" s="62"/>
      <c r="J865" s="62"/>
    </row>
    <row r="866">
      <c r="D866" s="62"/>
      <c r="E866" s="62"/>
      <c r="F866" s="62"/>
      <c r="J866" s="62"/>
    </row>
    <row r="867">
      <c r="D867" s="62"/>
      <c r="E867" s="62"/>
      <c r="F867" s="62"/>
      <c r="J867" s="62"/>
    </row>
    <row r="868">
      <c r="D868" s="62"/>
      <c r="E868" s="62"/>
      <c r="F868" s="62"/>
      <c r="J868" s="62"/>
    </row>
    <row r="869">
      <c r="D869" s="62"/>
      <c r="E869" s="62"/>
      <c r="F869" s="62"/>
      <c r="J869" s="62"/>
    </row>
    <row r="870">
      <c r="D870" s="62"/>
      <c r="E870" s="62"/>
      <c r="F870" s="62"/>
      <c r="J870" s="62"/>
    </row>
    <row r="871">
      <c r="D871" s="62"/>
      <c r="E871" s="62"/>
      <c r="F871" s="62"/>
      <c r="J871" s="62"/>
    </row>
    <row r="872">
      <c r="D872" s="62"/>
      <c r="E872" s="62"/>
      <c r="F872" s="62"/>
      <c r="J872" s="62"/>
    </row>
    <row r="873">
      <c r="D873" s="62"/>
      <c r="E873" s="62"/>
      <c r="F873" s="62"/>
      <c r="J873" s="62"/>
    </row>
    <row r="874">
      <c r="D874" s="62"/>
      <c r="E874" s="62"/>
      <c r="F874" s="62"/>
      <c r="J874" s="62"/>
    </row>
    <row r="875">
      <c r="D875" s="62"/>
      <c r="E875" s="62"/>
      <c r="F875" s="62"/>
      <c r="J875" s="62"/>
    </row>
    <row r="876">
      <c r="D876" s="62"/>
      <c r="E876" s="62"/>
      <c r="F876" s="62"/>
      <c r="J876" s="62"/>
    </row>
    <row r="877">
      <c r="D877" s="62"/>
      <c r="E877" s="62"/>
      <c r="F877" s="62"/>
      <c r="J877" s="62"/>
    </row>
    <row r="878">
      <c r="D878" s="62"/>
      <c r="E878" s="62"/>
      <c r="F878" s="62"/>
      <c r="J878" s="62"/>
    </row>
    <row r="879">
      <c r="D879" s="62"/>
      <c r="E879" s="62"/>
      <c r="F879" s="62"/>
      <c r="J879" s="62"/>
    </row>
    <row r="880">
      <c r="D880" s="62"/>
      <c r="E880" s="62"/>
      <c r="F880" s="62"/>
      <c r="J880" s="62"/>
    </row>
    <row r="881">
      <c r="D881" s="62"/>
      <c r="E881" s="62"/>
      <c r="F881" s="62"/>
      <c r="J881" s="62"/>
    </row>
    <row r="882">
      <c r="D882" s="62"/>
      <c r="E882" s="62"/>
      <c r="F882" s="62"/>
      <c r="J882" s="62"/>
    </row>
    <row r="883">
      <c r="D883" s="62"/>
      <c r="E883" s="62"/>
      <c r="F883" s="62"/>
      <c r="J883" s="62"/>
    </row>
    <row r="884">
      <c r="D884" s="62"/>
      <c r="E884" s="62"/>
      <c r="F884" s="62"/>
      <c r="J884" s="62"/>
    </row>
    <row r="885">
      <c r="D885" s="62"/>
      <c r="E885" s="62"/>
      <c r="F885" s="62"/>
      <c r="J885" s="62"/>
    </row>
    <row r="886">
      <c r="D886" s="62"/>
      <c r="E886" s="62"/>
      <c r="F886" s="62"/>
      <c r="J886" s="62"/>
    </row>
    <row r="887">
      <c r="D887" s="62"/>
      <c r="E887" s="62"/>
      <c r="F887" s="62"/>
      <c r="J887" s="62"/>
    </row>
    <row r="888">
      <c r="D888" s="62"/>
      <c r="E888" s="62"/>
      <c r="F888" s="62"/>
      <c r="J888" s="62"/>
    </row>
    <row r="889">
      <c r="D889" s="62"/>
      <c r="E889" s="62"/>
      <c r="F889" s="62"/>
      <c r="J889" s="62"/>
    </row>
    <row r="890">
      <c r="D890" s="62"/>
      <c r="E890" s="62"/>
      <c r="F890" s="62"/>
      <c r="J890" s="62"/>
    </row>
    <row r="891">
      <c r="D891" s="62"/>
      <c r="E891" s="62"/>
      <c r="F891" s="62"/>
      <c r="J891" s="62"/>
    </row>
    <row r="892">
      <c r="D892" s="62"/>
      <c r="E892" s="62"/>
      <c r="F892" s="62"/>
      <c r="J892" s="62"/>
    </row>
    <row r="893">
      <c r="D893" s="62"/>
      <c r="E893" s="62"/>
      <c r="F893" s="62"/>
      <c r="J893" s="62"/>
    </row>
    <row r="894">
      <c r="D894" s="62"/>
      <c r="E894" s="62"/>
      <c r="F894" s="62"/>
      <c r="J894" s="62"/>
    </row>
    <row r="895">
      <c r="D895" s="62"/>
      <c r="E895" s="62"/>
      <c r="F895" s="62"/>
      <c r="J895" s="62"/>
    </row>
    <row r="896">
      <c r="D896" s="62"/>
      <c r="E896" s="62"/>
      <c r="F896" s="62"/>
      <c r="J896" s="62"/>
    </row>
    <row r="897">
      <c r="D897" s="62"/>
      <c r="E897" s="62"/>
      <c r="F897" s="62"/>
      <c r="J897" s="62"/>
    </row>
    <row r="898">
      <c r="D898" s="62"/>
      <c r="E898" s="62"/>
      <c r="F898" s="62"/>
      <c r="J898" s="62"/>
    </row>
    <row r="899">
      <c r="D899" s="62"/>
      <c r="E899" s="62"/>
      <c r="F899" s="62"/>
      <c r="J899" s="62"/>
    </row>
    <row r="900">
      <c r="D900" s="62"/>
      <c r="E900" s="62"/>
      <c r="F900" s="62"/>
      <c r="J900" s="62"/>
    </row>
    <row r="901">
      <c r="D901" s="62"/>
      <c r="E901" s="62"/>
      <c r="F901" s="62"/>
      <c r="J901" s="62"/>
    </row>
    <row r="902">
      <c r="D902" s="62"/>
      <c r="E902" s="62"/>
      <c r="F902" s="62"/>
      <c r="J902" s="62"/>
    </row>
    <row r="903">
      <c r="D903" s="62"/>
      <c r="E903" s="62"/>
      <c r="F903" s="62"/>
      <c r="J903" s="62"/>
    </row>
    <row r="904">
      <c r="D904" s="62"/>
      <c r="E904" s="62"/>
      <c r="F904" s="62"/>
      <c r="J904" s="62"/>
    </row>
    <row r="905">
      <c r="D905" s="62"/>
      <c r="E905" s="62"/>
      <c r="F905" s="62"/>
      <c r="J905" s="62"/>
    </row>
    <row r="906">
      <c r="D906" s="62"/>
      <c r="E906" s="62"/>
      <c r="F906" s="62"/>
      <c r="J906" s="62"/>
    </row>
    <row r="907">
      <c r="D907" s="62"/>
      <c r="E907" s="62"/>
      <c r="F907" s="62"/>
      <c r="J907" s="62"/>
    </row>
    <row r="908">
      <c r="D908" s="62"/>
      <c r="E908" s="62"/>
      <c r="F908" s="62"/>
      <c r="J908" s="62"/>
    </row>
    <row r="909">
      <c r="D909" s="62"/>
      <c r="E909" s="62"/>
      <c r="F909" s="62"/>
      <c r="J909" s="62"/>
    </row>
    <row r="910">
      <c r="D910" s="62"/>
      <c r="E910" s="62"/>
      <c r="F910" s="62"/>
      <c r="J910" s="62"/>
    </row>
    <row r="911">
      <c r="D911" s="62"/>
      <c r="E911" s="62"/>
      <c r="F911" s="62"/>
      <c r="J911" s="62"/>
    </row>
    <row r="912">
      <c r="D912" s="62"/>
      <c r="E912" s="62"/>
      <c r="F912" s="62"/>
      <c r="J912" s="62"/>
    </row>
    <row r="913">
      <c r="D913" s="62"/>
      <c r="E913" s="62"/>
      <c r="F913" s="62"/>
      <c r="J913" s="62"/>
    </row>
    <row r="914">
      <c r="D914" s="62"/>
      <c r="E914" s="62"/>
      <c r="F914" s="62"/>
      <c r="J914" s="62"/>
    </row>
    <row r="915">
      <c r="D915" s="62"/>
      <c r="E915" s="62"/>
      <c r="F915" s="62"/>
      <c r="J915" s="62"/>
    </row>
    <row r="916">
      <c r="D916" s="62"/>
      <c r="E916" s="62"/>
      <c r="F916" s="62"/>
      <c r="J916" s="62"/>
    </row>
    <row r="917">
      <c r="D917" s="62"/>
      <c r="E917" s="62"/>
      <c r="F917" s="62"/>
      <c r="J917" s="62"/>
    </row>
    <row r="918">
      <c r="D918" s="62"/>
      <c r="E918" s="62"/>
      <c r="F918" s="62"/>
      <c r="J918" s="62"/>
    </row>
    <row r="919">
      <c r="D919" s="62"/>
      <c r="E919" s="62"/>
      <c r="F919" s="62"/>
      <c r="J919" s="62"/>
    </row>
    <row r="920">
      <c r="D920" s="62"/>
      <c r="E920" s="62"/>
      <c r="F920" s="62"/>
      <c r="J920" s="62"/>
    </row>
    <row r="921">
      <c r="D921" s="62"/>
      <c r="E921" s="62"/>
      <c r="F921" s="62"/>
      <c r="J921" s="62"/>
    </row>
    <row r="922">
      <c r="D922" s="62"/>
      <c r="E922" s="62"/>
      <c r="F922" s="62"/>
      <c r="J922" s="62"/>
    </row>
    <row r="923">
      <c r="D923" s="62"/>
      <c r="E923" s="62"/>
      <c r="F923" s="62"/>
      <c r="J923" s="62"/>
    </row>
    <row r="924">
      <c r="D924" s="62"/>
      <c r="E924" s="62"/>
      <c r="F924" s="62"/>
      <c r="J924" s="62"/>
    </row>
    <row r="925">
      <c r="D925" s="62"/>
      <c r="E925" s="62"/>
      <c r="F925" s="62"/>
      <c r="J925" s="62"/>
    </row>
    <row r="926">
      <c r="D926" s="62"/>
      <c r="E926" s="62"/>
      <c r="F926" s="62"/>
      <c r="J926" s="62"/>
    </row>
    <row r="927">
      <c r="D927" s="62"/>
      <c r="E927" s="62"/>
      <c r="F927" s="62"/>
      <c r="J927" s="62"/>
    </row>
    <row r="928">
      <c r="D928" s="62"/>
      <c r="E928" s="62"/>
      <c r="F928" s="62"/>
      <c r="J928" s="62"/>
    </row>
    <row r="929">
      <c r="D929" s="62"/>
      <c r="E929" s="62"/>
      <c r="F929" s="62"/>
      <c r="J929" s="62"/>
    </row>
    <row r="930">
      <c r="D930" s="62"/>
      <c r="E930" s="62"/>
      <c r="F930" s="62"/>
      <c r="J930" s="62"/>
    </row>
    <row r="931">
      <c r="D931" s="62"/>
      <c r="E931" s="62"/>
      <c r="F931" s="62"/>
      <c r="J931" s="62"/>
    </row>
    <row r="932">
      <c r="D932" s="62"/>
      <c r="E932" s="62"/>
      <c r="F932" s="62"/>
      <c r="J932" s="62"/>
    </row>
    <row r="933">
      <c r="D933" s="62"/>
      <c r="E933" s="62"/>
      <c r="F933" s="62"/>
      <c r="J933" s="62"/>
    </row>
    <row r="934">
      <c r="D934" s="62"/>
      <c r="E934" s="62"/>
      <c r="F934" s="62"/>
      <c r="J934" s="62"/>
    </row>
    <row r="935">
      <c r="D935" s="62"/>
      <c r="E935" s="62"/>
      <c r="F935" s="62"/>
      <c r="J935" s="62"/>
    </row>
    <row r="936">
      <c r="D936" s="62"/>
      <c r="E936" s="62"/>
      <c r="F936" s="62"/>
      <c r="J936" s="62"/>
    </row>
    <row r="937">
      <c r="D937" s="62"/>
      <c r="E937" s="62"/>
      <c r="F937" s="62"/>
      <c r="J937" s="62"/>
    </row>
    <row r="938">
      <c r="D938" s="62"/>
      <c r="E938" s="62"/>
      <c r="F938" s="62"/>
      <c r="J938" s="62"/>
    </row>
    <row r="939">
      <c r="D939" s="62"/>
      <c r="E939" s="62"/>
      <c r="F939" s="62"/>
      <c r="J939" s="62"/>
    </row>
    <row r="940">
      <c r="D940" s="62"/>
      <c r="E940" s="62"/>
      <c r="F940" s="62"/>
      <c r="J940" s="62"/>
    </row>
    <row r="941">
      <c r="D941" s="62"/>
      <c r="E941" s="62"/>
      <c r="F941" s="62"/>
      <c r="J941" s="62"/>
    </row>
    <row r="942">
      <c r="D942" s="62"/>
      <c r="E942" s="62"/>
      <c r="F942" s="62"/>
      <c r="J942" s="62"/>
    </row>
    <row r="943">
      <c r="D943" s="62"/>
      <c r="E943" s="62"/>
      <c r="F943" s="62"/>
      <c r="J943" s="62"/>
    </row>
    <row r="944">
      <c r="D944" s="62"/>
      <c r="E944" s="62"/>
      <c r="F944" s="62"/>
      <c r="J944" s="62"/>
    </row>
    <row r="945">
      <c r="D945" s="62"/>
      <c r="E945" s="62"/>
      <c r="F945" s="62"/>
      <c r="J945" s="62"/>
    </row>
    <row r="946">
      <c r="D946" s="62"/>
      <c r="E946" s="62"/>
      <c r="F946" s="62"/>
      <c r="J946" s="62"/>
    </row>
    <row r="947">
      <c r="D947" s="62"/>
      <c r="E947" s="62"/>
      <c r="F947" s="62"/>
      <c r="J947" s="62"/>
    </row>
    <row r="948">
      <c r="D948" s="62"/>
      <c r="E948" s="62"/>
      <c r="F948" s="62"/>
      <c r="J948" s="62"/>
    </row>
    <row r="949">
      <c r="D949" s="62"/>
      <c r="E949" s="62"/>
      <c r="F949" s="62"/>
      <c r="J949" s="62"/>
    </row>
    <row r="950">
      <c r="D950" s="62"/>
      <c r="E950" s="62"/>
      <c r="F950" s="62"/>
      <c r="J950" s="62"/>
    </row>
    <row r="951">
      <c r="D951" s="62"/>
      <c r="E951" s="62"/>
      <c r="F951" s="62"/>
      <c r="J951" s="62"/>
    </row>
    <row r="952">
      <c r="D952" s="62"/>
      <c r="E952" s="62"/>
      <c r="F952" s="62"/>
      <c r="J952" s="62"/>
    </row>
    <row r="953">
      <c r="D953" s="62"/>
      <c r="E953" s="62"/>
      <c r="F953" s="62"/>
      <c r="J953" s="62"/>
    </row>
    <row r="954">
      <c r="D954" s="62"/>
      <c r="E954" s="62"/>
      <c r="F954" s="62"/>
      <c r="J954" s="62"/>
    </row>
    <row r="955">
      <c r="D955" s="62"/>
      <c r="E955" s="62"/>
      <c r="F955" s="62"/>
      <c r="J955" s="62"/>
    </row>
    <row r="956">
      <c r="D956" s="62"/>
      <c r="E956" s="62"/>
      <c r="F956" s="62"/>
      <c r="J956" s="62"/>
    </row>
    <row r="957">
      <c r="D957" s="62"/>
      <c r="E957" s="62"/>
      <c r="F957" s="62"/>
      <c r="J957" s="62"/>
    </row>
    <row r="958">
      <c r="D958" s="62"/>
      <c r="E958" s="62"/>
      <c r="F958" s="62"/>
      <c r="J958" s="62"/>
    </row>
    <row r="959">
      <c r="D959" s="62"/>
      <c r="E959" s="62"/>
      <c r="F959" s="62"/>
      <c r="J959" s="62"/>
    </row>
    <row r="960">
      <c r="D960" s="62"/>
      <c r="E960" s="62"/>
      <c r="F960" s="62"/>
      <c r="J960" s="62"/>
    </row>
    <row r="961">
      <c r="D961" s="62"/>
      <c r="E961" s="62"/>
      <c r="F961" s="62"/>
      <c r="J961" s="62"/>
    </row>
    <row r="962">
      <c r="D962" s="62"/>
      <c r="E962" s="62"/>
      <c r="F962" s="62"/>
      <c r="J962" s="62"/>
    </row>
    <row r="963">
      <c r="D963" s="62"/>
      <c r="E963" s="62"/>
      <c r="F963" s="62"/>
      <c r="J963" s="62"/>
    </row>
    <row r="964">
      <c r="D964" s="62"/>
      <c r="E964" s="62"/>
      <c r="F964" s="62"/>
      <c r="J964" s="62"/>
    </row>
    <row r="965">
      <c r="D965" s="62"/>
      <c r="E965" s="62"/>
      <c r="F965" s="62"/>
      <c r="J965" s="62"/>
    </row>
    <row r="966">
      <c r="D966" s="62"/>
      <c r="E966" s="62"/>
      <c r="F966" s="62"/>
      <c r="J966" s="62"/>
    </row>
    <row r="967">
      <c r="D967" s="62"/>
      <c r="E967" s="62"/>
      <c r="F967" s="62"/>
      <c r="J967" s="62"/>
    </row>
    <row r="968">
      <c r="D968" s="62"/>
      <c r="E968" s="62"/>
      <c r="F968" s="62"/>
      <c r="J968" s="62"/>
    </row>
    <row r="969">
      <c r="D969" s="62"/>
      <c r="E969" s="62"/>
      <c r="F969" s="62"/>
      <c r="J969" s="62"/>
    </row>
    <row r="970">
      <c r="D970" s="62"/>
      <c r="E970" s="62"/>
      <c r="F970" s="62"/>
      <c r="J970" s="62"/>
    </row>
    <row r="971">
      <c r="D971" s="62"/>
      <c r="E971" s="62"/>
      <c r="F971" s="62"/>
      <c r="J971" s="62"/>
    </row>
    <row r="972">
      <c r="D972" s="62"/>
      <c r="E972" s="62"/>
      <c r="F972" s="62"/>
      <c r="J972" s="62"/>
    </row>
    <row r="973">
      <c r="D973" s="62"/>
      <c r="E973" s="62"/>
      <c r="F973" s="62"/>
      <c r="J973" s="62"/>
    </row>
    <row r="974">
      <c r="D974" s="62"/>
      <c r="E974" s="62"/>
      <c r="F974" s="62"/>
      <c r="J974" s="62"/>
    </row>
    <row r="975">
      <c r="D975" s="62"/>
      <c r="E975" s="62"/>
      <c r="F975" s="62"/>
      <c r="J975" s="62"/>
    </row>
    <row r="976">
      <c r="D976" s="62"/>
      <c r="E976" s="62"/>
      <c r="F976" s="62"/>
      <c r="J976" s="62"/>
    </row>
    <row r="977">
      <c r="D977" s="62"/>
      <c r="E977" s="62"/>
      <c r="F977" s="62"/>
      <c r="J977" s="62"/>
    </row>
    <row r="978">
      <c r="D978" s="62"/>
      <c r="E978" s="62"/>
      <c r="F978" s="62"/>
      <c r="J978" s="62"/>
    </row>
    <row r="979">
      <c r="D979" s="62"/>
      <c r="E979" s="62"/>
      <c r="F979" s="62"/>
      <c r="J979" s="62"/>
    </row>
    <row r="980">
      <c r="D980" s="62"/>
      <c r="E980" s="62"/>
      <c r="F980" s="62"/>
      <c r="J980" s="62"/>
    </row>
    <row r="981">
      <c r="D981" s="62"/>
      <c r="E981" s="62"/>
      <c r="F981" s="62"/>
      <c r="J981" s="62"/>
    </row>
    <row r="982">
      <c r="D982" s="62"/>
      <c r="E982" s="62"/>
      <c r="F982" s="62"/>
      <c r="J982" s="62"/>
    </row>
    <row r="983">
      <c r="D983" s="62"/>
      <c r="E983" s="62"/>
      <c r="F983" s="62"/>
      <c r="J983" s="62"/>
    </row>
    <row r="984">
      <c r="D984" s="62"/>
      <c r="E984" s="62"/>
      <c r="F984" s="62"/>
      <c r="J984" s="62"/>
    </row>
    <row r="985">
      <c r="D985" s="62"/>
      <c r="E985" s="62"/>
      <c r="F985" s="62"/>
      <c r="J985" s="62"/>
    </row>
    <row r="986">
      <c r="D986" s="62"/>
      <c r="E986" s="62"/>
      <c r="F986" s="62"/>
      <c r="J986" s="62"/>
    </row>
    <row r="987">
      <c r="D987" s="62"/>
      <c r="E987" s="62"/>
      <c r="F987" s="62"/>
      <c r="J987" s="62"/>
    </row>
    <row r="988">
      <c r="D988" s="62"/>
      <c r="E988" s="62"/>
      <c r="F988" s="62"/>
      <c r="J988" s="62"/>
    </row>
    <row r="989">
      <c r="D989" s="62"/>
      <c r="E989" s="62"/>
      <c r="F989" s="62"/>
      <c r="J989" s="62"/>
    </row>
    <row r="990">
      <c r="D990" s="62"/>
      <c r="E990" s="62"/>
      <c r="F990" s="62"/>
      <c r="J990" s="62"/>
    </row>
    <row r="991">
      <c r="D991" s="62"/>
      <c r="E991" s="62"/>
      <c r="F991" s="62"/>
      <c r="J991" s="62"/>
    </row>
    <row r="992">
      <c r="D992" s="62"/>
      <c r="E992" s="62"/>
      <c r="F992" s="62"/>
      <c r="J992" s="62"/>
    </row>
    <row r="993">
      <c r="D993" s="62"/>
      <c r="E993" s="62"/>
      <c r="F993" s="62"/>
      <c r="J993" s="62"/>
    </row>
    <row r="994">
      <c r="D994" s="62"/>
      <c r="E994" s="62"/>
      <c r="F994" s="62"/>
      <c r="J994" s="62"/>
    </row>
    <row r="995">
      <c r="D995" s="62"/>
      <c r="E995" s="62"/>
      <c r="F995" s="62"/>
      <c r="J995" s="62"/>
    </row>
    <row r="996">
      <c r="D996" s="62"/>
      <c r="E996" s="62"/>
      <c r="F996" s="62"/>
      <c r="J996" s="62"/>
    </row>
    <row r="997">
      <c r="D997" s="62"/>
      <c r="E997" s="62"/>
      <c r="F997" s="62"/>
      <c r="J997" s="62"/>
    </row>
    <row r="998">
      <c r="D998" s="62"/>
      <c r="E998" s="62"/>
      <c r="F998" s="62"/>
      <c r="J998" s="62"/>
    </row>
    <row r="999">
      <c r="D999" s="62"/>
      <c r="E999" s="62"/>
      <c r="F999" s="62"/>
      <c r="J999" s="62"/>
    </row>
    <row r="1000">
      <c r="D1000" s="62"/>
      <c r="E1000" s="62"/>
      <c r="F1000" s="62"/>
      <c r="J1000" s="62"/>
    </row>
  </sheetData>
  <mergeCells count="2">
    <mergeCell ref="A1:G1"/>
    <mergeCell ref="H1:K1"/>
  </mergeCells>
  <conditionalFormatting sqref="A1:A1000">
    <cfRule type="containsText" dxfId="0" priority="1" operator="containsText" text="Unassigned">
      <formula>NOT(ISERROR(SEARCH(("Unassigned"),(A1))))</formula>
    </cfRule>
  </conditionalFormatting>
  <drawing r:id="rId1"/>
</worksheet>
</file>