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7.19.21 Corrected" sheetId="1" state="visible" r:id="rId1"/>
    <sheet name="7.13.21" sheetId="2" state="visible" r:id="rId2"/>
    <sheet name="07.19.21" sheetId="3" state="visible" r:id="rId3"/>
  </sheets>
  <calcPr/>
</workbook>
</file>

<file path=xl/sharedStrings.xml><?xml version="1.0" encoding="utf-8"?>
<sst xmlns="http://schemas.openxmlformats.org/spreadsheetml/2006/main" count="40" uniqueCount="40">
  <si>
    <r>
      <rPr>
        <sz val="11"/>
        <rFont val="Calibri"/>
      </rPr>
      <t xml:space="preserve">T0 K12WT(pBP136KmDelta</t>
    </r>
    <r>
      <rPr>
        <i/>
        <sz val="11"/>
        <rFont val="Calibri"/>
      </rPr>
      <t>upf31</t>
    </r>
    <r>
      <rPr>
        <sz val="11"/>
        <rFont val="Calibri"/>
      </rPr>
      <t>)</t>
    </r>
  </si>
  <si>
    <t xml:space="preserve">P+ and P- (LBA)</t>
  </si>
  <si>
    <t xml:space="preserve">P+ (LBA+Kan50)</t>
  </si>
  <si>
    <t>P-</t>
  </si>
  <si>
    <t xml:space="preserve">P- / mL</t>
  </si>
  <si>
    <t xml:space="preserve">P+/ mL</t>
  </si>
  <si>
    <r>
      <rPr>
        <sz val="11"/>
        <rFont val="Calibri"/>
      </rPr>
      <t xml:space="preserve">T5 K12WT(pBP136KmDelta</t>
    </r>
    <r>
      <rPr>
        <i/>
        <sz val="11"/>
        <rFont val="Calibri"/>
      </rPr>
      <t>upf31</t>
    </r>
    <r>
      <rPr>
        <sz val="11"/>
        <rFont val="Calibri"/>
      </rPr>
      <t>)</t>
    </r>
  </si>
  <si>
    <t xml:space="preserve">P+ and P- (LBA)/mL</t>
  </si>
  <si>
    <t xml:space="preserve">P+ (LBA+Kan50)/mL</t>
  </si>
  <si>
    <t xml:space="preserve">P+ / mL</t>
  </si>
  <si>
    <t>w</t>
  </si>
  <si>
    <t>Mean</t>
  </si>
  <si>
    <t xml:space="preserve">% p+</t>
  </si>
  <si>
    <t xml:space="preserve">Thompson Tau Test</t>
  </si>
  <si>
    <t>Lower</t>
  </si>
  <si>
    <t>Q1</t>
  </si>
  <si>
    <t>Higher</t>
  </si>
  <si>
    <t xml:space="preserve">Throw out low P- @ T0</t>
  </si>
  <si>
    <t>Q2</t>
  </si>
  <si>
    <t>Q3</t>
  </si>
  <si>
    <t>IQR</t>
  </si>
  <si>
    <t xml:space="preserve">Lower Limit</t>
  </si>
  <si>
    <t xml:space="preserve">Upper Limit</t>
  </si>
  <si>
    <t xml:space="preserve">T0 K12WT(pBP136KmFull)</t>
  </si>
  <si>
    <t xml:space="preserve">T5 K12WT(pBP136KmFull)</t>
  </si>
  <si>
    <t>P-/mL</t>
  </si>
  <si>
    <t>A</t>
  </si>
  <si>
    <t>A1</t>
  </si>
  <si>
    <t>B</t>
  </si>
  <si>
    <t>A2</t>
  </si>
  <si>
    <t>C</t>
  </si>
  <si>
    <t>A3</t>
  </si>
  <si>
    <t>B1</t>
  </si>
  <si>
    <t xml:space="preserve">plating errors</t>
  </si>
  <si>
    <t>B2</t>
  </si>
  <si>
    <t>B3</t>
  </si>
  <si>
    <t>C1</t>
  </si>
  <si>
    <t>C2</t>
  </si>
  <si>
    <t>C3</t>
  </si>
  <si>
    <t xml:space="preserve">Thow out &lt;50 CFUs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</si>
</sst>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0000"/>
    <numFmt numFmtId="161" formatCode="0.0000000"/>
  </numFmts>
  <fonts count="6">
    <font>
      <name val="Calibri"/>
      <color theme="1"/>
      <sz val="11.000000"/>
    </font>
    <font>
      <name val="Calibri"/>
      <color rgb="FF9C5700"/>
      <sz val="11.000000"/>
      <scheme val="minor"/>
    </font>
    <font>
      <name val="Calibri"/>
      <sz val="11.000000"/>
    </font>
    <font>
      <name val="Calibri"/>
      <b/>
      <sz val="11.000000"/>
    </font>
    <font>
      <name val="Calibri"/>
      <b/>
      <color rgb="FF9C5700"/>
      <sz val="11.000000"/>
      <scheme val="minor"/>
    </font>
    <font>
      <name val="Calibri"/>
      <i/>
      <sz val="11.000000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 applyProtection="0"/>
  </cellStyleXfs>
  <cellXfs count="26">
    <xf fontId="0" fillId="0" borderId="0" numFmtId="0" xfId="0"/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4" fillId="2" borderId="0" numFmtId="0" xfId="1" applyFont="1" applyFill="1"/>
    <xf fontId="3" fillId="0" borderId="0" numFmtId="160" xfId="0" applyNumberFormat="1" applyFont="1" applyAlignment="1">
      <alignment horizontal="center"/>
    </xf>
    <xf fontId="0" fillId="0" borderId="0" numFmtId="11" xfId="0" applyNumberFormat="1"/>
    <xf fontId="0" fillId="0" borderId="0" numFmtId="160" xfId="0" applyNumberFormat="1" applyAlignment="1">
      <alignment horizontal="center"/>
    </xf>
    <xf fontId="0" fillId="0" borderId="0" numFmtId="160" xfId="0" applyNumberFormat="1"/>
    <xf fontId="0" fillId="0" borderId="0" numFmtId="0" xfId="0" applyAlignment="1">
      <alignment horizontal="center" vertical="center"/>
    </xf>
    <xf fontId="0" fillId="0" borderId="0" numFmtId="2" xfId="0" applyNumberFormat="1"/>
    <xf fontId="0" fillId="0" borderId="0" numFmtId="160" xfId="0" applyNumberFormat="1" applyAlignment="1">
      <alignment horizontal="center" vertical="center"/>
    </xf>
    <xf fontId="0" fillId="3" borderId="0" numFmtId="0" xfId="0" applyFill="1"/>
    <xf fontId="0" fillId="3" borderId="0" numFmtId="11" xfId="0" applyNumberFormat="1" applyFill="1"/>
    <xf fontId="0" fillId="3" borderId="0" numFmtId="160" xfId="0" applyNumberFormat="1" applyFill="1" applyAlignment="1">
      <alignment horizontal="center"/>
    </xf>
    <xf fontId="0" fillId="3" borderId="0" numFmtId="160" xfId="0" applyNumberFormat="1" applyFill="1" applyAlignment="1">
      <alignment horizontal="center" vertical="center"/>
    </xf>
    <xf fontId="0" fillId="3" borderId="0" numFmtId="0" xfId="0" applyFill="1" applyAlignment="1">
      <alignment horizontal="center" vertical="center"/>
    </xf>
    <xf fontId="0" fillId="3" borderId="0" numFmtId="1" xfId="0" applyNumberFormat="1" applyFill="1"/>
    <xf fontId="0" fillId="3" borderId="0" numFmtId="1" xfId="0" applyNumberFormat="1" applyFill="1" applyAlignment="1">
      <alignment vertical="center"/>
    </xf>
    <xf fontId="0" fillId="3" borderId="0" numFmtId="0" xfId="0" applyFill="1" applyAlignment="1">
      <alignment vertical="center"/>
    </xf>
    <xf fontId="0" fillId="0" borderId="0" numFmtId="1" xfId="0" applyNumberFormat="1"/>
    <xf fontId="0" fillId="0" borderId="0" numFmtId="1" xfId="0" applyNumberFormat="1" applyAlignment="1">
      <alignment vertical="center"/>
    </xf>
    <xf fontId="0" fillId="0" borderId="0" numFmtId="0" xfId="0" applyAlignment="1">
      <alignment vertical="center"/>
    </xf>
    <xf fontId="4" fillId="2" borderId="0" numFmtId="161" xfId="1" applyNumberFormat="1" applyFont="1" applyFill="1"/>
    <xf fontId="0" fillId="3" borderId="0" numFmtId="0" xfId="0" applyFill="1" applyAlignment="1">
      <alignment horizontal="center"/>
    </xf>
    <xf fontId="5" fillId="0" borderId="0" numFmt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baseColWidth="10" defaultColWidth="10.5" defaultRowHeight="14.25"/>
  <cols>
    <col customWidth="1" min="1" max="1" width="29.7109375"/>
    <col customWidth="1" min="2" max="2" width="14"/>
    <col customWidth="1" min="3" max="3" width="14.5"/>
    <col customWidth="1" min="8" max="8" width="27.83203125"/>
    <col customWidth="1" min="9" max="9" width="18.5"/>
    <col customWidth="1" min="10" max="10" width="16.83203125"/>
    <col customWidth="1" min="12" max="12" width="14.1640625"/>
    <col customWidth="1" min="15" max="15" width="17"/>
    <col customWidth="1" min="16" max="16" width="18.1640625"/>
    <col customWidth="1" min="17" max="17" width="18.421875"/>
    <col bestFit="1" customWidth="1" min="18" max="18" width="10.83203125"/>
    <col customWidth="1" min="19" max="19" width="13"/>
    <col bestFit="1" customWidth="1" min="22" max="22" width="10.83203125"/>
  </cols>
  <sheetData>
    <row r="1">
      <c r="O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8</v>
      </c>
      <c r="K2" s="1" t="s">
        <v>4</v>
      </c>
      <c r="L2" s="1" t="s">
        <v>9</v>
      </c>
      <c r="M2" s="3" t="s">
        <v>10</v>
      </c>
      <c r="N2" s="4" t="s">
        <v>11</v>
      </c>
      <c r="O2" s="5" t="s">
        <v>12</v>
      </c>
      <c r="P2" s="1"/>
      <c r="Q2" s="5" t="s">
        <v>10</v>
      </c>
      <c r="R2" s="1"/>
      <c r="S2" s="1"/>
      <c r="U2" t="s">
        <v>13</v>
      </c>
    </row>
    <row r="3">
      <c r="A3">
        <v>1</v>
      </c>
      <c r="B3">
        <v>429</v>
      </c>
      <c r="C3">
        <v>211</v>
      </c>
      <c r="D3">
        <f t="shared" ref="D3:D7" si="0">B3-C3</f>
        <v>218</v>
      </c>
      <c r="E3">
        <f t="shared" ref="E3:E8" si="1">D3*10</f>
        <v>2180</v>
      </c>
      <c r="F3">
        <f t="shared" ref="F3:F8" si="2">C3*5</f>
        <v>1055</v>
      </c>
      <c r="H3">
        <v>1</v>
      </c>
      <c r="I3" s="6">
        <f>(230/75)*1000*1000</f>
        <v>3066666.666666667</v>
      </c>
      <c r="J3" s="6">
        <f>(80/75)*1000*1000</f>
        <v>1066666.6666666667</v>
      </c>
      <c r="K3" s="6">
        <f t="shared" ref="K3:K8" si="3">I3-J3</f>
        <v>2000000.0000000002</v>
      </c>
      <c r="L3" s="6">
        <f t="shared" ref="L3:L8" si="4">J3</f>
        <v>1066666.6666666667</v>
      </c>
      <c r="M3">
        <f t="shared" ref="M3:M8" si="5">(LN(L3/F3))/(LN(K3/E3))</f>
        <v>1.014245304590019</v>
      </c>
      <c r="N3" s="4">
        <f>AVERAGE(M3,M4,M7,M6)</f>
        <v>1.0382179738151431</v>
      </c>
      <c r="O3" s="7">
        <f>L3/(SUM(K3:L3))</f>
        <v>0.34782608695652173</v>
      </c>
      <c r="P3" s="1"/>
      <c r="Q3" s="7">
        <v>0.53403884306564797</v>
      </c>
      <c r="R3" s="1"/>
      <c r="S3" s="1"/>
      <c r="T3" s="8">
        <f>_xlfn.STDEV.S(Q3:Q8)</f>
        <v>0.26667196619733929</v>
      </c>
      <c r="U3" s="8">
        <f>Q3-P3</f>
        <v>0.53403884306564797</v>
      </c>
      <c r="V3" t="s">
        <v>14</v>
      </c>
    </row>
    <row r="4">
      <c r="A4">
        <v>2</v>
      </c>
      <c r="B4">
        <v>361</v>
      </c>
      <c r="C4">
        <v>212</v>
      </c>
      <c r="D4">
        <f t="shared" si="0"/>
        <v>149</v>
      </c>
      <c r="E4">
        <f t="shared" si="1"/>
        <v>1490</v>
      </c>
      <c r="F4">
        <f t="shared" si="2"/>
        <v>1060</v>
      </c>
      <c r="H4">
        <v>2</v>
      </c>
      <c r="I4" s="6">
        <f>(245/75)*1000*1000</f>
        <v>3266666.6666666665</v>
      </c>
      <c r="J4" s="6">
        <f>(73/75)*1000*1000</f>
        <v>973333.33333333337</v>
      </c>
      <c r="K4" s="6">
        <f t="shared" si="3"/>
        <v>2293333.333333333</v>
      </c>
      <c r="L4" s="6">
        <f t="shared" si="4"/>
        <v>973333.33333333337</v>
      </c>
      <c r="M4">
        <f t="shared" si="5"/>
        <v>0.92961863431096414</v>
      </c>
      <c r="O4" s="7">
        <f>L4/(SUM(K4:L4))</f>
        <v>0.29795918367346941</v>
      </c>
      <c r="P4" s="9"/>
      <c r="Q4" s="7">
        <v>0.5417752318066793</v>
      </c>
      <c r="R4" s="9"/>
      <c r="S4" s="9" t="s">
        <v>15</v>
      </c>
      <c r="T4" s="10"/>
      <c r="U4" s="11">
        <f>Q8-P3</f>
        <v>1.1223301342722838</v>
      </c>
      <c r="V4" s="9" t="s">
        <v>16</v>
      </c>
    </row>
    <row r="5" s="12" customFormat="1" ht="14" customHeight="1">
      <c r="A5" s="12">
        <v>3</v>
      </c>
      <c r="B5" s="12">
        <v>443</v>
      </c>
      <c r="C5" s="12">
        <v>501</v>
      </c>
      <c r="D5" s="12">
        <v>1</v>
      </c>
      <c r="E5" s="12">
        <f t="shared" si="1"/>
        <v>10</v>
      </c>
      <c r="F5" s="12">
        <f t="shared" si="2"/>
        <v>2505</v>
      </c>
      <c r="H5" s="12">
        <v>3</v>
      </c>
      <c r="I5" s="13">
        <f>(236/75)*1000*1000</f>
        <v>3146666.6666666665</v>
      </c>
      <c r="J5" s="13">
        <f>(114/75)*1000*1000</f>
        <v>1520000</v>
      </c>
      <c r="K5" s="13">
        <f t="shared" si="3"/>
        <v>1626666.6666666665</v>
      </c>
      <c r="L5" s="13">
        <f t="shared" si="4"/>
        <v>1520000</v>
      </c>
      <c r="M5" s="12">
        <f t="shared" si="5"/>
        <v>0.53403884306564797</v>
      </c>
      <c r="N5" s="12" t="s">
        <v>17</v>
      </c>
      <c r="O5" s="14">
        <f>L5/(SUM(K5:L5))</f>
        <v>0.48305084745762716</v>
      </c>
      <c r="P5" s="15"/>
      <c r="Q5" s="14">
        <v>0.92961863431096414</v>
      </c>
      <c r="R5" s="15">
        <f>AVERAGE(Q3:Q6)</f>
        <v>0.7549195034433277</v>
      </c>
      <c r="S5" s="16" t="s">
        <v>18</v>
      </c>
      <c r="T5" s="17"/>
      <c r="U5" s="18"/>
      <c r="V5" s="19"/>
    </row>
    <row r="6" ht="14" customHeight="1">
      <c r="A6">
        <v>4</v>
      </c>
      <c r="B6">
        <v>459</v>
      </c>
      <c r="C6">
        <v>244</v>
      </c>
      <c r="D6">
        <f t="shared" si="0"/>
        <v>215</v>
      </c>
      <c r="E6">
        <f t="shared" si="1"/>
        <v>2150</v>
      </c>
      <c r="F6">
        <f t="shared" si="2"/>
        <v>1220</v>
      </c>
      <c r="H6">
        <v>4</v>
      </c>
      <c r="I6" s="6">
        <f>(197/75)*1000*1000</f>
        <v>2626666.6666666665</v>
      </c>
      <c r="J6" s="6">
        <f>(98/75)*1000*1000</f>
        <v>1306666.6666666667</v>
      </c>
      <c r="K6" s="6">
        <f t="shared" si="3"/>
        <v>1319999.9999999998</v>
      </c>
      <c r="L6" s="6">
        <f t="shared" si="4"/>
        <v>1306666.6666666667</v>
      </c>
      <c r="M6">
        <f t="shared" si="5"/>
        <v>1.0866778220873057</v>
      </c>
      <c r="O6" s="7">
        <f>L6/(SUM(K6:L6))</f>
        <v>0.4974619289340102</v>
      </c>
      <c r="P6" s="11"/>
      <c r="Q6" s="7">
        <v>1.0142453045900193</v>
      </c>
      <c r="R6" s="11"/>
      <c r="S6" s="9"/>
      <c r="T6" s="20"/>
      <c r="U6" s="21"/>
      <c r="V6" s="22"/>
    </row>
    <row r="7">
      <c r="A7">
        <v>5</v>
      </c>
      <c r="B7">
        <v>423</v>
      </c>
      <c r="C7">
        <v>195</v>
      </c>
      <c r="D7">
        <f t="shared" si="0"/>
        <v>228</v>
      </c>
      <c r="E7">
        <f t="shared" si="1"/>
        <v>2280</v>
      </c>
      <c r="F7">
        <f t="shared" si="2"/>
        <v>975</v>
      </c>
      <c r="H7">
        <v>5</v>
      </c>
      <c r="I7" s="6">
        <f>(222/75)*1000*1000</f>
        <v>2960000</v>
      </c>
      <c r="J7" s="6">
        <f>(108/75)*1000*1000</f>
        <v>1440000</v>
      </c>
      <c r="K7" s="6">
        <f t="shared" si="3"/>
        <v>1520000</v>
      </c>
      <c r="L7" s="6">
        <f t="shared" si="4"/>
        <v>1440000</v>
      </c>
      <c r="M7">
        <f t="shared" si="5"/>
        <v>1.1223301342722838</v>
      </c>
      <c r="O7" s="7">
        <f>L7/(SUM(K7:L7))</f>
        <v>0.48648648648648651</v>
      </c>
      <c r="P7" s="9"/>
      <c r="Q7" s="7">
        <v>1.0866778220873057</v>
      </c>
      <c r="R7" s="9"/>
      <c r="S7" s="9" t="s">
        <v>19</v>
      </c>
      <c r="T7" s="20"/>
      <c r="U7" s="9"/>
      <c r="V7" s="9"/>
    </row>
    <row r="8" s="12" customFormat="1">
      <c r="A8" s="12">
        <v>6</v>
      </c>
      <c r="B8" s="12">
        <v>391</v>
      </c>
      <c r="C8" s="12">
        <v>397</v>
      </c>
      <c r="D8" s="12">
        <v>1</v>
      </c>
      <c r="E8" s="12">
        <f t="shared" si="1"/>
        <v>10</v>
      </c>
      <c r="F8" s="12">
        <f t="shared" si="2"/>
        <v>1985</v>
      </c>
      <c r="H8" s="12">
        <v>6</v>
      </c>
      <c r="I8" s="13">
        <f>(211/75)*1000*1000</f>
        <v>2813333.3333333335</v>
      </c>
      <c r="J8" s="13">
        <f>(96/75)*1000*1000</f>
        <v>1280000</v>
      </c>
      <c r="K8" s="13">
        <f t="shared" si="3"/>
        <v>1533333.3333333335</v>
      </c>
      <c r="L8" s="13">
        <f t="shared" si="4"/>
        <v>1280000</v>
      </c>
      <c r="M8" s="12">
        <f t="shared" si="5"/>
        <v>0.5417752318066793</v>
      </c>
      <c r="N8" s="12" t="s">
        <v>17</v>
      </c>
      <c r="O8" s="14">
        <f>L8/(SUM(K8:L8))</f>
        <v>0.45497630331753552</v>
      </c>
      <c r="P8" s="14"/>
      <c r="Q8" s="14">
        <v>1.1223301342722838</v>
      </c>
      <c r="R8" s="14">
        <v>1.1223301342722838</v>
      </c>
      <c r="S8" s="16"/>
      <c r="T8" s="17"/>
      <c r="U8" s="16"/>
      <c r="V8" s="16"/>
    </row>
    <row r="9" ht="14" customHeight="1">
      <c r="O9" s="7"/>
      <c r="P9" s="7"/>
      <c r="Q9" s="1"/>
      <c r="R9" s="7">
        <f>Q7-Q4</f>
        <v>0.54490259028062638</v>
      </c>
      <c r="S9" s="1" t="s">
        <v>20</v>
      </c>
      <c r="U9" s="20"/>
    </row>
    <row r="10" ht="14" customHeight="1">
      <c r="O10" s="7"/>
      <c r="P10" s="1"/>
      <c r="Q10" s="1"/>
      <c r="R10" s="1">
        <f>Q4-(1.5*R9)</f>
        <v>-0.27557865361426026</v>
      </c>
      <c r="S10" s="1" t="s">
        <v>21</v>
      </c>
    </row>
    <row r="11" ht="14" customHeight="1">
      <c r="O11" s="7"/>
      <c r="P11" s="1"/>
      <c r="Q11" s="1"/>
      <c r="R11" s="1">
        <f>Q7+(1.5*R9)</f>
        <v>1.9040317075082451</v>
      </c>
      <c r="S11" s="1" t="s">
        <v>22</v>
      </c>
    </row>
    <row r="12" ht="14" customHeight="1">
      <c r="A12" s="1" t="s">
        <v>23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9</v>
      </c>
      <c r="H12" s="1" t="s">
        <v>24</v>
      </c>
      <c r="I12" s="1" t="s">
        <v>7</v>
      </c>
      <c r="J12" s="1" t="s">
        <v>8</v>
      </c>
      <c r="K12" s="1" t="s">
        <v>25</v>
      </c>
      <c r="L12" s="1" t="s">
        <v>9</v>
      </c>
      <c r="M12" s="3" t="s">
        <v>10</v>
      </c>
      <c r="N12" s="4" t="s">
        <v>11</v>
      </c>
      <c r="O12" s="7"/>
      <c r="P12" s="1"/>
      <c r="Q12" s="5" t="s">
        <v>10</v>
      </c>
      <c r="R12" s="1"/>
      <c r="S12" s="1"/>
    </row>
    <row r="13">
      <c r="A13">
        <v>1</v>
      </c>
      <c r="B13">
        <v>190</v>
      </c>
      <c r="C13">
        <v>48</v>
      </c>
      <c r="D13">
        <f t="shared" ref="D13:D18" si="6">B13-C13</f>
        <v>142</v>
      </c>
      <c r="E13">
        <f t="shared" ref="E13:E18" si="7">D13*10</f>
        <v>1420</v>
      </c>
      <c r="F13">
        <f t="shared" ref="F13:F18" si="8">C13*10</f>
        <v>480</v>
      </c>
      <c r="H13">
        <v>1</v>
      </c>
      <c r="I13" s="6">
        <f>(247/100)*1000*1000</f>
        <v>2470000</v>
      </c>
      <c r="J13" s="6">
        <f>(63/50)*1000*10</f>
        <v>12600</v>
      </c>
      <c r="K13" s="6">
        <f t="shared" ref="K13:K18" si="9">I13-J13</f>
        <v>2457400</v>
      </c>
      <c r="L13" s="6">
        <f t="shared" ref="L13:L18" si="10">J13</f>
        <v>12600</v>
      </c>
      <c r="M13" s="6">
        <f t="shared" ref="M13:M18" si="11">(LN(L13/F13))/(LN(K13/E13))</f>
        <v>0.43824803336885881</v>
      </c>
      <c r="N13" s="23">
        <f>AVERAGE(M13:M18)</f>
        <v>0.50946298389320543</v>
      </c>
      <c r="O13" s="7">
        <f>L13/(SUM(K13:L13))</f>
        <v>0.0051012145748987854</v>
      </c>
      <c r="P13" s="9"/>
      <c r="Q13" s="11">
        <v>0.45594084087782505</v>
      </c>
      <c r="R13" s="9"/>
      <c r="S13" s="9"/>
    </row>
    <row r="14">
      <c r="A14">
        <v>2</v>
      </c>
      <c r="B14">
        <v>164</v>
      </c>
      <c r="C14">
        <v>33</v>
      </c>
      <c r="D14">
        <f t="shared" si="6"/>
        <v>131</v>
      </c>
      <c r="E14">
        <f t="shared" si="7"/>
        <v>1310</v>
      </c>
      <c r="F14">
        <f t="shared" si="8"/>
        <v>330</v>
      </c>
      <c r="H14">
        <v>2</v>
      </c>
      <c r="I14" s="6">
        <f>(220/100)*1000*1000</f>
        <v>2200000</v>
      </c>
      <c r="J14" s="6">
        <f>(83/50)*1000*10</f>
        <v>16600</v>
      </c>
      <c r="K14" s="6">
        <f t="shared" si="9"/>
        <v>2183400</v>
      </c>
      <c r="L14" s="6">
        <f t="shared" si="10"/>
        <v>16600</v>
      </c>
      <c r="M14">
        <f t="shared" si="11"/>
        <v>0.52813998325032896</v>
      </c>
      <c r="O14" s="7">
        <f>L14/(SUM(K14:L14))</f>
        <v>0.0075454545454545453</v>
      </c>
      <c r="P14" s="9"/>
      <c r="Q14" s="11">
        <v>0.47592351033727948</v>
      </c>
      <c r="R14" s="9"/>
      <c r="S14" s="9" t="s">
        <v>15</v>
      </c>
    </row>
    <row r="15">
      <c r="A15">
        <v>3</v>
      </c>
      <c r="B15">
        <v>161</v>
      </c>
      <c r="C15">
        <v>40</v>
      </c>
      <c r="D15">
        <f t="shared" si="6"/>
        <v>121</v>
      </c>
      <c r="E15">
        <f t="shared" si="7"/>
        <v>1210</v>
      </c>
      <c r="F15">
        <f t="shared" si="8"/>
        <v>400</v>
      </c>
      <c r="H15">
        <v>3</v>
      </c>
      <c r="I15" s="6">
        <f>(187/100)*1000*1000</f>
        <v>1870000</v>
      </c>
      <c r="J15" s="6">
        <f>(102/50)*1000*10</f>
        <v>20400</v>
      </c>
      <c r="K15" s="6">
        <f t="shared" si="9"/>
        <v>1849600</v>
      </c>
      <c r="L15" s="6">
        <f t="shared" si="10"/>
        <v>20400</v>
      </c>
      <c r="M15">
        <f t="shared" si="11"/>
        <v>0.53624791215881162</v>
      </c>
      <c r="O15" s="7">
        <f>L15/(SUM(K15:L15))</f>
        <v>0.01090909090909091</v>
      </c>
      <c r="P15" s="11"/>
      <c r="Q15" s="11">
        <v>0.55719134979941953</v>
      </c>
      <c r="R15" s="11">
        <v>0.55719134979941953</v>
      </c>
      <c r="S15" s="9" t="s">
        <v>18</v>
      </c>
    </row>
    <row r="16">
      <c r="A16">
        <v>4</v>
      </c>
      <c r="B16">
        <v>169</v>
      </c>
      <c r="C16">
        <v>45</v>
      </c>
      <c r="D16">
        <f t="shared" si="6"/>
        <v>124</v>
      </c>
      <c r="E16">
        <f t="shared" si="7"/>
        <v>1240</v>
      </c>
      <c r="F16">
        <f t="shared" si="8"/>
        <v>450</v>
      </c>
      <c r="H16">
        <v>4</v>
      </c>
      <c r="I16" s="6">
        <f>(222/100)*1000*1000</f>
        <v>2220000</v>
      </c>
      <c r="J16" s="6">
        <f>(67/50)*1000*10</f>
        <v>13400</v>
      </c>
      <c r="K16" s="6">
        <f t="shared" si="9"/>
        <v>2206600</v>
      </c>
      <c r="L16" s="6">
        <f t="shared" si="10"/>
        <v>13400</v>
      </c>
      <c r="M16">
        <f t="shared" si="11"/>
        <v>0.45346319109125316</v>
      </c>
      <c r="O16" s="7">
        <f>L16/(SUM(K16:L16))</f>
        <v>0.006036036036036036</v>
      </c>
      <c r="P16" s="11"/>
      <c r="Q16" s="11">
        <v>0.56354453913924796</v>
      </c>
      <c r="R16" s="11"/>
      <c r="S16" s="9" t="s">
        <v>19</v>
      </c>
    </row>
    <row r="17">
      <c r="A17">
        <v>5</v>
      </c>
      <c r="B17">
        <v>120</v>
      </c>
      <c r="C17">
        <v>23</v>
      </c>
      <c r="D17">
        <f t="shared" si="6"/>
        <v>97</v>
      </c>
      <c r="E17">
        <f t="shared" si="7"/>
        <v>970</v>
      </c>
      <c r="F17">
        <f t="shared" si="8"/>
        <v>230</v>
      </c>
      <c r="H17">
        <v>5</v>
      </c>
      <c r="I17" s="6">
        <f>(250/100)*1000*1000</f>
        <v>2500000</v>
      </c>
      <c r="J17" s="6">
        <f>(75/50)*1000*10</f>
        <v>15000</v>
      </c>
      <c r="K17" s="6">
        <f t="shared" si="9"/>
        <v>2485000</v>
      </c>
      <c r="L17" s="6">
        <f t="shared" si="10"/>
        <v>15000</v>
      </c>
      <c r="M17">
        <f t="shared" si="11"/>
        <v>0.53229700112105327</v>
      </c>
      <c r="O17" s="7">
        <f>L17/(SUM(K17:L17))</f>
        <v>0.0060000000000000001</v>
      </c>
      <c r="P17" s="9"/>
      <c r="Q17" s="11">
        <v>0.59985598527777073</v>
      </c>
      <c r="R17" s="9"/>
      <c r="S17" s="9"/>
    </row>
    <row r="18">
      <c r="A18">
        <v>6</v>
      </c>
      <c r="B18">
        <v>171</v>
      </c>
      <c r="C18">
        <v>39</v>
      </c>
      <c r="D18">
        <f t="shared" si="6"/>
        <v>132</v>
      </c>
      <c r="E18">
        <f t="shared" si="7"/>
        <v>1320</v>
      </c>
      <c r="F18">
        <f t="shared" si="8"/>
        <v>390</v>
      </c>
      <c r="H18">
        <v>6</v>
      </c>
      <c r="I18" s="6">
        <f>(139/100)*1000*1000</f>
        <v>1390000</v>
      </c>
      <c r="J18" s="6">
        <f>(101/50)*1000*10</f>
        <v>20200</v>
      </c>
      <c r="K18" s="6">
        <f t="shared" si="9"/>
        <v>1369800</v>
      </c>
      <c r="L18" s="6">
        <f t="shared" si="10"/>
        <v>20200</v>
      </c>
      <c r="M18">
        <f t="shared" si="11"/>
        <v>0.56838178236892656</v>
      </c>
      <c r="O18" s="7">
        <f>L18/(SUM(K18:L18))</f>
        <v>0.014532374100719425</v>
      </c>
      <c r="P18" s="9"/>
      <c r="Q18" s="11"/>
      <c r="R18" s="9"/>
      <c r="S18" s="9"/>
    </row>
    <row r="19">
      <c r="O19" s="1"/>
      <c r="P19" s="7"/>
      <c r="Q19" s="1"/>
      <c r="R19" s="7">
        <f>Q16-Q14</f>
        <v>0.087621028801968481</v>
      </c>
      <c r="S19" s="1" t="s">
        <v>20</v>
      </c>
    </row>
    <row r="20">
      <c r="O20" s="1"/>
      <c r="P20" s="1"/>
      <c r="Q20" s="1"/>
      <c r="R20" s="1">
        <f>Q14-(1.5*R19)</f>
        <v>0.34449196713432673</v>
      </c>
      <c r="S20" s="1" t="s">
        <v>21</v>
      </c>
    </row>
    <row r="21">
      <c r="O21" s="1"/>
      <c r="P21" s="1"/>
      <c r="Q21" s="1"/>
      <c r="R21" s="1">
        <f>Q17+(1.5*R19)</f>
        <v>0.73128752848072343</v>
      </c>
      <c r="S21" s="1" t="s">
        <v>22</v>
      </c>
    </row>
    <row r="24" ht="14.25"/>
  </sheetData>
  <mergeCells count="2">
    <mergeCell ref="P5:P6"/>
    <mergeCell ref="R5:R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30" workbookViewId="0">
      <selection activeCell="Q13" activeCellId="1" sqref="P3:P8 Q13"/>
    </sheetView>
  </sheetViews>
  <sheetFormatPr baseColWidth="10" defaultColWidth="8.83203125" defaultRowHeight="14.25"/>
  <cols>
    <col customWidth="1" min="1" max="1" style="1" width="29.5"/>
    <col customWidth="1" min="2" max="2" style="1" width="12.1640625"/>
    <col customWidth="1" min="3" max="3" style="1" width="12.83203125"/>
    <col customWidth="1" min="4" max="5" style="1" width="10.1640625"/>
    <col customWidth="1" min="6" max="6" style="1" width="14.1640625"/>
    <col min="7" max="7" style="1" width="8.83203125"/>
    <col customWidth="1" min="8" max="8" style="1" width="29.5"/>
    <col customWidth="1" min="9" max="9" style="1" width="12.1640625"/>
    <col customWidth="1" min="10" max="11" style="1" width="10.1640625"/>
    <col min="12" max="12" style="1" width="8.83203125"/>
    <col customWidth="1" min="13" max="13" style="1" width="14.83203125"/>
    <col customWidth="1" min="14" max="14" style="1" width="12"/>
    <col customWidth="1" min="15" max="15" style="1" width="11.83203125"/>
    <col min="16" max="1024" style="1" width="8.832031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9</v>
      </c>
      <c r="N2" s="3" t="s">
        <v>10</v>
      </c>
      <c r="P2" s="3" t="s">
        <v>10</v>
      </c>
    </row>
    <row r="3">
      <c r="A3" s="1" t="s">
        <v>26</v>
      </c>
      <c r="B3" s="1">
        <v>131</v>
      </c>
      <c r="C3" s="1">
        <v>35</v>
      </c>
      <c r="D3" s="1">
        <f t="shared" ref="D3:D9" si="12">B3-C3</f>
        <v>96</v>
      </c>
      <c r="E3" s="1">
        <f t="shared" ref="E3:E9" si="13">D3*10</f>
        <v>960</v>
      </c>
      <c r="F3" s="1">
        <f t="shared" ref="F3:F11" si="14">C3*10</f>
        <v>350</v>
      </c>
      <c r="H3" s="1" t="s">
        <v>27</v>
      </c>
      <c r="I3" s="1">
        <v>133</v>
      </c>
      <c r="J3" s="1">
        <v>198</v>
      </c>
      <c r="K3" s="24">
        <v>1</v>
      </c>
      <c r="L3" s="1">
        <f t="shared" ref="L3:L8" si="15">K3*1000*10</f>
        <v>10000</v>
      </c>
      <c r="M3" s="1">
        <f t="shared" ref="M3:M8" si="16">J3*1000*10</f>
        <v>1980000</v>
      </c>
      <c r="N3" s="1">
        <f t="shared" ref="N3:N9" si="17">((M3/F3)/(L3/E3))</f>
        <v>543.08571428571429</v>
      </c>
      <c r="P3" s="1">
        <f t="shared" ref="P3:P9" si="18">(LN(M3/F3))/(LN(L3/E3))</f>
        <v>3.6872271549509548</v>
      </c>
    </row>
    <row r="4">
      <c r="A4" s="1" t="s">
        <v>28</v>
      </c>
      <c r="B4" s="1">
        <v>46</v>
      </c>
      <c r="C4" s="1">
        <v>30</v>
      </c>
      <c r="D4" s="1">
        <f t="shared" si="12"/>
        <v>16</v>
      </c>
      <c r="E4" s="1">
        <f t="shared" si="13"/>
        <v>160</v>
      </c>
      <c r="F4" s="1">
        <f t="shared" si="14"/>
        <v>300</v>
      </c>
      <c r="H4" s="1" t="s">
        <v>29</v>
      </c>
      <c r="I4" s="1">
        <v>345</v>
      </c>
      <c r="J4" s="1">
        <v>179</v>
      </c>
      <c r="K4" s="1">
        <f t="shared" ref="K4:K9" si="19">I4-J4</f>
        <v>166</v>
      </c>
      <c r="L4" s="1">
        <f t="shared" si="15"/>
        <v>1660000</v>
      </c>
      <c r="M4" s="1">
        <f t="shared" si="16"/>
        <v>1790000</v>
      </c>
      <c r="N4" s="1">
        <f t="shared" si="17"/>
        <v>0.57510040160642573</v>
      </c>
      <c r="P4" s="1">
        <f t="shared" si="18"/>
        <v>0.94017503966164773</v>
      </c>
    </row>
    <row r="5">
      <c r="A5" s="1" t="s">
        <v>30</v>
      </c>
      <c r="B5" s="1">
        <v>56</v>
      </c>
      <c r="C5" s="1">
        <v>32</v>
      </c>
      <c r="D5" s="1">
        <f t="shared" si="12"/>
        <v>24</v>
      </c>
      <c r="E5" s="1">
        <f t="shared" si="13"/>
        <v>240</v>
      </c>
      <c r="F5" s="1">
        <f t="shared" si="14"/>
        <v>320</v>
      </c>
      <c r="H5" s="1" t="s">
        <v>31</v>
      </c>
      <c r="I5" s="1">
        <v>242</v>
      </c>
      <c r="J5" s="1">
        <v>173</v>
      </c>
      <c r="K5" s="1">
        <f t="shared" si="19"/>
        <v>69</v>
      </c>
      <c r="L5" s="1">
        <f t="shared" si="15"/>
        <v>690000</v>
      </c>
      <c r="M5" s="1">
        <f t="shared" si="16"/>
        <v>1730000</v>
      </c>
      <c r="N5" s="1">
        <f t="shared" si="17"/>
        <v>1.8804347826086956</v>
      </c>
      <c r="P5" s="1">
        <f t="shared" si="18"/>
        <v>1.0792966155333386</v>
      </c>
    </row>
    <row r="6" s="25" customFormat="1">
      <c r="A6" s="25" t="s">
        <v>32</v>
      </c>
      <c r="B6" s="25" t="s">
        <v>33</v>
      </c>
      <c r="D6" s="1"/>
      <c r="E6" s="1"/>
      <c r="F6" s="1">
        <f t="shared" si="14"/>
        <v>0</v>
      </c>
      <c r="H6" s="1" t="s">
        <v>32</v>
      </c>
      <c r="I6" s="1">
        <v>402</v>
      </c>
      <c r="J6" s="1">
        <v>224</v>
      </c>
      <c r="K6" s="1">
        <f t="shared" si="19"/>
        <v>178</v>
      </c>
      <c r="L6" s="1">
        <f t="shared" si="15"/>
        <v>1780000</v>
      </c>
      <c r="M6" s="1">
        <f t="shared" si="16"/>
        <v>2240000</v>
      </c>
      <c r="N6" s="1"/>
      <c r="P6" s="1"/>
    </row>
    <row r="7" s="25" customFormat="1">
      <c r="A7" s="25" t="s">
        <v>34</v>
      </c>
      <c r="D7" s="1"/>
      <c r="E7" s="1"/>
      <c r="F7" s="1">
        <f t="shared" si="14"/>
        <v>0</v>
      </c>
      <c r="H7" s="1" t="s">
        <v>34</v>
      </c>
      <c r="I7" s="1">
        <v>389</v>
      </c>
      <c r="J7" s="1">
        <v>197</v>
      </c>
      <c r="K7" s="1">
        <f t="shared" si="19"/>
        <v>192</v>
      </c>
      <c r="L7" s="1">
        <f t="shared" si="15"/>
        <v>1920000</v>
      </c>
      <c r="M7" s="1">
        <f t="shared" si="16"/>
        <v>1970000</v>
      </c>
      <c r="N7" s="1"/>
      <c r="P7" s="1"/>
    </row>
    <row r="8" s="25" customFormat="1">
      <c r="A8" s="25" t="s">
        <v>35</v>
      </c>
      <c r="D8" s="1"/>
      <c r="E8" s="1"/>
      <c r="F8" s="1">
        <f t="shared" si="14"/>
        <v>0</v>
      </c>
      <c r="H8" s="1" t="s">
        <v>35</v>
      </c>
      <c r="I8" s="1">
        <v>430</v>
      </c>
      <c r="J8" s="1">
        <v>193</v>
      </c>
      <c r="K8" s="1">
        <f t="shared" si="19"/>
        <v>237</v>
      </c>
      <c r="L8" s="1">
        <f t="shared" si="15"/>
        <v>2370000</v>
      </c>
      <c r="M8" s="1">
        <f t="shared" si="16"/>
        <v>1930000</v>
      </c>
      <c r="N8" s="1"/>
      <c r="P8" s="1"/>
    </row>
    <row r="9">
      <c r="A9" s="1" t="s">
        <v>36</v>
      </c>
      <c r="B9" s="1">
        <v>35</v>
      </c>
      <c r="C9" s="1">
        <v>23</v>
      </c>
      <c r="D9" s="1">
        <f t="shared" si="12"/>
        <v>12</v>
      </c>
      <c r="E9" s="1">
        <f t="shared" si="13"/>
        <v>120</v>
      </c>
      <c r="F9" s="1">
        <f t="shared" si="14"/>
        <v>230</v>
      </c>
      <c r="H9" s="1" t="s">
        <v>36</v>
      </c>
      <c r="I9" s="1">
        <v>89</v>
      </c>
      <c r="J9" s="1">
        <v>46</v>
      </c>
      <c r="K9" s="1">
        <f t="shared" si="19"/>
        <v>43</v>
      </c>
      <c r="L9" s="1">
        <f>K9*1000*20</f>
        <v>860000</v>
      </c>
      <c r="M9" s="1">
        <f>J9*1000*20</f>
        <v>920000</v>
      </c>
      <c r="N9" s="1">
        <f t="shared" si="17"/>
        <v>0.55813953488372092</v>
      </c>
      <c r="P9" s="1">
        <f t="shared" si="18"/>
        <v>0.93430962995038203</v>
      </c>
    </row>
    <row r="10">
      <c r="A10" s="1" t="s">
        <v>37</v>
      </c>
      <c r="B10" s="1">
        <v>29</v>
      </c>
      <c r="C10" s="1">
        <v>25</v>
      </c>
      <c r="D10" s="1">
        <f>B10-C10</f>
        <v>4</v>
      </c>
      <c r="E10" s="1">
        <f t="shared" ref="E10:E11" si="20">D10*10</f>
        <v>40</v>
      </c>
      <c r="F10" s="1">
        <f t="shared" si="14"/>
        <v>250</v>
      </c>
      <c r="H10" s="1" t="s">
        <v>37</v>
      </c>
      <c r="I10" s="1">
        <v>2</v>
      </c>
      <c r="J10" s="1">
        <v>85</v>
      </c>
      <c r="K10" s="24">
        <v>1</v>
      </c>
      <c r="L10" s="1">
        <f t="shared" ref="L10:L11" si="21">K10*1000*20</f>
        <v>20000</v>
      </c>
      <c r="M10" s="1">
        <f t="shared" ref="M10:M11" si="22">J10*1000*20</f>
        <v>1700000</v>
      </c>
      <c r="N10" s="1">
        <f t="shared" ref="N10:N23" si="23">((M10/F10)/(L10/E10))</f>
        <v>13.6</v>
      </c>
      <c r="P10" s="1">
        <f t="shared" ref="P10:P23" si="24">(LN(M10/F10))/(LN(L10/E10))</f>
        <v>1.4199894428426902</v>
      </c>
    </row>
    <row r="11">
      <c r="A11" s="1" t="s">
        <v>38</v>
      </c>
      <c r="B11" s="1">
        <v>19</v>
      </c>
      <c r="C11" s="1">
        <v>19</v>
      </c>
      <c r="D11" s="24">
        <v>1</v>
      </c>
      <c r="E11" s="1">
        <f t="shared" si="20"/>
        <v>10</v>
      </c>
      <c r="F11" s="1">
        <f t="shared" si="14"/>
        <v>190</v>
      </c>
      <c r="H11" s="1" t="s">
        <v>38</v>
      </c>
      <c r="I11" s="1">
        <v>39</v>
      </c>
      <c r="J11" s="1">
        <v>91</v>
      </c>
      <c r="K11" s="24">
        <v>1</v>
      </c>
      <c r="L11" s="1">
        <f t="shared" si="21"/>
        <v>20000</v>
      </c>
      <c r="M11" s="1">
        <f t="shared" si="22"/>
        <v>1820000</v>
      </c>
      <c r="N11" s="1">
        <f t="shared" si="23"/>
        <v>4.7894736842105265</v>
      </c>
      <c r="P11" s="1">
        <f t="shared" si="24"/>
        <v>1.2060834928073501</v>
      </c>
    </row>
    <row r="14">
      <c r="A14" s="1" t="s">
        <v>23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9</v>
      </c>
      <c r="H14" s="1" t="s">
        <v>24</v>
      </c>
      <c r="I14" s="1" t="s">
        <v>1</v>
      </c>
      <c r="J14" s="1" t="s">
        <v>2</v>
      </c>
      <c r="K14" s="1" t="s">
        <v>3</v>
      </c>
      <c r="L14" s="1" t="s">
        <v>4</v>
      </c>
      <c r="M14" s="1" t="s">
        <v>9</v>
      </c>
      <c r="N14" s="3" t="s">
        <v>10</v>
      </c>
      <c r="P14" s="3" t="s">
        <v>10</v>
      </c>
    </row>
    <row r="15">
      <c r="A15" s="1" t="s">
        <v>27</v>
      </c>
      <c r="B15" s="1">
        <v>118</v>
      </c>
      <c r="C15" s="1">
        <v>39</v>
      </c>
      <c r="D15" s="1">
        <f t="shared" ref="D15:D23" si="25">B15-C15</f>
        <v>79</v>
      </c>
      <c r="E15" s="1">
        <f t="shared" ref="E15:E23" si="26">B15*10</f>
        <v>1180</v>
      </c>
      <c r="F15" s="1">
        <f t="shared" ref="F15:F23" si="27">C15*10</f>
        <v>390</v>
      </c>
      <c r="H15" s="1" t="s">
        <v>27</v>
      </c>
      <c r="I15" s="1">
        <v>234</v>
      </c>
      <c r="J15" s="24">
        <v>1</v>
      </c>
      <c r="K15" s="1">
        <f t="shared" ref="K15:K23" si="28">I15-J15</f>
        <v>233</v>
      </c>
      <c r="L15" s="1">
        <f t="shared" ref="L15:L23" si="29">K15*1000*10</f>
        <v>2330000</v>
      </c>
      <c r="M15" s="1">
        <f t="shared" ref="M15:M23" si="30">J15*1000*10</f>
        <v>10000</v>
      </c>
      <c r="N15" s="1">
        <f t="shared" si="23"/>
        <v>0.012985583801034446</v>
      </c>
      <c r="P15" s="1">
        <f t="shared" si="24"/>
        <v>0.42753650305279173</v>
      </c>
    </row>
    <row r="16">
      <c r="A16" s="1" t="s">
        <v>29</v>
      </c>
      <c r="B16" s="1">
        <v>152</v>
      </c>
      <c r="C16" s="1">
        <v>43</v>
      </c>
      <c r="D16" s="1">
        <f t="shared" si="25"/>
        <v>109</v>
      </c>
      <c r="E16" s="1">
        <f t="shared" si="26"/>
        <v>1520</v>
      </c>
      <c r="F16" s="1">
        <f t="shared" si="27"/>
        <v>430</v>
      </c>
      <c r="H16" s="1" t="s">
        <v>29</v>
      </c>
      <c r="I16" s="1">
        <v>243</v>
      </c>
      <c r="J16" s="24">
        <v>1</v>
      </c>
      <c r="K16" s="1">
        <f t="shared" si="28"/>
        <v>242</v>
      </c>
      <c r="L16" s="1">
        <f t="shared" si="29"/>
        <v>2420000</v>
      </c>
      <c r="M16" s="1">
        <f t="shared" si="30"/>
        <v>10000</v>
      </c>
      <c r="N16" s="1">
        <f t="shared" si="23"/>
        <v>0.014606957524505092</v>
      </c>
      <c r="P16" s="1">
        <f t="shared" si="24"/>
        <v>0.4267781352085343</v>
      </c>
    </row>
    <row r="17">
      <c r="A17" s="1" t="s">
        <v>31</v>
      </c>
      <c r="B17" s="1">
        <v>155</v>
      </c>
      <c r="C17" s="1">
        <v>42</v>
      </c>
      <c r="D17" s="1">
        <f t="shared" si="25"/>
        <v>113</v>
      </c>
      <c r="E17" s="1">
        <f t="shared" si="26"/>
        <v>1550</v>
      </c>
      <c r="F17" s="1">
        <f t="shared" si="27"/>
        <v>420</v>
      </c>
      <c r="H17" s="1" t="s">
        <v>31</v>
      </c>
      <c r="I17" s="1">
        <v>298</v>
      </c>
      <c r="J17" s="1">
        <v>3</v>
      </c>
      <c r="K17" s="1">
        <f t="shared" si="28"/>
        <v>295</v>
      </c>
      <c r="L17" s="1">
        <f t="shared" si="29"/>
        <v>2950000</v>
      </c>
      <c r="M17" s="1">
        <f t="shared" si="30"/>
        <v>30000</v>
      </c>
      <c r="N17" s="1">
        <f t="shared" si="23"/>
        <v>0.037530266343825669</v>
      </c>
      <c r="P17" s="1">
        <f t="shared" si="24"/>
        <v>0.56529270852092539</v>
      </c>
    </row>
    <row r="18">
      <c r="A18" s="1" t="s">
        <v>32</v>
      </c>
      <c r="B18" s="1">
        <v>136</v>
      </c>
      <c r="C18" s="1">
        <v>30</v>
      </c>
      <c r="D18" s="1">
        <f t="shared" si="25"/>
        <v>106</v>
      </c>
      <c r="E18" s="1">
        <f t="shared" si="26"/>
        <v>1360</v>
      </c>
      <c r="F18" s="1">
        <f t="shared" si="27"/>
        <v>300</v>
      </c>
      <c r="H18" s="1" t="s">
        <v>32</v>
      </c>
      <c r="I18" s="1">
        <v>200</v>
      </c>
      <c r="J18" s="1">
        <v>2</v>
      </c>
      <c r="K18" s="1">
        <f t="shared" si="28"/>
        <v>198</v>
      </c>
      <c r="L18" s="1">
        <f t="shared" si="29"/>
        <v>1980000</v>
      </c>
      <c r="M18" s="1">
        <f t="shared" si="30"/>
        <v>20000</v>
      </c>
      <c r="N18" s="1">
        <f t="shared" si="23"/>
        <v>0.045791245791245792</v>
      </c>
      <c r="P18" s="1">
        <f t="shared" si="24"/>
        <v>0.5766158472350833</v>
      </c>
    </row>
    <row r="19">
      <c r="A19" s="1" t="s">
        <v>34</v>
      </c>
      <c r="B19" s="1">
        <v>170</v>
      </c>
      <c r="C19" s="1">
        <v>35</v>
      </c>
      <c r="D19" s="1">
        <f t="shared" si="25"/>
        <v>135</v>
      </c>
      <c r="E19" s="1">
        <f t="shared" si="26"/>
        <v>1700</v>
      </c>
      <c r="F19" s="1">
        <f t="shared" si="27"/>
        <v>350</v>
      </c>
      <c r="H19" s="1" t="s">
        <v>34</v>
      </c>
      <c r="I19" s="1">
        <v>219</v>
      </c>
      <c r="J19" s="24">
        <v>1</v>
      </c>
      <c r="K19" s="1">
        <f t="shared" si="28"/>
        <v>218</v>
      </c>
      <c r="L19" s="1">
        <f t="shared" si="29"/>
        <v>2180000</v>
      </c>
      <c r="M19" s="1">
        <f t="shared" si="30"/>
        <v>10000</v>
      </c>
      <c r="N19" s="1">
        <f t="shared" si="23"/>
        <v>0.022280471821756229</v>
      </c>
      <c r="P19" s="1">
        <f t="shared" si="24"/>
        <v>0.46844543387222504</v>
      </c>
    </row>
    <row r="20">
      <c r="A20" s="1" t="s">
        <v>35</v>
      </c>
      <c r="B20" s="1">
        <v>145</v>
      </c>
      <c r="C20" s="1">
        <v>47</v>
      </c>
      <c r="D20" s="1">
        <f t="shared" si="25"/>
        <v>98</v>
      </c>
      <c r="E20" s="1">
        <f t="shared" si="26"/>
        <v>1450</v>
      </c>
      <c r="F20" s="1">
        <f t="shared" si="27"/>
        <v>470</v>
      </c>
      <c r="H20" s="1" t="s">
        <v>35</v>
      </c>
      <c r="I20" s="1">
        <v>201</v>
      </c>
      <c r="J20" s="1">
        <v>4</v>
      </c>
      <c r="K20" s="1">
        <f t="shared" si="28"/>
        <v>197</v>
      </c>
      <c r="L20" s="1">
        <f t="shared" si="29"/>
        <v>1970000</v>
      </c>
      <c r="M20" s="1">
        <f t="shared" si="30"/>
        <v>40000</v>
      </c>
      <c r="N20" s="1">
        <f t="shared" si="23"/>
        <v>0.062641753969111133</v>
      </c>
      <c r="P20" s="1">
        <f t="shared" si="24"/>
        <v>0.61599158259822484</v>
      </c>
    </row>
    <row r="21">
      <c r="A21" s="1" t="s">
        <v>36</v>
      </c>
      <c r="B21" s="1">
        <v>77</v>
      </c>
      <c r="C21" s="1">
        <v>43</v>
      </c>
      <c r="D21" s="1">
        <f t="shared" si="25"/>
        <v>34</v>
      </c>
      <c r="E21" s="1">
        <f t="shared" si="26"/>
        <v>770</v>
      </c>
      <c r="F21" s="1">
        <f t="shared" si="27"/>
        <v>430</v>
      </c>
      <c r="H21" s="1" t="s">
        <v>36</v>
      </c>
      <c r="I21" s="1">
        <v>285</v>
      </c>
      <c r="J21" s="1">
        <v>3</v>
      </c>
      <c r="K21" s="1">
        <f t="shared" si="28"/>
        <v>282</v>
      </c>
      <c r="L21" s="1">
        <f t="shared" si="29"/>
        <v>2820000</v>
      </c>
      <c r="M21" s="1">
        <f t="shared" si="30"/>
        <v>30000</v>
      </c>
      <c r="N21" s="1">
        <f t="shared" si="23"/>
        <v>0.019049975259772388</v>
      </c>
      <c r="P21" s="1">
        <f t="shared" si="24"/>
        <v>0.51733383718120884</v>
      </c>
    </row>
    <row r="22">
      <c r="A22" s="1" t="s">
        <v>37</v>
      </c>
      <c r="B22" s="1">
        <v>128</v>
      </c>
      <c r="C22" s="1">
        <v>38</v>
      </c>
      <c r="D22" s="1">
        <f t="shared" si="25"/>
        <v>90</v>
      </c>
      <c r="E22" s="1">
        <f t="shared" si="26"/>
        <v>1280</v>
      </c>
      <c r="F22" s="1">
        <f t="shared" si="27"/>
        <v>380</v>
      </c>
      <c r="H22" s="1" t="s">
        <v>37</v>
      </c>
      <c r="I22" s="1">
        <v>275</v>
      </c>
      <c r="J22" s="1">
        <v>2</v>
      </c>
      <c r="K22" s="1">
        <f t="shared" si="28"/>
        <v>273</v>
      </c>
      <c r="L22" s="1">
        <f t="shared" si="29"/>
        <v>2730000</v>
      </c>
      <c r="M22" s="1">
        <f t="shared" si="30"/>
        <v>20000</v>
      </c>
      <c r="N22" s="1">
        <f t="shared" si="23"/>
        <v>0.024677077308656255</v>
      </c>
      <c r="P22" s="1">
        <f t="shared" si="24"/>
        <v>0.5170534296676117</v>
      </c>
    </row>
    <row r="23">
      <c r="A23" s="1" t="s">
        <v>38</v>
      </c>
      <c r="B23" s="1">
        <v>157</v>
      </c>
      <c r="C23" s="1">
        <v>4</v>
      </c>
      <c r="D23" s="1">
        <f t="shared" si="25"/>
        <v>153</v>
      </c>
      <c r="E23" s="1">
        <f t="shared" si="26"/>
        <v>1570</v>
      </c>
      <c r="F23" s="1">
        <f t="shared" si="27"/>
        <v>40</v>
      </c>
      <c r="H23" s="1" t="s">
        <v>38</v>
      </c>
      <c r="I23" s="1">
        <v>334</v>
      </c>
      <c r="J23" s="1">
        <v>5</v>
      </c>
      <c r="K23" s="1">
        <f t="shared" si="28"/>
        <v>329</v>
      </c>
      <c r="L23" s="1">
        <f t="shared" si="29"/>
        <v>3290000</v>
      </c>
      <c r="M23" s="1">
        <f t="shared" si="30"/>
        <v>50000</v>
      </c>
      <c r="N23" s="1">
        <f t="shared" si="23"/>
        <v>0.59650455927051671</v>
      </c>
      <c r="P23" s="1">
        <f t="shared" si="24"/>
        <v>0.93244016313391165</v>
      </c>
    </row>
    <row r="26">
      <c r="N26" s="1">
        <f>AVERAGE(N15:N20)</f>
        <v>0.032639379875246399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I38" activeCellId="0" sqref="I38"/>
    </sheetView>
  </sheetViews>
  <sheetFormatPr baseColWidth="10" defaultColWidth="10.5" defaultRowHeight="14.25"/>
  <cols>
    <col customWidth="1" min="1" max="1" width="27.83203125"/>
    <col customWidth="1" min="2" max="2" width="14"/>
    <col customWidth="1" min="3" max="3" width="14.5"/>
    <col customWidth="1" min="8" max="8" width="27.83203125"/>
    <col customWidth="1" min="9" max="9" width="18.5"/>
    <col customWidth="1" min="10" max="10" width="16.83203125"/>
    <col customWidth="1" min="13" max="13" width="17.1640625"/>
    <col customWidth="1" min="16" max="16" width="17"/>
    <col customWidth="1" min="17" max="17" width="18.1640625"/>
    <col bestFit="1" customWidth="1" min="19" max="19" width="10.83203125"/>
    <col customWidth="1" min="20" max="20" width="13"/>
    <col bestFit="1" customWidth="1" min="23" max="23" width="10.83203125"/>
  </cols>
  <sheetData>
    <row r="1">
      <c r="P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9</v>
      </c>
      <c r="N2" s="3" t="s">
        <v>10</v>
      </c>
      <c r="O2" s="4" t="s">
        <v>11</v>
      </c>
      <c r="P2" s="5"/>
      <c r="Q2" s="1"/>
      <c r="R2" s="5" t="s">
        <v>10</v>
      </c>
      <c r="S2" s="1"/>
      <c r="T2" s="1"/>
      <c r="V2" t="s">
        <v>13</v>
      </c>
    </row>
    <row r="3">
      <c r="A3">
        <v>1</v>
      </c>
      <c r="B3">
        <v>429</v>
      </c>
      <c r="C3">
        <v>211</v>
      </c>
      <c r="D3">
        <f t="shared" ref="D3:D7" si="31">B3-C3</f>
        <v>218</v>
      </c>
      <c r="E3">
        <f t="shared" ref="E3:E8" si="32">D3*10</f>
        <v>2180</v>
      </c>
      <c r="F3">
        <f t="shared" ref="F3:F8" si="33">C3*5</f>
        <v>1055</v>
      </c>
      <c r="H3">
        <v>1</v>
      </c>
      <c r="I3">
        <v>230</v>
      </c>
      <c r="J3">
        <v>80</v>
      </c>
      <c r="K3">
        <f t="shared" ref="K3:K8" si="34">I3-J3</f>
        <v>150</v>
      </c>
      <c r="L3">
        <f t="shared" ref="L3:L8" si="35">K3/75*1000*1000</f>
        <v>2000000</v>
      </c>
      <c r="M3">
        <f t="shared" ref="M3:M8" si="36">J3/75*1000*1000</f>
        <v>1066666.6666666667</v>
      </c>
      <c r="N3">
        <f t="shared" ref="N3:N8" si="37">(LN(M3/F3))/(LN(L3/E3))</f>
        <v>1.0142453045900193</v>
      </c>
      <c r="O3" s="4">
        <f>AVERAGE(N3,N4,N7,N6)</f>
        <v>1.0382179738151431</v>
      </c>
      <c r="P3" s="7"/>
      <c r="Q3" s="1"/>
      <c r="R3" s="7">
        <v>0.53403884306564797</v>
      </c>
      <c r="S3" s="1"/>
      <c r="T3" s="1"/>
      <c r="U3" s="8">
        <f>_xlfn.STDEV.S(R3:R8)</f>
        <v>0.26667196619733929</v>
      </c>
      <c r="V3" s="8">
        <f>R3-Q3</f>
        <v>0.53403884306564797</v>
      </c>
      <c r="W3" t="s">
        <v>14</v>
      </c>
    </row>
    <row r="4">
      <c r="A4">
        <v>2</v>
      </c>
      <c r="B4">
        <v>361</v>
      </c>
      <c r="C4">
        <v>212</v>
      </c>
      <c r="D4">
        <f t="shared" si="31"/>
        <v>149</v>
      </c>
      <c r="E4">
        <f t="shared" si="32"/>
        <v>1490</v>
      </c>
      <c r="F4">
        <f t="shared" si="33"/>
        <v>1060</v>
      </c>
      <c r="H4">
        <v>2</v>
      </c>
      <c r="I4">
        <v>245</v>
      </c>
      <c r="J4">
        <v>73</v>
      </c>
      <c r="K4">
        <f t="shared" si="34"/>
        <v>172</v>
      </c>
      <c r="L4">
        <f t="shared" si="35"/>
        <v>2293333.3333333335</v>
      </c>
      <c r="M4">
        <f t="shared" si="36"/>
        <v>973333.33333333337</v>
      </c>
      <c r="N4">
        <f t="shared" si="37"/>
        <v>0.92961863431096414</v>
      </c>
      <c r="P4" s="7"/>
      <c r="Q4" s="9"/>
      <c r="R4" s="7">
        <v>0.5417752318066793</v>
      </c>
      <c r="S4" s="9"/>
      <c r="T4" s="9" t="s">
        <v>15</v>
      </c>
      <c r="U4" s="10"/>
      <c r="V4" s="11">
        <f>R8-Q3</f>
        <v>1.1223301342722838</v>
      </c>
      <c r="W4" s="9" t="s">
        <v>16</v>
      </c>
    </row>
    <row r="5" ht="14" customHeight="1">
      <c r="A5">
        <v>3</v>
      </c>
      <c r="B5">
        <v>443</v>
      </c>
      <c r="C5">
        <v>501</v>
      </c>
      <c r="D5" s="12">
        <v>1</v>
      </c>
      <c r="E5">
        <f t="shared" si="32"/>
        <v>10</v>
      </c>
      <c r="F5">
        <f t="shared" si="33"/>
        <v>2505</v>
      </c>
      <c r="H5">
        <v>3</v>
      </c>
      <c r="I5">
        <v>236</v>
      </c>
      <c r="J5">
        <v>114</v>
      </c>
      <c r="K5">
        <f t="shared" si="34"/>
        <v>122</v>
      </c>
      <c r="L5">
        <f t="shared" si="35"/>
        <v>1626666.6666666667</v>
      </c>
      <c r="M5">
        <f t="shared" si="36"/>
        <v>1520000</v>
      </c>
      <c r="N5">
        <f t="shared" si="37"/>
        <v>0.53403884306564797</v>
      </c>
      <c r="O5" t="s">
        <v>17</v>
      </c>
      <c r="P5" s="7"/>
      <c r="Q5" s="11"/>
      <c r="R5" s="7">
        <v>0.92961863431096414</v>
      </c>
      <c r="S5" s="11">
        <f>AVERAGE(R3:R6)</f>
        <v>0.7549195034433277</v>
      </c>
      <c r="T5" s="9" t="s">
        <v>18</v>
      </c>
      <c r="U5" s="20"/>
      <c r="V5" s="21"/>
      <c r="W5" s="22"/>
    </row>
    <row r="6" ht="14" customHeight="1">
      <c r="A6">
        <v>4</v>
      </c>
      <c r="B6">
        <v>459</v>
      </c>
      <c r="C6">
        <v>244</v>
      </c>
      <c r="D6">
        <f t="shared" si="31"/>
        <v>215</v>
      </c>
      <c r="E6">
        <f t="shared" si="32"/>
        <v>2150</v>
      </c>
      <c r="F6">
        <f t="shared" si="33"/>
        <v>1220</v>
      </c>
      <c r="H6">
        <v>4</v>
      </c>
      <c r="I6">
        <v>197</v>
      </c>
      <c r="J6">
        <v>98</v>
      </c>
      <c r="K6">
        <f t="shared" si="34"/>
        <v>99</v>
      </c>
      <c r="L6">
        <f t="shared" si="35"/>
        <v>1320000</v>
      </c>
      <c r="M6">
        <f t="shared" si="36"/>
        <v>1306666.6666666667</v>
      </c>
      <c r="N6">
        <f t="shared" si="37"/>
        <v>1.0866778220873057</v>
      </c>
      <c r="P6" s="7"/>
      <c r="Q6" s="11"/>
      <c r="R6" s="7">
        <v>1.0142453045900193</v>
      </c>
      <c r="S6" s="11"/>
      <c r="T6" s="9"/>
      <c r="U6" s="20"/>
      <c r="V6" s="21"/>
      <c r="W6" s="22"/>
    </row>
    <row r="7">
      <c r="A7">
        <v>5</v>
      </c>
      <c r="B7">
        <v>423</v>
      </c>
      <c r="C7">
        <v>195</v>
      </c>
      <c r="D7">
        <f t="shared" si="31"/>
        <v>228</v>
      </c>
      <c r="E7">
        <f t="shared" si="32"/>
        <v>2280</v>
      </c>
      <c r="F7">
        <f t="shared" si="33"/>
        <v>975</v>
      </c>
      <c r="H7">
        <v>5</v>
      </c>
      <c r="I7">
        <v>222</v>
      </c>
      <c r="J7">
        <v>108</v>
      </c>
      <c r="K7">
        <f t="shared" si="34"/>
        <v>114</v>
      </c>
      <c r="L7">
        <f t="shared" si="35"/>
        <v>1520000</v>
      </c>
      <c r="M7">
        <f t="shared" si="36"/>
        <v>1440000</v>
      </c>
      <c r="N7">
        <f t="shared" si="37"/>
        <v>1.1223301342722838</v>
      </c>
      <c r="P7" s="7"/>
      <c r="Q7" s="9"/>
      <c r="R7" s="7">
        <v>1.0866778220873057</v>
      </c>
      <c r="S7" s="9"/>
      <c r="T7" s="9" t="s">
        <v>19</v>
      </c>
      <c r="U7" s="20"/>
      <c r="V7" s="9"/>
      <c r="W7" s="9"/>
    </row>
    <row r="8">
      <c r="A8">
        <v>6</v>
      </c>
      <c r="B8">
        <v>391</v>
      </c>
      <c r="C8">
        <v>397</v>
      </c>
      <c r="D8" s="12">
        <v>1</v>
      </c>
      <c r="E8">
        <f t="shared" si="32"/>
        <v>10</v>
      </c>
      <c r="F8">
        <f t="shared" si="33"/>
        <v>1985</v>
      </c>
      <c r="H8">
        <v>6</v>
      </c>
      <c r="I8">
        <v>211</v>
      </c>
      <c r="J8">
        <v>96</v>
      </c>
      <c r="K8">
        <f t="shared" si="34"/>
        <v>115</v>
      </c>
      <c r="L8">
        <f t="shared" si="35"/>
        <v>1533333.3333333335</v>
      </c>
      <c r="M8">
        <f t="shared" si="36"/>
        <v>1280000</v>
      </c>
      <c r="N8">
        <f t="shared" si="37"/>
        <v>0.5417752318066793</v>
      </c>
      <c r="O8" t="s">
        <v>17</v>
      </c>
      <c r="P8" s="7"/>
      <c r="Q8" s="7"/>
      <c r="R8" s="7">
        <v>1.1223301342722838</v>
      </c>
      <c r="S8" s="7">
        <v>1.1223301342722838</v>
      </c>
      <c r="T8" s="9"/>
      <c r="U8" s="20"/>
      <c r="V8" s="9"/>
      <c r="W8" s="9"/>
    </row>
    <row r="9" ht="14" customHeight="1">
      <c r="P9" s="1"/>
      <c r="Q9" s="7"/>
      <c r="R9" s="1"/>
      <c r="S9" s="7">
        <f>R7-R4</f>
        <v>0.54490259028062638</v>
      </c>
      <c r="T9" s="1" t="s">
        <v>20</v>
      </c>
      <c r="V9" s="20"/>
    </row>
    <row r="10" ht="14" customHeight="1">
      <c r="P10" s="1"/>
      <c r="Q10" s="1"/>
      <c r="R10" s="1"/>
      <c r="S10" s="1">
        <f>R4-(1.5*S9)</f>
        <v>-0.27557865361426026</v>
      </c>
      <c r="T10" s="1" t="s">
        <v>21</v>
      </c>
    </row>
    <row r="11" ht="14" customHeight="1">
      <c r="P11" s="1"/>
      <c r="Q11" s="1"/>
      <c r="R11" s="1"/>
      <c r="S11" s="1">
        <f>R7+(1.5*S9)</f>
        <v>1.9040317075082451</v>
      </c>
      <c r="T11" s="1" t="s">
        <v>22</v>
      </c>
    </row>
    <row r="12" ht="14" customHeight="1">
      <c r="A12" s="1" t="s">
        <v>23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9</v>
      </c>
      <c r="H12" s="1" t="s">
        <v>24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9</v>
      </c>
      <c r="N12" s="3" t="s">
        <v>10</v>
      </c>
      <c r="O12" s="4" t="s">
        <v>11</v>
      </c>
      <c r="P12" s="5"/>
      <c r="Q12" s="1"/>
      <c r="R12" s="5" t="s">
        <v>10</v>
      </c>
      <c r="S12" s="1"/>
      <c r="T12" s="1"/>
    </row>
    <row r="13">
      <c r="A13">
        <v>1</v>
      </c>
      <c r="B13">
        <v>190</v>
      </c>
      <c r="C13">
        <v>48</v>
      </c>
      <c r="D13">
        <f t="shared" ref="D13:D18" si="38">B13-C13</f>
        <v>142</v>
      </c>
      <c r="E13">
        <f t="shared" ref="E13:E18" si="39">D13*10</f>
        <v>1420</v>
      </c>
      <c r="F13">
        <f t="shared" ref="F13:F18" si="40">C13*10</f>
        <v>480</v>
      </c>
      <c r="H13">
        <v>1</v>
      </c>
      <c r="I13">
        <v>247</v>
      </c>
      <c r="J13">
        <v>63</v>
      </c>
      <c r="K13">
        <f t="shared" ref="K13:K18" si="41">I13-J13</f>
        <v>184</v>
      </c>
      <c r="L13">
        <f t="shared" ref="L13:L18" si="42">K13/100*1000*1000</f>
        <v>1840000</v>
      </c>
      <c r="M13">
        <f t="shared" ref="M13:M18" si="43">J13/50*10*1000</f>
        <v>12600</v>
      </c>
      <c r="N13">
        <f t="shared" ref="N13:N18" si="44">(LN(M13/F13))/(LN(L13/E13))</f>
        <v>0.45594084087782505</v>
      </c>
      <c r="O13" s="4">
        <f>AVERAGE(N13:N17)</f>
        <v>0.53049124508630852</v>
      </c>
      <c r="P13" s="11"/>
      <c r="Q13" s="9"/>
      <c r="R13" s="11">
        <v>0.45594084087782505</v>
      </c>
      <c r="S13" s="9"/>
      <c r="T13" s="9"/>
    </row>
    <row r="14">
      <c r="A14">
        <v>2</v>
      </c>
      <c r="B14">
        <v>164</v>
      </c>
      <c r="C14">
        <v>33</v>
      </c>
      <c r="D14">
        <f t="shared" si="38"/>
        <v>131</v>
      </c>
      <c r="E14">
        <f t="shared" si="39"/>
        <v>1310</v>
      </c>
      <c r="F14">
        <f t="shared" si="40"/>
        <v>330</v>
      </c>
      <c r="H14">
        <v>2</v>
      </c>
      <c r="I14">
        <v>220</v>
      </c>
      <c r="J14">
        <v>83</v>
      </c>
      <c r="K14">
        <f t="shared" si="41"/>
        <v>137</v>
      </c>
      <c r="L14">
        <f t="shared" si="42"/>
        <v>1370000</v>
      </c>
      <c r="M14">
        <f t="shared" si="43"/>
        <v>16599.999999999996</v>
      </c>
      <c r="N14">
        <f t="shared" si="44"/>
        <v>0.56354453913924796</v>
      </c>
      <c r="P14" s="11"/>
      <c r="Q14" s="9"/>
      <c r="R14" s="11">
        <v>0.47592351033727948</v>
      </c>
      <c r="S14" s="9"/>
      <c r="T14" s="9" t="s">
        <v>15</v>
      </c>
    </row>
    <row r="15">
      <c r="A15">
        <v>3</v>
      </c>
      <c r="B15">
        <v>161</v>
      </c>
      <c r="C15">
        <v>40</v>
      </c>
      <c r="D15">
        <f t="shared" si="38"/>
        <v>121</v>
      </c>
      <c r="E15">
        <f t="shared" si="39"/>
        <v>1210</v>
      </c>
      <c r="F15">
        <f t="shared" si="40"/>
        <v>400</v>
      </c>
      <c r="H15">
        <v>3</v>
      </c>
      <c r="I15">
        <v>187</v>
      </c>
      <c r="J15">
        <v>102</v>
      </c>
      <c r="K15">
        <f t="shared" si="41"/>
        <v>85</v>
      </c>
      <c r="L15">
        <f t="shared" si="42"/>
        <v>850000</v>
      </c>
      <c r="M15">
        <f t="shared" si="43"/>
        <v>20400</v>
      </c>
      <c r="N15">
        <f t="shared" si="44"/>
        <v>0.59985598527777073</v>
      </c>
      <c r="P15" s="11"/>
      <c r="Q15" s="11"/>
      <c r="R15" s="11">
        <v>0.55719134979941953</v>
      </c>
      <c r="S15" s="11">
        <v>0.55719134979941953</v>
      </c>
      <c r="T15" s="9" t="s">
        <v>18</v>
      </c>
    </row>
    <row r="16">
      <c r="A16">
        <v>4</v>
      </c>
      <c r="B16">
        <v>169</v>
      </c>
      <c r="C16">
        <v>45</v>
      </c>
      <c r="D16">
        <f t="shared" si="38"/>
        <v>124</v>
      </c>
      <c r="E16">
        <f t="shared" si="39"/>
        <v>1240</v>
      </c>
      <c r="F16">
        <f t="shared" si="40"/>
        <v>450</v>
      </c>
      <c r="H16">
        <v>4</v>
      </c>
      <c r="I16">
        <v>222</v>
      </c>
      <c r="J16">
        <v>67</v>
      </c>
      <c r="K16">
        <f t="shared" si="41"/>
        <v>155</v>
      </c>
      <c r="L16">
        <f t="shared" si="42"/>
        <v>1550000</v>
      </c>
      <c r="M16">
        <f t="shared" si="43"/>
        <v>13400</v>
      </c>
      <c r="N16">
        <f t="shared" si="44"/>
        <v>0.47592351033727948</v>
      </c>
      <c r="P16" s="11"/>
      <c r="Q16" s="11"/>
      <c r="R16" s="11">
        <v>0.56354453913924796</v>
      </c>
      <c r="S16" s="11"/>
      <c r="T16" s="9" t="s">
        <v>19</v>
      </c>
    </row>
    <row r="17">
      <c r="A17">
        <v>5</v>
      </c>
      <c r="B17">
        <v>120</v>
      </c>
      <c r="C17">
        <v>23</v>
      </c>
      <c r="D17">
        <f t="shared" si="38"/>
        <v>97</v>
      </c>
      <c r="E17">
        <f t="shared" si="39"/>
        <v>970</v>
      </c>
      <c r="F17">
        <f t="shared" si="40"/>
        <v>230</v>
      </c>
      <c r="H17">
        <v>5</v>
      </c>
      <c r="I17">
        <v>250</v>
      </c>
      <c r="J17">
        <v>75</v>
      </c>
      <c r="K17">
        <f t="shared" si="41"/>
        <v>175</v>
      </c>
      <c r="L17">
        <f t="shared" si="42"/>
        <v>1750000</v>
      </c>
      <c r="M17">
        <f t="shared" si="43"/>
        <v>15000</v>
      </c>
      <c r="N17">
        <f t="shared" si="44"/>
        <v>0.55719134979941953</v>
      </c>
      <c r="P17" s="11"/>
      <c r="Q17" s="9"/>
      <c r="R17" s="11">
        <v>0.59985598527777073</v>
      </c>
      <c r="S17" s="9"/>
      <c r="T17" s="9"/>
    </row>
    <row r="18">
      <c r="A18">
        <v>6</v>
      </c>
      <c r="B18">
        <v>171</v>
      </c>
      <c r="C18">
        <v>39</v>
      </c>
      <c r="D18">
        <f t="shared" si="38"/>
        <v>132</v>
      </c>
      <c r="E18">
        <f t="shared" si="39"/>
        <v>1320</v>
      </c>
      <c r="F18">
        <f t="shared" si="40"/>
        <v>390</v>
      </c>
      <c r="H18">
        <v>6</v>
      </c>
      <c r="I18">
        <v>139</v>
      </c>
      <c r="J18">
        <v>101</v>
      </c>
      <c r="K18">
        <f t="shared" si="41"/>
        <v>38</v>
      </c>
      <c r="L18">
        <f t="shared" si="42"/>
        <v>380000</v>
      </c>
      <c r="M18">
        <f t="shared" si="43"/>
        <v>20200</v>
      </c>
      <c r="N18">
        <f t="shared" si="44"/>
        <v>0.69708849413360163</v>
      </c>
      <c r="O18" t="s">
        <v>39</v>
      </c>
      <c r="P18" s="11"/>
      <c r="Q18" s="9"/>
      <c r="R18" s="11"/>
      <c r="S18" s="9"/>
      <c r="T18" s="9"/>
    </row>
    <row r="19">
      <c r="P19" s="1"/>
      <c r="Q19" s="7"/>
      <c r="R19" s="1"/>
      <c r="S19" s="7">
        <f>R16-R14</f>
        <v>0.087621028801968481</v>
      </c>
      <c r="T19" s="1" t="s">
        <v>20</v>
      </c>
    </row>
    <row r="20">
      <c r="P20" s="1"/>
      <c r="Q20" s="1"/>
      <c r="R20" s="1"/>
      <c r="S20" s="1">
        <f>R14-(1.5*S19)</f>
        <v>0.34449196713432673</v>
      </c>
      <c r="T20" s="1" t="s">
        <v>21</v>
      </c>
    </row>
    <row r="21">
      <c r="P21" s="1"/>
      <c r="Q21" s="1"/>
      <c r="R21" s="1"/>
      <c r="S21" s="1">
        <f>R17+(1.5*S19)</f>
        <v>0.73128752848072343</v>
      </c>
      <c r="T21" s="1" t="s">
        <v>22</v>
      </c>
    </row>
  </sheetData>
  <sortState ref="P13:P18">
    <sortCondition ref="P13:P18"/>
  </sortState>
  <mergeCells count="2">
    <mergeCell ref="Q5:Q6"/>
    <mergeCell ref="S5:S6"/>
  </mergeCell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Clint Elg</dc:creator>
  <cp:keywords/>
  <dc:description/>
  <cp:revision>4</cp:revision>
  <dcterms:created xsi:type="dcterms:W3CDTF">2021-07-14T20:20:23Z</dcterms:created>
  <dcterms:modified xsi:type="dcterms:W3CDTF">2023-02-04T19:25:28Z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